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EVE\Documents\1-2005 Active\1-2011 Active\2015 LGE-KU Rate Case\Baron Testimony\Workpapers\"/>
    </mc:Choice>
  </mc:AlternateContent>
  <bookViews>
    <workbookView xWindow="15648" yWindow="0" windowWidth="13188" windowHeight="11016" tabRatio="601" activeTab="3"/>
  </bookViews>
  <sheets>
    <sheet name="Functional Assignment" sheetId="1" r:id="rId1"/>
    <sheet name="Allocation ProForma" sheetId="2" r:id="rId2"/>
    <sheet name="SJB Exhibit" sheetId="33" r:id="rId3"/>
    <sheet name="Table - Pro Forma Returns" sheetId="32" r:id="rId4"/>
    <sheet name="Summary of Returns" sheetId="4" r:id="rId5"/>
    <sheet name="Billing Det" sheetId="5" r:id="rId6"/>
    <sheet name="Res Unit Costs" sheetId="14" r:id="rId7"/>
    <sheet name="GS" sheetId="24" r:id="rId8"/>
    <sheet name="PS Sec" sheetId="26" r:id="rId9"/>
    <sheet name="PS Primary" sheetId="27" r:id="rId10"/>
    <sheet name="TOD Sec" sheetId="28" r:id="rId11"/>
    <sheet name="RTS" sheetId="31" r:id="rId12"/>
    <sheet name="Meters" sheetId="7" r:id="rId13"/>
    <sheet name="Services" sheetId="8" r:id="rId14"/>
    <sheet name="Lighting" sheetId="11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\" localSheetId="2" hidden="1">#REF!</definedName>
    <definedName name="\\" localSheetId="3" hidden="1">#REF!</definedName>
    <definedName name="\\" hidden="1">#REF!</definedName>
    <definedName name="\\\" localSheetId="2" hidden="1">#REF!</definedName>
    <definedName name="\\\" localSheetId="3" hidden="1">#REF!</definedName>
    <definedName name="\\\" hidden="1">#REF!</definedName>
    <definedName name="\\\\" localSheetId="2" hidden="1">#REF!</definedName>
    <definedName name="\\\\" localSheetId="3" hidden="1">#REF!</definedName>
    <definedName name="\\\\" hidden="1">#REF!</definedName>
    <definedName name="\C" localSheetId="6">#REF!</definedName>
    <definedName name="\C" localSheetId="2">#REF!</definedName>
    <definedName name="\C" localSheetId="3">#REF!</definedName>
    <definedName name="\C">#REF!</definedName>
    <definedName name="\D" localSheetId="2">#REF!</definedName>
    <definedName name="\D" localSheetId="3">#REF!</definedName>
    <definedName name="\D">#REF!</definedName>
    <definedName name="\E" localSheetId="6">#REF!</definedName>
    <definedName name="\E" localSheetId="2">#REF!</definedName>
    <definedName name="\E" localSheetId="3">#REF!</definedName>
    <definedName name="\E">#REF!</definedName>
    <definedName name="\M" localSheetId="2">#REF!</definedName>
    <definedName name="\M" localSheetId="3">#REF!</definedName>
    <definedName name="\M">#REF!</definedName>
    <definedName name="\P" localSheetId="2">[1]dbase!#REF!</definedName>
    <definedName name="\P" localSheetId="3">[1]dbase!#REF!</definedName>
    <definedName name="\P">[1]dbase!#REF!</definedName>
    <definedName name="\R" localSheetId="6">#REF!</definedName>
    <definedName name="\R" localSheetId="2">#REF!</definedName>
    <definedName name="\R" localSheetId="3">#REF!</definedName>
    <definedName name="\R">#REF!</definedName>
    <definedName name="\S" localSheetId="2">[1]dbase!#REF!</definedName>
    <definedName name="\S" localSheetId="3">[1]dbase!#REF!</definedName>
    <definedName name="\S">[1]dbase!#REF!</definedName>
    <definedName name="\T" localSheetId="2">#REF!</definedName>
    <definedName name="\T" localSheetId="3">#REF!</definedName>
    <definedName name="\T">#REF!</definedName>
    <definedName name="\Y" localSheetId="2">[2]d20!#REF!</definedName>
    <definedName name="\Y" localSheetId="3">[2]d20!#REF!</definedName>
    <definedName name="\Y">[2]d20!#REF!</definedName>
    <definedName name="__123Graph_A" localSheetId="2" hidden="1">#REF!</definedName>
    <definedName name="__123Graph_A" localSheetId="3" hidden="1">#REF!</definedName>
    <definedName name="__123Graph_A" hidden="1">#REF!</definedName>
    <definedName name="__123Graph_B" localSheetId="2" hidden="1">#REF!</definedName>
    <definedName name="__123Graph_B" localSheetId="3" hidden="1">#REF!</definedName>
    <definedName name="__123Graph_B" hidden="1">#REF!</definedName>
    <definedName name="__123Graph_C" localSheetId="2" hidden="1">#REF!</definedName>
    <definedName name="__123Graph_C" localSheetId="3" hidden="1">#REF!</definedName>
    <definedName name="__123Graph_C" hidden="1">#REF!</definedName>
    <definedName name="__123Graph_D" localSheetId="2" hidden="1">#REF!</definedName>
    <definedName name="__123Graph_D" localSheetId="3" hidden="1">#REF!</definedName>
    <definedName name="__123Graph_D" hidden="1">#REF!</definedName>
    <definedName name="__123Graph_E" localSheetId="2" hidden="1">#REF!</definedName>
    <definedName name="__123Graph_E" localSheetId="3" hidden="1">#REF!</definedName>
    <definedName name="__123Graph_E" hidden="1">#REF!</definedName>
    <definedName name="__123Graph_F" localSheetId="2" hidden="1">#REF!</definedName>
    <definedName name="__123Graph_F" localSheetId="3" hidden="1">#REF!</definedName>
    <definedName name="__123Graph_F" hidden="1">#REF!</definedName>
    <definedName name="__123Graph_X" localSheetId="2" hidden="1">#REF!</definedName>
    <definedName name="__123Graph_X" localSheetId="3" hidden="1">#REF!</definedName>
    <definedName name="__123Graph_X" hidden="1">#REF!</definedName>
    <definedName name="_10NON_UTILITY" localSheetId="2">#REF!</definedName>
    <definedName name="_10NON_UTILITY" localSheetId="3">#REF!</definedName>
    <definedName name="_10NON_UTILITY">#REF!</definedName>
    <definedName name="_12MonResultsActual">'[3]12MonResults'!$AQ$4:$AQ$495</definedName>
    <definedName name="_12MonResultsRateClass">'[3]12MonResults'!$C$4:$C$495</definedName>
    <definedName name="_1GAS_FINANCING" localSheetId="2">#REF!</definedName>
    <definedName name="_1GAS_FINANCING" localSheetId="3">#REF!</definedName>
    <definedName name="_1GAS_FINANCING">#REF!</definedName>
    <definedName name="_xlnm._FilterDatabase" localSheetId="1" hidden="1">'Allocation ProForma'!$A$4:$BB$1254</definedName>
    <definedName name="_xlnm._FilterDatabase" localSheetId="0" hidden="1">'Functional Assignment'!$C$2:$D$667</definedName>
    <definedName name="_xlnm._FilterDatabase" localSheetId="2" hidden="1">'SJB Exhibit'!$A$4:$BB$99</definedName>
    <definedName name="_may1" localSheetId="2">#REF!</definedName>
    <definedName name="_may1" localSheetId="3">#REF!</definedName>
    <definedName name="_may1">#REF!</definedName>
    <definedName name="_Order1" hidden="1">0</definedName>
    <definedName name="_Order2" hidden="1">0</definedName>
    <definedName name="_P" localSheetId="6">#REF!</definedName>
    <definedName name="_P" localSheetId="2">#REF!</definedName>
    <definedName name="_P" localSheetId="3">#REF!</definedName>
    <definedName name="_P">#REF!</definedName>
    <definedName name="_PG1" localSheetId="2">#REF!</definedName>
    <definedName name="_PG1" localSheetId="3">#REF!</definedName>
    <definedName name="_PG1">#REF!</definedName>
    <definedName name="_PG2" localSheetId="2">#REF!</definedName>
    <definedName name="_PG2" localSheetId="3">#REF!</definedName>
    <definedName name="_PG2">#REF!</definedName>
    <definedName name="A" localSheetId="2">#REF!</definedName>
    <definedName name="A" localSheetId="3">#REF!</definedName>
    <definedName name="A">#REF!</definedName>
    <definedName name="ACTUAL">"'Vol_Revs'!R5C3:R5C14"</definedName>
    <definedName name="ADJSUTW3" localSheetId="2">#REF!</definedName>
    <definedName name="ADJSUTW3" localSheetId="3">#REF!</definedName>
    <definedName name="ADJSUTW3">#REF!</definedName>
    <definedName name="ADJUSRN" localSheetId="2">#REF!</definedName>
    <definedName name="ADJUSRN" localSheetId="3">#REF!</definedName>
    <definedName name="ADJUSRN">#REF!</definedName>
    <definedName name="Adjust2" localSheetId="2">#REF!</definedName>
    <definedName name="Adjust2" localSheetId="3">#REF!</definedName>
    <definedName name="Adjust2">#REF!</definedName>
    <definedName name="ADJUSTA" localSheetId="2">#REF!</definedName>
    <definedName name="ADJUSTA" localSheetId="3">#REF!</definedName>
    <definedName name="ADJUSTA">#REF!</definedName>
    <definedName name="ADJUSTAA" localSheetId="6">#REF!</definedName>
    <definedName name="ADJUSTAA" localSheetId="2">#REF!</definedName>
    <definedName name="ADJUSTAA" localSheetId="3">#REF!</definedName>
    <definedName name="ADJUSTAA">#REF!</definedName>
    <definedName name="ADJUSTB" localSheetId="2">#REF!</definedName>
    <definedName name="ADJUSTB" localSheetId="3">#REF!</definedName>
    <definedName name="ADJUSTB">#REF!</definedName>
    <definedName name="ADJUSTC" localSheetId="2">#REF!</definedName>
    <definedName name="ADJUSTC" localSheetId="3">#REF!</definedName>
    <definedName name="ADJUSTC">#REF!</definedName>
    <definedName name="ADJUSTD1" localSheetId="2">#REF!</definedName>
    <definedName name="ADJUSTD1" localSheetId="3">#REF!</definedName>
    <definedName name="ADJUSTD1">#REF!</definedName>
    <definedName name="ADJUSTD2" localSheetId="2">#REF!</definedName>
    <definedName name="ADJUSTD2" localSheetId="3">#REF!</definedName>
    <definedName name="ADJUSTD2">#REF!</definedName>
    <definedName name="ADJUSTD3" localSheetId="2">#REF!</definedName>
    <definedName name="ADJUSTD3" localSheetId="3">#REF!</definedName>
    <definedName name="ADJUSTD3">#REF!</definedName>
    <definedName name="ADJUSTD4" localSheetId="2">#REF!</definedName>
    <definedName name="ADJUSTD4" localSheetId="3">#REF!</definedName>
    <definedName name="ADJUSTD4">#REF!</definedName>
    <definedName name="ADJUSTG1" localSheetId="2">#REF!</definedName>
    <definedName name="ADJUSTG1" localSheetId="3">#REF!</definedName>
    <definedName name="ADJUSTG1">#REF!</definedName>
    <definedName name="ADJUSTG2" localSheetId="2">#REF!</definedName>
    <definedName name="ADJUSTG2" localSheetId="3">#REF!</definedName>
    <definedName name="ADJUSTG2">#REF!</definedName>
    <definedName name="ADJUSTG3" localSheetId="2">#REF!</definedName>
    <definedName name="ADJUSTG3" localSheetId="3">#REF!</definedName>
    <definedName name="ADJUSTG3">#REF!</definedName>
    <definedName name="ADJUSTG4" localSheetId="2">#REF!</definedName>
    <definedName name="ADJUSTG4" localSheetId="3">#REF!</definedName>
    <definedName name="ADJUSTG4">#REF!</definedName>
    <definedName name="ADJUSTH" localSheetId="2">#REF!</definedName>
    <definedName name="ADJUSTH" localSheetId="3">#REF!</definedName>
    <definedName name="ADJUSTH">#REF!</definedName>
    <definedName name="ADJUSTI" localSheetId="2">#REF!</definedName>
    <definedName name="ADJUSTI" localSheetId="3">#REF!</definedName>
    <definedName name="ADJUSTI">#REF!</definedName>
    <definedName name="ADJUSTK" localSheetId="2">#REF!</definedName>
    <definedName name="ADJUSTK" localSheetId="3">#REF!</definedName>
    <definedName name="ADJUSTK">#REF!</definedName>
    <definedName name="ADJUSTM" localSheetId="2">#REF!</definedName>
    <definedName name="ADJUSTM" localSheetId="3">#REF!</definedName>
    <definedName name="ADJUSTM">#REF!</definedName>
    <definedName name="ADJUSTN" localSheetId="2">#REF!</definedName>
    <definedName name="ADJUSTN" localSheetId="3">#REF!</definedName>
    <definedName name="ADJUSTN">#REF!</definedName>
    <definedName name="ADJUSTO" localSheetId="2">#REF!</definedName>
    <definedName name="ADJUSTO" localSheetId="3">#REF!</definedName>
    <definedName name="ADJUSTO">#REF!</definedName>
    <definedName name="ADJUSTP" localSheetId="2">#REF!</definedName>
    <definedName name="ADJUSTP" localSheetId="3">#REF!</definedName>
    <definedName name="ADJUSTP">#REF!</definedName>
    <definedName name="ADJUSTQ" localSheetId="2">#REF!</definedName>
    <definedName name="ADJUSTQ" localSheetId="3">#REF!</definedName>
    <definedName name="ADJUSTQ">#REF!</definedName>
    <definedName name="ADJUSTR" localSheetId="2">#REF!</definedName>
    <definedName name="ADJUSTR" localSheetId="3">#REF!</definedName>
    <definedName name="ADJUSTR">#REF!</definedName>
    <definedName name="ADJUSTS" localSheetId="6">#REF!</definedName>
    <definedName name="ADJUSTS" localSheetId="2">#REF!</definedName>
    <definedName name="ADJUSTS" localSheetId="3">#REF!</definedName>
    <definedName name="ADJUSTS">#REF!</definedName>
    <definedName name="ADJUSTT" localSheetId="2">#REF!</definedName>
    <definedName name="ADJUSTT" localSheetId="3">#REF!</definedName>
    <definedName name="ADJUSTT">#REF!</definedName>
    <definedName name="ADJUSTW1" localSheetId="2">#REF!</definedName>
    <definedName name="ADJUSTW1" localSheetId="3">#REF!</definedName>
    <definedName name="ADJUSTW1">#REF!</definedName>
    <definedName name="ADJUSTW2" localSheetId="2">#REF!</definedName>
    <definedName name="ADJUSTW2" localSheetId="3">#REF!</definedName>
    <definedName name="ADJUSTW2">#REF!</definedName>
    <definedName name="ADJUSTX" localSheetId="2">#REF!</definedName>
    <definedName name="ADJUSTX" localSheetId="3">#REF!</definedName>
    <definedName name="ADJUSTX">#REF!</definedName>
    <definedName name="ADJUSTY" localSheetId="2">#REF!</definedName>
    <definedName name="ADJUSTY" localSheetId="3">#REF!</definedName>
    <definedName name="ADJUSTY">#REF!</definedName>
    <definedName name="ALERT2" localSheetId="2">#REF!</definedName>
    <definedName name="ALERT2" localSheetId="3">#REF!</definedName>
    <definedName name="ALERT2">#REF!</definedName>
    <definedName name="Annual_Sales_KU" localSheetId="2">'[4]LGE Sales'!#REF!</definedName>
    <definedName name="Annual_Sales_KU" localSheetId="3">'[4]LGE Sales'!#REF!</definedName>
    <definedName name="Annual_Sales_KU">'[4]LGE Sales'!#REF!</definedName>
    <definedName name="assets" localSheetId="6">#REF!</definedName>
    <definedName name="assets" localSheetId="2">#REF!</definedName>
    <definedName name="assets" localSheetId="3">#REF!</definedName>
    <definedName name="assets">#REF!</definedName>
    <definedName name="B" localSheetId="2">#REF!</definedName>
    <definedName name="B" localSheetId="3">#REF!</definedName>
    <definedName name="B">#REF!</definedName>
    <definedName name="Billed_Revenues_Dollars" localSheetId="2">#REF!</definedName>
    <definedName name="Billed_Revenues_Dollars" localSheetId="3">#REF!</definedName>
    <definedName name="Billed_Revenues_Dollars">#REF!</definedName>
    <definedName name="Billed_Sales__KWh" localSheetId="2">#REF!</definedName>
    <definedName name="Billed_Sales__KWh" localSheetId="3">#REF!</definedName>
    <definedName name="Billed_Sales__KWh">#REF!</definedName>
    <definedName name="BudCol01">[5]BudgetDatabase!$J$5:$J$443</definedName>
    <definedName name="BudCol02">[5]BudgetDatabase!$K$5:$K$443</definedName>
    <definedName name="BudCol03">[5]BudgetDatabase!$L$5:$L$443</definedName>
    <definedName name="BudCol04">[5]BudgetDatabase!$M$5:$M$443</definedName>
    <definedName name="BudCol05">[5]BudgetDatabase!$N$5:$N$443</definedName>
    <definedName name="BudCol06">[5]BudgetDatabase!$O$5:$O$443</definedName>
    <definedName name="BudCol07">[5]BudgetDatabase!$P$5:$P$443</definedName>
    <definedName name="BudCol08">[5]BudgetDatabase!$Q$5:$Q$443</definedName>
    <definedName name="BudCol09">[5]BudgetDatabase!$R$5:$R$443</definedName>
    <definedName name="BudCol10">[5]BudgetDatabase!$S$5:$S$443</definedName>
    <definedName name="BudCol11">[5]BudgetDatabase!$T$5:$T$443</definedName>
    <definedName name="BudCol12">[5]BudgetDatabase!$U$5:$U$443</definedName>
    <definedName name="BudCol13">[5]BudgetDatabase!$V$5:$V$443</definedName>
    <definedName name="BudCol14">[5]BudgetDatabase!$W$5:$W$443</definedName>
    <definedName name="BudCol15">[5]BudgetDatabase!$X$5:$X$443</definedName>
    <definedName name="BudCol16">[5]BudgetDatabase!$Y$5:$Y$443</definedName>
    <definedName name="BudCol17">[5]BudgetDatabase!$Z$5:$Z$443</definedName>
    <definedName name="BudCol18">[5]BudgetDatabase!$AA$5:$AA$443</definedName>
    <definedName name="BudCol19">[5]BudgetDatabase!$AB$5:$AB$443</definedName>
    <definedName name="BudCol20">[5]BudgetDatabase!$AC$5:$AC$443</definedName>
    <definedName name="BudCol21">[5]BudgetDatabase!$AD$5:$AD$443</definedName>
    <definedName name="BudCol22">[5]BudgetDatabase!$AE$5:$AE$443</definedName>
    <definedName name="BudCol23">[5]BudgetDatabase!$AF$5:$AF$443</definedName>
    <definedName name="BudCol24">[5]BudgetDatabase!$AG$5:$AG$443</definedName>
    <definedName name="BudCol25">[5]BudgetDatabase!$AH$5:$AH$443</definedName>
    <definedName name="BudColTmp">[5]BudgetDatabase!$AJ$5:$AJ$443</definedName>
    <definedName name="C_" localSheetId="2">#REF!</definedName>
    <definedName name="C_" localSheetId="3">#REF!</definedName>
    <definedName name="C_">#REF!</definedName>
    <definedName name="Choices_Wrapper" localSheetId="6">'Res Unit Costs'!Choices_Wrapper</definedName>
    <definedName name="Choices_Wrapper">[0]!Choices_Wrapper</definedName>
    <definedName name="CM" localSheetId="6">#REF!</definedName>
    <definedName name="CM" localSheetId="2">#REF!</definedName>
    <definedName name="CM" localSheetId="3">#REF!</definedName>
    <definedName name="CM">#REF!</definedName>
    <definedName name="Coal_Annual_KU" localSheetId="2">'[4]LGE Coal'!#REF!</definedName>
    <definedName name="Coal_Annual_KU" localSheetId="3">'[4]LGE Coal'!#REF!</definedName>
    <definedName name="Coal_Annual_KU">'[4]LGE Coal'!#REF!</definedName>
    <definedName name="coal_hide_ku_01" localSheetId="2">'[4]LGE Coal'!#REF!</definedName>
    <definedName name="coal_hide_ku_01" localSheetId="3">'[4]LGE Coal'!#REF!</definedName>
    <definedName name="coal_hide_ku_01">'[4]LGE Coal'!#REF!</definedName>
    <definedName name="coal_hide_lge_01" localSheetId="2">'[4]LGE Coal'!#REF!</definedName>
    <definedName name="coal_hide_lge_01" localSheetId="3">'[4]LGE Coal'!#REF!</definedName>
    <definedName name="coal_hide_lge_01">'[4]LGE Coal'!#REF!</definedName>
    <definedName name="coal_ku_01" localSheetId="2">'[4]LGE Coal'!#REF!</definedName>
    <definedName name="coal_ku_01" localSheetId="3">'[4]LGE Coal'!#REF!</definedName>
    <definedName name="coal_ku_01">'[4]LGE Coal'!#REF!</definedName>
    <definedName name="ColumnAttributes1" localSheetId="2">#REF!</definedName>
    <definedName name="ColumnAttributes1" localSheetId="3">#REF!</definedName>
    <definedName name="ColumnAttributes1">#REF!</definedName>
    <definedName name="ColumnHeadings1" localSheetId="2">#REF!</definedName>
    <definedName name="ColumnHeadings1" localSheetId="3">#REF!</definedName>
    <definedName name="ColumnHeadings1">#REF!</definedName>
    <definedName name="Comp" localSheetId="6">'Res Unit Costs'!Comp</definedName>
    <definedName name="Comp">[0]!Comp</definedName>
    <definedName name="ConsEarnings" localSheetId="2">#REF!</definedName>
    <definedName name="ConsEarnings" localSheetId="3">#REF!</definedName>
    <definedName name="ConsEarnings">#REF!</definedName>
    <definedName name="CONSOLIDATED" localSheetId="2">#REF!</definedName>
    <definedName name="CONSOLIDATED" localSheetId="3">#REF!</definedName>
    <definedName name="CONSOLIDATED">#REF!</definedName>
    <definedName name="CORPORATE" localSheetId="2">#REF!</definedName>
    <definedName name="CORPORATE" localSheetId="3">#REF!</definedName>
    <definedName name="CORPORATE">#REF!</definedName>
    <definedName name="counter" localSheetId="2">#REF!</definedName>
    <definedName name="counter" localSheetId="3">#REF!</definedName>
    <definedName name="counter">#REF!</definedName>
    <definedName name="CREDIT" localSheetId="6">#REF!</definedName>
    <definedName name="CREDIT" localSheetId="2">#REF!</definedName>
    <definedName name="CREDIT" localSheetId="3">#REF!</definedName>
    <definedName name="CREDIT">#REF!</definedName>
    <definedName name="CurReptgMo">[5]Input!$K$19</definedName>
    <definedName name="CurReptgYr">[5]Input!$K$21</definedName>
    <definedName name="D" localSheetId="2">#REF!</definedName>
    <definedName name="D" localSheetId="3">#REF!</definedName>
    <definedName name="D">#REF!</definedName>
    <definedName name="data" localSheetId="2">#REF!</definedName>
    <definedName name="data" localSheetId="3">#REF!</definedName>
    <definedName name="data">#REF!</definedName>
    <definedName name="data1" localSheetId="2">'[6]1'!#REF!</definedName>
    <definedName name="data1" localSheetId="3">'[6]1'!#REF!</definedName>
    <definedName name="data1">'[6]1'!#REF!</definedName>
    <definedName name="DateTimeNow">[5]Input!$AE$12</definedName>
    <definedName name="DEBIT" localSheetId="6">#REF!</definedName>
    <definedName name="DEBIT" localSheetId="2">#REF!</definedName>
    <definedName name="DEBIT" localSheetId="3">#REF!</definedName>
    <definedName name="DEBIT">#REF!</definedName>
    <definedName name="Detail" localSheetId="2">#REF!</definedName>
    <definedName name="Detail" localSheetId="3">#REF!</definedName>
    <definedName name="Detail">#REF!</definedName>
    <definedName name="ELEC_NET_OP_INC" localSheetId="2">#REF!</definedName>
    <definedName name="ELEC_NET_OP_INC" localSheetId="3">#REF!</definedName>
    <definedName name="ELEC_NET_OP_INC">#REF!</definedName>
    <definedName name="ELIMS" localSheetId="2">#REF!</definedName>
    <definedName name="ELIMS" localSheetId="3">#REF!</definedName>
    <definedName name="ELIMS">#REF!</definedName>
    <definedName name="EXHIB1A" localSheetId="2">'[7]#REF'!#REF!</definedName>
    <definedName name="EXHIB1A" localSheetId="3">'[7]#REF'!#REF!</definedName>
    <definedName name="EXHIB1A">'[7]#REF'!#REF!</definedName>
    <definedName name="EXHIB1B" localSheetId="2">#REF!</definedName>
    <definedName name="EXHIB1B" localSheetId="3">#REF!</definedName>
    <definedName name="EXHIB1B">#REF!</definedName>
    <definedName name="EXHIB1C" localSheetId="2">#REF!</definedName>
    <definedName name="EXHIB1C" localSheetId="3">#REF!</definedName>
    <definedName name="EXHIB1C">#REF!</definedName>
    <definedName name="EXHIB2B" localSheetId="2">'[8]Ex 2'!#REF!</definedName>
    <definedName name="EXHIB2B" localSheetId="3">'[8]Ex 2'!#REF!</definedName>
    <definedName name="EXHIB2B">'[8]Ex 2'!#REF!</definedName>
    <definedName name="EXHIB3" localSheetId="6">#REF!</definedName>
    <definedName name="EXHIB3" localSheetId="2">#REF!</definedName>
    <definedName name="EXHIB3" localSheetId="3">#REF!</definedName>
    <definedName name="EXHIB3">#REF!</definedName>
    <definedName name="EXHIB6" localSheetId="2">'[8]not used Ex 4'!#REF!</definedName>
    <definedName name="EXHIB6" localSheetId="3">'[8]not used Ex 4'!#REF!</definedName>
    <definedName name="EXHIB6">'[8]not used Ex 4'!#REF!</definedName>
    <definedName name="F" localSheetId="2">#REF!</definedName>
    <definedName name="F" localSheetId="3">#REF!</definedName>
    <definedName name="F">#REF!</definedName>
    <definedName name="Fac_2000" localSheetId="2">'[4]LGE Base Fuel &amp; FAC'!#REF!</definedName>
    <definedName name="Fac_2000" localSheetId="3">'[4]LGE Base Fuel &amp; FAC'!#REF!</definedName>
    <definedName name="Fac_2000">'[4]LGE Base Fuel &amp; FAC'!#REF!</definedName>
    <definedName name="fac_annual_ku" localSheetId="2">'[4]LGE Base Fuel &amp; FAC'!#REF!</definedName>
    <definedName name="fac_annual_ku" localSheetId="3">'[4]LGE Base Fuel &amp; FAC'!#REF!</definedName>
    <definedName name="fac_annual_ku">'[4]LGE Base Fuel &amp; FAC'!#REF!</definedName>
    <definedName name="fac_hide_ku_01" localSheetId="2">'[4]LGE Base Fuel &amp; FAC'!#REF!</definedName>
    <definedName name="fac_hide_ku_01" localSheetId="3">'[4]LGE Base Fuel &amp; FAC'!#REF!</definedName>
    <definedName name="fac_hide_ku_01">'[4]LGE Base Fuel &amp; FAC'!#REF!</definedName>
    <definedName name="fac_hide_lge_01" localSheetId="2">'[4]LGE Base Fuel &amp; FAC'!#REF!</definedName>
    <definedName name="fac_hide_lge_01" localSheetId="3">'[4]LGE Base Fuel &amp; FAC'!#REF!</definedName>
    <definedName name="fac_hide_lge_01">'[4]LGE Base Fuel &amp; FAC'!#REF!</definedName>
    <definedName name="fac_ku_01" localSheetId="2">'[4]LGE Base Fuel &amp; FAC'!#REF!</definedName>
    <definedName name="fac_ku_01" localSheetId="3">'[4]LGE Base Fuel &amp; FAC'!#REF!</definedName>
    <definedName name="fac_ku_01">'[4]LGE Base Fuel &amp; FAC'!#REF!</definedName>
    <definedName name="FOOTER" localSheetId="2">#REF!</definedName>
    <definedName name="FOOTER" localSheetId="3">#REF!</definedName>
    <definedName name="FOOTER">#REF!</definedName>
    <definedName name="FORECAST">"'IFPSReport'!R5C3:R5C14"</definedName>
    <definedName name="fuelcost" localSheetId="6">#REF!</definedName>
    <definedName name="fuelcost" localSheetId="2">#REF!</definedName>
    <definedName name="fuelcost" localSheetId="3">#REF!</definedName>
    <definedName name="fuelcost">#REF!</definedName>
    <definedName name="Gas_Annual_NetRev" localSheetId="2">#REF!</definedName>
    <definedName name="Gas_Annual_NetRev" localSheetId="3">#REF!</definedName>
    <definedName name="Gas_Annual_NetRev">#REF!</definedName>
    <definedName name="Gas_Annual_Revenue" localSheetId="2">#REF!</definedName>
    <definedName name="Gas_Annual_Revenue" localSheetId="3">#REF!</definedName>
    <definedName name="Gas_Annual_Revenue">#REF!</definedName>
    <definedName name="gas_data" localSheetId="2">#REF!</definedName>
    <definedName name="gas_data" localSheetId="3">#REF!</definedName>
    <definedName name="gas_data">#REF!</definedName>
    <definedName name="Gas_Monthly_NetRevenue" localSheetId="2">#REF!</definedName>
    <definedName name="Gas_Monthly_NetRevenue" localSheetId="3">#REF!</definedName>
    <definedName name="Gas_Monthly_NetRevenue">#REF!</definedName>
    <definedName name="GAS_NET_OP_INC" localSheetId="2">#REF!</definedName>
    <definedName name="GAS_NET_OP_INC" localSheetId="3">#REF!</definedName>
    <definedName name="GAS_NET_OP_INC">#REF!</definedName>
    <definedName name="Gas_Sales_Revenues" localSheetId="2">#REF!</definedName>
    <definedName name="Gas_Sales_Revenues" localSheetId="3">#REF!</definedName>
    <definedName name="Gas_Sales_Revenues">#REF!</definedName>
    <definedName name="GenEx_Annual_KU" localSheetId="2">'[4]LGE Cost of Sales'!#REF!</definedName>
    <definedName name="GenEx_Annual_KU" localSheetId="3">'[4]LGE Cost of Sales'!#REF!</definedName>
    <definedName name="GenEx_Annual_KU">'[4]LGE Cost of Sales'!#REF!</definedName>
    <definedName name="genex_hide_ku_01" localSheetId="2">'[4]LGE Cost of Sales'!#REF!</definedName>
    <definedName name="genex_hide_ku_01" localSheetId="3">'[4]LGE Cost of Sales'!#REF!</definedName>
    <definedName name="genex_hide_ku_01">'[4]LGE Cost of Sales'!#REF!</definedName>
    <definedName name="genex_hide_lge_01" localSheetId="2">'[4]LGE Cost of Sales'!#REF!</definedName>
    <definedName name="genex_hide_lge_01" localSheetId="3">'[4]LGE Cost of Sales'!#REF!</definedName>
    <definedName name="genex_hide_lge_01">'[4]LGE Cost of Sales'!#REF!</definedName>
    <definedName name="genex_ku_01" localSheetId="2">'[4]LGE Cost of Sales'!#REF!</definedName>
    <definedName name="genex_ku_01" localSheetId="3">'[4]LGE Cost of Sales'!#REF!</definedName>
    <definedName name="genex_ku_01">'[4]LGE Cost of Sales'!#REF!</definedName>
    <definedName name="H" localSheetId="2">#REF!</definedName>
    <definedName name="H" localSheetId="3">#REF!</definedName>
    <definedName name="H">#REF!</definedName>
    <definedName name="Home_KU" localSheetId="2">#REF!</definedName>
    <definedName name="Home_KU" localSheetId="3">#REF!</definedName>
    <definedName name="Home_KU">#REF!</definedName>
    <definedName name="INPUT1" localSheetId="2">#REF!</definedName>
    <definedName name="INPUT1" localSheetId="3">#REF!</definedName>
    <definedName name="INPUT1">#REF!</definedName>
    <definedName name="INPUT2" localSheetId="2">#REF!</definedName>
    <definedName name="INPUT2" localSheetId="3">#REF!</definedName>
    <definedName name="INPUT2">#REF!</definedName>
    <definedName name="INPUTCOL" localSheetId="2">#REF!</definedName>
    <definedName name="INPUTCOL" localSheetId="3">#REF!</definedName>
    <definedName name="INPUTCOL">#REF!</definedName>
    <definedName name="INPUTROW" localSheetId="2">#REF!</definedName>
    <definedName name="INPUTROW" localSheetId="3">#REF!</definedName>
    <definedName name="INPUTROW">#REF!</definedName>
    <definedName name="InputSec01">[5]Input!$M$30</definedName>
    <definedName name="InputSec02">[5]Input!$M$40:$M$75</definedName>
    <definedName name="InputSec03">[5]Input!$K$87:$Q$89</definedName>
    <definedName name="InputSec04">[5]Input!$O$100:$Q$100</definedName>
    <definedName name="InputSec05A">[5]Input!$O$110:$Q$110</definedName>
    <definedName name="InputSec05B">[5]Input!$O$116:$Q$122</definedName>
    <definedName name="InputSec06">[5]Input!$M$133:$O$142</definedName>
    <definedName name="InputSec07">[5]Input!$O$151:$O$181</definedName>
    <definedName name="InputSec08A">[5]Input!$O$259:$O$283</definedName>
    <definedName name="InputSec08B">[5]Input!$G$296:$Q$296</definedName>
    <definedName name="InputSec08C">[5]Input!$I$306:$K$306</definedName>
    <definedName name="InputSec09A">[5]Input!$K$316:$Q$318</definedName>
    <definedName name="InputSec09B">[5]Input!$K$328:$M$330</definedName>
    <definedName name="InputSec10A">[5]Input!$K$345:$O$349</definedName>
    <definedName name="InputSec10B">[5]Input!$K$355:$O$355</definedName>
    <definedName name="InputSec10C">[5]Input!$K$362:$O$364</definedName>
    <definedName name="InputSec10D">[5]Input!$K$370:$O$370</definedName>
    <definedName name="InputSec11">[5]Input!$M$383:$O$391</definedName>
    <definedName name="InputSec12A">[5]Input!$M$406:$M$418</definedName>
    <definedName name="InputSec12B">[5]Input!$M$424</definedName>
    <definedName name="InputSec13">[5]Input!$M$433:$O$433</definedName>
    <definedName name="KUELIMBAL" localSheetId="2">#REF!</definedName>
    <definedName name="KUELIMBAL" localSheetId="3">#REF!</definedName>
    <definedName name="KUELIMBAL">#REF!</definedName>
    <definedName name="KUELIMCASH" localSheetId="2">#REF!</definedName>
    <definedName name="KUELIMCASH" localSheetId="3">#REF!</definedName>
    <definedName name="KUELIMCASH">#REF!</definedName>
    <definedName name="KUPWRGENIS" localSheetId="2">#REF!</definedName>
    <definedName name="KUPWRGENIS" localSheetId="3">#REF!</definedName>
    <definedName name="KUPWRGENIS">#REF!</definedName>
    <definedName name="KWHCol01">[5]KWHDistDatabase!$I$5:$I$425</definedName>
    <definedName name="KWHCol02">[5]KWHDistDatabase!$J$5:$J$425</definedName>
    <definedName name="KWHCol03">[5]KWHDistDatabase!$K$5:$K$425</definedName>
    <definedName name="KWHCol04">[5]KWHDistDatabase!$L$5:$L$425</definedName>
    <definedName name="KWHCol05">[5]KWHDistDatabase!$M$5:$M$425</definedName>
    <definedName name="KWHCol06">[5]KWHDistDatabase!$N$5:$N$425</definedName>
    <definedName name="KWHCol07">[5]KWHDistDatabase!$O$5:$O$425</definedName>
    <definedName name="KWHCol08">[5]KWHDistDatabase!$P$5:$P$425</definedName>
    <definedName name="KWHCol09">[5]KWHDistDatabase!$Q$5:$Q$425</definedName>
    <definedName name="KWHCol10">[5]KWHDistDatabase!$R$5:$R$425</definedName>
    <definedName name="KWHCol11">[5]KWHDistDatabase!$S$5:$S$425</definedName>
    <definedName name="KWHCol12">[5]KWHDistDatabase!$T$5:$T$425</definedName>
    <definedName name="KWHCol13">[5]KWHDistDatabase!$U$5:$U$425</definedName>
    <definedName name="KWHCol14">[5]KWHDistDatabase!$V$5:$V$425</definedName>
    <definedName name="KWHCol15">[5]KWHDistDatabase!$W$5:$W$425</definedName>
    <definedName name="KWHCol16">[5]KWHDistDatabase!$X$5:$X$425</definedName>
    <definedName name="KWHCol17">[5]KWHDistDatabase!$Y$5:$Y$425</definedName>
    <definedName name="KWHCol18">[5]KWHDistDatabase!$Z$5:$Z$425</definedName>
    <definedName name="KWHCol19">[5]KWHDistDatabase!$AA$5:$AA$425</definedName>
    <definedName name="KWHCol20">[5]KWHDistDatabase!$AB$5:$AB$425</definedName>
    <definedName name="KWHCol21">[5]KWHDistDatabase!$AC$5:$AC$425</definedName>
    <definedName name="KWHCol22">[5]KWHDistDatabase!$AD$5:$AD$425</definedName>
    <definedName name="KWHCol23">[5]KWHDistDatabase!$AE$5:$AE$425</definedName>
    <definedName name="KWHCol24">[5]KWHDistDatabase!$AF$5:$AF$425</definedName>
    <definedName name="KWHCol25">[5]KWHDistDatabase!$AG$5:$AG$425</definedName>
    <definedName name="KWHColTmp">[5]KWHDistDatabase!$AI$5:$AI$425</definedName>
    <definedName name="L_12MonResults_Demand_Measured_Base">'[9]12MonResults'!$K$4:$K$459</definedName>
    <definedName name="L_12MonResults_RateClass">'[9]12MonResults'!$C$4:$C$459</definedName>
    <definedName name="LEC" localSheetId="2">#REF!</definedName>
    <definedName name="LEC" localSheetId="3">#REF!</definedName>
    <definedName name="LEC">#REF!</definedName>
    <definedName name="LECBAL" localSheetId="2">#REF!</definedName>
    <definedName name="LECBAL" localSheetId="3">#REF!</definedName>
    <definedName name="LECBAL">#REF!</definedName>
    <definedName name="LECCASH" localSheetId="2">#REF!</definedName>
    <definedName name="LECCASH" localSheetId="3">#REF!</definedName>
    <definedName name="LECCASH">#REF!</definedName>
    <definedName name="LES" localSheetId="2">#REF!</definedName>
    <definedName name="LES" localSheetId="3">#REF!</definedName>
    <definedName name="LES">#REF!</definedName>
    <definedName name="LGE" localSheetId="2">#REF!</definedName>
    <definedName name="LGE" localSheetId="3">#REF!</definedName>
    <definedName name="LGE">#REF!</definedName>
    <definedName name="LNGCL" localSheetId="2">#REF!</definedName>
    <definedName name="LNGCL" localSheetId="3">#REF!</definedName>
    <definedName name="LNGCL">#REF!</definedName>
    <definedName name="Losses_by_State" localSheetId="2">#REF!</definedName>
    <definedName name="Losses_by_State" localSheetId="3">#REF!</definedName>
    <definedName name="Losses_by_State">#REF!</definedName>
    <definedName name="LOUPHONECOBAL" localSheetId="2">#REF!</definedName>
    <definedName name="LOUPHONECOBAL" localSheetId="3">#REF!</definedName>
    <definedName name="LOUPHONECOBAL">#REF!</definedName>
    <definedName name="LOUPHONECOCASH" localSheetId="2">#REF!</definedName>
    <definedName name="LOUPHONECOCASH" localSheetId="3">#REF!</definedName>
    <definedName name="LOUPHONECOCASH">#REF!</definedName>
    <definedName name="LOUPHONECOIS" localSheetId="2">#REF!</definedName>
    <definedName name="LOUPHONECOIS" localSheetId="3">#REF!</definedName>
    <definedName name="LOUPHONECOIS">#REF!</definedName>
    <definedName name="LPI" localSheetId="2">#REF!</definedName>
    <definedName name="LPI" localSheetId="3">#REF!</definedName>
    <definedName name="LPI">#REF!</definedName>
    <definedName name="MAIN" localSheetId="2">#REF!</definedName>
    <definedName name="MAIN" localSheetId="3">#REF!</definedName>
    <definedName name="MAIN">#REF!</definedName>
    <definedName name="MESG1" localSheetId="2">#REF!</definedName>
    <definedName name="MESG1" localSheetId="3">#REF!</definedName>
    <definedName name="MESG1">#REF!</definedName>
    <definedName name="MESG2" localSheetId="2">#REF!</definedName>
    <definedName name="MESG2" localSheetId="3">#REF!</definedName>
    <definedName name="MESG2">#REF!</definedName>
    <definedName name="MONTH_NAME" localSheetId="2">#REF!</definedName>
    <definedName name="MONTH_NAME" localSheetId="3">#REF!</definedName>
    <definedName name="MONTH_NAME">#REF!</definedName>
    <definedName name="MONTHCOUNT" localSheetId="2">#REF!</definedName>
    <definedName name="MONTHCOUNT" localSheetId="3">#REF!</definedName>
    <definedName name="MONTHCOUNT">#REF!</definedName>
    <definedName name="NATURAL" localSheetId="2">#REF!</definedName>
    <definedName name="NATURAL" localSheetId="3">#REF!</definedName>
    <definedName name="NATURAL">#REF!</definedName>
    <definedName name="NET_OP_INC" localSheetId="2">#REF!</definedName>
    <definedName name="NET_OP_INC" localSheetId="3">#REF!</definedName>
    <definedName name="NET_OP_INC">#REF!</definedName>
    <definedName name="Net_Revenues" localSheetId="2">#REF!</definedName>
    <definedName name="Net_Revenues" localSheetId="3">#REF!</definedName>
    <definedName name="Net_Revenues">#REF!</definedName>
    <definedName name="Net_Unbilled_KWh" localSheetId="2">#REF!</definedName>
    <definedName name="Net_Unbilled_KWh" localSheetId="3">#REF!</definedName>
    <definedName name="Net_Unbilled_KWh">#REF!</definedName>
    <definedName name="Net_Unbilled_Revenue_Dollars" localSheetId="2">#REF!</definedName>
    <definedName name="Net_Unbilled_Revenue_Dollars" localSheetId="3">#REF!</definedName>
    <definedName name="Net_Unbilled_Revenue_Dollars">#REF!</definedName>
    <definedName name="netrev_hide_ku_01" localSheetId="2">'[4]LGE Gross Margin-Inc.Stmt'!#REF!</definedName>
    <definedName name="netrev_hide_ku_01" localSheetId="3">'[4]LGE Gross Margin-Inc.Stmt'!#REF!</definedName>
    <definedName name="netrev_hide_ku_01">'[4]LGE Gross Margin-Inc.Stmt'!#REF!</definedName>
    <definedName name="netrev_hide_lge_01" localSheetId="2">'[4]LGE Gross Margin-Inc.Stmt'!#REF!</definedName>
    <definedName name="netrev_hide_lge_01" localSheetId="3">'[4]LGE Gross Margin-Inc.Stmt'!#REF!</definedName>
    <definedName name="netrev_hide_lge_01">'[4]LGE Gross Margin-Inc.Stmt'!#REF!</definedName>
    <definedName name="netrev_ku_01" localSheetId="2">'[4]LGE Gross Margin-Inc.Stmt'!#REF!</definedName>
    <definedName name="netrev_ku_01" localSheetId="3">'[4]LGE Gross Margin-Inc.Stmt'!#REF!</definedName>
    <definedName name="netrev_ku_01">'[4]LGE Gross Margin-Inc.Stmt'!#REF!</definedName>
    <definedName name="NetRevenue_Annual_KU" localSheetId="2">'[4]LGE Gross Margin-Inc.Stmt'!#REF!</definedName>
    <definedName name="NetRevenue_Annual_KU" localSheetId="3">'[4]LGE Gross Margin-Inc.Stmt'!#REF!</definedName>
    <definedName name="NetRevenue_Annual_KU">'[4]LGE Gross Margin-Inc.Stmt'!#REF!</definedName>
    <definedName name="NetRevenues" localSheetId="2">#REF!</definedName>
    <definedName name="NetRevenues" localSheetId="3">#REF!</definedName>
    <definedName name="NetRevenues">#REF!</definedName>
    <definedName name="NextReptgMo">[5]Input!$AE$19</definedName>
    <definedName name="NextReptgYr">[5]Input!$AE$21</definedName>
    <definedName name="Operating_Revenue_Dollars" localSheetId="2">#REF!</definedName>
    <definedName name="Operating_Revenue_Dollars" localSheetId="3">#REF!</definedName>
    <definedName name="Operating_Revenue_Dollars">#REF!</definedName>
    <definedName name="Operating_Sales__KWh" localSheetId="2">#REF!</definedName>
    <definedName name="Operating_Sales__KWh" localSheetId="3">#REF!</definedName>
    <definedName name="Operating_Sales__KWh">#REF!</definedName>
    <definedName name="PAGE" localSheetId="6">#REF!</definedName>
    <definedName name="PAGE" localSheetId="2">#REF!</definedName>
    <definedName name="PAGE" localSheetId="3">#REF!</definedName>
    <definedName name="PAGE">#REF!</definedName>
    <definedName name="PAGE10" localSheetId="6">#REF!</definedName>
    <definedName name="PAGE10" localSheetId="2">#REF!</definedName>
    <definedName name="PAGE10" localSheetId="3">#REF!</definedName>
    <definedName name="PAGE10">#REF!</definedName>
    <definedName name="PAGE1B" localSheetId="2">[2]d20!#REF!</definedName>
    <definedName name="PAGE1B" localSheetId="3">[2]d20!#REF!</definedName>
    <definedName name="PAGE1B">[2]d20!#REF!</definedName>
    <definedName name="PAGE7" localSheetId="6">#REF!</definedName>
    <definedName name="PAGE7" localSheetId="2">#REF!</definedName>
    <definedName name="PAGE7" localSheetId="3">#REF!</definedName>
    <definedName name="PAGE7">#REF!</definedName>
    <definedName name="page8" localSheetId="6">#REF!</definedName>
    <definedName name="page8" localSheetId="2">#REF!</definedName>
    <definedName name="page8" localSheetId="3">#REF!</definedName>
    <definedName name="page8">#REF!</definedName>
    <definedName name="PAGE9" localSheetId="6">#REF!</definedName>
    <definedName name="PAGE9" localSheetId="2">#REF!</definedName>
    <definedName name="PAGE9" localSheetId="3">#REF!</definedName>
    <definedName name="PAGE9">#REF!</definedName>
    <definedName name="PgFERC_449" localSheetId="2">#REF!</definedName>
    <definedName name="PgFERC_449" localSheetId="3">#REF!</definedName>
    <definedName name="PgFERC_449">#REF!</definedName>
    <definedName name="Plan" localSheetId="2">#REF!</definedName>
    <definedName name="Plan" localSheetId="3">#REF!</definedName>
    <definedName name="Plan">#REF!</definedName>
    <definedName name="_xlnm.Print_Area" localSheetId="1">'Allocation ProForma'!$A$1:$U$1112</definedName>
    <definedName name="_xlnm.Print_Area" localSheetId="5">'Billing Det'!$A$1:$D$36</definedName>
    <definedName name="_xlnm.Print_Area" localSheetId="0">'Functional Assignment'!$A$1:$AE$667</definedName>
    <definedName name="_xlnm.Print_Area" localSheetId="6">'Res Unit Costs'!$A$1:$K$58</definedName>
    <definedName name="_xlnm.Print_Area" localSheetId="2">'SJB Exhibit'!$A$5:$U$99</definedName>
    <definedName name="_xlnm.Print_Area" localSheetId="4">'Summary of Returns'!$A$1:$G$67</definedName>
    <definedName name="_xlnm.Print_Area" localSheetId="3">'Table - Pro Forma Returns'!$A$1:$G$28</definedName>
    <definedName name="_xlnm.Print_Titles" localSheetId="1">'Allocation ProForma'!$A:$E,'Allocation ProForma'!$2:$4</definedName>
    <definedName name="_xlnm.Print_Titles" localSheetId="5">'Billing Det'!$A:$A,'Billing Det'!$35:$36</definedName>
    <definedName name="_xlnm.Print_Titles" localSheetId="0">'Functional Assignment'!$A:$E,'Functional Assignment'!$2:$4</definedName>
    <definedName name="_xlnm.Print_Titles" localSheetId="2">'SJB Exhibit'!$A:$E,'SJB Exhibit'!$2:$4</definedName>
    <definedName name="PRINT1" localSheetId="2">#REF!</definedName>
    <definedName name="PRINT1" localSheetId="3">#REF!</definedName>
    <definedName name="PRINT1">#REF!</definedName>
    <definedName name="PWRGENBAL" localSheetId="2">#REF!</definedName>
    <definedName name="PWRGENBAL" localSheetId="3">#REF!</definedName>
    <definedName name="PWRGENBAL">#REF!</definedName>
    <definedName name="PWRGENCASH" localSheetId="2">#REF!</definedName>
    <definedName name="PWRGENCASH" localSheetId="3">#REF!</definedName>
    <definedName name="PWRGENCASH">#REF!</definedName>
    <definedName name="QtrbyMonth" localSheetId="2">#REF!</definedName>
    <definedName name="QtrbyMonth" localSheetId="3">#REF!</definedName>
    <definedName name="QtrbyMonth">#REF!</definedName>
    <definedName name="RangeRptgMo">[10]Main!$K$11</definedName>
    <definedName name="RangeRptgYr">[11]Main!$G$5</definedName>
    <definedName name="REPORT" localSheetId="6">#REF!</definedName>
    <definedName name="REPORT" localSheetId="2">#REF!</definedName>
    <definedName name="REPORT" localSheetId="3">#REF!</definedName>
    <definedName name="REPORT">#REF!</definedName>
    <definedName name="ReportTitle1" localSheetId="2">#REF!</definedName>
    <definedName name="ReportTitle1" localSheetId="3">#REF!</definedName>
    <definedName name="ReportTitle1">#REF!</definedName>
    <definedName name="require_hide_ku_01" localSheetId="2">'[4]LGE Require &amp; Source'!#REF!</definedName>
    <definedName name="require_hide_ku_01" localSheetId="3">'[4]LGE Require &amp; Source'!#REF!</definedName>
    <definedName name="require_hide_ku_01">'[4]LGE Require &amp; Source'!#REF!</definedName>
    <definedName name="require_hide_lge_01" localSheetId="2">'[4]LGE Require &amp; Source'!#REF!</definedName>
    <definedName name="require_hide_lge_01" localSheetId="3">'[4]LGE Require &amp; Source'!#REF!</definedName>
    <definedName name="require_hide_lge_01">'[4]LGE Require &amp; Source'!#REF!</definedName>
    <definedName name="require_ku_01" localSheetId="2">'[4]LGE Require &amp; Source'!#REF!</definedName>
    <definedName name="require_ku_01" localSheetId="3">'[4]LGE Require &amp; Source'!#REF!</definedName>
    <definedName name="require_ku_01">'[4]LGE Require &amp; Source'!#REF!</definedName>
    <definedName name="Requirements_Annual_KU" localSheetId="2">'[4]LGE Require &amp; Source'!#REF!</definedName>
    <definedName name="Requirements_Annual_KU" localSheetId="3">'[4]LGE Require &amp; Source'!#REF!</definedName>
    <definedName name="Requirements_Annual_KU">'[4]LGE Require &amp; Source'!#REF!</definedName>
    <definedName name="Requirements_Data" localSheetId="2">'[4]LGE Require &amp; Source'!#REF!</definedName>
    <definedName name="Requirements_Data" localSheetId="3">'[4]LGE Require &amp; Source'!#REF!</definedName>
    <definedName name="Requirements_Data">'[4]LGE Require &amp; Source'!#REF!</definedName>
    <definedName name="Requirements_KU" localSheetId="2">'[4]LGE Require &amp; Source'!#REF!</definedName>
    <definedName name="Requirements_KU" localSheetId="3">'[4]LGE Require &amp; Source'!#REF!</definedName>
    <definedName name="Requirements_KU">'[4]LGE Require &amp; Source'!#REF!</definedName>
    <definedName name="RevCol01" localSheetId="2">#REF!</definedName>
    <definedName name="RevCol01" localSheetId="3">#REF!</definedName>
    <definedName name="RevCol01">#REF!</definedName>
    <definedName name="RevCol01A" localSheetId="2">#REF!</definedName>
    <definedName name="RevCol01A" localSheetId="3">#REF!</definedName>
    <definedName name="RevCol01A">#REF!</definedName>
    <definedName name="RevCol01B" localSheetId="6">#REF!</definedName>
    <definedName name="RevCol01B" localSheetId="2">[12]RevDatabase!#REF!</definedName>
    <definedName name="RevCol01B" localSheetId="3">[12]RevDatabase!#REF!</definedName>
    <definedName name="RevCol01B">[12]RevDatabase!#REF!</definedName>
    <definedName name="RevCol02" localSheetId="2">#REF!</definedName>
    <definedName name="RevCol02" localSheetId="3">#REF!</definedName>
    <definedName name="RevCol02">#REF!</definedName>
    <definedName name="RevCol02A" localSheetId="2">#REF!</definedName>
    <definedName name="RevCol02A" localSheetId="3">#REF!</definedName>
    <definedName name="RevCol02A">#REF!</definedName>
    <definedName name="RevCol02B" localSheetId="6">#REF!</definedName>
    <definedName name="RevCol02B" localSheetId="2">[12]RevDatabase!#REF!</definedName>
    <definedName name="RevCol02B" localSheetId="3">[12]RevDatabase!#REF!</definedName>
    <definedName name="RevCol02B">[12]RevDatabase!#REF!</definedName>
    <definedName name="RevCol03" localSheetId="2">#REF!</definedName>
    <definedName name="RevCol03" localSheetId="3">#REF!</definedName>
    <definedName name="RevCol03">#REF!</definedName>
    <definedName name="RevCol04" localSheetId="2">#REF!</definedName>
    <definedName name="RevCol04" localSheetId="3">#REF!</definedName>
    <definedName name="RevCol04">#REF!</definedName>
    <definedName name="RevCol05" localSheetId="2">#REF!</definedName>
    <definedName name="RevCol05" localSheetId="3">#REF!</definedName>
    <definedName name="RevCol05">#REF!</definedName>
    <definedName name="RevCol06" localSheetId="2">#REF!</definedName>
    <definedName name="RevCol06" localSheetId="3">#REF!</definedName>
    <definedName name="RevCol06">#REF!</definedName>
    <definedName name="RevCol07" localSheetId="2">#REF!</definedName>
    <definedName name="RevCol07" localSheetId="3">#REF!</definedName>
    <definedName name="RevCol07">#REF!</definedName>
    <definedName name="RevCol08" localSheetId="2">#REF!</definedName>
    <definedName name="RevCol08" localSheetId="3">#REF!</definedName>
    <definedName name="RevCol08">#REF!</definedName>
    <definedName name="RevCol09" localSheetId="2">#REF!</definedName>
    <definedName name="RevCol09" localSheetId="3">#REF!</definedName>
    <definedName name="RevCol09">#REF!</definedName>
    <definedName name="RevCol10" localSheetId="2">#REF!</definedName>
    <definedName name="RevCol10" localSheetId="3">#REF!</definedName>
    <definedName name="RevCol10">#REF!</definedName>
    <definedName name="RevCol11" localSheetId="2">#REF!</definedName>
    <definedName name="RevCol11" localSheetId="3">#REF!</definedName>
    <definedName name="RevCol11">#REF!</definedName>
    <definedName name="RevCol12" localSheetId="2">#REF!</definedName>
    <definedName name="RevCol12" localSheetId="3">#REF!</definedName>
    <definedName name="RevCol12">#REF!</definedName>
    <definedName name="RevCol13" localSheetId="2">#REF!</definedName>
    <definedName name="RevCol13" localSheetId="3">#REF!</definedName>
    <definedName name="RevCol13">#REF!</definedName>
    <definedName name="RevCol14" localSheetId="2">#REF!</definedName>
    <definedName name="RevCol14" localSheetId="3">#REF!</definedName>
    <definedName name="RevCol14">#REF!</definedName>
    <definedName name="RevCol15" localSheetId="2">#REF!</definedName>
    <definedName name="RevCol15" localSheetId="3">#REF!</definedName>
    <definedName name="RevCol15">#REF!</definedName>
    <definedName name="RevCol16" localSheetId="2">#REF!</definedName>
    <definedName name="RevCol16" localSheetId="3">#REF!</definedName>
    <definedName name="RevCol16">#REF!</definedName>
    <definedName name="RevCol17" localSheetId="2">#REF!</definedName>
    <definedName name="RevCol17" localSheetId="3">#REF!</definedName>
    <definedName name="RevCol17">#REF!</definedName>
    <definedName name="RevCol18" localSheetId="2">#REF!</definedName>
    <definedName name="RevCol18" localSheetId="3">#REF!</definedName>
    <definedName name="RevCol18">#REF!</definedName>
    <definedName name="RevCol19" localSheetId="2">#REF!</definedName>
    <definedName name="RevCol19" localSheetId="3">#REF!</definedName>
    <definedName name="RevCol19">#REF!</definedName>
    <definedName name="RevCol20" localSheetId="2">#REF!</definedName>
    <definedName name="RevCol20" localSheetId="3">#REF!</definedName>
    <definedName name="RevCol20">#REF!</definedName>
    <definedName name="RevCol21" localSheetId="2">#REF!</definedName>
    <definedName name="RevCol21" localSheetId="3">#REF!</definedName>
    <definedName name="RevCol21">#REF!</definedName>
    <definedName name="RevCol22" localSheetId="2">#REF!</definedName>
    <definedName name="RevCol22" localSheetId="3">#REF!</definedName>
    <definedName name="RevCol22">#REF!</definedName>
    <definedName name="RevCol23" localSheetId="2">#REF!</definedName>
    <definedName name="RevCol23" localSheetId="3">#REF!</definedName>
    <definedName name="RevCol23">#REF!</definedName>
    <definedName name="RevCol24" localSheetId="2">#REF!</definedName>
    <definedName name="RevCol24" localSheetId="3">#REF!</definedName>
    <definedName name="RevCol24">#REF!</definedName>
    <definedName name="RevCol25" localSheetId="2">#REF!</definedName>
    <definedName name="RevCol25" localSheetId="3">#REF!</definedName>
    <definedName name="RevCol25">#REF!</definedName>
    <definedName name="RevCol26" localSheetId="2">#REF!</definedName>
    <definedName name="RevCol26" localSheetId="3">#REF!</definedName>
    <definedName name="RevCol26">#REF!</definedName>
    <definedName name="RevCol27" localSheetId="2">#REF!</definedName>
    <definedName name="RevCol27" localSheetId="3">#REF!</definedName>
    <definedName name="RevCol27">#REF!</definedName>
    <definedName name="RevCol28" localSheetId="2">#REF!</definedName>
    <definedName name="RevCol28" localSheetId="3">#REF!</definedName>
    <definedName name="RevCol28">#REF!</definedName>
    <definedName name="RevCol29" localSheetId="2">#REF!</definedName>
    <definedName name="RevCol29" localSheetId="3">#REF!</definedName>
    <definedName name="RevCol29">#REF!</definedName>
    <definedName name="RevCol30" localSheetId="2">#REF!</definedName>
    <definedName name="RevCol30" localSheetId="3">#REF!</definedName>
    <definedName name="RevCol30">#REF!</definedName>
    <definedName name="RevCol31" localSheetId="2">#REF!</definedName>
    <definedName name="RevCol31" localSheetId="3">#REF!</definedName>
    <definedName name="RevCol31">#REF!</definedName>
    <definedName name="RevCol32" localSheetId="2">#REF!</definedName>
    <definedName name="RevCol32" localSheetId="3">#REF!</definedName>
    <definedName name="RevCol32">#REF!</definedName>
    <definedName name="RevCol33" localSheetId="2">#REF!</definedName>
    <definedName name="RevCol33" localSheetId="3">#REF!</definedName>
    <definedName name="RevCol33">#REF!</definedName>
    <definedName name="RevCol34" localSheetId="2">#REF!</definedName>
    <definedName name="RevCol34" localSheetId="3">#REF!</definedName>
    <definedName name="RevCol34">#REF!</definedName>
    <definedName name="RevCol35" localSheetId="2">#REF!</definedName>
    <definedName name="RevCol35" localSheetId="3">#REF!</definedName>
    <definedName name="RevCol35">#REF!</definedName>
    <definedName name="RevCol36" localSheetId="2">#REF!</definedName>
    <definedName name="RevCol36" localSheetId="3">#REF!</definedName>
    <definedName name="RevCol36">#REF!</definedName>
    <definedName name="RevCol37" localSheetId="2">#REF!</definedName>
    <definedName name="RevCol37" localSheetId="3">#REF!</definedName>
    <definedName name="RevCol37">#REF!</definedName>
    <definedName name="RevColTmp" localSheetId="6">#REF!</definedName>
    <definedName name="RevColTmp" localSheetId="2">[12]RevDatabase!#REF!</definedName>
    <definedName name="RevColTmp" localSheetId="3">[12]RevDatabase!#REF!</definedName>
    <definedName name="RevColTmp">[12]RevDatabase!#REF!</definedName>
    <definedName name="RevColTmpA" localSheetId="6">#REF!</definedName>
    <definedName name="RevColTmpA" localSheetId="2">[12]RevDatabase!#REF!</definedName>
    <definedName name="RevColTmpA" localSheetId="3">[12]RevDatabase!#REF!</definedName>
    <definedName name="RevColTmpA">[12]RevDatabase!#REF!</definedName>
    <definedName name="RevColTmpB" localSheetId="6">#REF!</definedName>
    <definedName name="RevColTmpB" localSheetId="2">[12]RevDatabase!#REF!</definedName>
    <definedName name="RevColTmpB" localSheetId="3">[12]RevDatabase!#REF!</definedName>
    <definedName name="RevColTmpB">[12]RevDatabase!#REF!</definedName>
    <definedName name="revenues_hide_ku_01" localSheetId="2">'[4]KU Other Electric Revenues'!#REF!</definedName>
    <definedName name="revenues_hide_ku_01" localSheetId="3">'[4]KU Other Electric Revenues'!#REF!</definedName>
    <definedName name="revenues_hide_ku_01">'[4]KU Other Electric Revenues'!#REF!</definedName>
    <definedName name="revenues_ku_01" localSheetId="2">'[4]KU Other Electric Revenues'!#REF!</definedName>
    <definedName name="revenues_ku_01" localSheetId="3">'[4]KU Other Electric Revenues'!#REF!</definedName>
    <definedName name="revenues_ku_01">'[4]KU Other Electric Revenues'!#REF!</definedName>
    <definedName name="RowDetails1" localSheetId="2">#REF!</definedName>
    <definedName name="RowDetails1" localSheetId="3">#REF!</definedName>
    <definedName name="RowDetails1">#REF!</definedName>
    <definedName name="RPTCOL" localSheetId="2">#REF!</definedName>
    <definedName name="RPTCOL" localSheetId="3">#REF!</definedName>
    <definedName name="RPTCOL">#REF!</definedName>
    <definedName name="RPTROW" localSheetId="2">#REF!</definedName>
    <definedName name="RPTROW" localSheetId="3">#REF!</definedName>
    <definedName name="RPTROW">#REF!</definedName>
    <definedName name="Sales" localSheetId="2">'[4]LGE Sales'!#REF!</definedName>
    <definedName name="Sales" localSheetId="3">'[4]LGE Sales'!#REF!</definedName>
    <definedName name="Sales">'[4]LGE Sales'!#REF!</definedName>
    <definedName name="sales_hide_ku_01" localSheetId="2">'[4]LGE Sales'!#REF!</definedName>
    <definedName name="sales_hide_ku_01" localSheetId="3">'[4]LGE Sales'!#REF!</definedName>
    <definedName name="sales_hide_ku_01">'[4]LGE Sales'!#REF!</definedName>
    <definedName name="sales_ku_01" localSheetId="2">'[4]LGE Sales'!#REF!</definedName>
    <definedName name="sales_ku_01" localSheetId="3">'[4]LGE Sales'!#REF!</definedName>
    <definedName name="sales_ku_01">'[4]LGE Sales'!#REF!</definedName>
    <definedName name="sales_title_ku" localSheetId="2">'[4]LGE Sales'!#REF!</definedName>
    <definedName name="sales_title_ku" localSheetId="3">'[4]LGE Sales'!#REF!</definedName>
    <definedName name="sales_title_ku">'[4]LGE Sales'!#REF!</definedName>
    <definedName name="SCHEDZ" localSheetId="6">#REF!</definedName>
    <definedName name="SCHEDZ" localSheetId="2">#REF!</definedName>
    <definedName name="SCHEDZ" localSheetId="3">#REF!</definedName>
    <definedName name="SCHEDZ">#REF!</definedName>
    <definedName name="shoot" localSheetId="2">#REF!</definedName>
    <definedName name="shoot" localSheetId="3">#REF!</definedName>
    <definedName name="shoot">#REF!</definedName>
    <definedName name="START" localSheetId="2">#REF!</definedName>
    <definedName name="START" localSheetId="3">#REF!</definedName>
    <definedName name="START">#REF!</definedName>
    <definedName name="START2" localSheetId="2">#REF!</definedName>
    <definedName name="START2" localSheetId="3">#REF!</definedName>
    <definedName name="START2">#REF!</definedName>
    <definedName name="START3" localSheetId="2">#REF!</definedName>
    <definedName name="START3" localSheetId="3">#REF!</definedName>
    <definedName name="START3">#REF!</definedName>
    <definedName name="Support" localSheetId="6">#REF!</definedName>
    <definedName name="Support" localSheetId="2">#REF!</definedName>
    <definedName name="Support" localSheetId="3">#REF!</definedName>
    <definedName name="Support">#REF!</definedName>
    <definedName name="SUPPORT5" localSheetId="6">#REF!</definedName>
    <definedName name="SUPPORT5" localSheetId="2">#REF!</definedName>
    <definedName name="SUPPORT5" localSheetId="3">#REF!</definedName>
    <definedName name="SUPPORT5">#REF!</definedName>
    <definedName name="SUPPORT6" localSheetId="6">#REF!</definedName>
    <definedName name="SUPPORT6" localSheetId="2">#REF!</definedName>
    <definedName name="SUPPORT6" localSheetId="3">#REF!</definedName>
    <definedName name="SUPPORT6">#REF!</definedName>
    <definedName name="TAX_RATE" localSheetId="2">'[7]#REF'!#REF!</definedName>
    <definedName name="TAX_RATE" localSheetId="3">'[7]#REF'!#REF!</definedName>
    <definedName name="TAX_RATE">'[7]#REF'!#REF!</definedName>
    <definedName name="TempReptgMo">[5]Input!$AG$19</definedName>
    <definedName name="TempReptgYr">[5]Input!$AG$21</definedName>
    <definedName name="TenyrNIAC" localSheetId="2">#REF!</definedName>
    <definedName name="TenyrNIAC" localSheetId="3">#REF!</definedName>
    <definedName name="TenyrNIAC">#REF!</definedName>
    <definedName name="TenyrRev" localSheetId="2">#REF!</definedName>
    <definedName name="TenyrRev" localSheetId="3">#REF!</definedName>
    <definedName name="TenyrRev">#REF!</definedName>
    <definedName name="test" localSheetId="6">'Res Unit Costs'!test</definedName>
    <definedName name="test">[0]!test</definedName>
    <definedName name="Title" localSheetId="2">#REF!</definedName>
    <definedName name="Title" localSheetId="3">#REF!</definedName>
    <definedName name="Title">#REF!</definedName>
    <definedName name="Title_Choice" localSheetId="2">#REF!</definedName>
    <definedName name="Title_Choice" localSheetId="3">#REF!</definedName>
    <definedName name="Title_Choice">#REF!</definedName>
    <definedName name="Titles" localSheetId="2">#REF!</definedName>
    <definedName name="Titles" localSheetId="3">#REF!</definedName>
    <definedName name="Titles">#REF!</definedName>
    <definedName name="Titles_KU" localSheetId="2">#REF!</definedName>
    <definedName name="Titles_KU" localSheetId="3">#REF!</definedName>
    <definedName name="Titles_KU">#REF!</definedName>
    <definedName name="ttt" localSheetId="6">#REF!</definedName>
    <definedName name="ttt" localSheetId="2">#REF!</definedName>
    <definedName name="ttt" localSheetId="3">#REF!</definedName>
    <definedName name="ttt">#REF!</definedName>
    <definedName name="UpdateDate">[5]Input!$M$12</definedName>
    <definedName name="UpdateTime">[5]Input!$O$12</definedName>
    <definedName name="Variance" localSheetId="2">#REF!</definedName>
    <definedName name="Variance" localSheetId="3">#REF!</definedName>
    <definedName name="Variance">#REF!</definedName>
    <definedName name="VIEW1" localSheetId="2">#REF!</definedName>
    <definedName name="VIEW1" localSheetId="3">#REF!</definedName>
    <definedName name="VIEW1">#REF!</definedName>
    <definedName name="vol_rev_annual_ku" localSheetId="2">'[4]LGE Retail Margin'!#REF!</definedName>
    <definedName name="vol_rev_annual_ku" localSheetId="3">'[4]LGE Retail Margin'!#REF!</definedName>
    <definedName name="vol_rev_annual_ku">'[4]LGE Retail Margin'!#REF!</definedName>
    <definedName name="vol_rev_hide_ku_monthly" localSheetId="2">'[4]LGE Retail Margin'!#REF!</definedName>
    <definedName name="vol_rev_hide_ku_monthly" localSheetId="3">'[4]LGE Retail Margin'!#REF!</definedName>
    <definedName name="vol_rev_hide_ku_monthly">'[4]LGE Retail Margin'!#REF!</definedName>
    <definedName name="vol_rev_hide_lge_01" localSheetId="2">'[4]LGE Retail Margin'!#REF!</definedName>
    <definedName name="vol_rev_hide_lge_01" localSheetId="3">'[4]LGE Retail Margin'!#REF!</definedName>
    <definedName name="vol_rev_hide_lge_01">'[4]LGE Retail Margin'!#REF!</definedName>
    <definedName name="vol_rev_ku_monthly" localSheetId="2">'[4]LGE Retail Margin'!#REF!</definedName>
    <definedName name="vol_rev_ku_monthly" localSheetId="3">'[4]LGE Retail Margin'!#REF!</definedName>
    <definedName name="vol_rev_ku_monthly">'[4]LGE Retail Margin'!#REF!</definedName>
    <definedName name="volrev_data" localSheetId="2">'[4]LGE Retail Margin'!#REF!</definedName>
    <definedName name="volrev_data" localSheetId="3">'[4]LGE Retail Margin'!#REF!</definedName>
    <definedName name="volrev_data">'[4]LGE Retail Margin'!#REF!</definedName>
    <definedName name="YTD" localSheetId="6">#REF!</definedName>
    <definedName name="YTD" localSheetId="2">#REF!</definedName>
    <definedName name="YTD" localSheetId="3">#REF!</definedName>
    <definedName name="YTD">#REF!</definedName>
  </definedNames>
  <calcPr calcId="152511" calcOnSave="0"/>
</workbook>
</file>

<file path=xl/calcChain.xml><?xml version="1.0" encoding="utf-8"?>
<calcChain xmlns="http://schemas.openxmlformats.org/spreadsheetml/2006/main">
  <c r="F17" i="32" l="1"/>
  <c r="E17" i="32"/>
  <c r="F16" i="32"/>
  <c r="E16" i="32"/>
  <c r="AA1047" i="2" l="1"/>
  <c r="AB1047" i="2" s="1"/>
  <c r="AA1046" i="2"/>
  <c r="AB1046" i="2" s="1"/>
  <c r="F96" i="33" l="1"/>
  <c r="F95" i="33"/>
  <c r="F94" i="33"/>
  <c r="F77" i="33"/>
  <c r="F64" i="33"/>
  <c r="F63" i="33"/>
  <c r="F61" i="33"/>
  <c r="Z42" i="33"/>
  <c r="Y42" i="33"/>
  <c r="X42" i="33"/>
  <c r="Q24" i="33"/>
  <c r="O24" i="33"/>
  <c r="F2" i="33"/>
  <c r="G2" i="33" s="1"/>
  <c r="E2" i="33"/>
  <c r="F82" i="33" l="1"/>
  <c r="AA24" i="33"/>
  <c r="AB24" i="33" s="1"/>
  <c r="H2" i="33"/>
  <c r="I2" i="33" l="1"/>
  <c r="J2" i="33" l="1"/>
  <c r="K2" i="33" l="1"/>
  <c r="L2" i="33" l="1"/>
  <c r="M2" i="33" l="1"/>
  <c r="N2" i="33" l="1"/>
  <c r="O2" i="33" l="1"/>
  <c r="P2" i="33" l="1"/>
  <c r="Q2" i="33" l="1"/>
  <c r="R2" i="33" l="1"/>
  <c r="S2" i="33" l="1"/>
  <c r="T2" i="33" l="1"/>
  <c r="U2" i="33" l="1"/>
  <c r="V2" i="33" l="1"/>
  <c r="W2" i="33" l="1"/>
  <c r="X2" i="33" l="1"/>
  <c r="Y2" i="33" l="1"/>
  <c r="Z2" i="33" l="1"/>
  <c r="AA2" i="33" l="1"/>
  <c r="AB2" i="33" s="1"/>
  <c r="H1085" i="2" l="1"/>
  <c r="H1077" i="2"/>
  <c r="H1042" i="2"/>
  <c r="H1041" i="2"/>
  <c r="E49" i="31" l="1"/>
  <c r="G49" i="31" s="1"/>
  <c r="F101" i="1"/>
  <c r="N1085" i="2"/>
  <c r="N1077" i="2"/>
  <c r="N1013" i="2"/>
  <c r="E877" i="2"/>
  <c r="E943" i="2" s="1"/>
  <c r="N722" i="2"/>
  <c r="U1041" i="2"/>
  <c r="T1041" i="2"/>
  <c r="S1041" i="2"/>
  <c r="K1041" i="2"/>
  <c r="G1041" i="2"/>
  <c r="J1037" i="2"/>
  <c r="L1037" i="2"/>
  <c r="M1037" i="2"/>
  <c r="N1037" i="2"/>
  <c r="P1037" i="2"/>
  <c r="Q1037" i="2"/>
  <c r="R1037" i="2"/>
  <c r="A42" i="4"/>
  <c r="A65" i="4" s="1"/>
  <c r="A43" i="4"/>
  <c r="A66" i="4" s="1"/>
  <c r="A33" i="4"/>
  <c r="A56" i="4" s="1"/>
  <c r="A34" i="4"/>
  <c r="A57" i="4" s="1"/>
  <c r="A35" i="4"/>
  <c r="A58" i="4" s="1"/>
  <c r="A36" i="4"/>
  <c r="A59" i="4" s="1"/>
  <c r="A37" i="4"/>
  <c r="A60" i="4" s="1"/>
  <c r="A38" i="4"/>
  <c r="A61" i="4" s="1"/>
  <c r="A39" i="4"/>
  <c r="A62" i="4" s="1"/>
  <c r="A40" i="4"/>
  <c r="A63" i="4" s="1"/>
  <c r="A41" i="4"/>
  <c r="A64" i="4" s="1"/>
  <c r="A32" i="4"/>
  <c r="A55" i="4" s="1"/>
  <c r="AA770" i="2"/>
  <c r="R1085" i="2"/>
  <c r="Q1085" i="2"/>
  <c r="P1085" i="2"/>
  <c r="O1085" i="2"/>
  <c r="K1085" i="2"/>
  <c r="J1085" i="2"/>
  <c r="G1085" i="2"/>
  <c r="F35" i="5"/>
  <c r="E8" i="5"/>
  <c r="D8" i="5"/>
  <c r="G34" i="5"/>
  <c r="G32" i="5"/>
  <c r="T1012" i="2" s="1"/>
  <c r="G30" i="5"/>
  <c r="S1012" i="2" s="1"/>
  <c r="G28" i="5"/>
  <c r="R1012" i="2" s="1"/>
  <c r="G26" i="5"/>
  <c r="Q1012" i="2" s="1"/>
  <c r="G24" i="5"/>
  <c r="P1012" i="2" s="1"/>
  <c r="G22" i="5"/>
  <c r="O1012" i="2" s="1"/>
  <c r="G20" i="5"/>
  <c r="G12" i="5"/>
  <c r="G10" i="5"/>
  <c r="W617" i="1"/>
  <c r="V617" i="1"/>
  <c r="T617" i="1"/>
  <c r="U617" i="1"/>
  <c r="T615" i="1"/>
  <c r="V615" i="1"/>
  <c r="V616" i="1" s="1"/>
  <c r="W615" i="1"/>
  <c r="U615" i="1"/>
  <c r="U616" i="1" s="1"/>
  <c r="P624" i="1"/>
  <c r="O624" i="1"/>
  <c r="N624" i="1"/>
  <c r="P1112" i="2"/>
  <c r="P722" i="2" s="1"/>
  <c r="C22" i="7"/>
  <c r="B30" i="5"/>
  <c r="S1017" i="2" s="1"/>
  <c r="S1018" i="2" s="1"/>
  <c r="B34" i="5"/>
  <c r="B32" i="5"/>
  <c r="D34" i="8" s="1"/>
  <c r="E34" i="8" s="1"/>
  <c r="B28" i="5"/>
  <c r="B26" i="5"/>
  <c r="Q1017" i="2" s="1"/>
  <c r="Q1018" i="2" s="1"/>
  <c r="B24" i="5"/>
  <c r="D26" i="8" s="1"/>
  <c r="E26" i="8" s="1"/>
  <c r="B22" i="5"/>
  <c r="D24" i="8" s="1"/>
  <c r="E24" i="8" s="1"/>
  <c r="L22" i="5"/>
  <c r="O1041" i="2" s="1"/>
  <c r="K22" i="5"/>
  <c r="J22" i="5"/>
  <c r="O1052" i="2" s="1"/>
  <c r="H22" i="5"/>
  <c r="B20" i="5"/>
  <c r="D22" i="7" s="1"/>
  <c r="D18" i="5"/>
  <c r="G18" i="5" s="1"/>
  <c r="N1107" i="2" s="1"/>
  <c r="B18" i="5"/>
  <c r="L1018" i="2"/>
  <c r="D14" i="5"/>
  <c r="G14" i="5"/>
  <c r="J1012" i="2" s="1"/>
  <c r="B14" i="5"/>
  <c r="D16" i="7" s="1"/>
  <c r="E16" i="7" s="1"/>
  <c r="D16" i="5"/>
  <c r="G16" i="5" s="1"/>
  <c r="B16" i="5"/>
  <c r="K1017" i="2" s="1"/>
  <c r="K1018" i="2" s="1"/>
  <c r="C12" i="5"/>
  <c r="H1013" i="2" s="1"/>
  <c r="H49" i="24" s="1"/>
  <c r="B12" i="5"/>
  <c r="D14" i="7" s="1"/>
  <c r="E14" i="7" s="1"/>
  <c r="I1018" i="2"/>
  <c r="U1012" i="2"/>
  <c r="B10" i="5"/>
  <c r="H1017" i="2" s="1"/>
  <c r="H1018" i="2" s="1"/>
  <c r="B8" i="5"/>
  <c r="D6" i="11" s="1"/>
  <c r="C8" i="5"/>
  <c r="I8" i="5" s="1"/>
  <c r="T1052" i="2"/>
  <c r="N1052" i="2"/>
  <c r="L1052" i="2"/>
  <c r="T1059" i="2"/>
  <c r="I1059" i="2"/>
  <c r="H1059" i="2"/>
  <c r="G1052" i="2"/>
  <c r="G1059" i="2"/>
  <c r="T1042" i="2"/>
  <c r="G1042" i="2"/>
  <c r="J16" i="5"/>
  <c r="J14" i="5"/>
  <c r="J1052" i="2" s="1"/>
  <c r="K16" i="5"/>
  <c r="K14" i="5"/>
  <c r="F602" i="1"/>
  <c r="F572" i="1"/>
  <c r="F912" i="2"/>
  <c r="F973" i="2"/>
  <c r="F986" i="2" s="1"/>
  <c r="V962" i="2"/>
  <c r="Z875" i="2"/>
  <c r="Y875" i="2"/>
  <c r="X875" i="2"/>
  <c r="W875" i="2"/>
  <c r="V875" i="2"/>
  <c r="U875" i="2"/>
  <c r="T875" i="2"/>
  <c r="S875" i="2"/>
  <c r="R875" i="2"/>
  <c r="Q875" i="2"/>
  <c r="P875" i="2"/>
  <c r="O875" i="2"/>
  <c r="N875" i="2"/>
  <c r="M875" i="2"/>
  <c r="L875" i="2"/>
  <c r="K875" i="2"/>
  <c r="J875" i="2"/>
  <c r="I875" i="2"/>
  <c r="H875" i="2"/>
  <c r="G875" i="2"/>
  <c r="F875" i="2"/>
  <c r="Z864" i="2"/>
  <c r="Y864" i="2"/>
  <c r="X864" i="2"/>
  <c r="W864" i="2"/>
  <c r="V864" i="2"/>
  <c r="M793" i="2"/>
  <c r="M47" i="33" s="1"/>
  <c r="AA1090" i="2"/>
  <c r="AB1090" i="2" s="1"/>
  <c r="V1014" i="2"/>
  <c r="W1014" i="2"/>
  <c r="W1045" i="2" s="1"/>
  <c r="W1066" i="2" s="1"/>
  <c r="M1052" i="2"/>
  <c r="M1059" i="2"/>
  <c r="E35" i="5"/>
  <c r="D14" i="8"/>
  <c r="E14" i="8" s="1"/>
  <c r="O1013" i="2"/>
  <c r="F49" i="28" s="1"/>
  <c r="G1078" i="2"/>
  <c r="C36" i="7"/>
  <c r="C34" i="7"/>
  <c r="F128" i="1"/>
  <c r="S1052" i="2"/>
  <c r="Q1052" i="2"/>
  <c r="P1052" i="2"/>
  <c r="Q1059" i="2"/>
  <c r="U1042" i="2"/>
  <c r="S1042" i="2"/>
  <c r="I34" i="5"/>
  <c r="I32" i="5"/>
  <c r="I30" i="5"/>
  <c r="I28" i="5"/>
  <c r="I26" i="5"/>
  <c r="I24" i="5"/>
  <c r="I22" i="5"/>
  <c r="I20" i="5"/>
  <c r="I18" i="5"/>
  <c r="I16" i="5"/>
  <c r="I14" i="5"/>
  <c r="I35" i="5" s="1"/>
  <c r="I12" i="5"/>
  <c r="I10" i="5"/>
  <c r="V1088" i="2"/>
  <c r="W1088" i="2"/>
  <c r="X1088" i="2"/>
  <c r="Y1088" i="2"/>
  <c r="Z1088" i="2"/>
  <c r="E41" i="7"/>
  <c r="D34" i="7"/>
  <c r="D20" i="7"/>
  <c r="E20" i="7" s="1"/>
  <c r="D18" i="7"/>
  <c r="E18" i="7"/>
  <c r="D20" i="8"/>
  <c r="E20" i="8"/>
  <c r="D18" i="8"/>
  <c r="E18" i="8" s="1"/>
  <c r="E41" i="8"/>
  <c r="F792" i="2"/>
  <c r="F46" i="33" s="1"/>
  <c r="I630" i="1"/>
  <c r="J630" i="1"/>
  <c r="H630" i="1"/>
  <c r="F641" i="1"/>
  <c r="W616" i="1"/>
  <c r="O793" i="2"/>
  <c r="O47" i="33" s="1"/>
  <c r="O722" i="2"/>
  <c r="E2" i="2"/>
  <c r="F2" i="2" s="1"/>
  <c r="G2" i="2" s="1"/>
  <c r="G722" i="2"/>
  <c r="H722" i="2"/>
  <c r="I722" i="2"/>
  <c r="J722" i="2"/>
  <c r="K722" i="2"/>
  <c r="L722" i="2"/>
  <c r="M722" i="2"/>
  <c r="Q722" i="2"/>
  <c r="R722" i="2"/>
  <c r="S722" i="2"/>
  <c r="T722" i="2"/>
  <c r="U722" i="2"/>
  <c r="F787" i="2"/>
  <c r="F41" i="33" s="1"/>
  <c r="F788" i="2"/>
  <c r="F42" i="33" s="1"/>
  <c r="G793" i="2"/>
  <c r="G47" i="33" s="1"/>
  <c r="H793" i="2"/>
  <c r="H47" i="33" s="1"/>
  <c r="I793" i="2"/>
  <c r="I47" i="33" s="1"/>
  <c r="J793" i="2"/>
  <c r="J47" i="33" s="1"/>
  <c r="K793" i="2"/>
  <c r="K47" i="33" s="1"/>
  <c r="L793" i="2"/>
  <c r="L47" i="33" s="1"/>
  <c r="N793" i="2"/>
  <c r="N47" i="33" s="1"/>
  <c r="Q793" i="2"/>
  <c r="Q47" i="33" s="1"/>
  <c r="R793" i="2"/>
  <c r="R47" i="33" s="1"/>
  <c r="S793" i="2"/>
  <c r="S47" i="33" s="1"/>
  <c r="T793" i="2"/>
  <c r="T47" i="33" s="1"/>
  <c r="U793" i="2"/>
  <c r="U47" i="33" s="1"/>
  <c r="V793" i="2"/>
  <c r="V47" i="33" s="1"/>
  <c r="W793" i="2"/>
  <c r="W47" i="33" s="1"/>
  <c r="X793" i="2"/>
  <c r="X47" i="33" s="1"/>
  <c r="Y793" i="2"/>
  <c r="Y47" i="33" s="1"/>
  <c r="Z793" i="2"/>
  <c r="Z47" i="33" s="1"/>
  <c r="F828" i="2"/>
  <c r="F910" i="2" s="1"/>
  <c r="AA900" i="2"/>
  <c r="AB900" i="2" s="1"/>
  <c r="F932" i="2"/>
  <c r="Z956" i="2"/>
  <c r="G1013" i="2"/>
  <c r="D5" i="11" s="1"/>
  <c r="J1013" i="2"/>
  <c r="F49" i="27" s="1"/>
  <c r="K1013" i="2"/>
  <c r="F49" i="26" s="1"/>
  <c r="L1014" i="2"/>
  <c r="L1045" i="2" s="1"/>
  <c r="L1066" i="2" s="1"/>
  <c r="N1014" i="2"/>
  <c r="P1013" i="2"/>
  <c r="F49" i="31" s="1"/>
  <c r="Q1013" i="2"/>
  <c r="R1013" i="2"/>
  <c r="R1014" i="2" s="1"/>
  <c r="S1013" i="2"/>
  <c r="T1013" i="2"/>
  <c r="T1014" i="2" s="1"/>
  <c r="U1013" i="2"/>
  <c r="V1045" i="2"/>
  <c r="V1066" i="2" s="1"/>
  <c r="V1018" i="2"/>
  <c r="V1019" i="2" s="1"/>
  <c r="W1018" i="2"/>
  <c r="W1019" i="2" s="1"/>
  <c r="X1018" i="2"/>
  <c r="X1019" i="2" s="1"/>
  <c r="X1020" i="2" s="1"/>
  <c r="X1022" i="2" s="1"/>
  <c r="Y1018" i="2"/>
  <c r="Y1019" i="2" s="1"/>
  <c r="Y1020" i="2" s="1"/>
  <c r="Y1022" i="2" s="1"/>
  <c r="Z1018" i="2"/>
  <c r="Z1019" i="2" s="1"/>
  <c r="Z1020" i="2" s="1"/>
  <c r="Z1022" i="2" s="1"/>
  <c r="X1025" i="2"/>
  <c r="Y1025" i="2"/>
  <c r="Z1025" i="2"/>
  <c r="V1030" i="2"/>
  <c r="V1031" i="2" s="1"/>
  <c r="W1030" i="2"/>
  <c r="W1031" i="2" s="1"/>
  <c r="X1030" i="2"/>
  <c r="X1031" i="2" s="1"/>
  <c r="X1033" i="2" s="1"/>
  <c r="Y1030" i="2"/>
  <c r="Y1031" i="2" s="1"/>
  <c r="Y1033" i="2" s="1"/>
  <c r="Z1030" i="2"/>
  <c r="Z1031" i="2" s="1"/>
  <c r="Z1033" i="2" s="1"/>
  <c r="V1036" i="2"/>
  <c r="W1036" i="2"/>
  <c r="X1036" i="2"/>
  <c r="Y1036" i="2"/>
  <c r="Z1036" i="2"/>
  <c r="F1052" i="2"/>
  <c r="V1052" i="2"/>
  <c r="W1052" i="2"/>
  <c r="X1052" i="2"/>
  <c r="Y1052" i="2"/>
  <c r="Z1052" i="2"/>
  <c r="AA1054" i="2"/>
  <c r="AB1054" i="2" s="1"/>
  <c r="F1059" i="2"/>
  <c r="N1059" i="2"/>
  <c r="V1059" i="2"/>
  <c r="W1059" i="2"/>
  <c r="X1059" i="2"/>
  <c r="Y1059" i="2"/>
  <c r="Z1059" i="2"/>
  <c r="AA1061" i="2"/>
  <c r="AB1061" i="2" s="1"/>
  <c r="F1066" i="2"/>
  <c r="X1066" i="2"/>
  <c r="Y1066" i="2"/>
  <c r="Z1066" i="2"/>
  <c r="AA1068" i="2"/>
  <c r="AB1068" i="2" s="1"/>
  <c r="F1094" i="2"/>
  <c r="H1107" i="2"/>
  <c r="I1107" i="2"/>
  <c r="P1107" i="2"/>
  <c r="Q1107" i="2"/>
  <c r="U1107" i="2"/>
  <c r="F1079" i="2"/>
  <c r="AA1081" i="2"/>
  <c r="AB1081" i="2" s="1"/>
  <c r="AA1082" i="2"/>
  <c r="AB1082" i="2" s="1"/>
  <c r="AA1083" i="2"/>
  <c r="AB1083" i="2" s="1"/>
  <c r="AA1086" i="2"/>
  <c r="AB1086" i="2" s="1"/>
  <c r="D2" i="1"/>
  <c r="E2" i="1"/>
  <c r="F2" i="1" s="1"/>
  <c r="G2" i="1" s="1"/>
  <c r="H2" i="1" s="1"/>
  <c r="G15" i="1"/>
  <c r="F29" i="1"/>
  <c r="F46" i="1"/>
  <c r="F77" i="1"/>
  <c r="F94" i="1" s="1"/>
  <c r="F105" i="1"/>
  <c r="F114" i="1"/>
  <c r="F120" i="1"/>
  <c r="F136" i="1"/>
  <c r="F153" i="1"/>
  <c r="F162" i="1"/>
  <c r="F174" i="1"/>
  <c r="F183" i="1"/>
  <c r="F194" i="1"/>
  <c r="F204" i="1"/>
  <c r="F219" i="1"/>
  <c r="F239" i="1"/>
  <c r="G239" i="1"/>
  <c r="F257" i="1"/>
  <c r="G257" i="1"/>
  <c r="F271" i="1"/>
  <c r="G271" i="1"/>
  <c r="F289" i="1"/>
  <c r="G289" i="1"/>
  <c r="F304" i="1"/>
  <c r="G304" i="1"/>
  <c r="F329" i="1"/>
  <c r="G329" i="1"/>
  <c r="G333" i="1"/>
  <c r="F370" i="1"/>
  <c r="F379" i="1"/>
  <c r="F391" i="1"/>
  <c r="F400" i="1"/>
  <c r="F402" i="1" s="1"/>
  <c r="F413" i="1"/>
  <c r="F421" i="1"/>
  <c r="F423" i="1" s="1"/>
  <c r="F432" i="1"/>
  <c r="F448" i="1"/>
  <c r="G448" i="1"/>
  <c r="F463" i="1"/>
  <c r="G463" i="1"/>
  <c r="F482" i="1"/>
  <c r="G482" i="1"/>
  <c r="F497" i="1"/>
  <c r="G497" i="1"/>
  <c r="F512" i="1"/>
  <c r="G512" i="1"/>
  <c r="F536" i="1"/>
  <c r="G536" i="1"/>
  <c r="G540" i="1"/>
  <c r="F578" i="1"/>
  <c r="F586" i="1"/>
  <c r="F594" i="1"/>
  <c r="F606" i="1" s="1"/>
  <c r="G608" i="1"/>
  <c r="AF614" i="1"/>
  <c r="AG614" i="1" s="1"/>
  <c r="AF618" i="1"/>
  <c r="AG618" i="1" s="1"/>
  <c r="AF619" i="1"/>
  <c r="AG619" i="1" s="1"/>
  <c r="AF620" i="1"/>
  <c r="AG620" i="1" s="1"/>
  <c r="AF621" i="1"/>
  <c r="AG621" i="1" s="1"/>
  <c r="AF622" i="1"/>
  <c r="AG622" i="1" s="1"/>
  <c r="AF623" i="1"/>
  <c r="AG623" i="1" s="1"/>
  <c r="AF625" i="1"/>
  <c r="AG625" i="1" s="1"/>
  <c r="AF626" i="1"/>
  <c r="AG626" i="1" s="1"/>
  <c r="AF627" i="1"/>
  <c r="AG627" i="1" s="1"/>
  <c r="AF628" i="1"/>
  <c r="AG628" i="1" s="1"/>
  <c r="F629" i="1"/>
  <c r="F631" i="1"/>
  <c r="F632" i="1"/>
  <c r="F633" i="1"/>
  <c r="F634" i="1"/>
  <c r="F635" i="1"/>
  <c r="AF636" i="1"/>
  <c r="AG636" i="1" s="1"/>
  <c r="AF637" i="1"/>
  <c r="AG637" i="1" s="1"/>
  <c r="F638" i="1"/>
  <c r="G638" i="1"/>
  <c r="AF642" i="1"/>
  <c r="AG642" i="1" s="1"/>
  <c r="AF643" i="1"/>
  <c r="AG643" i="1" s="1"/>
  <c r="AF644" i="1"/>
  <c r="AG644" i="1" s="1"/>
  <c r="AF645" i="1"/>
  <c r="AG645" i="1" s="1"/>
  <c r="AF646" i="1"/>
  <c r="AG646" i="1" s="1"/>
  <c r="AA1087" i="2"/>
  <c r="AB1087" i="2" s="1"/>
  <c r="AA1084" i="2"/>
  <c r="AB1084" i="2" s="1"/>
  <c r="AA1077" i="2"/>
  <c r="AA1085" i="2"/>
  <c r="AB1085" i="2" s="1"/>
  <c r="H35" i="5"/>
  <c r="L35" i="5"/>
  <c r="K35" i="5"/>
  <c r="G774" i="2"/>
  <c r="G28" i="33" s="1"/>
  <c r="F15" i="1"/>
  <c r="H774" i="2"/>
  <c r="H28" i="33" s="1"/>
  <c r="I774" i="2"/>
  <c r="I28" i="33" s="1"/>
  <c r="J774" i="2"/>
  <c r="J28" i="33" s="1"/>
  <c r="K774" i="2"/>
  <c r="K28" i="33" s="1"/>
  <c r="L774" i="2"/>
  <c r="L28" i="33" s="1"/>
  <c r="M774" i="2"/>
  <c r="M28" i="33" s="1"/>
  <c r="N774" i="2"/>
  <c r="N28" i="33" s="1"/>
  <c r="O774" i="2"/>
  <c r="O28" i="33" s="1"/>
  <c r="P774" i="2"/>
  <c r="P28" i="33" s="1"/>
  <c r="Q774" i="2"/>
  <c r="Q28" i="33" s="1"/>
  <c r="R774" i="2"/>
  <c r="R28" i="33" s="1"/>
  <c r="S774" i="2"/>
  <c r="S28" i="33" s="1"/>
  <c r="T774" i="2"/>
  <c r="T28" i="33" s="1"/>
  <c r="U774" i="2"/>
  <c r="U28" i="33" s="1"/>
  <c r="V774" i="2"/>
  <c r="V28" i="33" s="1"/>
  <c r="W774" i="2"/>
  <c r="W28" i="33" s="1"/>
  <c r="X774" i="2"/>
  <c r="X28" i="33" s="1"/>
  <c r="Y774" i="2"/>
  <c r="Y28" i="33" s="1"/>
  <c r="Z774" i="2"/>
  <c r="Z28" i="33" s="1"/>
  <c r="AA1080" i="2"/>
  <c r="AB1080" i="2" s="1"/>
  <c r="M1018" i="2"/>
  <c r="M1019" i="2" s="1"/>
  <c r="P793" i="2"/>
  <c r="P47" i="33" s="1"/>
  <c r="W1033" i="2"/>
  <c r="W1034" i="2" s="1"/>
  <c r="W1035" i="2" s="1"/>
  <c r="T616" i="1"/>
  <c r="F1098" i="2"/>
  <c r="F1099" i="2" s="1"/>
  <c r="F1112" i="2"/>
  <c r="F722" i="2" s="1"/>
  <c r="R666" i="1"/>
  <c r="Z666" i="1"/>
  <c r="V666" i="1"/>
  <c r="AA666" i="1"/>
  <c r="W666" i="1"/>
  <c r="U666" i="1"/>
  <c r="E34" i="7"/>
  <c r="AB1077" i="2"/>
  <c r="D15" i="11"/>
  <c r="M1014" i="2"/>
  <c r="AA1078" i="2"/>
  <c r="AB1078" i="2" s="1"/>
  <c r="G801" i="2"/>
  <c r="G55" i="33" s="1"/>
  <c r="G799" i="2"/>
  <c r="G53" i="33" s="1"/>
  <c r="G765" i="2"/>
  <c r="G19" i="33" s="1"/>
  <c r="G763" i="2"/>
  <c r="G17" i="33" s="1"/>
  <c r="G762" i="2"/>
  <c r="G16" i="33" s="1"/>
  <c r="G769" i="2"/>
  <c r="G23" i="33" s="1"/>
  <c r="G802" i="2"/>
  <c r="D18" i="11"/>
  <c r="D28" i="11"/>
  <c r="G803" i="2"/>
  <c r="G57" i="33" s="1"/>
  <c r="H799" i="2"/>
  <c r="H53" i="33" s="1"/>
  <c r="H765" i="2"/>
  <c r="H19" i="33" s="1"/>
  <c r="H769" i="2"/>
  <c r="H23" i="33" s="1"/>
  <c r="H763" i="2"/>
  <c r="H17" i="33" s="1"/>
  <c r="H801" i="2"/>
  <c r="H55" i="33" s="1"/>
  <c r="H762" i="2"/>
  <c r="H16" i="33" s="1"/>
  <c r="H803" i="2"/>
  <c r="H57" i="33" s="1"/>
  <c r="H802" i="2"/>
  <c r="I803" i="2"/>
  <c r="I57" i="33" s="1"/>
  <c r="M1066" i="2"/>
  <c r="I763" i="2"/>
  <c r="I17" i="33" s="1"/>
  <c r="I762" i="2"/>
  <c r="I16" i="33" s="1"/>
  <c r="I802" i="2"/>
  <c r="I56" i="33" s="1"/>
  <c r="I769" i="2"/>
  <c r="I23" i="33" s="1"/>
  <c r="I765" i="2"/>
  <c r="I19" i="33" s="1"/>
  <c r="I799" i="2"/>
  <c r="I53" i="33" s="1"/>
  <c r="I801" i="2"/>
  <c r="I55" i="33" s="1"/>
  <c r="J769" i="2"/>
  <c r="J23" i="33" s="1"/>
  <c r="J762" i="2"/>
  <c r="J16" i="33" s="1"/>
  <c r="J801" i="2"/>
  <c r="J55" i="33" s="1"/>
  <c r="J802" i="2"/>
  <c r="J799" i="2"/>
  <c r="J53" i="33" s="1"/>
  <c r="J763" i="2"/>
  <c r="J17" i="33" s="1"/>
  <c r="J765" i="2"/>
  <c r="J19" i="33" s="1"/>
  <c r="J803" i="2"/>
  <c r="J57" i="33" s="1"/>
  <c r="K801" i="2"/>
  <c r="K55" i="33" s="1"/>
  <c r="K763" i="2"/>
  <c r="K17" i="33" s="1"/>
  <c r="K799" i="2"/>
  <c r="K53" i="33" s="1"/>
  <c r="K802" i="2"/>
  <c r="K765" i="2"/>
  <c r="K19" i="33" s="1"/>
  <c r="K769" i="2"/>
  <c r="K23" i="33" s="1"/>
  <c r="K762" i="2"/>
  <c r="K16" i="33" s="1"/>
  <c r="K803" i="2"/>
  <c r="K57" i="33" s="1"/>
  <c r="L799" i="2"/>
  <c r="L53" i="33" s="1"/>
  <c r="L765" i="2"/>
  <c r="L19" i="33" s="1"/>
  <c r="L762" i="2"/>
  <c r="L16" i="33" s="1"/>
  <c r="L801" i="2"/>
  <c r="L55" i="33" s="1"/>
  <c r="L769" i="2"/>
  <c r="L23" i="33" s="1"/>
  <c r="L802" i="2"/>
  <c r="L56" i="33" s="1"/>
  <c r="L763" i="2"/>
  <c r="L17" i="33" s="1"/>
  <c r="L803" i="2"/>
  <c r="L57" i="33" s="1"/>
  <c r="M801" i="2"/>
  <c r="M55" i="33" s="1"/>
  <c r="M769" i="2"/>
  <c r="M23" i="33" s="1"/>
  <c r="M762" i="2"/>
  <c r="M16" i="33" s="1"/>
  <c r="M763" i="2"/>
  <c r="M17" i="33" s="1"/>
  <c r="M802" i="2"/>
  <c r="M56" i="33" s="1"/>
  <c r="M799" i="2"/>
  <c r="M53" i="33" s="1"/>
  <c r="M765" i="2"/>
  <c r="M19" i="33" s="1"/>
  <c r="M803" i="2"/>
  <c r="M57" i="33" s="1"/>
  <c r="N762" i="2"/>
  <c r="N16" i="33" s="1"/>
  <c r="N763" i="2"/>
  <c r="N17" i="33" s="1"/>
  <c r="N802" i="2"/>
  <c r="N56" i="33" s="1"/>
  <c r="N769" i="2"/>
  <c r="N23" i="33" s="1"/>
  <c r="N799" i="2"/>
  <c r="N53" i="33" s="1"/>
  <c r="N765" i="2"/>
  <c r="N19" i="33" s="1"/>
  <c r="N801" i="2"/>
  <c r="N55" i="33" s="1"/>
  <c r="N803" i="2"/>
  <c r="N57" i="33" s="1"/>
  <c r="O801" i="2"/>
  <c r="O55" i="33" s="1"/>
  <c r="O763" i="2"/>
  <c r="O17" i="33" s="1"/>
  <c r="O765" i="2"/>
  <c r="O19" i="33" s="1"/>
  <c r="O762" i="2"/>
  <c r="O16" i="33" s="1"/>
  <c r="O769" i="2"/>
  <c r="O23" i="33" s="1"/>
  <c r="O799" i="2"/>
  <c r="O53" i="33" s="1"/>
  <c r="O802" i="2"/>
  <c r="O803" i="2"/>
  <c r="O57" i="33" s="1"/>
  <c r="P802" i="2"/>
  <c r="P801" i="2"/>
  <c r="P55" i="33" s="1"/>
  <c r="P765" i="2"/>
  <c r="P19" i="33" s="1"/>
  <c r="P762" i="2"/>
  <c r="P16" i="33" s="1"/>
  <c r="P763" i="2"/>
  <c r="P17" i="33" s="1"/>
  <c r="P799" i="2"/>
  <c r="P53" i="33" s="1"/>
  <c r="P769" i="2"/>
  <c r="P23" i="33" s="1"/>
  <c r="P803" i="2"/>
  <c r="P57" i="33" s="1"/>
  <c r="Q763" i="2"/>
  <c r="Q17" i="33" s="1"/>
  <c r="Q802" i="2"/>
  <c r="Q56" i="33" s="1"/>
  <c r="Q762" i="2"/>
  <c r="Q16" i="33" s="1"/>
  <c r="Q769" i="2"/>
  <c r="Q23" i="33" s="1"/>
  <c r="Q799" i="2"/>
  <c r="Q53" i="33" s="1"/>
  <c r="Q801" i="2"/>
  <c r="Q55" i="33" s="1"/>
  <c r="Q765" i="2"/>
  <c r="Q19" i="33" s="1"/>
  <c r="Q803" i="2"/>
  <c r="Q57" i="33" s="1"/>
  <c r="R801" i="2"/>
  <c r="R55" i="33" s="1"/>
  <c r="R765" i="2"/>
  <c r="R19" i="33" s="1"/>
  <c r="R769" i="2"/>
  <c r="R23" i="33" s="1"/>
  <c r="R802" i="2"/>
  <c r="R56" i="33" s="1"/>
  <c r="R799" i="2"/>
  <c r="R53" i="33" s="1"/>
  <c r="R762" i="2"/>
  <c r="R16" i="33" s="1"/>
  <c r="R763" i="2"/>
  <c r="R17" i="33" s="1"/>
  <c r="R803" i="2"/>
  <c r="R57" i="33" s="1"/>
  <c r="S802" i="2"/>
  <c r="S56" i="33" s="1"/>
  <c r="S801" i="2"/>
  <c r="S55" i="33" s="1"/>
  <c r="S762" i="2"/>
  <c r="S16" i="33" s="1"/>
  <c r="S765" i="2"/>
  <c r="S19" i="33" s="1"/>
  <c r="S769" i="2"/>
  <c r="S23" i="33" s="1"/>
  <c r="S799" i="2"/>
  <c r="S53" i="33" s="1"/>
  <c r="S763" i="2"/>
  <c r="S17" i="33" s="1"/>
  <c r="S803" i="2"/>
  <c r="S57" i="33" s="1"/>
  <c r="T765" i="2"/>
  <c r="T19" i="33" s="1"/>
  <c r="T769" i="2"/>
  <c r="T23" i="33" s="1"/>
  <c r="T803" i="2"/>
  <c r="T57" i="33" s="1"/>
  <c r="T763" i="2"/>
  <c r="T17" i="33" s="1"/>
  <c r="T762" i="2"/>
  <c r="T16" i="33" s="1"/>
  <c r="T801" i="2"/>
  <c r="T55" i="33" s="1"/>
  <c r="T799" i="2"/>
  <c r="T53" i="33" s="1"/>
  <c r="T802" i="2"/>
  <c r="T56" i="33" s="1"/>
  <c r="U802" i="2"/>
  <c r="U56" i="33" s="1"/>
  <c r="U801" i="2"/>
  <c r="U55" i="33" s="1"/>
  <c r="U765" i="2"/>
  <c r="U19" i="33" s="1"/>
  <c r="U803" i="2"/>
  <c r="U57" i="33" s="1"/>
  <c r="U799" i="2"/>
  <c r="U53" i="33" s="1"/>
  <c r="U769" i="2"/>
  <c r="U23" i="33" s="1"/>
  <c r="U763" i="2"/>
  <c r="U17" i="33" s="1"/>
  <c r="U762" i="2"/>
  <c r="U16" i="33" s="1"/>
  <c r="V802" i="2"/>
  <c r="V56" i="33" s="1"/>
  <c r="V799" i="2"/>
  <c r="V53" i="33" s="1"/>
  <c r="V769" i="2"/>
  <c r="V23" i="33" s="1"/>
  <c r="V763" i="2"/>
  <c r="V17" i="33" s="1"/>
  <c r="V765" i="2"/>
  <c r="V19" i="33" s="1"/>
  <c r="V762" i="2"/>
  <c r="V16" i="33" s="1"/>
  <c r="V803" i="2"/>
  <c r="V57" i="33" s="1"/>
  <c r="V801" i="2"/>
  <c r="V55" i="33" s="1"/>
  <c r="W762" i="2"/>
  <c r="W16" i="33" s="1"/>
  <c r="W769" i="2"/>
  <c r="W23" i="33" s="1"/>
  <c r="W799" i="2"/>
  <c r="W53" i="33" s="1"/>
  <c r="W763" i="2"/>
  <c r="W17" i="33" s="1"/>
  <c r="W765" i="2"/>
  <c r="W19" i="33" s="1"/>
  <c r="W803" i="2"/>
  <c r="W57" i="33" s="1"/>
  <c r="W802" i="2"/>
  <c r="W56" i="33" s="1"/>
  <c r="W801" i="2"/>
  <c r="W55" i="33" s="1"/>
  <c r="X802" i="2"/>
  <c r="X56" i="33" s="1"/>
  <c r="X801" i="2"/>
  <c r="X55" i="33" s="1"/>
  <c r="X769" i="2"/>
  <c r="X23" i="33" s="1"/>
  <c r="X763" i="2"/>
  <c r="X17" i="33" s="1"/>
  <c r="X799" i="2"/>
  <c r="X53" i="33" s="1"/>
  <c r="X803" i="2"/>
  <c r="X57" i="33" s="1"/>
  <c r="X762" i="2"/>
  <c r="X16" i="33" s="1"/>
  <c r="X765" i="2"/>
  <c r="X19" i="33" s="1"/>
  <c r="Y802" i="2"/>
  <c r="Y56" i="33" s="1"/>
  <c r="Y769" i="2"/>
  <c r="Y23" i="33" s="1"/>
  <c r="Y762" i="2"/>
  <c r="Y16" i="33" s="1"/>
  <c r="Y765" i="2"/>
  <c r="Y19" i="33" s="1"/>
  <c r="Y799" i="2"/>
  <c r="Y53" i="33" s="1"/>
  <c r="Y803" i="2"/>
  <c r="Y57" i="33" s="1"/>
  <c r="Y763" i="2"/>
  <c r="Y17" i="33" s="1"/>
  <c r="Y801" i="2"/>
  <c r="Y55" i="33" s="1"/>
  <c r="Z765" i="2"/>
  <c r="Z19" i="33" s="1"/>
  <c r="Z799" i="2"/>
  <c r="Z53" i="33" s="1"/>
  <c r="Z801" i="2"/>
  <c r="Z55" i="33" s="1"/>
  <c r="Z762" i="2"/>
  <c r="Z16" i="33" s="1"/>
  <c r="Z802" i="2"/>
  <c r="Z56" i="33" s="1"/>
  <c r="Z769" i="2"/>
  <c r="Z23" i="33" s="1"/>
  <c r="Z803" i="2"/>
  <c r="Z57" i="33" s="1"/>
  <c r="Z763" i="2"/>
  <c r="Z17" i="33" s="1"/>
  <c r="H1014" i="2"/>
  <c r="H701" i="2" s="1"/>
  <c r="P1059" i="2"/>
  <c r="R1059" i="2"/>
  <c r="U1059" i="2"/>
  <c r="E49" i="14"/>
  <c r="G1014" i="2"/>
  <c r="G761" i="2" s="1"/>
  <c r="G15" i="33" s="1"/>
  <c r="H49" i="14"/>
  <c r="AB770" i="2"/>
  <c r="H131" i="1"/>
  <c r="H286" i="1"/>
  <c r="H410" i="1"/>
  <c r="H508" i="1"/>
  <c r="H170" i="1"/>
  <c r="H376" i="1"/>
  <c r="H509" i="1"/>
  <c r="H171" i="1"/>
  <c r="H37" i="1"/>
  <c r="H148" i="1"/>
  <c r="H293" i="1"/>
  <c r="H417" i="1"/>
  <c r="H640" i="1"/>
  <c r="H178" i="1"/>
  <c r="H302" i="1"/>
  <c r="H411" i="1"/>
  <c r="H581" i="1"/>
  <c r="H179" i="1"/>
  <c r="H160" i="1"/>
  <c r="H297" i="1"/>
  <c r="H500" i="1"/>
  <c r="H191" i="1"/>
  <c r="H363" i="1"/>
  <c r="H418" i="1"/>
  <c r="H39" i="1"/>
  <c r="H150" i="1"/>
  <c r="H251" i="1"/>
  <c r="H169" i="1"/>
  <c r="H301" i="1"/>
  <c r="H458" i="1"/>
  <c r="H42" i="1"/>
  <c r="H157" i="1"/>
  <c r="H294" i="1"/>
  <c r="H181" i="1"/>
  <c r="H367" i="1"/>
  <c r="H491" i="1"/>
  <c r="H73" i="1"/>
  <c r="H298" i="1"/>
  <c r="H407" i="1"/>
  <c r="H63" i="1"/>
  <c r="H215" i="1"/>
  <c r="H475" i="1"/>
  <c r="H190" i="1"/>
  <c r="H375" i="1"/>
  <c r="H495" i="1"/>
  <c r="H113" i="1"/>
  <c r="H283" i="1"/>
  <c r="H385" i="1"/>
  <c r="H492" i="1"/>
  <c r="H145" i="1"/>
  <c r="H41" i="1"/>
  <c r="H457" i="1" s="1"/>
  <c r="H199" i="1"/>
  <c r="H388" i="1"/>
  <c r="H38" i="1"/>
  <c r="H476" i="1" s="1"/>
  <c r="H149" i="1"/>
  <c r="H287" i="1"/>
  <c r="H389" i="1"/>
  <c r="H501" i="1"/>
  <c r="H266" i="1"/>
  <c r="H192" i="1"/>
  <c r="H72" i="1"/>
  <c r="H217" i="1"/>
  <c r="H396" i="1"/>
  <c r="H504" i="1"/>
  <c r="H459" i="1"/>
  <c r="H200" i="1"/>
  <c r="H368" i="1"/>
  <c r="H429" i="1"/>
  <c r="H43" i="1"/>
  <c r="H249" i="1" s="1"/>
  <c r="H158" i="1"/>
  <c r="D30" i="8"/>
  <c r="E30" i="8" s="1"/>
  <c r="R1017" i="2"/>
  <c r="R1018" i="2" s="1"/>
  <c r="R1029" i="2" s="1"/>
  <c r="R1036" i="2" s="1"/>
  <c r="U1017" i="2"/>
  <c r="U1018" i="2" s="1"/>
  <c r="U1029" i="2" s="1"/>
  <c r="D36" i="7"/>
  <c r="E36" i="7" s="1"/>
  <c r="P1017" i="2"/>
  <c r="P1018" i="2" s="1"/>
  <c r="P1029" i="2" s="1"/>
  <c r="D30" i="7"/>
  <c r="D36" i="8"/>
  <c r="E36" i="8" s="1"/>
  <c r="D35" i="5"/>
  <c r="Q1014" i="2"/>
  <c r="Q1045" i="2" s="1"/>
  <c r="Q1066" i="2" s="1"/>
  <c r="G49" i="14"/>
  <c r="H1052" i="2"/>
  <c r="D32" i="7"/>
  <c r="E32" i="7" s="1"/>
  <c r="D10" i="11"/>
  <c r="D26" i="7"/>
  <c r="E26" i="7" s="1"/>
  <c r="C28" i="7"/>
  <c r="C30" i="7" s="1"/>
  <c r="E30" i="7" s="1"/>
  <c r="E22" i="7"/>
  <c r="D32" i="8"/>
  <c r="E32" i="8" s="1"/>
  <c r="G8" i="5"/>
  <c r="G1012" i="2" s="1"/>
  <c r="O1017" i="2"/>
  <c r="O1018" i="2" s="1"/>
  <c r="O1029" i="2" s="1"/>
  <c r="T1017" i="2"/>
  <c r="T1018" i="2" s="1"/>
  <c r="G1107" i="2"/>
  <c r="H267" i="1"/>
  <c r="H477" i="1"/>
  <c r="H265" i="1"/>
  <c r="H455" i="1"/>
  <c r="H248" i="1"/>
  <c r="H247" i="1"/>
  <c r="H638" i="1"/>
  <c r="H121" i="1" s="1"/>
  <c r="H454" i="1"/>
  <c r="H264" i="1"/>
  <c r="N1045" i="2"/>
  <c r="N1066" i="2" s="1"/>
  <c r="T1045" i="2"/>
  <c r="T1066" i="2" s="1"/>
  <c r="R1045" i="2"/>
  <c r="R1066" i="2" s="1"/>
  <c r="K1014" i="2"/>
  <c r="K1045" i="2" s="1"/>
  <c r="K1066" i="2" s="1"/>
  <c r="F49" i="14"/>
  <c r="I1029" i="2"/>
  <c r="I1036" i="2" s="1"/>
  <c r="I1019" i="2"/>
  <c r="I1023" i="2" s="1"/>
  <c r="I1024" i="2" s="1"/>
  <c r="L1029" i="2"/>
  <c r="L1030" i="2" s="1"/>
  <c r="L1019" i="2"/>
  <c r="V1022" i="2"/>
  <c r="V1023" i="2" s="1"/>
  <c r="V1020" i="2"/>
  <c r="G1008" i="2"/>
  <c r="G798" i="2"/>
  <c r="G52" i="33" s="1"/>
  <c r="H2" i="2"/>
  <c r="G703" i="2"/>
  <c r="G766" i="2"/>
  <c r="G20" i="33" s="1"/>
  <c r="G704" i="2"/>
  <c r="G764" i="2"/>
  <c r="G18" i="33" s="1"/>
  <c r="W1022" i="2"/>
  <c r="W1020" i="2"/>
  <c r="P1110" i="2"/>
  <c r="F1110" i="2" s="1"/>
  <c r="H702" i="2"/>
  <c r="J1059" i="2"/>
  <c r="D17" i="11"/>
  <c r="D19" i="11" s="1"/>
  <c r="D21" i="11" s="1"/>
  <c r="D7" i="11"/>
  <c r="S1019" i="2"/>
  <c r="S1022" i="2" s="1"/>
  <c r="S1029" i="2"/>
  <c r="S1030" i="2" s="1"/>
  <c r="S1031" i="2" s="1"/>
  <c r="S1021" i="2"/>
  <c r="AA1021" i="2" s="1"/>
  <c r="AB1021" i="2" s="1"/>
  <c r="H700" i="2"/>
  <c r="H1045" i="2"/>
  <c r="H1066" i="2" s="1"/>
  <c r="L1059" i="2"/>
  <c r="U1014" i="2"/>
  <c r="U1045" i="2" s="1"/>
  <c r="U1066" i="2" s="1"/>
  <c r="S1014" i="2"/>
  <c r="S1045" i="2" s="1"/>
  <c r="S1066" i="2" s="1"/>
  <c r="I1014" i="2"/>
  <c r="I1045" i="2" s="1"/>
  <c r="I1066" i="2" s="1"/>
  <c r="O1059" i="2"/>
  <c r="S1059" i="2"/>
  <c r="R1052" i="2"/>
  <c r="U1052" i="2"/>
  <c r="AA1013" i="2"/>
  <c r="AB1013" i="2" s="1"/>
  <c r="D3" i="11"/>
  <c r="I1052" i="2"/>
  <c r="I1020" i="2"/>
  <c r="I1009" i="2" s="1"/>
  <c r="L1023" i="2"/>
  <c r="L1020" i="2"/>
  <c r="L1022" i="2"/>
  <c r="L1025" i="2" s="1"/>
  <c r="W1025" i="2"/>
  <c r="W1023" i="2"/>
  <c r="W1024" i="2" s="1"/>
  <c r="H1008" i="2"/>
  <c r="H764" i="2"/>
  <c r="H18" i="33" s="1"/>
  <c r="H1097" i="2"/>
  <c r="H768" i="2"/>
  <c r="H22" i="33" s="1"/>
  <c r="H798" i="2"/>
  <c r="H52" i="33" s="1"/>
  <c r="I2" i="2"/>
  <c r="I984" i="2" s="1"/>
  <c r="H1002" i="2"/>
  <c r="H698" i="2" s="1"/>
  <c r="H766" i="2"/>
  <c r="H20" i="33" s="1"/>
  <c r="H704" i="2"/>
  <c r="H703" i="2"/>
  <c r="H797" i="2"/>
  <c r="H51" i="33" s="1"/>
  <c r="H761" i="2"/>
  <c r="H15" i="33" s="1"/>
  <c r="H800" i="2"/>
  <c r="H54" i="33" s="1"/>
  <c r="D27" i="11"/>
  <c r="D29" i="11" s="1"/>
  <c r="I702" i="2"/>
  <c r="I700" i="2"/>
  <c r="I759" i="2"/>
  <c r="I13" i="33" s="1"/>
  <c r="I703" i="2"/>
  <c r="I798" i="2"/>
  <c r="I52" i="33" s="1"/>
  <c r="E49" i="28"/>
  <c r="G49" i="28" s="1"/>
  <c r="H49" i="28" s="1"/>
  <c r="E49" i="27"/>
  <c r="G49" i="27" s="1"/>
  <c r="H49" i="27" s="1"/>
  <c r="E49" i="26"/>
  <c r="G49" i="26" s="1"/>
  <c r="H49" i="26" s="1"/>
  <c r="H49" i="31"/>
  <c r="G1002" i="2" l="1"/>
  <c r="G698" i="2" s="1"/>
  <c r="G700" i="2"/>
  <c r="V1025" i="2"/>
  <c r="G702" i="2"/>
  <c r="G768" i="2"/>
  <c r="G22" i="33" s="1"/>
  <c r="G1097" i="2"/>
  <c r="G1045" i="2"/>
  <c r="G1066" i="2" s="1"/>
  <c r="G701" i="2"/>
  <c r="G797" i="2"/>
  <c r="G51" i="33" s="1"/>
  <c r="G800" i="2"/>
  <c r="G54" i="33" s="1"/>
  <c r="AA1088" i="2"/>
  <c r="AB1088" i="2" s="1"/>
  <c r="I1022" i="2"/>
  <c r="I1025" i="2" s="1"/>
  <c r="L1033" i="2"/>
  <c r="L1031" i="2"/>
  <c r="L1034" i="2"/>
  <c r="AA47" i="33"/>
  <c r="L1036" i="2"/>
  <c r="AA803" i="2"/>
  <c r="AB803" i="2" s="1"/>
  <c r="AA53" i="33"/>
  <c r="AB53" i="33" s="1"/>
  <c r="AA28" i="33"/>
  <c r="AB28" i="33" s="1"/>
  <c r="AA55" i="33"/>
  <c r="AB55" i="33" s="1"/>
  <c r="D36" i="26"/>
  <c r="K56" i="33"/>
  <c r="D36" i="27"/>
  <c r="J56" i="33"/>
  <c r="D36" i="14"/>
  <c r="G56" i="33"/>
  <c r="AA23" i="33"/>
  <c r="AB23" i="33" s="1"/>
  <c r="D36" i="31"/>
  <c r="P56" i="33"/>
  <c r="AA16" i="33"/>
  <c r="AB16" i="33" s="1"/>
  <c r="AA17" i="33"/>
  <c r="AB17" i="33" s="1"/>
  <c r="D36" i="28"/>
  <c r="O56" i="33"/>
  <c r="D36" i="24"/>
  <c r="H56" i="33"/>
  <c r="AA57" i="33"/>
  <c r="AB57" i="33" s="1"/>
  <c r="AA19" i="33"/>
  <c r="AB19" i="33" s="1"/>
  <c r="S1033" i="2"/>
  <c r="S1034" i="2" s="1"/>
  <c r="S1035" i="2" s="1"/>
  <c r="AA802" i="2"/>
  <c r="AB802" i="2" s="1"/>
  <c r="AA722" i="2"/>
  <c r="AA875" i="2"/>
  <c r="AB875" i="2" s="1"/>
  <c r="AA763" i="2"/>
  <c r="AB763" i="2" s="1"/>
  <c r="AA801" i="2"/>
  <c r="AB801" i="2" s="1"/>
  <c r="D43" i="14"/>
  <c r="F43" i="14" s="1"/>
  <c r="K43" i="14" s="1"/>
  <c r="L43" i="14" s="1"/>
  <c r="AA799" i="2"/>
  <c r="AB799" i="2" s="1"/>
  <c r="AA765" i="2"/>
  <c r="AB765" i="2" s="1"/>
  <c r="AA769" i="2"/>
  <c r="AB769" i="2" s="1"/>
  <c r="AA762" i="2"/>
  <c r="AB762" i="2" s="1"/>
  <c r="D43" i="24"/>
  <c r="F43" i="24" s="1"/>
  <c r="K43" i="24" s="1"/>
  <c r="L43" i="24" s="1"/>
  <c r="AA1042" i="2"/>
  <c r="AB1042" i="2" s="1"/>
  <c r="AA1040" i="2"/>
  <c r="AB1040" i="2" s="1"/>
  <c r="K1059" i="2"/>
  <c r="AA1043" i="2"/>
  <c r="AB1043" i="2" s="1"/>
  <c r="H1019" i="2"/>
  <c r="H1029" i="2"/>
  <c r="G984" i="2"/>
  <c r="G771" i="2"/>
  <c r="G25" i="33" s="1"/>
  <c r="G707" i="2"/>
  <c r="G759" i="2"/>
  <c r="G13" i="33" s="1"/>
  <c r="G760" i="2"/>
  <c r="G14" i="33" s="1"/>
  <c r="R1019" i="2"/>
  <c r="R1022" i="2" s="1"/>
  <c r="F48" i="1"/>
  <c r="D10" i="7"/>
  <c r="E10" i="7" s="1"/>
  <c r="AA793" i="2"/>
  <c r="F484" i="1"/>
  <c r="F486" i="1" s="1"/>
  <c r="R1107" i="2"/>
  <c r="S1107" i="2"/>
  <c r="AA1044" i="2"/>
  <c r="AB1044" i="2" s="1"/>
  <c r="S1020" i="2"/>
  <c r="H250" i="1"/>
  <c r="V1033" i="2"/>
  <c r="V1034" i="2" s="1"/>
  <c r="AF615" i="1"/>
  <c r="AG615" i="1" s="1"/>
  <c r="B35" i="5"/>
  <c r="D10" i="8"/>
  <c r="E10" i="8" s="1"/>
  <c r="D9" i="11"/>
  <c r="D11" i="11" s="1"/>
  <c r="G273" i="1"/>
  <c r="G275" i="1" s="1"/>
  <c r="G1017" i="2"/>
  <c r="G1018" i="2" s="1"/>
  <c r="F1101" i="2"/>
  <c r="AF630" i="1"/>
  <c r="AG630" i="1" s="1"/>
  <c r="D34" i="24"/>
  <c r="F34" i="24" s="1"/>
  <c r="K34" i="24" s="1"/>
  <c r="L34" i="24" s="1"/>
  <c r="F941" i="2"/>
  <c r="F982" i="2"/>
  <c r="I49" i="31"/>
  <c r="P1030" i="2"/>
  <c r="S1025" i="2"/>
  <c r="S1026" i="2" s="1"/>
  <c r="S1037" i="2" s="1"/>
  <c r="S1024" i="2"/>
  <c r="S1023" i="2"/>
  <c r="T1029" i="2"/>
  <c r="T1019" i="2"/>
  <c r="I1010" i="2"/>
  <c r="J2" i="2"/>
  <c r="I704" i="2"/>
  <c r="I707" i="2"/>
  <c r="S1036" i="2"/>
  <c r="I701" i="2"/>
  <c r="I1097" i="2"/>
  <c r="G772" i="2"/>
  <c r="G26" i="33" s="1"/>
  <c r="I772" i="2"/>
  <c r="I26" i="33" s="1"/>
  <c r="I771" i="2"/>
  <c r="I25" i="33" s="1"/>
  <c r="I1008" i="2"/>
  <c r="I800" i="2"/>
  <c r="I54" i="33" s="1"/>
  <c r="I761" i="2"/>
  <c r="I15" i="33" s="1"/>
  <c r="P1019" i="2"/>
  <c r="R1030" i="2"/>
  <c r="G901" i="2"/>
  <c r="O1019" i="2"/>
  <c r="I901" i="2"/>
  <c r="I912" i="2" s="1"/>
  <c r="I766" i="2"/>
  <c r="I20" i="33" s="1"/>
  <c r="I760" i="2"/>
  <c r="I14" i="33" s="1"/>
  <c r="I764" i="2"/>
  <c r="I18" i="33" s="1"/>
  <c r="I797" i="2"/>
  <c r="I51" i="33" s="1"/>
  <c r="I1002" i="2"/>
  <c r="I698" i="2" s="1"/>
  <c r="I768" i="2"/>
  <c r="I22" i="33" s="1"/>
  <c r="I1030" i="2"/>
  <c r="M1029" i="2"/>
  <c r="AA774" i="2"/>
  <c r="AB774" i="2" s="1"/>
  <c r="H479" i="1"/>
  <c r="H456" i="1"/>
  <c r="H268" i="1"/>
  <c r="H478" i="1"/>
  <c r="F67" i="1"/>
  <c r="F93" i="1" s="1"/>
  <c r="F96" i="1" s="1"/>
  <c r="F107" i="1" s="1"/>
  <c r="F138" i="1" s="1"/>
  <c r="S1032" i="2"/>
  <c r="AA1032" i="2" s="1"/>
  <c r="AB1032" i="2" s="1"/>
  <c r="F185" i="1"/>
  <c r="F164" i="1"/>
  <c r="M1023" i="2"/>
  <c r="M1020" i="2"/>
  <c r="M1022" i="2"/>
  <c r="M1025" i="2" s="1"/>
  <c r="Q1019" i="2"/>
  <c r="Q1022" i="2" s="1"/>
  <c r="Q1025" i="2" s="1"/>
  <c r="Q1029" i="2"/>
  <c r="I1026" i="2"/>
  <c r="I1005" i="2"/>
  <c r="R1025" i="2"/>
  <c r="R1023" i="2"/>
  <c r="F793" i="2"/>
  <c r="F723" i="2"/>
  <c r="F794" i="2" s="1"/>
  <c r="F48" i="33" s="1"/>
  <c r="K1107" i="2"/>
  <c r="K1012" i="2"/>
  <c r="G35" i="5"/>
  <c r="AB722" i="2"/>
  <c r="F381" i="1"/>
  <c r="F425" i="1" s="1"/>
  <c r="F488" i="1" s="1"/>
  <c r="F273" i="1"/>
  <c r="F275" i="1" s="1"/>
  <c r="D28" i="8"/>
  <c r="E28" i="8" s="1"/>
  <c r="AF624" i="1"/>
  <c r="AG624" i="1" s="1"/>
  <c r="AF616" i="1"/>
  <c r="AG616" i="1" s="1"/>
  <c r="AF617" i="1"/>
  <c r="AG617" i="1" s="1"/>
  <c r="R1020" i="2"/>
  <c r="G484" i="1"/>
  <c r="G486" i="1" s="1"/>
  <c r="G488" i="1" s="1"/>
  <c r="F206" i="1"/>
  <c r="N1017" i="2"/>
  <c r="N1018" i="2" s="1"/>
  <c r="D24" i="7"/>
  <c r="E24" i="7" s="1"/>
  <c r="D28" i="7"/>
  <c r="E28" i="7" s="1"/>
  <c r="I983" i="2"/>
  <c r="K1052" i="2"/>
  <c r="AA1052" i="2" s="1"/>
  <c r="AB1052" i="2" s="1"/>
  <c r="G277" i="1"/>
  <c r="G306" i="1"/>
  <c r="H505" i="1"/>
  <c r="H299" i="1"/>
  <c r="H398" i="1"/>
  <c r="H493" i="1"/>
  <c r="H36" i="1"/>
  <c r="H262" i="1" s="1"/>
  <c r="H40" i="1"/>
  <c r="H146" i="1"/>
  <c r="H172" i="1"/>
  <c r="H216" i="1"/>
  <c r="H300" i="1"/>
  <c r="H395" i="1"/>
  <c r="H503" i="1"/>
  <c r="H147" i="1"/>
  <c r="I2" i="1"/>
  <c r="H295" i="1"/>
  <c r="H364" i="1"/>
  <c r="H408" i="1"/>
  <c r="H502" i="1"/>
  <c r="H44" i="1"/>
  <c r="H151" i="1"/>
  <c r="H180" i="1"/>
  <c r="H285" i="1"/>
  <c r="H366" i="1"/>
  <c r="H409" i="1"/>
  <c r="H507" i="1"/>
  <c r="H365" i="1"/>
  <c r="H397" i="1"/>
  <c r="H201" i="1"/>
  <c r="H377" i="1"/>
  <c r="H419" i="1"/>
  <c r="H506" i="1"/>
  <c r="H64" i="1"/>
  <c r="H159" i="1"/>
  <c r="H189" i="1"/>
  <c r="H292" i="1"/>
  <c r="H374" i="1"/>
  <c r="H416" i="1"/>
  <c r="H589" i="1"/>
  <c r="H19" i="1"/>
  <c r="H33" i="1"/>
  <c r="H440" i="1" s="1"/>
  <c r="H23" i="1"/>
  <c r="H284" i="1"/>
  <c r="H386" i="1"/>
  <c r="H430" i="1"/>
  <c r="H510" i="1"/>
  <c r="H99" i="1"/>
  <c r="H168" i="1"/>
  <c r="H202" i="1"/>
  <c r="H296" i="1"/>
  <c r="H387" i="1"/>
  <c r="H494" i="1"/>
  <c r="H639" i="1"/>
  <c r="H27" i="1"/>
  <c r="H229" i="1"/>
  <c r="H438" i="1"/>
  <c r="H132" i="1"/>
  <c r="H443" i="1"/>
  <c r="H441" i="1"/>
  <c r="H572" i="1"/>
  <c r="H453" i="1"/>
  <c r="H474" i="1"/>
  <c r="J1017" i="2"/>
  <c r="D22" i="8"/>
  <c r="E22" i="8" s="1"/>
  <c r="N1012" i="2"/>
  <c r="E49" i="24"/>
  <c r="G49" i="24"/>
  <c r="J35" i="5"/>
  <c r="T1107" i="2"/>
  <c r="J1107" i="2"/>
  <c r="D25" i="11"/>
  <c r="D31" i="11" s="1"/>
  <c r="P1014" i="2"/>
  <c r="J1014" i="2"/>
  <c r="C35" i="5"/>
  <c r="D12" i="8"/>
  <c r="E12" i="8" s="1"/>
  <c r="D16" i="8"/>
  <c r="E16" i="8" s="1"/>
  <c r="D12" i="7"/>
  <c r="E12" i="7" s="1"/>
  <c r="E38" i="7" s="1"/>
  <c r="O1107" i="2"/>
  <c r="O1014" i="2"/>
  <c r="AA1059" i="2"/>
  <c r="AB1059" i="2" s="1"/>
  <c r="H1012" i="2"/>
  <c r="AA1041" i="2"/>
  <c r="AB1041" i="2" s="1"/>
  <c r="F49" i="24"/>
  <c r="J49" i="28"/>
  <c r="O1030" i="2"/>
  <c r="I49" i="28"/>
  <c r="O1036" i="2"/>
  <c r="K1019" i="2"/>
  <c r="K1029" i="2"/>
  <c r="U1036" i="2"/>
  <c r="U1030" i="2"/>
  <c r="J49" i="31"/>
  <c r="U1019" i="2"/>
  <c r="Q1020" i="2"/>
  <c r="D34" i="14"/>
  <c r="F34" i="14" s="1"/>
  <c r="K34" i="14" s="1"/>
  <c r="L34" i="14" s="1"/>
  <c r="I1037" i="2"/>
  <c r="H1023" i="2"/>
  <c r="H1022" i="2"/>
  <c r="H1025" i="2" s="1"/>
  <c r="H1020" i="2"/>
  <c r="I49" i="24"/>
  <c r="AB793" i="2" l="1"/>
  <c r="F47" i="33"/>
  <c r="AB47" i="33" s="1"/>
  <c r="AA56" i="33"/>
  <c r="AB56" i="33" s="1"/>
  <c r="Q1023" i="2"/>
  <c r="F538" i="1"/>
  <c r="F540" i="1" s="1"/>
  <c r="F514" i="1"/>
  <c r="F79" i="1"/>
  <c r="E38" i="8"/>
  <c r="H442" i="1"/>
  <c r="F208" i="1"/>
  <c r="F221" i="1" s="1"/>
  <c r="F277" i="1" s="1"/>
  <c r="H245" i="1"/>
  <c r="H263" i="1"/>
  <c r="J49" i="24"/>
  <c r="H1036" i="2"/>
  <c r="H1030" i="2"/>
  <c r="G1029" i="2"/>
  <c r="G1019" i="2"/>
  <c r="R1031" i="2"/>
  <c r="R1033" i="2"/>
  <c r="R1034" i="2" s="1"/>
  <c r="T1022" i="2"/>
  <c r="T1020" i="2"/>
  <c r="G912" i="2"/>
  <c r="G973" i="2"/>
  <c r="G986" i="2" s="1"/>
  <c r="G932" i="2"/>
  <c r="P1031" i="2"/>
  <c r="P1033" i="2"/>
  <c r="P1034" i="2" s="1"/>
  <c r="I1034" i="2"/>
  <c r="I1035" i="2" s="1"/>
  <c r="I1033" i="2"/>
  <c r="I1031" i="2"/>
  <c r="O1022" i="2"/>
  <c r="O1020" i="2"/>
  <c r="J984" i="2"/>
  <c r="J707" i="2"/>
  <c r="J772" i="2"/>
  <c r="J26" i="33" s="1"/>
  <c r="J703" i="2"/>
  <c r="J764" i="2"/>
  <c r="J18" i="33" s="1"/>
  <c r="J771" i="2"/>
  <c r="J25" i="33" s="1"/>
  <c r="J1008" i="2"/>
  <c r="J798" i="2"/>
  <c r="J52" i="33" s="1"/>
  <c r="J766" i="2"/>
  <c r="J20" i="33" s="1"/>
  <c r="K2" i="2"/>
  <c r="K772" i="2" s="1"/>
  <c r="K26" i="33" s="1"/>
  <c r="J759" i="2"/>
  <c r="J13" i="33" s="1"/>
  <c r="J901" i="2"/>
  <c r="J704" i="2"/>
  <c r="J760" i="2"/>
  <c r="J14" i="33" s="1"/>
  <c r="M1030" i="2"/>
  <c r="M1036" i="2"/>
  <c r="I932" i="2"/>
  <c r="I973" i="2"/>
  <c r="I986" i="2" s="1"/>
  <c r="P1020" i="2"/>
  <c r="P1022" i="2"/>
  <c r="P1023" i="2" s="1"/>
  <c r="T1036" i="2"/>
  <c r="T1030" i="2"/>
  <c r="K760" i="2"/>
  <c r="K14" i="33" s="1"/>
  <c r="Q1030" i="2"/>
  <c r="Q1036" i="2"/>
  <c r="H230" i="1"/>
  <c r="H439" i="1"/>
  <c r="F697" i="2"/>
  <c r="G38" i="5"/>
  <c r="H573" i="1"/>
  <c r="F20" i="7"/>
  <c r="F22" i="7"/>
  <c r="F16" i="7"/>
  <c r="J1007" i="2" s="1"/>
  <c r="F34" i="7"/>
  <c r="T1007" i="2" s="1"/>
  <c r="F14" i="7"/>
  <c r="F36" i="7"/>
  <c r="U1007" i="2" s="1"/>
  <c r="F30" i="7"/>
  <c r="R1007" i="2" s="1"/>
  <c r="F10" i="7"/>
  <c r="F18" i="7"/>
  <c r="K1007" i="2" s="1"/>
  <c r="F28" i="7"/>
  <c r="Q1007" i="2" s="1"/>
  <c r="F12" i="7"/>
  <c r="F24" i="7"/>
  <c r="O1007" i="2" s="1"/>
  <c r="F26" i="7"/>
  <c r="P1007" i="2" s="1"/>
  <c r="F32" i="7"/>
  <c r="S1007" i="2" s="1"/>
  <c r="F24" i="8"/>
  <c r="O1006" i="2" s="1"/>
  <c r="F26" i="8"/>
  <c r="P1006" i="2" s="1"/>
  <c r="F28" i="8"/>
  <c r="Q1006" i="2" s="1"/>
  <c r="F16" i="8"/>
  <c r="J1006" i="2" s="1"/>
  <c r="F14" i="8"/>
  <c r="F30" i="8"/>
  <c r="R1006" i="2" s="1"/>
  <c r="F36" i="8"/>
  <c r="U1006" i="2" s="1"/>
  <c r="F10" i="8"/>
  <c r="F12" i="8"/>
  <c r="F18" i="8"/>
  <c r="K1006" i="2" s="1"/>
  <c r="F22" i="8"/>
  <c r="M1006" i="2" s="1"/>
  <c r="F20" i="8"/>
  <c r="F32" i="8"/>
  <c r="S1006" i="2" s="1"/>
  <c r="F34" i="8"/>
  <c r="T1006" i="2" s="1"/>
  <c r="AA1012" i="2"/>
  <c r="H772" i="2"/>
  <c r="H26" i="33" s="1"/>
  <c r="H759" i="2"/>
  <c r="H13" i="33" s="1"/>
  <c r="H760" i="2"/>
  <c r="H14" i="33" s="1"/>
  <c r="H707" i="2"/>
  <c r="H901" i="2"/>
  <c r="H771" i="2"/>
  <c r="H25" i="33" s="1"/>
  <c r="H697" i="2"/>
  <c r="O1045" i="2"/>
  <c r="O1066" i="2" s="1"/>
  <c r="J1045" i="2"/>
  <c r="AA1014" i="2"/>
  <c r="J702" i="2"/>
  <c r="J800" i="2"/>
  <c r="J54" i="33" s="1"/>
  <c r="J761" i="2"/>
  <c r="J15" i="33" s="1"/>
  <c r="J1002" i="2"/>
  <c r="J797" i="2"/>
  <c r="J51" i="33" s="1"/>
  <c r="J768" i="2"/>
  <c r="J22" i="33" s="1"/>
  <c r="J1097" i="2"/>
  <c r="J700" i="2"/>
  <c r="J701" i="2"/>
  <c r="P1045" i="2"/>
  <c r="P1066" i="2" s="1"/>
  <c r="J1018" i="2"/>
  <c r="AA1017" i="2"/>
  <c r="AB1017" i="2" s="1"/>
  <c r="F331" i="1"/>
  <c r="F306" i="1"/>
  <c r="H632" i="1"/>
  <c r="H29" i="1"/>
  <c r="H421" i="1"/>
  <c r="H304" i="1"/>
  <c r="H204" i="1"/>
  <c r="H512" i="1"/>
  <c r="H629" i="1"/>
  <c r="H633" i="1"/>
  <c r="H246" i="1"/>
  <c r="H452" i="1"/>
  <c r="H473" i="1"/>
  <c r="H46" i="1"/>
  <c r="D38" i="8"/>
  <c r="H641" i="1"/>
  <c r="H289" i="1"/>
  <c r="H651" i="1"/>
  <c r="H236" i="1"/>
  <c r="H444" i="1"/>
  <c r="H446" i="1"/>
  <c r="H631" i="1"/>
  <c r="H413" i="1"/>
  <c r="I33" i="1"/>
  <c r="I651" i="1" s="1"/>
  <c r="I37" i="1"/>
  <c r="I41" i="1"/>
  <c r="I268" i="1" s="1"/>
  <c r="I99" i="1"/>
  <c r="I189" i="1"/>
  <c r="I215" i="1"/>
  <c r="I38" i="1"/>
  <c r="I64" i="1"/>
  <c r="I159" i="1"/>
  <c r="I180" i="1"/>
  <c r="I39" i="1"/>
  <c r="I266" i="1" s="1"/>
  <c r="I72" i="1"/>
  <c r="I191" i="1"/>
  <c r="I147" i="1"/>
  <c r="I149" i="1"/>
  <c r="I199" i="1"/>
  <c r="I301" i="1"/>
  <c r="I396" i="1"/>
  <c r="I419" i="1"/>
  <c r="I507" i="1"/>
  <c r="I302" i="1"/>
  <c r="I397" i="1"/>
  <c r="I493" i="1"/>
  <c r="I640" i="1"/>
  <c r="I407" i="1"/>
  <c r="I398" i="1"/>
  <c r="I417" i="1"/>
  <c r="I501" i="1"/>
  <c r="I63" i="1"/>
  <c r="I158" i="1"/>
  <c r="I179" i="1"/>
  <c r="I23" i="1"/>
  <c r="I151" i="1"/>
  <c r="I201" i="1"/>
  <c r="I27" i="1"/>
  <c r="I160" i="1"/>
  <c r="I181" i="1"/>
  <c r="I36" i="1"/>
  <c r="I40" i="1"/>
  <c r="I157" i="1"/>
  <c r="I178" i="1"/>
  <c r="I385" i="1"/>
  <c r="I375" i="1"/>
  <c r="I589" i="1"/>
  <c r="I503" i="1"/>
  <c r="I285" i="1"/>
  <c r="I386" i="1"/>
  <c r="I376" i="1"/>
  <c r="I500" i="1"/>
  <c r="I292" i="1"/>
  <c r="I299" i="1"/>
  <c r="I508" i="1"/>
  <c r="I217" i="1"/>
  <c r="I300" i="1"/>
  <c r="I395" i="1"/>
  <c r="I633" i="1" s="1"/>
  <c r="I458" i="1"/>
  <c r="I509" i="1"/>
  <c r="I377" i="1"/>
  <c r="I510" i="1"/>
  <c r="I283" i="1"/>
  <c r="I408" i="1"/>
  <c r="I374" i="1"/>
  <c r="I418" i="1"/>
  <c r="I495" i="1"/>
  <c r="I582" i="1"/>
  <c r="I265" i="1"/>
  <c r="I476" i="1"/>
  <c r="I247" i="1"/>
  <c r="I150" i="1"/>
  <c r="I200" i="1"/>
  <c r="J2" i="1"/>
  <c r="I42" i="1"/>
  <c r="I146" i="1"/>
  <c r="I171" i="1"/>
  <c r="I365" i="1"/>
  <c r="I43" i="1"/>
  <c r="I249" i="1" s="1"/>
  <c r="I113" i="1"/>
  <c r="I202" i="1"/>
  <c r="I44" i="1"/>
  <c r="I169" i="1"/>
  <c r="I284" i="1"/>
  <c r="I389" i="1"/>
  <c r="I411" i="1"/>
  <c r="I492" i="1"/>
  <c r="I295" i="1"/>
  <c r="I410" i="1"/>
  <c r="I504" i="1"/>
  <c r="I251" i="1"/>
  <c r="I363" i="1"/>
  <c r="I429" i="1"/>
  <c r="I494" i="1"/>
  <c r="I19" i="1"/>
  <c r="I145" i="1"/>
  <c r="I170" i="1"/>
  <c r="I293" i="1"/>
  <c r="I248" i="1"/>
  <c r="I131" i="1"/>
  <c r="I190" i="1"/>
  <c r="I294" i="1"/>
  <c r="I148" i="1"/>
  <c r="I172" i="1"/>
  <c r="I216" i="1"/>
  <c r="I262" i="1"/>
  <c r="I73" i="1"/>
  <c r="I192" i="1"/>
  <c r="I297" i="1"/>
  <c r="I366" i="1"/>
  <c r="I409" i="1"/>
  <c r="I475" i="1"/>
  <c r="I639" i="1"/>
  <c r="I641" i="1" s="1"/>
  <c r="I211" i="1" s="1"/>
  <c r="I298" i="1"/>
  <c r="I367" i="1"/>
  <c r="I416" i="1"/>
  <c r="I506" i="1"/>
  <c r="I286" i="1"/>
  <c r="I368" i="1"/>
  <c r="I505" i="1"/>
  <c r="I287" i="1"/>
  <c r="I388" i="1"/>
  <c r="I454" i="1"/>
  <c r="I440" i="1"/>
  <c r="I581" i="1"/>
  <c r="I387" i="1"/>
  <c r="I491" i="1"/>
  <c r="I168" i="1"/>
  <c r="I296" i="1"/>
  <c r="I364" i="1"/>
  <c r="I430" i="1"/>
  <c r="I444" i="1"/>
  <c r="I502" i="1"/>
  <c r="I267" i="1"/>
  <c r="I264" i="1"/>
  <c r="I132" i="1"/>
  <c r="I455" i="1"/>
  <c r="I245" i="1"/>
  <c r="I394" i="1"/>
  <c r="I400" i="1" s="1"/>
  <c r="I659" i="1" s="1"/>
  <c r="I442" i="1"/>
  <c r="I229" i="1"/>
  <c r="I439" i="1"/>
  <c r="I473" i="1"/>
  <c r="I441" i="1"/>
  <c r="I230" i="1"/>
  <c r="I446" i="1"/>
  <c r="I236" i="1"/>
  <c r="I443" i="1"/>
  <c r="I573" i="1"/>
  <c r="I452" i="1"/>
  <c r="I246" i="1"/>
  <c r="I453" i="1"/>
  <c r="I100" i="1"/>
  <c r="I590" i="1"/>
  <c r="I474" i="1"/>
  <c r="I445" i="1"/>
  <c r="I572" i="1"/>
  <c r="I438" i="1"/>
  <c r="I263" i="1"/>
  <c r="I177" i="1"/>
  <c r="I183" i="1" s="1"/>
  <c r="H497" i="1"/>
  <c r="N1019" i="2"/>
  <c r="N1029" i="2"/>
  <c r="AA1107" i="2"/>
  <c r="AB1107" i="2" s="1"/>
  <c r="H100" i="1"/>
  <c r="H445" i="1"/>
  <c r="H582" i="1"/>
  <c r="H590" i="1"/>
  <c r="D38" i="7"/>
  <c r="H984" i="2"/>
  <c r="J49" i="26"/>
  <c r="K1036" i="2"/>
  <c r="K1030" i="2"/>
  <c r="I49" i="26"/>
  <c r="K1022" i="2"/>
  <c r="K1020" i="2"/>
  <c r="K1009" i="2" s="1"/>
  <c r="K1023" i="2"/>
  <c r="F38" i="7"/>
  <c r="G1007" i="2"/>
  <c r="G1006" i="2"/>
  <c r="H1006" i="2"/>
  <c r="U1020" i="2"/>
  <c r="U1022" i="2"/>
  <c r="U1033" i="2"/>
  <c r="U1031" i="2"/>
  <c r="O1031" i="2"/>
  <c r="O1033" i="2"/>
  <c r="O1034" i="2" s="1"/>
  <c r="O1035" i="2" s="1"/>
  <c r="N1007" i="2"/>
  <c r="H1009" i="2"/>
  <c r="H1024" i="2"/>
  <c r="H1010" i="2"/>
  <c r="H983" i="2"/>
  <c r="H1026" i="2"/>
  <c r="H1005" i="2"/>
  <c r="I213" i="1" l="1"/>
  <c r="K1010" i="2"/>
  <c r="I457" i="1"/>
  <c r="K707" i="2"/>
  <c r="I212" i="1"/>
  <c r="I477" i="1"/>
  <c r="I479" i="1"/>
  <c r="K901" i="2"/>
  <c r="K973" i="2" s="1"/>
  <c r="K986" i="2" s="1"/>
  <c r="I428" i="1"/>
  <c r="I432" i="1" s="1"/>
  <c r="H1007" i="2"/>
  <c r="G1020" i="2"/>
  <c r="G1023" i="2"/>
  <c r="G1022" i="2"/>
  <c r="I214" i="1"/>
  <c r="I29" i="1"/>
  <c r="I250" i="1"/>
  <c r="G1030" i="2"/>
  <c r="G1034" i="2" s="1"/>
  <c r="J49" i="14"/>
  <c r="G1033" i="2"/>
  <c r="I49" i="14"/>
  <c r="F38" i="8"/>
  <c r="K771" i="2"/>
  <c r="K25" i="33" s="1"/>
  <c r="H1031" i="2"/>
  <c r="H1033" i="2"/>
  <c r="H1034" i="2"/>
  <c r="H1035" i="2" s="1"/>
  <c r="I421" i="1"/>
  <c r="K759" i="2"/>
  <c r="K13" i="33" s="1"/>
  <c r="T1023" i="2"/>
  <c r="T1025" i="2"/>
  <c r="T1026" i="2" s="1"/>
  <c r="T1037" i="2" s="1"/>
  <c r="T1024" i="2"/>
  <c r="T1033" i="2"/>
  <c r="T1031" i="2"/>
  <c r="J973" i="2"/>
  <c r="J986" i="2" s="1"/>
  <c r="J912" i="2"/>
  <c r="J932" i="2"/>
  <c r="M1031" i="2"/>
  <c r="M1034" i="2"/>
  <c r="M1033" i="2"/>
  <c r="O1025" i="2"/>
  <c r="O1026" i="2" s="1"/>
  <c r="O1037" i="2" s="1"/>
  <c r="O1023" i="2"/>
  <c r="K703" i="2"/>
  <c r="K1008" i="2"/>
  <c r="K702" i="2"/>
  <c r="K1002" i="2"/>
  <c r="K698" i="2" s="1"/>
  <c r="L2" i="2"/>
  <c r="K1097" i="2"/>
  <c r="K701" i="2"/>
  <c r="K764" i="2"/>
  <c r="K18" i="33" s="1"/>
  <c r="K797" i="2"/>
  <c r="K51" i="33" s="1"/>
  <c r="K768" i="2"/>
  <c r="K22" i="33" s="1"/>
  <c r="K766" i="2"/>
  <c r="K20" i="33" s="1"/>
  <c r="K761" i="2"/>
  <c r="K15" i="33" s="1"/>
  <c r="K800" i="2"/>
  <c r="K54" i="33" s="1"/>
  <c r="K704" i="2"/>
  <c r="K984" i="2"/>
  <c r="K798" i="2"/>
  <c r="K52" i="33" s="1"/>
  <c r="K700" i="2"/>
  <c r="I631" i="1"/>
  <c r="I373" i="1" s="1"/>
  <c r="I379" i="1" s="1"/>
  <c r="G697" i="2"/>
  <c r="L697" i="2"/>
  <c r="F709" i="2"/>
  <c r="I697" i="2"/>
  <c r="J697" i="2"/>
  <c r="K697" i="2"/>
  <c r="Q1033" i="2"/>
  <c r="Q1034" i="2" s="1"/>
  <c r="Q1031" i="2"/>
  <c r="I456" i="1"/>
  <c r="N1020" i="2"/>
  <c r="N1023" i="2"/>
  <c r="N1022" i="2"/>
  <c r="I497" i="1"/>
  <c r="I666" i="1"/>
  <c r="J286" i="1"/>
  <c r="K2" i="1"/>
  <c r="J299" i="1"/>
  <c r="J63" i="1"/>
  <c r="J296" i="1"/>
  <c r="J190" i="1"/>
  <c r="J27" i="1"/>
  <c r="J376" i="1"/>
  <c r="J40" i="1"/>
  <c r="J407" i="1"/>
  <c r="J160" i="1"/>
  <c r="J368" i="1"/>
  <c r="J169" i="1"/>
  <c r="J502" i="1"/>
  <c r="J145" i="1"/>
  <c r="J416" i="1"/>
  <c r="J251" i="1"/>
  <c r="J492" i="1"/>
  <c r="J364" i="1"/>
  <c r="J374" i="1"/>
  <c r="J36" i="1"/>
  <c r="J474" i="1" s="1"/>
  <c r="J39" i="1"/>
  <c r="J477" i="1" s="1"/>
  <c r="J148" i="1"/>
  <c r="J418" i="1"/>
  <c r="J199" i="1"/>
  <c r="J510" i="1"/>
  <c r="J179" i="1"/>
  <c r="J581" i="1"/>
  <c r="J297" i="1"/>
  <c r="J202" i="1"/>
  <c r="J505" i="1"/>
  <c r="J178" i="1"/>
  <c r="J147" i="1"/>
  <c r="J217" i="1"/>
  <c r="J509" i="1"/>
  <c r="J387" i="1"/>
  <c r="J41" i="1"/>
  <c r="J284" i="1"/>
  <c r="J191" i="1"/>
  <c r="J398" i="1"/>
  <c r="J150" i="1"/>
  <c r="J180" i="1"/>
  <c r="J429" i="1"/>
  <c r="J503" i="1"/>
  <c r="J589" i="1"/>
  <c r="J495" i="1"/>
  <c r="J285" i="1"/>
  <c r="J300" i="1"/>
  <c r="J301" i="1"/>
  <c r="J386" i="1"/>
  <c r="J149" i="1"/>
  <c r="J395" i="1"/>
  <c r="J295" i="1"/>
  <c r="J640" i="1"/>
  <c r="J367" i="1"/>
  <c r="J293" i="1"/>
  <c r="J639" i="1"/>
  <c r="J283" i="1"/>
  <c r="J72" i="1"/>
  <c r="J298" i="1"/>
  <c r="J33" i="1"/>
  <c r="J44" i="1"/>
  <c r="J419" i="1"/>
  <c r="J268" i="1"/>
  <c r="J408" i="1"/>
  <c r="J215" i="1"/>
  <c r="J458" i="1"/>
  <c r="J377" i="1"/>
  <c r="J200" i="1"/>
  <c r="J507" i="1"/>
  <c r="J292" i="1"/>
  <c r="J410" i="1"/>
  <c r="J365" i="1"/>
  <c r="J38" i="1"/>
  <c r="J171" i="1"/>
  <c r="J99" i="1"/>
  <c r="J417" i="1"/>
  <c r="J491" i="1"/>
  <c r="J508" i="1"/>
  <c r="J266" i="1"/>
  <c r="J262" i="1"/>
  <c r="J250" i="1"/>
  <c r="J245" i="1"/>
  <c r="J452" i="1"/>
  <c r="J457" i="1"/>
  <c r="J443" i="1"/>
  <c r="J192" i="1"/>
  <c r="J411" i="1"/>
  <c r="J64" i="1"/>
  <c r="J375" i="1"/>
  <c r="J189" i="1"/>
  <c r="J151" i="1"/>
  <c r="J397" i="1"/>
  <c r="J494" i="1"/>
  <c r="J504" i="1"/>
  <c r="J23" i="1"/>
  <c r="J172" i="1"/>
  <c r="J501" i="1"/>
  <c r="J294" i="1"/>
  <c r="J19" i="1"/>
  <c r="J158" i="1"/>
  <c r="J366" i="1"/>
  <c r="J216" i="1"/>
  <c r="J43" i="1"/>
  <c r="J249" i="1" s="1"/>
  <c r="J113" i="1"/>
  <c r="J363" i="1"/>
  <c r="J157" i="1"/>
  <c r="J409" i="1"/>
  <c r="J181" i="1"/>
  <c r="J430" i="1"/>
  <c r="J442" i="1"/>
  <c r="J287" i="1"/>
  <c r="J493" i="1"/>
  <c r="J170" i="1"/>
  <c r="J37" i="1"/>
  <c r="J638" i="1" s="1"/>
  <c r="J121" i="1" s="1"/>
  <c r="J168" i="1"/>
  <c r="J302" i="1"/>
  <c r="J73" i="1"/>
  <c r="J506" i="1"/>
  <c r="J388" i="1"/>
  <c r="J159" i="1"/>
  <c r="J389" i="1"/>
  <c r="J396" i="1"/>
  <c r="J385" i="1"/>
  <c r="J632" i="1" s="1"/>
  <c r="J384" i="1" s="1"/>
  <c r="J391" i="1" s="1"/>
  <c r="J167" i="1" s="1"/>
  <c r="J174" i="1" s="1"/>
  <c r="J476" i="1"/>
  <c r="J500" i="1"/>
  <c r="J512" i="1" s="1"/>
  <c r="J42" i="1"/>
  <c r="J459" i="1" s="1"/>
  <c r="J201" i="1"/>
  <c r="J131" i="1"/>
  <c r="J146" i="1"/>
  <c r="J456" i="1"/>
  <c r="J582" i="1"/>
  <c r="J479" i="1"/>
  <c r="J263" i="1"/>
  <c r="J100" i="1"/>
  <c r="J439" i="1"/>
  <c r="J438" i="1"/>
  <c r="J440" i="1"/>
  <c r="J229" i="1"/>
  <c r="J446" i="1"/>
  <c r="J236" i="1"/>
  <c r="J455" i="1"/>
  <c r="J246" i="1"/>
  <c r="J473" i="1"/>
  <c r="J132" i="1"/>
  <c r="J441" i="1"/>
  <c r="J445" i="1"/>
  <c r="J572" i="1"/>
  <c r="J590" i="1"/>
  <c r="J248" i="1"/>
  <c r="J265" i="1"/>
  <c r="J453" i="1"/>
  <c r="J444" i="1"/>
  <c r="J230" i="1"/>
  <c r="J573" i="1"/>
  <c r="I289" i="1"/>
  <c r="I632" i="1"/>
  <c r="I384" i="1" s="1"/>
  <c r="I391" i="1" s="1"/>
  <c r="I204" i="1"/>
  <c r="I638" i="1"/>
  <c r="H423" i="1"/>
  <c r="H660" i="1"/>
  <c r="H188" i="1"/>
  <c r="H214" i="1"/>
  <c r="H428" i="1"/>
  <c r="H213" i="1"/>
  <c r="H211" i="1"/>
  <c r="H212" i="1"/>
  <c r="H394" i="1"/>
  <c r="H362" i="1"/>
  <c r="H666" i="1"/>
  <c r="H569" i="1"/>
  <c r="H571" i="1"/>
  <c r="H48" i="1"/>
  <c r="H570" i="1"/>
  <c r="H384" i="1"/>
  <c r="F333" i="1"/>
  <c r="F608" i="1"/>
  <c r="D43" i="27"/>
  <c r="F43" i="27" s="1"/>
  <c r="K43" i="27" s="1"/>
  <c r="L43" i="27" s="1"/>
  <c r="J698" i="2"/>
  <c r="AB1014" i="2"/>
  <c r="AC1014" i="2"/>
  <c r="H809" i="2"/>
  <c r="H63" i="33" s="1"/>
  <c r="H932" i="2"/>
  <c r="H973" i="2"/>
  <c r="H912" i="2"/>
  <c r="I219" i="1"/>
  <c r="I304" i="1"/>
  <c r="I46" i="1"/>
  <c r="H448" i="1"/>
  <c r="N1006" i="2"/>
  <c r="AA1006" i="2" s="1"/>
  <c r="AB1006" i="2" s="1"/>
  <c r="N1036" i="2"/>
  <c r="N1030" i="2"/>
  <c r="I629" i="1"/>
  <c r="I362" i="1" s="1"/>
  <c r="I370" i="1" s="1"/>
  <c r="I512" i="1"/>
  <c r="I413" i="1"/>
  <c r="H373" i="1"/>
  <c r="H101" i="1"/>
  <c r="H269" i="1"/>
  <c r="H460" i="1"/>
  <c r="H62" i="1"/>
  <c r="H591" i="1"/>
  <c r="H583" i="1"/>
  <c r="H480" i="1"/>
  <c r="H635" i="1" s="1"/>
  <c r="H650" i="1"/>
  <c r="H461" i="1"/>
  <c r="H255" i="1"/>
  <c r="H253" i="1"/>
  <c r="H254" i="1"/>
  <c r="H133" i="1"/>
  <c r="H574" i="1"/>
  <c r="H74" i="1"/>
  <c r="H65" i="1"/>
  <c r="H252" i="1"/>
  <c r="J1029" i="2"/>
  <c r="J1019" i="2"/>
  <c r="AA1018" i="2"/>
  <c r="AB1018" i="2" s="1"/>
  <c r="D34" i="27"/>
  <c r="F34" i="27" s="1"/>
  <c r="K34" i="27" s="1"/>
  <c r="L34" i="27" s="1"/>
  <c r="J1066" i="2"/>
  <c r="AA1045" i="2"/>
  <c r="AB1045" i="2" s="1"/>
  <c r="AC1012" i="2"/>
  <c r="AB1012" i="2"/>
  <c r="I448" i="1"/>
  <c r="I478" i="1"/>
  <c r="I459" i="1"/>
  <c r="U1034" i="2"/>
  <c r="U1035" i="2"/>
  <c r="G1035" i="2"/>
  <c r="G1036" i="2"/>
  <c r="AA1007" i="2"/>
  <c r="AB1007" i="2" s="1"/>
  <c r="K983" i="2"/>
  <c r="K1025" i="2"/>
  <c r="K1033" i="2"/>
  <c r="K1034" i="2"/>
  <c r="K1035" i="2" s="1"/>
  <c r="K1031" i="2"/>
  <c r="U1025" i="2"/>
  <c r="U1023" i="2"/>
  <c r="U1024" i="2"/>
  <c r="H1037" i="2"/>
  <c r="K912" i="2" l="1"/>
  <c r="K932" i="2"/>
  <c r="J478" i="1"/>
  <c r="J629" i="1"/>
  <c r="J362" i="1" s="1"/>
  <c r="J370" i="1" s="1"/>
  <c r="J144" i="1" s="1"/>
  <c r="J153" i="1" s="1"/>
  <c r="J475" i="1"/>
  <c r="I570" i="1"/>
  <c r="I571" i="1"/>
  <c r="I569" i="1"/>
  <c r="G983" i="2"/>
  <c r="G1025" i="2"/>
  <c r="G1024" i="2"/>
  <c r="AA1024" i="2" s="1"/>
  <c r="AB1024" i="2" s="1"/>
  <c r="G1010" i="2"/>
  <c r="J264" i="1"/>
  <c r="J267" i="1"/>
  <c r="G1009" i="2"/>
  <c r="G1031" i="2"/>
  <c r="J29" i="1"/>
  <c r="D43" i="26"/>
  <c r="F43" i="26" s="1"/>
  <c r="K43" i="26" s="1"/>
  <c r="L43" i="26" s="1"/>
  <c r="D34" i="26"/>
  <c r="F34" i="26" s="1"/>
  <c r="K34" i="26" s="1"/>
  <c r="L34" i="26" s="1"/>
  <c r="L984" i="2"/>
  <c r="L771" i="2"/>
  <c r="L25" i="33" s="1"/>
  <c r="L760" i="2"/>
  <c r="L14" i="33" s="1"/>
  <c r="L798" i="2"/>
  <c r="L52" i="33" s="1"/>
  <c r="L797" i="2"/>
  <c r="L51" i="33" s="1"/>
  <c r="L1002" i="2"/>
  <c r="L698" i="2" s="1"/>
  <c r="L800" i="2"/>
  <c r="L54" i="33" s="1"/>
  <c r="L1008" i="2"/>
  <c r="M2" i="2"/>
  <c r="L759" i="2"/>
  <c r="L13" i="33" s="1"/>
  <c r="L772" i="2"/>
  <c r="L26" i="33" s="1"/>
  <c r="L1097" i="2"/>
  <c r="L702" i="2"/>
  <c r="L1005" i="2"/>
  <c r="L764" i="2"/>
  <c r="L18" i="33" s="1"/>
  <c r="L704" i="2"/>
  <c r="L707" i="2"/>
  <c r="L701" i="2"/>
  <c r="L700" i="2"/>
  <c r="L1010" i="2"/>
  <c r="L761" i="2"/>
  <c r="L15" i="33" s="1"/>
  <c r="L1009" i="2"/>
  <c r="L766" i="2"/>
  <c r="L20" i="33" s="1"/>
  <c r="L901" i="2"/>
  <c r="L703" i="2"/>
  <c r="L768" i="2"/>
  <c r="L22" i="33" s="1"/>
  <c r="L983" i="2"/>
  <c r="T1034" i="2"/>
  <c r="T1035" i="2"/>
  <c r="I657" i="1"/>
  <c r="I156" i="1"/>
  <c r="I162" i="1" s="1"/>
  <c r="H634" i="1"/>
  <c r="J809" i="2"/>
  <c r="J63" i="33" s="1"/>
  <c r="F756" i="2"/>
  <c r="F738" i="2"/>
  <c r="L809" i="2"/>
  <c r="L63" i="33" s="1"/>
  <c r="I809" i="2"/>
  <c r="I63" i="33" s="1"/>
  <c r="G809" i="2"/>
  <c r="G63" i="33" s="1"/>
  <c r="J641" i="1"/>
  <c r="K809" i="2"/>
  <c r="K63" i="33" s="1"/>
  <c r="H472" i="1"/>
  <c r="AA1066" i="2"/>
  <c r="AB1066" i="2" s="1"/>
  <c r="J1023" i="2"/>
  <c r="J1010" i="2" s="1"/>
  <c r="J1020" i="2"/>
  <c r="J1022" i="2"/>
  <c r="AA1019" i="2"/>
  <c r="AB1019" i="2" s="1"/>
  <c r="N1033" i="2"/>
  <c r="N1034" i="2"/>
  <c r="N1031" i="2"/>
  <c r="H391" i="1"/>
  <c r="H370" i="1"/>
  <c r="H400" i="1"/>
  <c r="H194" i="1"/>
  <c r="I121" i="1"/>
  <c r="I402" i="1"/>
  <c r="I658" i="1"/>
  <c r="I167" i="1"/>
  <c r="I174" i="1" s="1"/>
  <c r="I185" i="1" s="1"/>
  <c r="J658" i="1"/>
  <c r="J651" i="1"/>
  <c r="N1025" i="2"/>
  <c r="J633" i="1"/>
  <c r="J204" i="1"/>
  <c r="J46" i="1"/>
  <c r="I661" i="1"/>
  <c r="I227" i="1"/>
  <c r="I231" i="1"/>
  <c r="I232" i="1"/>
  <c r="I234" i="1"/>
  <c r="I225" i="1"/>
  <c r="I224" i="1"/>
  <c r="I235" i="1"/>
  <c r="I228" i="1"/>
  <c r="I237" i="1"/>
  <c r="I233" i="1"/>
  <c r="I226" i="1"/>
  <c r="I49" i="27"/>
  <c r="J1036" i="2"/>
  <c r="AA1036" i="2" s="1"/>
  <c r="AB1036" i="2" s="1"/>
  <c r="J1030" i="2"/>
  <c r="AA1029" i="2"/>
  <c r="AB1029" i="2" s="1"/>
  <c r="J49" i="27"/>
  <c r="H451" i="1"/>
  <c r="H379" i="1"/>
  <c r="I660" i="1"/>
  <c r="I423" i="1"/>
  <c r="I188" i="1"/>
  <c r="I194" i="1" s="1"/>
  <c r="I206" i="1" s="1"/>
  <c r="I656" i="1"/>
  <c r="I381" i="1"/>
  <c r="I144" i="1"/>
  <c r="I153" i="1" s="1"/>
  <c r="I164" i="1" s="1"/>
  <c r="H232" i="1"/>
  <c r="H226" i="1"/>
  <c r="H235" i="1"/>
  <c r="H661" i="1"/>
  <c r="H231" i="1"/>
  <c r="H224" i="1"/>
  <c r="H227" i="1"/>
  <c r="H228" i="1"/>
  <c r="H225" i="1"/>
  <c r="H237" i="1"/>
  <c r="H234" i="1"/>
  <c r="H233" i="1"/>
  <c r="I650" i="1"/>
  <c r="I74" i="1"/>
  <c r="I460" i="1"/>
  <c r="I269" i="1"/>
  <c r="I65" i="1"/>
  <c r="I574" i="1"/>
  <c r="I583" i="1"/>
  <c r="I254" i="1"/>
  <c r="I62" i="1"/>
  <c r="I480" i="1"/>
  <c r="I635" i="1" s="1"/>
  <c r="I133" i="1"/>
  <c r="I101" i="1"/>
  <c r="I252" i="1"/>
  <c r="I461" i="1"/>
  <c r="I255" i="1"/>
  <c r="I591" i="1"/>
  <c r="I253" i="1"/>
  <c r="H986" i="2"/>
  <c r="H60" i="1"/>
  <c r="H58" i="1"/>
  <c r="H134" i="1"/>
  <c r="H102" i="1"/>
  <c r="H61" i="1"/>
  <c r="H649" i="1"/>
  <c r="H13" i="1"/>
  <c r="H103" i="1"/>
  <c r="H12" i="1"/>
  <c r="H75" i="1"/>
  <c r="H77" i="1" s="1"/>
  <c r="H10" i="1"/>
  <c r="H9" i="1"/>
  <c r="H11" i="1"/>
  <c r="H219" i="1"/>
  <c r="H432" i="1"/>
  <c r="J656" i="1"/>
  <c r="J666" i="1"/>
  <c r="J48" i="1"/>
  <c r="K364" i="1"/>
  <c r="K200" i="1"/>
  <c r="K190" i="1"/>
  <c r="K158" i="1"/>
  <c r="K376" i="1"/>
  <c r="K416" i="1"/>
  <c r="K501" i="1"/>
  <c r="K159" i="1"/>
  <c r="K301" i="1"/>
  <c r="K44" i="1"/>
  <c r="K398" i="1"/>
  <c r="K363" i="1"/>
  <c r="K300" i="1"/>
  <c r="K495" i="1"/>
  <c r="K365" i="1"/>
  <c r="K387" i="1"/>
  <c r="K294" i="1"/>
  <c r="K23" i="1"/>
  <c r="K386" i="1"/>
  <c r="K430" i="1"/>
  <c r="K64" i="1"/>
  <c r="K375" i="1"/>
  <c r="K286" i="1"/>
  <c r="K295" i="1"/>
  <c r="K368" i="1"/>
  <c r="K429" i="1"/>
  <c r="K458" i="1"/>
  <c r="K502" i="1"/>
  <c r="K216" i="1"/>
  <c r="K149" i="1"/>
  <c r="K131" i="1"/>
  <c r="K41" i="1"/>
  <c r="K181" i="1"/>
  <c r="K409" i="1"/>
  <c r="K504" i="1"/>
  <c r="K385" i="1"/>
  <c r="K215" i="1"/>
  <c r="K37" i="1"/>
  <c r="K264" i="1" s="1"/>
  <c r="K179" i="1"/>
  <c r="K145" i="1"/>
  <c r="K168" i="1"/>
  <c r="K299" i="1"/>
  <c r="K508" i="1"/>
  <c r="K410" i="1"/>
  <c r="K42" i="1"/>
  <c r="K169" i="1"/>
  <c r="K39" i="1"/>
  <c r="K113" i="1"/>
  <c r="K73" i="1"/>
  <c r="K63" i="1"/>
  <c r="K503" i="1"/>
  <c r="K408" i="1"/>
  <c r="K148" i="1"/>
  <c r="K147" i="1"/>
  <c r="K366" i="1"/>
  <c r="L2" i="1"/>
  <c r="K411" i="1"/>
  <c r="K500" i="1"/>
  <c r="K491" i="1"/>
  <c r="K492" i="1"/>
  <c r="K178" i="1"/>
  <c r="K33" i="1"/>
  <c r="K651" i="1" s="1"/>
  <c r="K72" i="1"/>
  <c r="K40" i="1"/>
  <c r="K367" i="1"/>
  <c r="K292" i="1"/>
  <c r="K581" i="1"/>
  <c r="K302" i="1"/>
  <c r="K506" i="1"/>
  <c r="K285" i="1"/>
  <c r="K217" i="1"/>
  <c r="K171" i="1"/>
  <c r="K191" i="1"/>
  <c r="K419" i="1"/>
  <c r="K389" i="1"/>
  <c r="K407" i="1"/>
  <c r="K192" i="1"/>
  <c r="K189" i="1"/>
  <c r="K150" i="1"/>
  <c r="K146" i="1"/>
  <c r="K493" i="1"/>
  <c r="K509" i="1"/>
  <c r="K199" i="1"/>
  <c r="K43" i="1"/>
  <c r="K478" i="1" s="1"/>
  <c r="K160" i="1"/>
  <c r="K157" i="1"/>
  <c r="K36" i="1"/>
  <c r="K151" i="1"/>
  <c r="K507" i="1"/>
  <c r="K494" i="1"/>
  <c r="K298" i="1"/>
  <c r="K38" i="1"/>
  <c r="K476" i="1" s="1"/>
  <c r="K99" i="1"/>
  <c r="K297" i="1"/>
  <c r="K397" i="1"/>
  <c r="K283" i="1"/>
  <c r="K457" i="1"/>
  <c r="K374" i="1"/>
  <c r="K377" i="1"/>
  <c r="K417" i="1"/>
  <c r="K639" i="1"/>
  <c r="K395" i="1"/>
  <c r="K19" i="1"/>
  <c r="K287" i="1"/>
  <c r="K284" i="1"/>
  <c r="K589" i="1"/>
  <c r="K505" i="1"/>
  <c r="K510" i="1"/>
  <c r="K459" i="1"/>
  <c r="K396" i="1"/>
  <c r="K477" i="1"/>
  <c r="K251" i="1"/>
  <c r="K201" i="1"/>
  <c r="K172" i="1"/>
  <c r="K388" i="1"/>
  <c r="K27" i="1"/>
  <c r="K293" i="1"/>
  <c r="K170" i="1"/>
  <c r="K180" i="1"/>
  <c r="K202" i="1"/>
  <c r="K640" i="1"/>
  <c r="K296" i="1"/>
  <c r="K418" i="1"/>
  <c r="K573" i="1"/>
  <c r="K590" i="1"/>
  <c r="K132" i="1"/>
  <c r="K446" i="1"/>
  <c r="K442" i="1"/>
  <c r="K445" i="1"/>
  <c r="K452" i="1"/>
  <c r="K262" i="1"/>
  <c r="K473" i="1"/>
  <c r="K474" i="1"/>
  <c r="K245" i="1"/>
  <c r="K250" i="1"/>
  <c r="K455" i="1"/>
  <c r="K268" i="1"/>
  <c r="K267" i="1"/>
  <c r="K266" i="1"/>
  <c r="K475" i="1"/>
  <c r="K443" i="1"/>
  <c r="K246" i="1"/>
  <c r="K263" i="1"/>
  <c r="K439" i="1"/>
  <c r="K479" i="1"/>
  <c r="K249" i="1"/>
  <c r="K454" i="1"/>
  <c r="K247" i="1"/>
  <c r="I634" i="1"/>
  <c r="I451" i="1" s="1"/>
  <c r="I463" i="1" s="1"/>
  <c r="J448" i="1"/>
  <c r="J454" i="1"/>
  <c r="J497" i="1"/>
  <c r="J304" i="1"/>
  <c r="J247" i="1"/>
  <c r="J289" i="1"/>
  <c r="J631" i="1"/>
  <c r="J421" i="1"/>
  <c r="J413" i="1"/>
  <c r="I48" i="1"/>
  <c r="U1026" i="2"/>
  <c r="AA1035" i="2"/>
  <c r="AB1035" i="2" s="1"/>
  <c r="K1026" i="2"/>
  <c r="K1005" i="2"/>
  <c r="AA1023" i="2" l="1"/>
  <c r="AB1023" i="2" s="1"/>
  <c r="F776" i="2"/>
  <c r="F10" i="33"/>
  <c r="F30" i="33" s="1"/>
  <c r="K248" i="1"/>
  <c r="K440" i="1"/>
  <c r="G1005" i="2"/>
  <c r="G1026" i="2"/>
  <c r="G1037" i="2" s="1"/>
  <c r="J571" i="1"/>
  <c r="J570" i="1"/>
  <c r="J569" i="1"/>
  <c r="K265" i="1"/>
  <c r="K456" i="1"/>
  <c r="K438" i="1"/>
  <c r="I208" i="1"/>
  <c r="I221" i="1" s="1"/>
  <c r="L932" i="2"/>
  <c r="L912" i="2"/>
  <c r="L973" i="2"/>
  <c r="M700" i="2"/>
  <c r="M768" i="2"/>
  <c r="M22" i="33" s="1"/>
  <c r="M766" i="2"/>
  <c r="M20" i="33" s="1"/>
  <c r="M772" i="2"/>
  <c r="M26" i="33" s="1"/>
  <c r="M822" i="2"/>
  <c r="M76" i="33" s="1"/>
  <c r="M760" i="2"/>
  <c r="M14" i="33" s="1"/>
  <c r="M771" i="2"/>
  <c r="M25" i="33" s="1"/>
  <c r="M901" i="2"/>
  <c r="M707" i="2"/>
  <c r="M1002" i="2"/>
  <c r="M698" i="2" s="1"/>
  <c r="M761" i="2"/>
  <c r="M15" i="33" s="1"/>
  <c r="M703" i="2"/>
  <c r="M1008" i="2"/>
  <c r="M704" i="2"/>
  <c r="M797" i="2"/>
  <c r="M51" i="33" s="1"/>
  <c r="N2" i="2"/>
  <c r="M800" i="2"/>
  <c r="M54" i="33" s="1"/>
  <c r="M759" i="2"/>
  <c r="M13" i="33" s="1"/>
  <c r="M701" i="2"/>
  <c r="M798" i="2"/>
  <c r="M52" i="33" s="1"/>
  <c r="M764" i="2"/>
  <c r="M18" i="33" s="1"/>
  <c r="M702" i="2"/>
  <c r="M1097" i="2"/>
  <c r="M983" i="2"/>
  <c r="M984" i="2"/>
  <c r="M1005" i="2"/>
  <c r="M1010" i="2"/>
  <c r="M1009" i="2"/>
  <c r="M697" i="2"/>
  <c r="M809" i="2" s="1"/>
  <c r="M63" i="33" s="1"/>
  <c r="J212" i="1"/>
  <c r="J211" i="1"/>
  <c r="J213" i="1"/>
  <c r="J428" i="1"/>
  <c r="J432" i="1" s="1"/>
  <c r="J214" i="1"/>
  <c r="F897" i="2"/>
  <c r="F849" i="2"/>
  <c r="F864" i="2"/>
  <c r="I472" i="1"/>
  <c r="I482" i="1" s="1"/>
  <c r="H94" i="1"/>
  <c r="I649" i="1"/>
  <c r="I11" i="1"/>
  <c r="I61" i="1"/>
  <c r="I9" i="1"/>
  <c r="I102" i="1"/>
  <c r="I75" i="1"/>
  <c r="I58" i="1"/>
  <c r="I134" i="1"/>
  <c r="I12" i="1"/>
  <c r="I103" i="1"/>
  <c r="I10" i="1"/>
  <c r="I60" i="1"/>
  <c r="I13" i="1"/>
  <c r="I662" i="1"/>
  <c r="I244" i="1"/>
  <c r="I257" i="1" s="1"/>
  <c r="K641" i="1"/>
  <c r="K46" i="1"/>
  <c r="K204" i="1"/>
  <c r="K512" i="1"/>
  <c r="L286" i="1"/>
  <c r="M2" i="1"/>
  <c r="L398" i="1"/>
  <c r="L148" i="1"/>
  <c r="L502" i="1"/>
  <c r="L189" i="1"/>
  <c r="L147" i="1"/>
  <c r="L385" i="1"/>
  <c r="L33" i="1"/>
  <c r="L651" i="1" s="1"/>
  <c r="L73" i="1"/>
  <c r="L411" i="1"/>
  <c r="L179" i="1"/>
  <c r="L491" i="1"/>
  <c r="L285" i="1"/>
  <c r="L503" i="1"/>
  <c r="L217" i="1"/>
  <c r="L37" i="1"/>
  <c r="L146" i="1"/>
  <c r="L298" i="1"/>
  <c r="L159" i="1"/>
  <c r="L417" i="1"/>
  <c r="L200" i="1"/>
  <c r="L418" i="1"/>
  <c r="L43" i="1"/>
  <c r="L157" i="1"/>
  <c r="L301" i="1"/>
  <c r="L151" i="1"/>
  <c r="L302" i="1"/>
  <c r="L168" i="1"/>
  <c r="L407" i="1"/>
  <c r="L375" i="1"/>
  <c r="L190" i="1"/>
  <c r="L500" i="1"/>
  <c r="L287" i="1"/>
  <c r="L639" i="1"/>
  <c r="L429" i="1"/>
  <c r="L160" i="1"/>
  <c r="L430" i="1"/>
  <c r="L293" i="1"/>
  <c r="L504" i="1"/>
  <c r="L377" i="1"/>
  <c r="L41" i="1"/>
  <c r="L99" i="1"/>
  <c r="L295" i="1"/>
  <c r="L39" i="1"/>
  <c r="L170" i="1"/>
  <c r="L458" i="1"/>
  <c r="L201" i="1"/>
  <c r="L508" i="1"/>
  <c r="L363" i="1"/>
  <c r="L63" i="1"/>
  <c r="L299" i="1"/>
  <c r="L36" i="1"/>
  <c r="L42" i="1"/>
  <c r="L149" i="1"/>
  <c r="L408" i="1"/>
  <c r="L181" i="1"/>
  <c r="L493" i="1"/>
  <c r="L178" i="1"/>
  <c r="L416" i="1"/>
  <c r="L192" i="1"/>
  <c r="L113" i="1"/>
  <c r="L581" i="1"/>
  <c r="L236" i="1"/>
  <c r="L131" i="1"/>
  <c r="L409" i="1"/>
  <c r="L169" i="1"/>
  <c r="L494" i="1"/>
  <c r="L374" i="1"/>
  <c r="L64" i="1"/>
  <c r="L296" i="1"/>
  <c r="L171" i="1"/>
  <c r="L419" i="1"/>
  <c r="L386" i="1"/>
  <c r="L589" i="1"/>
  <c r="L387" i="1"/>
  <c r="L23" i="1"/>
  <c r="L300" i="1"/>
  <c r="L150" i="1"/>
  <c r="L297" i="1"/>
  <c r="L247" i="1"/>
  <c r="L294" i="1"/>
  <c r="L19" i="1"/>
  <c r="L364" i="1"/>
  <c r="L510" i="1"/>
  <c r="L396" i="1"/>
  <c r="L507" i="1"/>
  <c r="L456" i="1"/>
  <c r="L251" i="1"/>
  <c r="L640" i="1"/>
  <c r="L283" i="1"/>
  <c r="L509" i="1"/>
  <c r="L284" i="1"/>
  <c r="L180" i="1"/>
  <c r="L72" i="1"/>
  <c r="L397" i="1"/>
  <c r="L158" i="1"/>
  <c r="L410" i="1"/>
  <c r="L199" i="1"/>
  <c r="L365" i="1"/>
  <c r="L388" i="1"/>
  <c r="L145" i="1"/>
  <c r="L376" i="1"/>
  <c r="L191" i="1"/>
  <c r="L501" i="1"/>
  <c r="L268" i="1"/>
  <c r="L202" i="1"/>
  <c r="L506" i="1"/>
  <c r="L477" i="1"/>
  <c r="L366" i="1"/>
  <c r="L27" i="1"/>
  <c r="L389" i="1"/>
  <c r="L172" i="1"/>
  <c r="L505" i="1"/>
  <c r="L215" i="1"/>
  <c r="L495" i="1"/>
  <c r="L452" i="1"/>
  <c r="L459" i="1"/>
  <c r="L292" i="1"/>
  <c r="L304" i="1" s="1"/>
  <c r="L492" i="1"/>
  <c r="L367" i="1"/>
  <c r="L40" i="1"/>
  <c r="L368" i="1"/>
  <c r="L38" i="1"/>
  <c r="L455" i="1" s="1"/>
  <c r="L44" i="1"/>
  <c r="L395" i="1"/>
  <c r="L216" i="1"/>
  <c r="L446" i="1"/>
  <c r="L438" i="1"/>
  <c r="L442" i="1"/>
  <c r="L475" i="1"/>
  <c r="L229" i="1"/>
  <c r="L441" i="1"/>
  <c r="L132" i="1"/>
  <c r="L444" i="1"/>
  <c r="L590" i="1"/>
  <c r="L572" i="1"/>
  <c r="L582" i="1"/>
  <c r="L573" i="1"/>
  <c r="L249" i="1"/>
  <c r="L443" i="1"/>
  <c r="L454" i="1"/>
  <c r="L263" i="1"/>
  <c r="L474" i="1"/>
  <c r="L473" i="1"/>
  <c r="L250" i="1"/>
  <c r="L245" i="1"/>
  <c r="L230" i="1"/>
  <c r="L266" i="1"/>
  <c r="L439" i="1"/>
  <c r="L100" i="1"/>
  <c r="L445" i="1"/>
  <c r="L267" i="1"/>
  <c r="L440" i="1"/>
  <c r="L478" i="1"/>
  <c r="L246" i="1"/>
  <c r="L457" i="1"/>
  <c r="L479" i="1"/>
  <c r="L262" i="1"/>
  <c r="L264" i="1"/>
  <c r="L453" i="1"/>
  <c r="K638" i="1"/>
  <c r="K632" i="1"/>
  <c r="H156" i="1"/>
  <c r="H657" i="1"/>
  <c r="H463" i="1"/>
  <c r="J650" i="1"/>
  <c r="J255" i="1"/>
  <c r="J74" i="1"/>
  <c r="J65" i="1"/>
  <c r="J101" i="1"/>
  <c r="J480" i="1"/>
  <c r="J460" i="1"/>
  <c r="J252" i="1"/>
  <c r="J591" i="1"/>
  <c r="J62" i="1"/>
  <c r="J269" i="1"/>
  <c r="J253" i="1"/>
  <c r="J254" i="1"/>
  <c r="J461" i="1"/>
  <c r="J583" i="1"/>
  <c r="J574" i="1"/>
  <c r="J133" i="1"/>
  <c r="H206" i="1"/>
  <c r="H177" i="1"/>
  <c r="H659" i="1"/>
  <c r="H144" i="1"/>
  <c r="H656" i="1"/>
  <c r="H381" i="1"/>
  <c r="H658" i="1"/>
  <c r="H402" i="1"/>
  <c r="H167" i="1"/>
  <c r="J1009" i="2"/>
  <c r="AA1020" i="2"/>
  <c r="AB1020" i="2" s="1"/>
  <c r="H482" i="1"/>
  <c r="K444" i="1"/>
  <c r="K236" i="1"/>
  <c r="K100" i="1"/>
  <c r="K230" i="1"/>
  <c r="I105" i="1"/>
  <c r="I77" i="1"/>
  <c r="I94" i="1" s="1"/>
  <c r="I425" i="1"/>
  <c r="J423" i="1"/>
  <c r="J660" i="1"/>
  <c r="J188" i="1"/>
  <c r="J194" i="1" s="1"/>
  <c r="J206" i="1" s="1"/>
  <c r="J373" i="1"/>
  <c r="J661" i="1"/>
  <c r="J237" i="1"/>
  <c r="J226" i="1"/>
  <c r="J224" i="1"/>
  <c r="J228" i="1"/>
  <c r="J232" i="1"/>
  <c r="J233" i="1"/>
  <c r="J227" i="1"/>
  <c r="J231" i="1"/>
  <c r="J235" i="1"/>
  <c r="J234" i="1"/>
  <c r="J225" i="1"/>
  <c r="K29" i="1"/>
  <c r="K633" i="1"/>
  <c r="K394" i="1" s="1"/>
  <c r="K400" i="1" s="1"/>
  <c r="K631" i="1"/>
  <c r="K373" i="1" s="1"/>
  <c r="K379" i="1" s="1"/>
  <c r="K289" i="1"/>
  <c r="K413" i="1"/>
  <c r="K304" i="1"/>
  <c r="K629" i="1"/>
  <c r="K421" i="1"/>
  <c r="J649" i="1"/>
  <c r="J134" i="1"/>
  <c r="J9" i="1"/>
  <c r="J11" i="1"/>
  <c r="J75" i="1"/>
  <c r="J13" i="1"/>
  <c r="J60" i="1"/>
  <c r="J61" i="1"/>
  <c r="J10" i="1"/>
  <c r="J58" i="1"/>
  <c r="J103" i="1"/>
  <c r="J102" i="1"/>
  <c r="J12" i="1"/>
  <c r="H15" i="1"/>
  <c r="H665" i="1"/>
  <c r="H584" i="1"/>
  <c r="H592" i="1"/>
  <c r="H326" i="1"/>
  <c r="H327" i="1"/>
  <c r="H533" i="1"/>
  <c r="H534" i="1"/>
  <c r="H575" i="1"/>
  <c r="H239" i="1"/>
  <c r="J1031" i="2"/>
  <c r="AA1031" i="2" s="1"/>
  <c r="AB1031" i="2" s="1"/>
  <c r="J1033" i="2"/>
  <c r="AA1033" i="2" s="1"/>
  <c r="AB1033" i="2" s="1"/>
  <c r="J1034" i="2"/>
  <c r="AA1034" i="2" s="1"/>
  <c r="AB1034" i="2" s="1"/>
  <c r="AA1030" i="2"/>
  <c r="AB1030" i="2" s="1"/>
  <c r="J394" i="1"/>
  <c r="N1005" i="2"/>
  <c r="J983" i="2"/>
  <c r="J1025" i="2"/>
  <c r="AA1022" i="2"/>
  <c r="AB1022" i="2" s="1"/>
  <c r="K572" i="1"/>
  <c r="K582" i="1"/>
  <c r="K229" i="1"/>
  <c r="K441" i="1"/>
  <c r="K497" i="1"/>
  <c r="K453" i="1"/>
  <c r="I136" i="1"/>
  <c r="H136" i="1"/>
  <c r="I239" i="1"/>
  <c r="H105" i="1"/>
  <c r="K1037" i="2"/>
  <c r="U1037" i="2"/>
  <c r="AA1026" i="2" l="1"/>
  <c r="AB1026" i="2" s="1"/>
  <c r="L633" i="1"/>
  <c r="L394" i="1" s="1"/>
  <c r="L400" i="1" s="1"/>
  <c r="L659" i="1" s="1"/>
  <c r="L476" i="1"/>
  <c r="N798" i="2"/>
  <c r="N52" i="33" s="1"/>
  <c r="N703" i="2"/>
  <c r="N701" i="2"/>
  <c r="N800" i="2"/>
  <c r="N54" i="33" s="1"/>
  <c r="N766" i="2"/>
  <c r="N20" i="33" s="1"/>
  <c r="N702" i="2"/>
  <c r="N761" i="2"/>
  <c r="N15" i="33" s="1"/>
  <c r="N700" i="2"/>
  <c r="N797" i="2"/>
  <c r="N51" i="33" s="1"/>
  <c r="N1008" i="2"/>
  <c r="N704" i="2"/>
  <c r="N768" i="2"/>
  <c r="N22" i="33" s="1"/>
  <c r="N1002" i="2"/>
  <c r="N698" i="2" s="1"/>
  <c r="O2" i="2"/>
  <c r="N764" i="2"/>
  <c r="N18" i="33" s="1"/>
  <c r="N1097" i="2"/>
  <c r="N759" i="2"/>
  <c r="N13" i="33" s="1"/>
  <c r="N760" i="2"/>
  <c r="N14" i="33" s="1"/>
  <c r="N707" i="2"/>
  <c r="N771" i="2"/>
  <c r="N25" i="33" s="1"/>
  <c r="N984" i="2"/>
  <c r="N772" i="2"/>
  <c r="N26" i="33" s="1"/>
  <c r="N697" i="2"/>
  <c r="N809" i="2" s="1"/>
  <c r="N63" i="33" s="1"/>
  <c r="N901" i="2"/>
  <c r="N983" i="2"/>
  <c r="N1010" i="2"/>
  <c r="N1009" i="2"/>
  <c r="M932" i="2"/>
  <c r="M973" i="2"/>
  <c r="M912" i="2"/>
  <c r="L177" i="1"/>
  <c r="L183" i="1" s="1"/>
  <c r="F903" i="2"/>
  <c r="F928" i="2" s="1"/>
  <c r="F969" i="2"/>
  <c r="J219" i="1"/>
  <c r="L265" i="1"/>
  <c r="L248" i="1"/>
  <c r="J400" i="1"/>
  <c r="H594" i="1"/>
  <c r="H576" i="1"/>
  <c r="H667" i="1"/>
  <c r="H67" i="1"/>
  <c r="J665" i="1"/>
  <c r="J575" i="1"/>
  <c r="J534" i="1"/>
  <c r="J533" i="1"/>
  <c r="J327" i="1"/>
  <c r="J584" i="1"/>
  <c r="J592" i="1"/>
  <c r="J594" i="1" s="1"/>
  <c r="F413" i="2" s="1"/>
  <c r="J326" i="1"/>
  <c r="H663" i="1"/>
  <c r="H484" i="1"/>
  <c r="H261" i="1"/>
  <c r="H174" i="1"/>
  <c r="H425" i="1"/>
  <c r="H153" i="1"/>
  <c r="J634" i="1"/>
  <c r="J105" i="1"/>
  <c r="J77" i="1"/>
  <c r="J94" i="1" s="1"/>
  <c r="H244" i="1"/>
  <c r="H662" i="1"/>
  <c r="K650" i="1"/>
  <c r="K62" i="1"/>
  <c r="K269" i="1"/>
  <c r="K254" i="1"/>
  <c r="K65" i="1"/>
  <c r="K460" i="1"/>
  <c r="K255" i="1"/>
  <c r="K480" i="1"/>
  <c r="K635" i="1" s="1"/>
  <c r="K472" i="1" s="1"/>
  <c r="K482" i="1" s="1"/>
  <c r="K583" i="1"/>
  <c r="K252" i="1"/>
  <c r="K574" i="1"/>
  <c r="K461" i="1"/>
  <c r="K101" i="1"/>
  <c r="K133" i="1"/>
  <c r="K591" i="1"/>
  <c r="K253" i="1"/>
  <c r="K74" i="1"/>
  <c r="K428" i="1"/>
  <c r="K213" i="1"/>
  <c r="K212" i="1"/>
  <c r="K211" i="1"/>
  <c r="K214" i="1"/>
  <c r="I484" i="1"/>
  <c r="I486" i="1" s="1"/>
  <c r="I488" i="1" s="1"/>
  <c r="I663" i="1"/>
  <c r="I261" i="1"/>
  <c r="I271" i="1" s="1"/>
  <c r="J239" i="1"/>
  <c r="J136" i="1"/>
  <c r="J586" i="1"/>
  <c r="F355" i="2" s="1"/>
  <c r="L448" i="1"/>
  <c r="L46" i="1"/>
  <c r="L641" i="1"/>
  <c r="L512" i="1"/>
  <c r="L638" i="1"/>
  <c r="L121" i="1" s="1"/>
  <c r="L497" i="1"/>
  <c r="I15" i="1"/>
  <c r="J1005" i="2"/>
  <c r="AA1025" i="2"/>
  <c r="AB1025" i="2" s="1"/>
  <c r="H578" i="1"/>
  <c r="H586" i="1"/>
  <c r="K362" i="1"/>
  <c r="K423" i="1"/>
  <c r="K660" i="1"/>
  <c r="K188" i="1"/>
  <c r="K657" i="1"/>
  <c r="K156" i="1"/>
  <c r="K162" i="1" s="1"/>
  <c r="K659" i="1"/>
  <c r="K177" i="1"/>
  <c r="K183" i="1" s="1"/>
  <c r="K666" i="1"/>
  <c r="K48" i="1"/>
  <c r="K571" i="1"/>
  <c r="K570" i="1"/>
  <c r="K569" i="1"/>
  <c r="J379" i="1"/>
  <c r="H183" i="1"/>
  <c r="J635" i="1"/>
  <c r="H162" i="1"/>
  <c r="K384" i="1"/>
  <c r="K121" i="1"/>
  <c r="M23" i="1"/>
  <c r="M388" i="1"/>
  <c r="M149" i="1"/>
  <c r="M581" i="1"/>
  <c r="M298" i="1"/>
  <c r="M507" i="1"/>
  <c r="M293" i="1"/>
  <c r="M418" i="1"/>
  <c r="M72" i="1"/>
  <c r="M366" i="1"/>
  <c r="M285" i="1"/>
  <c r="M506" i="1"/>
  <c r="M302" i="1"/>
  <c r="M64" i="1"/>
  <c r="M299" i="1"/>
  <c r="M191" i="1"/>
  <c r="M508" i="1"/>
  <c r="M367" i="1"/>
  <c r="M158" i="1"/>
  <c r="M501" i="1"/>
  <c r="M407" i="1"/>
  <c r="M19" i="1"/>
  <c r="M408" i="1"/>
  <c r="M73" i="1"/>
  <c r="M397" i="1"/>
  <c r="M189" i="1"/>
  <c r="M491" i="1"/>
  <c r="M287" i="1"/>
  <c r="M589" i="1"/>
  <c r="M284" i="1"/>
  <c r="M27" i="1"/>
  <c r="M377" i="1"/>
  <c r="M292" i="1"/>
  <c r="M495" i="1"/>
  <c r="M201" i="1"/>
  <c r="M410" i="1"/>
  <c r="M40" i="1"/>
  <c r="M296" i="1"/>
  <c r="M178" i="1"/>
  <c r="M494" i="1"/>
  <c r="M216" i="1"/>
  <c r="M37" i="1"/>
  <c r="M475" i="1" s="1"/>
  <c r="M159" i="1"/>
  <c r="M202" i="1"/>
  <c r="M493" i="1"/>
  <c r="M385" i="1"/>
  <c r="M170" i="1"/>
  <c r="M417" i="1"/>
  <c r="M151" i="1"/>
  <c r="M364" i="1"/>
  <c r="M504" i="1"/>
  <c r="M181" i="1"/>
  <c r="M157" i="1"/>
  <c r="M411" i="1"/>
  <c r="M200" i="1"/>
  <c r="M510" i="1"/>
  <c r="M180" i="1"/>
  <c r="M639" i="1"/>
  <c r="M396" i="1"/>
  <c r="M169" i="1"/>
  <c r="M365" i="1"/>
  <c r="M251" i="1"/>
  <c r="M190" i="1"/>
  <c r="N2" i="1"/>
  <c r="M172" i="1"/>
  <c r="M419" i="1"/>
  <c r="M215" i="1"/>
  <c r="M505" i="1"/>
  <c r="M363" i="1"/>
  <c r="M41" i="1"/>
  <c r="M268" i="1" s="1"/>
  <c r="M146" i="1"/>
  <c r="M375" i="1"/>
  <c r="M38" i="1"/>
  <c r="M265" i="1" s="1"/>
  <c r="M113" i="1"/>
  <c r="M409" i="1"/>
  <c r="M199" i="1"/>
  <c r="M145" i="1"/>
  <c r="M368" i="1"/>
  <c r="M147" i="1"/>
  <c r="M295" i="1"/>
  <c r="M492" i="1"/>
  <c r="M160" i="1"/>
  <c r="M503" i="1"/>
  <c r="M389" i="1"/>
  <c r="M39" i="1"/>
  <c r="M266" i="1" s="1"/>
  <c r="M150" i="1"/>
  <c r="M374" i="1"/>
  <c r="M217" i="1"/>
  <c r="M131" i="1"/>
  <c r="M168" i="1"/>
  <c r="M179" i="1"/>
  <c r="M294" i="1"/>
  <c r="M36" i="1"/>
  <c r="M473" i="1" s="1"/>
  <c r="M286" i="1"/>
  <c r="M171" i="1"/>
  <c r="M43" i="1"/>
  <c r="M249" i="1" s="1"/>
  <c r="M300" i="1"/>
  <c r="M395" i="1"/>
  <c r="M500" i="1"/>
  <c r="M283" i="1"/>
  <c r="M301" i="1"/>
  <c r="M509" i="1"/>
  <c r="M297" i="1"/>
  <c r="M386" i="1"/>
  <c r="M430" i="1"/>
  <c r="M376" i="1"/>
  <c r="M416" i="1"/>
  <c r="M429" i="1"/>
  <c r="M502" i="1"/>
  <c r="M398" i="1"/>
  <c r="M33" i="1"/>
  <c r="M446" i="1" s="1"/>
  <c r="M640" i="1"/>
  <c r="M458" i="1"/>
  <c r="M42" i="1"/>
  <c r="M459" i="1" s="1"/>
  <c r="M63" i="1"/>
  <c r="M99" i="1"/>
  <c r="M148" i="1"/>
  <c r="M192" i="1"/>
  <c r="M44" i="1"/>
  <c r="M387" i="1"/>
  <c r="M267" i="1"/>
  <c r="M248" i="1"/>
  <c r="M582" i="1"/>
  <c r="M438" i="1"/>
  <c r="M132" i="1"/>
  <c r="M477" i="1"/>
  <c r="M476" i="1"/>
  <c r="M445" i="1"/>
  <c r="M455" i="1"/>
  <c r="M100" i="1"/>
  <c r="M439" i="1"/>
  <c r="I665" i="1"/>
  <c r="I592" i="1"/>
  <c r="I594" i="1" s="1"/>
  <c r="F412" i="2" s="1"/>
  <c r="I584" i="1"/>
  <c r="I586" i="1" s="1"/>
  <c r="F354" i="2" s="1"/>
  <c r="I327" i="1"/>
  <c r="I575" i="1"/>
  <c r="I326" i="1"/>
  <c r="I533" i="1"/>
  <c r="I534" i="1"/>
  <c r="J15" i="1"/>
  <c r="K448" i="1"/>
  <c r="L204" i="1"/>
  <c r="L289" i="1"/>
  <c r="L29" i="1"/>
  <c r="L631" i="1"/>
  <c r="L373" i="1" s="1"/>
  <c r="L379" i="1" s="1"/>
  <c r="L421" i="1"/>
  <c r="L629" i="1"/>
  <c r="L362" i="1" s="1"/>
  <c r="L370" i="1" s="1"/>
  <c r="L413" i="1"/>
  <c r="L632" i="1"/>
  <c r="L384" i="1" s="1"/>
  <c r="L391" i="1" s="1"/>
  <c r="I273" i="1"/>
  <c r="AA1037" i="2"/>
  <c r="AB1037" i="2" s="1"/>
  <c r="M264" i="1" l="1"/>
  <c r="M573" i="1"/>
  <c r="M456" i="1"/>
  <c r="M454" i="1"/>
  <c r="M457" i="1"/>
  <c r="M245" i="1"/>
  <c r="M479" i="1"/>
  <c r="M247" i="1"/>
  <c r="M478" i="1"/>
  <c r="N973" i="2"/>
  <c r="N986" i="2" s="1"/>
  <c r="N912" i="2"/>
  <c r="N932" i="2"/>
  <c r="O704" i="2"/>
  <c r="O759" i="2"/>
  <c r="O13" i="33" s="1"/>
  <c r="O771" i="2"/>
  <c r="O25" i="33" s="1"/>
  <c r="O760" i="2"/>
  <c r="O14" i="33" s="1"/>
  <c r="P2" i="2"/>
  <c r="O764" i="2"/>
  <c r="O18" i="33" s="1"/>
  <c r="O798" i="2"/>
  <c r="O52" i="33" s="1"/>
  <c r="O1005" i="2"/>
  <c r="O707" i="2"/>
  <c r="O766" i="2"/>
  <c r="O20" i="33" s="1"/>
  <c r="O703" i="2"/>
  <c r="O1008" i="2"/>
  <c r="O1009" i="2"/>
  <c r="O772" i="2"/>
  <c r="O26" i="33" s="1"/>
  <c r="O1010" i="2"/>
  <c r="O901" i="2"/>
  <c r="O983" i="2"/>
  <c r="O984" i="2"/>
  <c r="O700" i="2"/>
  <c r="O768" i="2"/>
  <c r="O22" i="33" s="1"/>
  <c r="O761" i="2"/>
  <c r="O15" i="33" s="1"/>
  <c r="O800" i="2"/>
  <c r="O54" i="33" s="1"/>
  <c r="O702" i="2"/>
  <c r="O701" i="2"/>
  <c r="O797" i="2"/>
  <c r="O51" i="33" s="1"/>
  <c r="O1097" i="2"/>
  <c r="O1002" i="2"/>
  <c r="O698" i="2" s="1"/>
  <c r="O697" i="2"/>
  <c r="O809" i="2" s="1"/>
  <c r="O63" i="33" s="1"/>
  <c r="M263" i="1"/>
  <c r="E977" i="2"/>
  <c r="F975" i="2"/>
  <c r="M246" i="1"/>
  <c r="M453" i="1"/>
  <c r="M474" i="1"/>
  <c r="I275" i="1"/>
  <c r="I277" i="1"/>
  <c r="L658" i="1"/>
  <c r="L402" i="1"/>
  <c r="L167" i="1"/>
  <c r="L174" i="1" s="1"/>
  <c r="L185" i="1" s="1"/>
  <c r="L381" i="1"/>
  <c r="L656" i="1"/>
  <c r="L144" i="1"/>
  <c r="L153" i="1" s="1"/>
  <c r="J67" i="1"/>
  <c r="J667" i="1"/>
  <c r="J576" i="1"/>
  <c r="J578" i="1" s="1"/>
  <c r="N148" i="1"/>
  <c r="N500" i="1"/>
  <c r="N181" i="1"/>
  <c r="N639" i="1"/>
  <c r="N38" i="1"/>
  <c r="N159" i="1"/>
  <c r="N503" i="1"/>
  <c r="N287" i="1"/>
  <c r="N295" i="1"/>
  <c r="N199" i="1"/>
  <c r="N189" i="1"/>
  <c r="N510" i="1"/>
  <c r="N430" i="1"/>
  <c r="N395" i="1"/>
  <c r="N216" i="1"/>
  <c r="N41" i="1"/>
  <c r="N146" i="1"/>
  <c r="N502" i="1"/>
  <c r="N64" i="1"/>
  <c r="N368" i="1"/>
  <c r="N284" i="1"/>
  <c r="N505" i="1"/>
  <c r="N408" i="1"/>
  <c r="N293" i="1"/>
  <c r="N508" i="1"/>
  <c r="N171" i="1"/>
  <c r="N374" i="1"/>
  <c r="N145" i="1"/>
  <c r="N455" i="1"/>
  <c r="N397" i="1"/>
  <c r="N201" i="1"/>
  <c r="N191" i="1"/>
  <c r="N150" i="1"/>
  <c r="N23" i="1"/>
  <c r="N495" i="1"/>
  <c r="N42" i="1"/>
  <c r="N160" i="1"/>
  <c r="N149" i="1"/>
  <c r="N493" i="1"/>
  <c r="N300" i="1"/>
  <c r="N170" i="1"/>
  <c r="N491" i="1"/>
  <c r="N190" i="1"/>
  <c r="N458" i="1"/>
  <c r="N407" i="1"/>
  <c r="N37" i="1"/>
  <c r="N638" i="1" s="1"/>
  <c r="N121" i="1" s="1"/>
  <c r="N285" i="1"/>
  <c r="N99" i="1"/>
  <c r="N376" i="1"/>
  <c r="N301" i="1"/>
  <c r="N158" i="1"/>
  <c r="N180" i="1"/>
  <c r="N131" i="1"/>
  <c r="N72" i="1"/>
  <c r="N192" i="1"/>
  <c r="N479" i="1"/>
  <c r="N33" i="1"/>
  <c r="N651" i="1" s="1"/>
  <c r="N27" i="1"/>
  <c r="N296" i="1"/>
  <c r="N386" i="1"/>
  <c r="N63" i="1"/>
  <c r="N302" i="1"/>
  <c r="N442" i="1"/>
  <c r="N476" i="1"/>
  <c r="N250" i="1"/>
  <c r="N283" i="1"/>
  <c r="N36" i="1"/>
  <c r="N398" i="1"/>
  <c r="N387" i="1"/>
  <c r="N375" i="1"/>
  <c r="N248" i="1"/>
  <c r="N217" i="1"/>
  <c r="N39" i="1"/>
  <c r="N266" i="1" s="1"/>
  <c r="N113" i="1"/>
  <c r="N504" i="1"/>
  <c r="N19" i="1"/>
  <c r="N29" i="1" s="1"/>
  <c r="N366" i="1"/>
  <c r="N507" i="1"/>
  <c r="N377" i="1"/>
  <c r="N172" i="1"/>
  <c r="N44" i="1"/>
  <c r="N396" i="1"/>
  <c r="N268" i="1"/>
  <c r="N286" i="1"/>
  <c r="N581" i="1"/>
  <c r="N294" i="1"/>
  <c r="N43" i="1"/>
  <c r="N249" i="1" s="1"/>
  <c r="N157" i="1"/>
  <c r="N416" i="1"/>
  <c r="N168" i="1"/>
  <c r="N151" i="1"/>
  <c r="N429" i="1"/>
  <c r="N411" i="1"/>
  <c r="O2" i="1"/>
  <c r="N509" i="1"/>
  <c r="N388" i="1"/>
  <c r="N179" i="1"/>
  <c r="N640" i="1"/>
  <c r="N419" i="1"/>
  <c r="N589" i="1"/>
  <c r="N292" i="1"/>
  <c r="N251" i="1"/>
  <c r="N418" i="1"/>
  <c r="N459" i="1"/>
  <c r="N363" i="1"/>
  <c r="N299" i="1"/>
  <c r="N178" i="1"/>
  <c r="N365" i="1"/>
  <c r="N367" i="1"/>
  <c r="N147" i="1"/>
  <c r="N298" i="1"/>
  <c r="N202" i="1"/>
  <c r="N410" i="1"/>
  <c r="N73" i="1"/>
  <c r="N417" i="1"/>
  <c r="N200" i="1"/>
  <c r="N494" i="1"/>
  <c r="N492" i="1"/>
  <c r="N215" i="1"/>
  <c r="N506" i="1"/>
  <c r="N40" i="1"/>
  <c r="N389" i="1"/>
  <c r="N169" i="1"/>
  <c r="N501" i="1"/>
  <c r="N443" i="1"/>
  <c r="N297" i="1"/>
  <c r="N364" i="1"/>
  <c r="N385" i="1"/>
  <c r="N409" i="1"/>
  <c r="N582" i="1"/>
  <c r="N438" i="1"/>
  <c r="N478" i="1"/>
  <c r="N246" i="1"/>
  <c r="N444" i="1"/>
  <c r="N446" i="1"/>
  <c r="N263" i="1"/>
  <c r="N267" i="1"/>
  <c r="N245" i="1"/>
  <c r="N474" i="1"/>
  <c r="N573" i="1"/>
  <c r="N441" i="1"/>
  <c r="N440" i="1"/>
  <c r="N100" i="1"/>
  <c r="N229" i="1"/>
  <c r="N453" i="1"/>
  <c r="N230" i="1"/>
  <c r="N236" i="1"/>
  <c r="N457" i="1"/>
  <c r="N473" i="1"/>
  <c r="N456" i="1"/>
  <c r="N445" i="1"/>
  <c r="N452" i="1"/>
  <c r="N439" i="1"/>
  <c r="N132" i="1"/>
  <c r="N265" i="1"/>
  <c r="N572" i="1"/>
  <c r="N571" i="1"/>
  <c r="N570" i="1"/>
  <c r="N569" i="1"/>
  <c r="N477" i="1"/>
  <c r="M632" i="1"/>
  <c r="M384" i="1" s="1"/>
  <c r="M391" i="1" s="1"/>
  <c r="M638" i="1"/>
  <c r="M304" i="1"/>
  <c r="M413" i="1"/>
  <c r="J657" i="1"/>
  <c r="J156" i="1"/>
  <c r="J381" i="1"/>
  <c r="F353" i="2"/>
  <c r="F296" i="2"/>
  <c r="L661" i="1"/>
  <c r="L233" i="1"/>
  <c r="L226" i="1"/>
  <c r="L228" i="1"/>
  <c r="L231" i="1"/>
  <c r="L232" i="1"/>
  <c r="L235" i="1"/>
  <c r="L227" i="1"/>
  <c r="L224" i="1"/>
  <c r="L234" i="1"/>
  <c r="L237" i="1"/>
  <c r="L225" i="1"/>
  <c r="I514" i="1"/>
  <c r="K219" i="1"/>
  <c r="K663" i="1"/>
  <c r="K261" i="1"/>
  <c r="K271" i="1" s="1"/>
  <c r="H257" i="1"/>
  <c r="J451" i="1"/>
  <c r="H185" i="1"/>
  <c r="H271" i="1"/>
  <c r="H125" i="1"/>
  <c r="H111" i="1"/>
  <c r="H123" i="1"/>
  <c r="H653" i="1"/>
  <c r="H93" i="1"/>
  <c r="H79" i="1"/>
  <c r="H112" i="1"/>
  <c r="H124" i="1"/>
  <c r="H126" i="1"/>
  <c r="F9" i="2"/>
  <c r="J659" i="1"/>
  <c r="J177" i="1"/>
  <c r="J402" i="1"/>
  <c r="M230" i="1"/>
  <c r="M572" i="1"/>
  <c r="M229" i="1"/>
  <c r="M442" i="1"/>
  <c r="M236" i="1"/>
  <c r="M440" i="1"/>
  <c r="M452" i="1"/>
  <c r="M262" i="1"/>
  <c r="M590" i="1"/>
  <c r="M443" i="1"/>
  <c r="M512" i="1"/>
  <c r="M204" i="1"/>
  <c r="M641" i="1"/>
  <c r="M497" i="1"/>
  <c r="H164" i="1"/>
  <c r="K634" i="1"/>
  <c r="K451" i="1" s="1"/>
  <c r="K463" i="1" s="1"/>
  <c r="K484" i="1" s="1"/>
  <c r="K486" i="1" s="1"/>
  <c r="L660" i="1"/>
  <c r="L423" i="1"/>
  <c r="L188" i="1"/>
  <c r="L194" i="1" s="1"/>
  <c r="L206" i="1" s="1"/>
  <c r="L657" i="1"/>
  <c r="L156" i="1"/>
  <c r="L162" i="1" s="1"/>
  <c r="L48" i="1"/>
  <c r="L666" i="1"/>
  <c r="L571" i="1"/>
  <c r="L569" i="1"/>
  <c r="L570" i="1"/>
  <c r="K661" i="1"/>
  <c r="K231" i="1"/>
  <c r="K232" i="1"/>
  <c r="K234" i="1"/>
  <c r="K226" i="1"/>
  <c r="K237" i="1"/>
  <c r="K225" i="1"/>
  <c r="K224" i="1"/>
  <c r="K235" i="1"/>
  <c r="K233" i="1"/>
  <c r="K227" i="1"/>
  <c r="K228" i="1"/>
  <c r="M651" i="1"/>
  <c r="M421" i="1"/>
  <c r="M289" i="1"/>
  <c r="M633" i="1"/>
  <c r="M631" i="1"/>
  <c r="M373" i="1" s="1"/>
  <c r="M379" i="1" s="1"/>
  <c r="M629" i="1"/>
  <c r="M362" i="1" s="1"/>
  <c r="M370" i="1" s="1"/>
  <c r="M29" i="1"/>
  <c r="K391" i="1"/>
  <c r="J472" i="1"/>
  <c r="K649" i="1"/>
  <c r="K134" i="1"/>
  <c r="K75" i="1"/>
  <c r="K77" i="1" s="1"/>
  <c r="K103" i="1"/>
  <c r="K11" i="1"/>
  <c r="K12" i="1"/>
  <c r="K102" i="1"/>
  <c r="K13" i="1"/>
  <c r="K61" i="1"/>
  <c r="K60" i="1"/>
  <c r="K10" i="1"/>
  <c r="K58" i="1"/>
  <c r="K9" i="1"/>
  <c r="K194" i="1"/>
  <c r="K370" i="1"/>
  <c r="I67" i="1"/>
  <c r="I667" i="1"/>
  <c r="I576" i="1"/>
  <c r="L212" i="1"/>
  <c r="L428" i="1"/>
  <c r="L432" i="1" s="1"/>
  <c r="L211" i="1"/>
  <c r="L214" i="1"/>
  <c r="L213" i="1"/>
  <c r="L650" i="1"/>
  <c r="L480" i="1"/>
  <c r="L461" i="1"/>
  <c r="L269" i="1"/>
  <c r="L255" i="1"/>
  <c r="L74" i="1"/>
  <c r="L460" i="1"/>
  <c r="L634" i="1" s="1"/>
  <c r="L451" i="1" s="1"/>
  <c r="L463" i="1" s="1"/>
  <c r="L101" i="1"/>
  <c r="L65" i="1"/>
  <c r="L574" i="1"/>
  <c r="L591" i="1"/>
  <c r="L133" i="1"/>
  <c r="L252" i="1"/>
  <c r="L62" i="1"/>
  <c r="L254" i="1"/>
  <c r="L583" i="1"/>
  <c r="L253" i="1"/>
  <c r="K432" i="1"/>
  <c r="H486" i="1"/>
  <c r="F411" i="2"/>
  <c r="I578" i="1"/>
  <c r="M441" i="1"/>
  <c r="M46" i="1"/>
  <c r="M444" i="1"/>
  <c r="M250" i="1"/>
  <c r="N475" i="1" l="1"/>
  <c r="N454" i="1"/>
  <c r="N264" i="1"/>
  <c r="N632" i="1"/>
  <c r="N384" i="1" s="1"/>
  <c r="N391" i="1" s="1"/>
  <c r="N167" i="1" s="1"/>
  <c r="N174" i="1" s="1"/>
  <c r="N247" i="1"/>
  <c r="D34" i="28"/>
  <c r="F34" i="28" s="1"/>
  <c r="K34" i="28" s="1"/>
  <c r="L34" i="28" s="1"/>
  <c r="P704" i="2"/>
  <c r="P1008" i="2"/>
  <c r="P764" i="2"/>
  <c r="P18" i="33" s="1"/>
  <c r="P759" i="2"/>
  <c r="P13" i="33" s="1"/>
  <c r="P703" i="2"/>
  <c r="P901" i="2"/>
  <c r="Q2" i="2"/>
  <c r="P798" i="2"/>
  <c r="P52" i="33" s="1"/>
  <c r="P760" i="2"/>
  <c r="P14" i="33" s="1"/>
  <c r="P707" i="2"/>
  <c r="P772" i="2"/>
  <c r="P26" i="33" s="1"/>
  <c r="P1005" i="2"/>
  <c r="P771" i="2"/>
  <c r="P25" i="33" s="1"/>
  <c r="P766" i="2"/>
  <c r="P20" i="33" s="1"/>
  <c r="P984" i="2"/>
  <c r="P1010" i="2"/>
  <c r="P983" i="2"/>
  <c r="P761" i="2"/>
  <c r="P15" i="33" s="1"/>
  <c r="P797" i="2"/>
  <c r="P51" i="33" s="1"/>
  <c r="P800" i="2"/>
  <c r="P54" i="33" s="1"/>
  <c r="P700" i="2"/>
  <c r="P701" i="2"/>
  <c r="P1002" i="2"/>
  <c r="P768" i="2"/>
  <c r="P22" i="33" s="1"/>
  <c r="P1097" i="2"/>
  <c r="P702" i="2"/>
  <c r="P698" i="2"/>
  <c r="P697" i="2"/>
  <c r="P809" i="2" s="1"/>
  <c r="P63" i="33" s="1"/>
  <c r="P1009" i="2"/>
  <c r="D43" i="28"/>
  <c r="F43" i="28" s="1"/>
  <c r="K43" i="28" s="1"/>
  <c r="L43" i="28" s="1"/>
  <c r="O973" i="2"/>
  <c r="O986" i="2" s="1"/>
  <c r="O912" i="2"/>
  <c r="O932" i="2"/>
  <c r="N590" i="1"/>
  <c r="M448" i="1"/>
  <c r="M661" i="1" s="1"/>
  <c r="M237" i="1"/>
  <c r="M228" i="1"/>
  <c r="M233" i="1"/>
  <c r="M224" i="1"/>
  <c r="M232" i="1"/>
  <c r="M226" i="1"/>
  <c r="M231" i="1"/>
  <c r="M650" i="1"/>
  <c r="M74" i="1"/>
  <c r="M133" i="1"/>
  <c r="M480" i="1"/>
  <c r="M635" i="1" s="1"/>
  <c r="M472" i="1" s="1"/>
  <c r="M482" i="1" s="1"/>
  <c r="M591" i="1"/>
  <c r="M461" i="1"/>
  <c r="M634" i="1" s="1"/>
  <c r="M451" i="1" s="1"/>
  <c r="M463" i="1" s="1"/>
  <c r="M269" i="1"/>
  <c r="M253" i="1"/>
  <c r="M460" i="1"/>
  <c r="M62" i="1"/>
  <c r="M254" i="1"/>
  <c r="M252" i="1"/>
  <c r="M574" i="1"/>
  <c r="M101" i="1"/>
  <c r="M255" i="1"/>
  <c r="M65" i="1"/>
  <c r="M583" i="1"/>
  <c r="L635" i="1"/>
  <c r="K665" i="1"/>
  <c r="K326" i="1"/>
  <c r="K584" i="1"/>
  <c r="K533" i="1"/>
  <c r="K327" i="1"/>
  <c r="K592" i="1"/>
  <c r="K534" i="1"/>
  <c r="K575" i="1"/>
  <c r="H208" i="1"/>
  <c r="J183" i="1"/>
  <c r="H96" i="1"/>
  <c r="H128" i="1"/>
  <c r="J463" i="1"/>
  <c r="H273" i="1"/>
  <c r="J425" i="1"/>
  <c r="M660" i="1"/>
  <c r="M423" i="1"/>
  <c r="M188" i="1"/>
  <c r="M121" i="1"/>
  <c r="M658" i="1"/>
  <c r="M167" i="1"/>
  <c r="M174" i="1" s="1"/>
  <c r="N46" i="1"/>
  <c r="N204" i="1"/>
  <c r="N512" i="1"/>
  <c r="F298" i="2"/>
  <c r="J653" i="1"/>
  <c r="J79" i="1"/>
  <c r="J93" i="1"/>
  <c r="J96" i="1" s="1"/>
  <c r="J126" i="1"/>
  <c r="J123" i="1"/>
  <c r="J112" i="1"/>
  <c r="J124" i="1"/>
  <c r="J125" i="1"/>
  <c r="J111" i="1"/>
  <c r="F11" i="2"/>
  <c r="L219" i="1"/>
  <c r="N448" i="1"/>
  <c r="N629" i="1"/>
  <c r="N362" i="1" s="1"/>
  <c r="N370" i="1" s="1"/>
  <c r="N304" i="1"/>
  <c r="N421" i="1"/>
  <c r="N413" i="1"/>
  <c r="N631" i="1"/>
  <c r="N373" i="1" s="1"/>
  <c r="N633" i="1"/>
  <c r="N394" i="1" s="1"/>
  <c r="N400" i="1" s="1"/>
  <c r="K94" i="1"/>
  <c r="F297" i="2"/>
  <c r="H488" i="1"/>
  <c r="L662" i="1"/>
  <c r="L244" i="1"/>
  <c r="L257" i="1" s="1"/>
  <c r="I93" i="1"/>
  <c r="I96" i="1" s="1"/>
  <c r="I79" i="1"/>
  <c r="I653" i="1"/>
  <c r="I112" i="1"/>
  <c r="I126" i="1"/>
  <c r="I125" i="1"/>
  <c r="I124" i="1"/>
  <c r="F10" i="2"/>
  <c r="I123" i="1"/>
  <c r="I111" i="1"/>
  <c r="K656" i="1"/>
  <c r="K381" i="1"/>
  <c r="K144" i="1"/>
  <c r="K206" i="1"/>
  <c r="K15" i="1"/>
  <c r="K105" i="1"/>
  <c r="J482" i="1"/>
  <c r="K658" i="1"/>
  <c r="K402" i="1"/>
  <c r="K167" i="1"/>
  <c r="M666" i="1"/>
  <c r="M48" i="1"/>
  <c r="M570" i="1"/>
  <c r="M569" i="1"/>
  <c r="M571" i="1"/>
  <c r="M381" i="1"/>
  <c r="M656" i="1"/>
  <c r="M144" i="1"/>
  <c r="M153" i="1" s="1"/>
  <c r="M657" i="1"/>
  <c r="M156" i="1"/>
  <c r="M162" i="1" s="1"/>
  <c r="M394" i="1"/>
  <c r="K239" i="1"/>
  <c r="L649" i="1"/>
  <c r="L103" i="1"/>
  <c r="L102" i="1"/>
  <c r="L105" i="1" s="1"/>
  <c r="L9" i="1"/>
  <c r="L11" i="1"/>
  <c r="L60" i="1"/>
  <c r="L13" i="1"/>
  <c r="L134" i="1"/>
  <c r="L136" i="1" s="1"/>
  <c r="L58" i="1"/>
  <c r="L75" i="1"/>
  <c r="L77" i="1" s="1"/>
  <c r="L10" i="1"/>
  <c r="L61" i="1"/>
  <c r="L12" i="1"/>
  <c r="K662" i="1"/>
  <c r="K244" i="1"/>
  <c r="K257" i="1" s="1"/>
  <c r="K273" i="1" s="1"/>
  <c r="M212" i="1"/>
  <c r="M213" i="1"/>
  <c r="M211" i="1"/>
  <c r="M428" i="1"/>
  <c r="M432" i="1" s="1"/>
  <c r="M214" i="1"/>
  <c r="I664" i="1"/>
  <c r="I529" i="1"/>
  <c r="I316" i="1"/>
  <c r="I525" i="1"/>
  <c r="I320" i="1"/>
  <c r="I321" i="1"/>
  <c r="I523" i="1"/>
  <c r="I526" i="1"/>
  <c r="I315" i="1"/>
  <c r="I325" i="1"/>
  <c r="I524" i="1"/>
  <c r="I532" i="1"/>
  <c r="I318" i="1"/>
  <c r="I531" i="1"/>
  <c r="I324" i="1"/>
  <c r="I528" i="1"/>
  <c r="I317" i="1"/>
  <c r="J162" i="1"/>
  <c r="N658" i="1"/>
  <c r="N402" i="1"/>
  <c r="O216" i="1"/>
  <c r="O491" i="1"/>
  <c r="O395" i="1"/>
  <c r="O508" i="1"/>
  <c r="O283" i="1"/>
  <c r="O41" i="1"/>
  <c r="O158" i="1"/>
  <c r="O506" i="1"/>
  <c r="O363" i="1"/>
  <c r="O495" i="1"/>
  <c r="O296" i="1"/>
  <c r="O145" i="1"/>
  <c r="O301" i="1"/>
  <c r="O191" i="1"/>
  <c r="O510" i="1"/>
  <c r="O385" i="1"/>
  <c r="O39" i="1"/>
  <c r="O160" i="1"/>
  <c r="O300" i="1"/>
  <c r="O44" i="1"/>
  <c r="O387" i="1"/>
  <c r="O64" i="1"/>
  <c r="O298" i="1"/>
  <c r="O199" i="1"/>
  <c r="O147" i="1"/>
  <c r="O364" i="1"/>
  <c r="O19" i="1"/>
  <c r="O409" i="1"/>
  <c r="O202" i="1"/>
  <c r="O502" i="1"/>
  <c r="O292" i="1"/>
  <c r="O33" i="1"/>
  <c r="O573" i="1" s="1"/>
  <c r="O73" i="1"/>
  <c r="O374" i="1"/>
  <c r="O40" i="1"/>
  <c r="O294" i="1"/>
  <c r="O181" i="1"/>
  <c r="O38" i="1"/>
  <c r="O159" i="1"/>
  <c r="O299" i="1"/>
  <c r="O113" i="1"/>
  <c r="O430" i="1"/>
  <c r="O171" i="1"/>
  <c r="O501" i="1"/>
  <c r="O284" i="1"/>
  <c r="O42" i="1"/>
  <c r="O168" i="1"/>
  <c r="O408" i="1"/>
  <c r="O189" i="1"/>
  <c r="O458" i="1"/>
  <c r="O150" i="1"/>
  <c r="O419" i="1"/>
  <c r="O146" i="1"/>
  <c r="O365" i="1"/>
  <c r="O398" i="1"/>
  <c r="O43" i="1"/>
  <c r="O267" i="1" s="1"/>
  <c r="O169" i="1"/>
  <c r="O386" i="1"/>
  <c r="O157" i="1"/>
  <c r="O509" i="1"/>
  <c r="O367" i="1"/>
  <c r="O494" i="1"/>
  <c r="O268" i="1"/>
  <c r="O27" i="1"/>
  <c r="O377" i="1"/>
  <c r="O149" i="1"/>
  <c r="O407" i="1"/>
  <c r="O99" i="1"/>
  <c r="O297" i="1"/>
  <c r="O457" i="1"/>
  <c r="O397" i="1"/>
  <c r="O215" i="1"/>
  <c r="O417" i="1"/>
  <c r="O179" i="1"/>
  <c r="O492" i="1"/>
  <c r="O287" i="1"/>
  <c r="O493" i="1"/>
  <c r="O376" i="1"/>
  <c r="O192" i="1"/>
  <c r="O507" i="1"/>
  <c r="O477" i="1"/>
  <c r="O251" i="1"/>
  <c r="O500" i="1"/>
  <c r="O201" i="1"/>
  <c r="O505" i="1"/>
  <c r="O172" i="1"/>
  <c r="O72" i="1"/>
  <c r="O389" i="1"/>
  <c r="O170" i="1"/>
  <c r="O418" i="1"/>
  <c r="O180" i="1"/>
  <c r="P2" i="1"/>
  <c r="O302" i="1"/>
  <c r="O37" i="1"/>
  <c r="O475" i="1" s="1"/>
  <c r="O178" i="1"/>
  <c r="O429" i="1"/>
  <c r="O200" i="1"/>
  <c r="O410" i="1"/>
  <c r="O190" i="1"/>
  <c r="O589" i="1"/>
  <c r="O388" i="1"/>
  <c r="O265" i="1"/>
  <c r="O285" i="1"/>
  <c r="O503" i="1"/>
  <c r="O217" i="1"/>
  <c r="O63" i="1"/>
  <c r="O366" i="1"/>
  <c r="O131" i="1"/>
  <c r="O411" i="1"/>
  <c r="O459" i="1"/>
  <c r="O368" i="1"/>
  <c r="O640" i="1"/>
  <c r="O293" i="1"/>
  <c r="O639" i="1"/>
  <c r="O641" i="1" s="1"/>
  <c r="O214" i="1" s="1"/>
  <c r="O396" i="1"/>
  <c r="O23" i="1"/>
  <c r="O295" i="1"/>
  <c r="O148" i="1"/>
  <c r="O581" i="1"/>
  <c r="O456" i="1"/>
  <c r="O286" i="1"/>
  <c r="O504" i="1"/>
  <c r="O375" i="1"/>
  <c r="O36" i="1"/>
  <c r="O46" i="1" s="1"/>
  <c r="O650" i="1" s="1"/>
  <c r="O151" i="1"/>
  <c r="O416" i="1"/>
  <c r="O264" i="1"/>
  <c r="O590" i="1"/>
  <c r="O247" i="1"/>
  <c r="O428" i="1"/>
  <c r="O432" i="1" s="1"/>
  <c r="O446" i="1"/>
  <c r="O249" i="1"/>
  <c r="O248" i="1"/>
  <c r="O230" i="1"/>
  <c r="O229" i="1"/>
  <c r="O132" i="1"/>
  <c r="O445" i="1"/>
  <c r="O479" i="1"/>
  <c r="O476" i="1"/>
  <c r="O62" i="1"/>
  <c r="O438" i="1"/>
  <c r="O236" i="1"/>
  <c r="O100" i="1"/>
  <c r="O582" i="1"/>
  <c r="O442" i="1"/>
  <c r="O454" i="1"/>
  <c r="O440" i="1"/>
  <c r="O572" i="1"/>
  <c r="O250" i="1"/>
  <c r="O455" i="1"/>
  <c r="O269" i="1"/>
  <c r="O252" i="1"/>
  <c r="O266" i="1"/>
  <c r="N666" i="1"/>
  <c r="N48" i="1"/>
  <c r="N641" i="1"/>
  <c r="I306" i="1"/>
  <c r="K136" i="1"/>
  <c r="L239" i="1"/>
  <c r="N289" i="1"/>
  <c r="N497" i="1"/>
  <c r="N262" i="1"/>
  <c r="L164" i="1"/>
  <c r="L208" i="1" s="1"/>
  <c r="L221" i="1" s="1"/>
  <c r="L425" i="1"/>
  <c r="M234" i="1" l="1"/>
  <c r="O263" i="1"/>
  <c r="O461" i="1"/>
  <c r="O74" i="1"/>
  <c r="O473" i="1"/>
  <c r="O443" i="1"/>
  <c r="O441" i="1"/>
  <c r="O478" i="1"/>
  <c r="K275" i="1"/>
  <c r="M235" i="1"/>
  <c r="O213" i="1"/>
  <c r="O444" i="1"/>
  <c r="O439" i="1"/>
  <c r="M227" i="1"/>
  <c r="O212" i="1"/>
  <c r="O211" i="1"/>
  <c r="M225" i="1"/>
  <c r="D43" i="31"/>
  <c r="F43" i="31" s="1"/>
  <c r="K43" i="31" s="1"/>
  <c r="L43" i="31" s="1"/>
  <c r="P932" i="2"/>
  <c r="P912" i="2"/>
  <c r="P973" i="2"/>
  <c r="P986" i="2" s="1"/>
  <c r="D34" i="31"/>
  <c r="F34" i="31" s="1"/>
  <c r="K34" i="31" s="1"/>
  <c r="L34" i="31" s="1"/>
  <c r="Q704" i="2"/>
  <c r="Q764" i="2"/>
  <c r="Q18" i="33" s="1"/>
  <c r="Q800" i="2"/>
  <c r="Q54" i="33" s="1"/>
  <c r="Q1002" i="2"/>
  <c r="Q1097" i="2"/>
  <c r="Q772" i="2"/>
  <c r="Q26" i="33" s="1"/>
  <c r="Q771" i="2"/>
  <c r="Q25" i="33" s="1"/>
  <c r="Q702" i="2"/>
  <c r="Q707" i="2"/>
  <c r="Q798" i="2"/>
  <c r="Q52" i="33" s="1"/>
  <c r="R2" i="2"/>
  <c r="Q768" i="2"/>
  <c r="Q22" i="33" s="1"/>
  <c r="Q759" i="2"/>
  <c r="Q13" i="33" s="1"/>
  <c r="Q760" i="2"/>
  <c r="Q14" i="33" s="1"/>
  <c r="Q766" i="2"/>
  <c r="Q20" i="33" s="1"/>
  <c r="Q983" i="2"/>
  <c r="Q700" i="2"/>
  <c r="Q901" i="2"/>
  <c r="Q797" i="2"/>
  <c r="Q51" i="33" s="1"/>
  <c r="Q761" i="2"/>
  <c r="Q15" i="33" s="1"/>
  <c r="Q701" i="2"/>
  <c r="Q984" i="2"/>
  <c r="Q1008" i="2"/>
  <c r="Q703" i="2"/>
  <c r="Q1010" i="2"/>
  <c r="Q1009" i="2"/>
  <c r="Q1005" i="2"/>
  <c r="Q697" i="2"/>
  <c r="Q809" i="2" s="1"/>
  <c r="Q63" i="33" s="1"/>
  <c r="O254" i="1"/>
  <c r="O253" i="1"/>
  <c r="O480" i="1"/>
  <c r="O474" i="1"/>
  <c r="O246" i="1"/>
  <c r="O583" i="1"/>
  <c r="O574" i="1"/>
  <c r="O65" i="1"/>
  <c r="O591" i="1"/>
  <c r="O101" i="1"/>
  <c r="O133" i="1"/>
  <c r="O460" i="1"/>
  <c r="O255" i="1"/>
  <c r="O262" i="1"/>
  <c r="O452" i="1"/>
  <c r="L15" i="1"/>
  <c r="L67" i="1" s="1"/>
  <c r="F1105" i="2"/>
  <c r="L94" i="1"/>
  <c r="N649" i="1"/>
  <c r="N134" i="1"/>
  <c r="N11" i="1"/>
  <c r="N9" i="1"/>
  <c r="N60" i="1"/>
  <c r="N75" i="1"/>
  <c r="N10" i="1"/>
  <c r="N13" i="1"/>
  <c r="N61" i="1"/>
  <c r="N58" i="1"/>
  <c r="N12" i="1"/>
  <c r="N102" i="1"/>
  <c r="N103" i="1"/>
  <c r="O448" i="1"/>
  <c r="O413" i="1"/>
  <c r="O631" i="1"/>
  <c r="O373" i="1" s="1"/>
  <c r="O379" i="1" s="1"/>
  <c r="O651" i="1"/>
  <c r="O29" i="1"/>
  <c r="O629" i="1"/>
  <c r="O362" i="1" s="1"/>
  <c r="O370" i="1" s="1"/>
  <c r="O289" i="1"/>
  <c r="O633" i="1"/>
  <c r="J164" i="1"/>
  <c r="M400" i="1"/>
  <c r="M649" i="1"/>
  <c r="M10" i="1"/>
  <c r="M75" i="1"/>
  <c r="M58" i="1"/>
  <c r="M61" i="1"/>
  <c r="M103" i="1"/>
  <c r="M13" i="1"/>
  <c r="M11" i="1"/>
  <c r="M60" i="1"/>
  <c r="M134" i="1"/>
  <c r="M12" i="1"/>
  <c r="M9" i="1"/>
  <c r="M102" i="1"/>
  <c r="M105" i="1" s="1"/>
  <c r="N379" i="1"/>
  <c r="N381" i="1" s="1"/>
  <c r="N656" i="1"/>
  <c r="N144" i="1"/>
  <c r="N153" i="1" s="1"/>
  <c r="K586" i="1"/>
  <c r="M484" i="1"/>
  <c r="M486" i="1" s="1"/>
  <c r="M663" i="1"/>
  <c r="M261" i="1"/>
  <c r="M271" i="1" s="1"/>
  <c r="O635" i="1"/>
  <c r="O472" i="1" s="1"/>
  <c r="O482" i="1" s="1"/>
  <c r="O512" i="1"/>
  <c r="O245" i="1"/>
  <c r="M219" i="1"/>
  <c r="M164" i="1"/>
  <c r="K425" i="1"/>
  <c r="K488" i="1" s="1"/>
  <c r="M77" i="1"/>
  <c r="M94" i="1" s="1"/>
  <c r="M239" i="1"/>
  <c r="I655" i="1"/>
  <c r="I118" i="1"/>
  <c r="N212" i="1"/>
  <c r="N213" i="1"/>
  <c r="N214" i="1"/>
  <c r="N211" i="1"/>
  <c r="N428" i="1"/>
  <c r="N432" i="1" s="1"/>
  <c r="O421" i="1"/>
  <c r="O638" i="1"/>
  <c r="P171" i="1"/>
  <c r="P493" i="1"/>
  <c r="P216" i="1"/>
  <c r="P510" i="1"/>
  <c r="P397" i="1"/>
  <c r="P581" i="1"/>
  <c r="P398" i="1"/>
  <c r="P27" i="1"/>
  <c r="P395" i="1"/>
  <c r="P181" i="1"/>
  <c r="P639" i="1"/>
  <c r="P385" i="1"/>
  <c r="P386" i="1"/>
  <c r="P492" i="1"/>
  <c r="P180" i="1"/>
  <c r="P505" i="1"/>
  <c r="P374" i="1"/>
  <c r="P72" i="1"/>
  <c r="P389" i="1"/>
  <c r="P73" i="1"/>
  <c r="P298" i="1"/>
  <c r="P387" i="1"/>
  <c r="P37" i="1"/>
  <c r="P172" i="1"/>
  <c r="P506" i="1"/>
  <c r="P367" i="1"/>
  <c r="P23" i="1"/>
  <c r="P368" i="1"/>
  <c r="P640" i="1"/>
  <c r="P294" i="1"/>
  <c r="Q2" i="1"/>
  <c r="P366" i="1"/>
  <c r="P38" i="1"/>
  <c r="P151" i="1"/>
  <c r="P409" i="1"/>
  <c r="P36" i="1"/>
  <c r="P246" i="1" s="1"/>
  <c r="P43" i="1"/>
  <c r="P113" i="1"/>
  <c r="P410" i="1"/>
  <c r="P149" i="1"/>
  <c r="P407" i="1"/>
  <c r="P285" i="1"/>
  <c r="P42" i="1"/>
  <c r="P459" i="1" s="1"/>
  <c r="P159" i="1"/>
  <c r="P375" i="1"/>
  <c r="P376" i="1"/>
  <c r="P508" i="1"/>
  <c r="P202" i="1"/>
  <c r="P64" i="1"/>
  <c r="P430" i="1"/>
  <c r="P168" i="1"/>
  <c r="P297" i="1"/>
  <c r="P170" i="1"/>
  <c r="P63" i="1"/>
  <c r="P377" i="1"/>
  <c r="P145" i="1"/>
  <c r="P458" i="1"/>
  <c r="P286" i="1"/>
  <c r="P507" i="1"/>
  <c r="P287" i="1"/>
  <c r="P500" i="1"/>
  <c r="P249" i="1"/>
  <c r="P456" i="1"/>
  <c r="P267" i="1"/>
  <c r="P475" i="1"/>
  <c r="P147" i="1"/>
  <c r="P364" i="1"/>
  <c r="P41" i="1"/>
  <c r="P479" i="1" s="1"/>
  <c r="P150" i="1"/>
  <c r="P300" i="1"/>
  <c r="P178" i="1"/>
  <c r="P417" i="1"/>
  <c r="P179" i="1"/>
  <c r="P504" i="1"/>
  <c r="P201" i="1"/>
  <c r="P501" i="1"/>
  <c r="P396" i="1"/>
  <c r="P215" i="1"/>
  <c r="P160" i="1"/>
  <c r="P411" i="1"/>
  <c r="P40" i="1"/>
  <c r="P295" i="1"/>
  <c r="P131" i="1"/>
  <c r="P502" i="1"/>
  <c r="P192" i="1"/>
  <c r="P503" i="1"/>
  <c r="P283" i="1"/>
  <c r="P99" i="1"/>
  <c r="P419" i="1"/>
  <c r="P247" i="1"/>
  <c r="P296" i="1"/>
  <c r="P199" i="1"/>
  <c r="P491" i="1"/>
  <c r="P200" i="1"/>
  <c r="P416" i="1"/>
  <c r="P44" i="1"/>
  <c r="P299" i="1"/>
  <c r="P169" i="1"/>
  <c r="P494" i="1"/>
  <c r="P476" i="1"/>
  <c r="P292" i="1"/>
  <c r="P495" i="1"/>
  <c r="P478" i="1"/>
  <c r="P293" i="1"/>
  <c r="P589" i="1"/>
  <c r="P284" i="1"/>
  <c r="P33" i="1"/>
  <c r="P651" i="1" s="1"/>
  <c r="P158" i="1"/>
  <c r="P408" i="1"/>
  <c r="P217" i="1"/>
  <c r="P189" i="1"/>
  <c r="P418" i="1"/>
  <c r="P157" i="1"/>
  <c r="P429" i="1"/>
  <c r="P191" i="1"/>
  <c r="P19" i="1"/>
  <c r="P29" i="1" s="1"/>
  <c r="P570" i="1" s="1"/>
  <c r="P251" i="1"/>
  <c r="P365" i="1"/>
  <c r="P363" i="1"/>
  <c r="P190" i="1"/>
  <c r="P509" i="1"/>
  <c r="P388" i="1"/>
  <c r="P146" i="1"/>
  <c r="P301" i="1"/>
  <c r="P39" i="1"/>
  <c r="P477" i="1" s="1"/>
  <c r="P148" i="1"/>
  <c r="P302" i="1"/>
  <c r="P473" i="1"/>
  <c r="P263" i="1"/>
  <c r="P245" i="1"/>
  <c r="P569" i="1"/>
  <c r="P264" i="1"/>
  <c r="P454" i="1"/>
  <c r="P265" i="1"/>
  <c r="P248" i="1"/>
  <c r="P455" i="1"/>
  <c r="P266" i="1"/>
  <c r="P262" i="1"/>
  <c r="P453" i="1"/>
  <c r="O304" i="1"/>
  <c r="O632" i="1"/>
  <c r="L665" i="1"/>
  <c r="L326" i="1"/>
  <c r="L533" i="1"/>
  <c r="L575" i="1"/>
  <c r="L327" i="1"/>
  <c r="L584" i="1"/>
  <c r="L586" i="1" s="1"/>
  <c r="F357" i="2" s="1"/>
  <c r="L592" i="1"/>
  <c r="L594" i="1" s="1"/>
  <c r="F415" i="2" s="1"/>
  <c r="L534" i="1"/>
  <c r="K174" i="1"/>
  <c r="J663" i="1"/>
  <c r="J484" i="1"/>
  <c r="J261" i="1"/>
  <c r="K667" i="1"/>
  <c r="K67" i="1"/>
  <c r="K576" i="1"/>
  <c r="K153" i="1"/>
  <c r="K164" i="1" s="1"/>
  <c r="I107" i="1"/>
  <c r="F69" i="2" s="1"/>
  <c r="I604" i="1"/>
  <c r="I530" i="1"/>
  <c r="I319" i="1"/>
  <c r="I322" i="1"/>
  <c r="I329" i="1" s="1"/>
  <c r="I331" i="1" s="1"/>
  <c r="I598" i="1"/>
  <c r="F526" i="2" s="1"/>
  <c r="I323" i="1"/>
  <c r="I602" i="1"/>
  <c r="F641" i="2" s="1"/>
  <c r="I600" i="1"/>
  <c r="F584" i="2" s="1"/>
  <c r="I596" i="1"/>
  <c r="I527" i="1"/>
  <c r="H514" i="1"/>
  <c r="N659" i="1"/>
  <c r="N177" i="1"/>
  <c r="N183" i="1" s="1"/>
  <c r="N185" i="1" s="1"/>
  <c r="N660" i="1"/>
  <c r="N423" i="1"/>
  <c r="N188" i="1"/>
  <c r="N194" i="1" s="1"/>
  <c r="N206" i="1" s="1"/>
  <c r="N661" i="1"/>
  <c r="N226" i="1"/>
  <c r="N231" i="1"/>
  <c r="N225" i="1"/>
  <c r="N237" i="1"/>
  <c r="N234" i="1"/>
  <c r="N224" i="1"/>
  <c r="N232" i="1"/>
  <c r="N228" i="1"/>
  <c r="N233" i="1"/>
  <c r="N227" i="1"/>
  <c r="N235" i="1"/>
  <c r="J107" i="1"/>
  <c r="F70" i="2" s="1"/>
  <c r="J319" i="1"/>
  <c r="J596" i="1"/>
  <c r="J530" i="1"/>
  <c r="J600" i="1"/>
  <c r="F585" i="2" s="1"/>
  <c r="J598" i="1"/>
  <c r="F527" i="2" s="1"/>
  <c r="J527" i="1"/>
  <c r="J602" i="1"/>
  <c r="F642" i="2" s="1"/>
  <c r="J323" i="1"/>
  <c r="J322" i="1"/>
  <c r="J604" i="1"/>
  <c r="N650" i="1"/>
  <c r="N74" i="1"/>
  <c r="N252" i="1"/>
  <c r="N101" i="1"/>
  <c r="N255" i="1"/>
  <c r="N254" i="1"/>
  <c r="N62" i="1"/>
  <c r="N591" i="1"/>
  <c r="N583" i="1"/>
  <c r="N253" i="1"/>
  <c r="N133" i="1"/>
  <c r="N136" i="1" s="1"/>
  <c r="N460" i="1"/>
  <c r="N461" i="1"/>
  <c r="N574" i="1"/>
  <c r="N269" i="1"/>
  <c r="N65" i="1"/>
  <c r="N480" i="1"/>
  <c r="M194" i="1"/>
  <c r="H275" i="1"/>
  <c r="J662" i="1"/>
  <c r="J244" i="1"/>
  <c r="H600" i="1"/>
  <c r="H107" i="1"/>
  <c r="H323" i="1"/>
  <c r="H598" i="1"/>
  <c r="H527" i="1"/>
  <c r="H602" i="1"/>
  <c r="H596" i="1"/>
  <c r="H319" i="1"/>
  <c r="H530" i="1"/>
  <c r="H322" i="1"/>
  <c r="H604" i="1"/>
  <c r="J185" i="1"/>
  <c r="M662" i="1"/>
  <c r="M244" i="1"/>
  <c r="M257" i="1" s="1"/>
  <c r="M273" i="1" s="1"/>
  <c r="M275" i="1" s="1"/>
  <c r="H221" i="1"/>
  <c r="K578" i="1"/>
  <c r="K594" i="1"/>
  <c r="L472" i="1"/>
  <c r="O219" i="1"/>
  <c r="O453" i="1"/>
  <c r="O634" i="1" s="1"/>
  <c r="O451" i="1" s="1"/>
  <c r="O463" i="1" s="1"/>
  <c r="O204" i="1"/>
  <c r="O497" i="1"/>
  <c r="I536" i="1"/>
  <c r="I538" i="1" s="1"/>
  <c r="I128" i="1"/>
  <c r="J128" i="1"/>
  <c r="M136" i="1"/>
  <c r="P452" i="1" l="1"/>
  <c r="P250" i="1"/>
  <c r="P474" i="1"/>
  <c r="P629" i="1"/>
  <c r="P362" i="1" s="1"/>
  <c r="P370" i="1" s="1"/>
  <c r="P144" i="1" s="1"/>
  <c r="P153" i="1" s="1"/>
  <c r="L576" i="1"/>
  <c r="L578" i="1" s="1"/>
  <c r="F300" i="2" s="1"/>
  <c r="P439" i="1"/>
  <c r="L667" i="1"/>
  <c r="P572" i="1"/>
  <c r="P445" i="1"/>
  <c r="Q932" i="2"/>
  <c r="Q973" i="2"/>
  <c r="Q912" i="2"/>
  <c r="R1008" i="2"/>
  <c r="R707" i="2"/>
  <c r="R702" i="2"/>
  <c r="R1097" i="2"/>
  <c r="R703" i="2"/>
  <c r="R766" i="2"/>
  <c r="R20" i="33" s="1"/>
  <c r="R800" i="2"/>
  <c r="R54" i="33" s="1"/>
  <c r="R772" i="2"/>
  <c r="R26" i="33" s="1"/>
  <c r="S2" i="2"/>
  <c r="R901" i="2"/>
  <c r="R797" i="2"/>
  <c r="R51" i="33" s="1"/>
  <c r="R701" i="2"/>
  <c r="R764" i="2"/>
  <c r="R18" i="33" s="1"/>
  <c r="R700" i="2"/>
  <c r="R798" i="2"/>
  <c r="R52" i="33" s="1"/>
  <c r="R761" i="2"/>
  <c r="R15" i="33" s="1"/>
  <c r="R759" i="2"/>
  <c r="R13" i="33" s="1"/>
  <c r="R984" i="2"/>
  <c r="R1005" i="2"/>
  <c r="R1002" i="2"/>
  <c r="R698" i="2" s="1"/>
  <c r="R760" i="2"/>
  <c r="R14" i="33" s="1"/>
  <c r="R771" i="2"/>
  <c r="R25" i="33" s="1"/>
  <c r="R768" i="2"/>
  <c r="R22" i="33" s="1"/>
  <c r="R704" i="2"/>
  <c r="R983" i="2"/>
  <c r="R1010" i="2"/>
  <c r="R1009" i="2"/>
  <c r="R697" i="2"/>
  <c r="R809" i="2" s="1"/>
  <c r="R63" i="33" s="1"/>
  <c r="Q698" i="2"/>
  <c r="N634" i="1"/>
  <c r="M15" i="1"/>
  <c r="P571" i="1"/>
  <c r="P229" i="1"/>
  <c r="P100" i="1"/>
  <c r="P236" i="1"/>
  <c r="P573" i="1"/>
  <c r="P582" i="1"/>
  <c r="P590" i="1"/>
  <c r="P440" i="1"/>
  <c r="N219" i="1"/>
  <c r="N425" i="1"/>
  <c r="O662" i="1"/>
  <c r="O244" i="1"/>
  <c r="O257" i="1" s="1"/>
  <c r="I654" i="1"/>
  <c r="I540" i="1"/>
  <c r="F240" i="2"/>
  <c r="I117" i="1"/>
  <c r="I120" i="1" s="1"/>
  <c r="F414" i="2"/>
  <c r="F468" i="2"/>
  <c r="H606" i="1"/>
  <c r="F583" i="2"/>
  <c r="J257" i="1"/>
  <c r="N635" i="1"/>
  <c r="N239" i="1"/>
  <c r="H523" i="1"/>
  <c r="H321" i="1"/>
  <c r="H324" i="1"/>
  <c r="H664" i="1"/>
  <c r="H529" i="1"/>
  <c r="H318" i="1"/>
  <c r="H528" i="1"/>
  <c r="H317" i="1"/>
  <c r="H315" i="1"/>
  <c r="H524" i="1"/>
  <c r="H526" i="1"/>
  <c r="H320" i="1"/>
  <c r="H531" i="1"/>
  <c r="H525" i="1"/>
  <c r="H325" i="1"/>
  <c r="H316" i="1"/>
  <c r="H532" i="1"/>
  <c r="F469" i="2"/>
  <c r="I606" i="1"/>
  <c r="I608" i="1" s="1"/>
  <c r="J271" i="1"/>
  <c r="K185" i="1"/>
  <c r="K208" i="1" s="1"/>
  <c r="K221" i="1" s="1"/>
  <c r="K277" i="1" s="1"/>
  <c r="H415" i="2"/>
  <c r="L415" i="2"/>
  <c r="Q415" i="2"/>
  <c r="G415" i="2"/>
  <c r="I415" i="2"/>
  <c r="M415" i="2"/>
  <c r="K415" i="2"/>
  <c r="N415" i="2"/>
  <c r="J415" i="2"/>
  <c r="P415" i="2"/>
  <c r="O415" i="2"/>
  <c r="O384" i="1"/>
  <c r="P656" i="1"/>
  <c r="Q160" i="1"/>
  <c r="Q429" i="1"/>
  <c r="Q181" i="1"/>
  <c r="Q419" i="1"/>
  <c r="Q39" i="1"/>
  <c r="Q148" i="1"/>
  <c r="Q374" i="1"/>
  <c r="Q149" i="1"/>
  <c r="Q396" i="1"/>
  <c r="Q158" i="1"/>
  <c r="Q377" i="1"/>
  <c r="Q147" i="1"/>
  <c r="Q387" i="1"/>
  <c r="Q157" i="1"/>
  <c r="Q376" i="1"/>
  <c r="Q190" i="1"/>
  <c r="Q500" i="1"/>
  <c r="Q292" i="1"/>
  <c r="Q36" i="1"/>
  <c r="Q452" i="1" s="1"/>
  <c r="Q99" i="1"/>
  <c r="Q131" i="1"/>
  <c r="Q297" i="1"/>
  <c r="Q172" i="1"/>
  <c r="Q491" i="1"/>
  <c r="Q366" i="1"/>
  <c r="Q509" i="1"/>
  <c r="Q302" i="1"/>
  <c r="Q504" i="1"/>
  <c r="Q23" i="1"/>
  <c r="Q285" i="1"/>
  <c r="Q72" i="1"/>
  <c r="Q364" i="1"/>
  <c r="Q189" i="1"/>
  <c r="Q409" i="1"/>
  <c r="Q41" i="1"/>
  <c r="Q145" i="1"/>
  <c r="Q407" i="1"/>
  <c r="Q40" i="1"/>
  <c r="Q300" i="1"/>
  <c r="Q63" i="1"/>
  <c r="Q385" i="1"/>
  <c r="Q38" i="1"/>
  <c r="Q476" i="1" s="1"/>
  <c r="Q42" i="1"/>
  <c r="Q113" i="1"/>
  <c r="Q375" i="1"/>
  <c r="Q408" i="1"/>
  <c r="Q44" i="1"/>
  <c r="Q410" i="1"/>
  <c r="Q640" i="1"/>
  <c r="Q397" i="1"/>
  <c r="Q501" i="1"/>
  <c r="Q171" i="1"/>
  <c r="Q146" i="1"/>
  <c r="Q411" i="1"/>
  <c r="Q73" i="1"/>
  <c r="Q301" i="1"/>
  <c r="Q294" i="1"/>
  <c r="Q495" i="1"/>
  <c r="Q367" i="1"/>
  <c r="Q179" i="1"/>
  <c r="Q507" i="1"/>
  <c r="Q27" i="1"/>
  <c r="Q286" i="1"/>
  <c r="Q508" i="1"/>
  <c r="Q388" i="1"/>
  <c r="Q505" i="1"/>
  <c r="Q477" i="1"/>
  <c r="Q216" i="1"/>
  <c r="Q19" i="1"/>
  <c r="Q217" i="1"/>
  <c r="R2" i="1"/>
  <c r="Q284" i="1"/>
  <c r="Q639" i="1"/>
  <c r="Q641" i="1" s="1"/>
  <c r="Q212" i="1" s="1"/>
  <c r="Q168" i="1"/>
  <c r="Q502" i="1"/>
  <c r="Q283" i="1"/>
  <c r="Q503" i="1"/>
  <c r="Q389" i="1"/>
  <c r="Q299" i="1"/>
  <c r="Q293" i="1"/>
  <c r="Q453" i="1"/>
  <c r="Q363" i="1"/>
  <c r="Q37" i="1"/>
  <c r="Q454" i="1" s="1"/>
  <c r="Q296" i="1"/>
  <c r="Q506" i="1"/>
  <c r="Q368" i="1"/>
  <c r="Q192" i="1"/>
  <c r="Q201" i="1"/>
  <c r="Q202" i="1"/>
  <c r="Q417" i="1"/>
  <c r="Q170" i="1"/>
  <c r="Q159" i="1"/>
  <c r="Q398" i="1"/>
  <c r="Q180" i="1"/>
  <c r="Q589" i="1"/>
  <c r="Q287" i="1"/>
  <c r="Q493" i="1"/>
  <c r="Q250" i="1"/>
  <c r="Q199" i="1"/>
  <c r="Q418" i="1"/>
  <c r="Q200" i="1"/>
  <c r="Q430" i="1"/>
  <c r="Q178" i="1"/>
  <c r="Q494" i="1"/>
  <c r="Q459" i="1"/>
  <c r="Q251" i="1"/>
  <c r="Q33" i="1"/>
  <c r="Q651" i="1" s="1"/>
  <c r="Q43" i="1"/>
  <c r="Q267" i="1" s="1"/>
  <c r="Q169" i="1"/>
  <c r="Q458" i="1"/>
  <c r="Q215" i="1"/>
  <c r="Q365" i="1"/>
  <c r="Q150" i="1"/>
  <c r="Q191" i="1"/>
  <c r="Q395" i="1"/>
  <c r="Q416" i="1"/>
  <c r="Q298" i="1"/>
  <c r="Q510" i="1"/>
  <c r="Q581" i="1"/>
  <c r="Q151" i="1"/>
  <c r="Q295" i="1"/>
  <c r="Q492" i="1"/>
  <c r="Q64" i="1"/>
  <c r="Q386" i="1"/>
  <c r="Q263" i="1"/>
  <c r="Q473" i="1"/>
  <c r="Q264" i="1"/>
  <c r="Q457" i="1"/>
  <c r="Q268" i="1"/>
  <c r="Q245" i="1"/>
  <c r="Q479" i="1"/>
  <c r="Q246" i="1"/>
  <c r="Q266" i="1"/>
  <c r="Q229" i="1"/>
  <c r="Q446" i="1"/>
  <c r="Q573" i="1"/>
  <c r="Q456" i="1"/>
  <c r="Q262" i="1"/>
  <c r="Q474" i="1"/>
  <c r="K514" i="1"/>
  <c r="O484" i="1"/>
  <c r="O486" i="1" s="1"/>
  <c r="O663" i="1"/>
  <c r="O261" i="1"/>
  <c r="O271" i="1" s="1"/>
  <c r="F356" i="2"/>
  <c r="M659" i="1"/>
  <c r="M177" i="1"/>
  <c r="M402" i="1"/>
  <c r="P304" i="1"/>
  <c r="P421" i="1"/>
  <c r="P497" i="1"/>
  <c r="P289" i="1"/>
  <c r="P438" i="1"/>
  <c r="P446" i="1"/>
  <c r="P132" i="1"/>
  <c r="P512" i="1"/>
  <c r="P413" i="1"/>
  <c r="P638" i="1"/>
  <c r="P121" i="1" s="1"/>
  <c r="P631" i="1"/>
  <c r="P373" i="1" s="1"/>
  <c r="P641" i="1"/>
  <c r="P633" i="1"/>
  <c r="P394" i="1" s="1"/>
  <c r="P400" i="1" s="1"/>
  <c r="I333" i="1"/>
  <c r="F183" i="2"/>
  <c r="L482" i="1"/>
  <c r="F299" i="2"/>
  <c r="H277" i="1"/>
  <c r="F640" i="2"/>
  <c r="F525" i="2"/>
  <c r="F68" i="2"/>
  <c r="M206" i="1"/>
  <c r="N451" i="1"/>
  <c r="N105" i="1"/>
  <c r="N77" i="1"/>
  <c r="N94" i="1" s="1"/>
  <c r="F470" i="2"/>
  <c r="J606" i="1"/>
  <c r="K653" i="1"/>
  <c r="K93" i="1"/>
  <c r="K79" i="1"/>
  <c r="K111" i="1"/>
  <c r="F12" i="2"/>
  <c r="K124" i="1"/>
  <c r="K125" i="1"/>
  <c r="K112" i="1"/>
  <c r="K123" i="1"/>
  <c r="K126" i="1"/>
  <c r="J486" i="1"/>
  <c r="I357" i="2"/>
  <c r="H357" i="2"/>
  <c r="G357" i="2"/>
  <c r="N357" i="2"/>
  <c r="M357" i="2"/>
  <c r="L357" i="2"/>
  <c r="K357" i="2"/>
  <c r="Q357" i="2"/>
  <c r="O357" i="2"/>
  <c r="J357" i="2"/>
  <c r="P357" i="2"/>
  <c r="P666" i="1"/>
  <c r="O121" i="1"/>
  <c r="N657" i="1"/>
  <c r="N156" i="1"/>
  <c r="M67" i="1"/>
  <c r="M667" i="1"/>
  <c r="M576" i="1"/>
  <c r="M665" i="1"/>
  <c r="M575" i="1"/>
  <c r="M326" i="1"/>
  <c r="M534" i="1"/>
  <c r="M584" i="1"/>
  <c r="M586" i="1" s="1"/>
  <c r="F358" i="2" s="1"/>
  <c r="M533" i="1"/>
  <c r="M592" i="1"/>
  <c r="M327" i="1"/>
  <c r="L653" i="1"/>
  <c r="L93" i="1"/>
  <c r="L96" i="1" s="1"/>
  <c r="L79" i="1"/>
  <c r="L124" i="1"/>
  <c r="F13" i="2"/>
  <c r="L123" i="1"/>
  <c r="L125" i="1"/>
  <c r="L111" i="1"/>
  <c r="L112" i="1"/>
  <c r="L126" i="1"/>
  <c r="J208" i="1"/>
  <c r="O394" i="1"/>
  <c r="O656" i="1"/>
  <c r="O381" i="1"/>
  <c r="O144" i="1"/>
  <c r="O666" i="1"/>
  <c r="O48" i="1"/>
  <c r="O570" i="1"/>
  <c r="O569" i="1"/>
  <c r="O571" i="1"/>
  <c r="O657" i="1"/>
  <c r="O156" i="1"/>
  <c r="O162" i="1" s="1"/>
  <c r="O423" i="1"/>
  <c r="O660" i="1"/>
  <c r="O188" i="1"/>
  <c r="O661" i="1"/>
  <c r="O224" i="1"/>
  <c r="O232" i="1"/>
  <c r="O237" i="1"/>
  <c r="O233" i="1"/>
  <c r="O226" i="1"/>
  <c r="O235" i="1"/>
  <c r="O228" i="1"/>
  <c r="O234" i="1"/>
  <c r="O227" i="1"/>
  <c r="O225" i="1"/>
  <c r="O231" i="1"/>
  <c r="N665" i="1"/>
  <c r="N584" i="1"/>
  <c r="N586" i="1" s="1"/>
  <c r="F362" i="2" s="1"/>
  <c r="N327" i="1"/>
  <c r="N533" i="1"/>
  <c r="N592" i="1"/>
  <c r="N594" i="1" s="1"/>
  <c r="F420" i="2" s="1"/>
  <c r="N326" i="1"/>
  <c r="N575" i="1"/>
  <c r="N534" i="1"/>
  <c r="P204" i="1"/>
  <c r="P442" i="1"/>
  <c r="P441" i="1"/>
  <c r="P444" i="1"/>
  <c r="P457" i="1"/>
  <c r="P443" i="1"/>
  <c r="P268" i="1"/>
  <c r="P230" i="1"/>
  <c r="P46" i="1"/>
  <c r="P48" i="1" s="1"/>
  <c r="P632" i="1"/>
  <c r="P384" i="1" s="1"/>
  <c r="P391" i="1" s="1"/>
  <c r="N15" i="1"/>
  <c r="I822" i="2"/>
  <c r="I76" i="33" s="1"/>
  <c r="R357" i="2" l="1"/>
  <c r="R415" i="2"/>
  <c r="Q249" i="1"/>
  <c r="Q213" i="1"/>
  <c r="Q444" i="1"/>
  <c r="Q572" i="1"/>
  <c r="Q478" i="1"/>
  <c r="Q441" i="1"/>
  <c r="Q582" i="1"/>
  <c r="Q590" i="1"/>
  <c r="Q211" i="1"/>
  <c r="Q230" i="1"/>
  <c r="Q428" i="1"/>
  <c r="Q214" i="1"/>
  <c r="Q455" i="1"/>
  <c r="Q633" i="1"/>
  <c r="Q394" i="1" s="1"/>
  <c r="Q400" i="1" s="1"/>
  <c r="S703" i="2"/>
  <c r="S798" i="2"/>
  <c r="S52" i="33" s="1"/>
  <c r="S797" i="2"/>
  <c r="S51" i="33" s="1"/>
  <c r="S702" i="2"/>
  <c r="S759" i="2"/>
  <c r="S13" i="33" s="1"/>
  <c r="S761" i="2"/>
  <c r="S15" i="33" s="1"/>
  <c r="S766" i="2"/>
  <c r="S20" i="33" s="1"/>
  <c r="S772" i="2"/>
  <c r="S26" i="33" s="1"/>
  <c r="S1002" i="2"/>
  <c r="S300" i="2" s="1"/>
  <c r="S768" i="2"/>
  <c r="S22" i="33" s="1"/>
  <c r="S1005" i="2"/>
  <c r="S901" i="2"/>
  <c r="S707" i="2"/>
  <c r="S1009" i="2"/>
  <c r="S701" i="2"/>
  <c r="T2" i="2"/>
  <c r="S984" i="2"/>
  <c r="S1010" i="2"/>
  <c r="S1097" i="2"/>
  <c r="S760" i="2"/>
  <c r="S14" i="33" s="1"/>
  <c r="S700" i="2"/>
  <c r="S704" i="2"/>
  <c r="S800" i="2"/>
  <c r="S54" i="33" s="1"/>
  <c r="S764" i="2"/>
  <c r="S18" i="33" s="1"/>
  <c r="S771" i="2"/>
  <c r="S25" i="33" s="1"/>
  <c r="S983" i="2"/>
  <c r="S697" i="2"/>
  <c r="S809" i="2" s="1"/>
  <c r="S63" i="33" s="1"/>
  <c r="R932" i="2"/>
  <c r="R973" i="2"/>
  <c r="R986" i="2" s="1"/>
  <c r="R912" i="2"/>
  <c r="Q986" i="2"/>
  <c r="Q445" i="1"/>
  <c r="Q440" i="1"/>
  <c r="Q132" i="1"/>
  <c r="Q265" i="1"/>
  <c r="Q442" i="1"/>
  <c r="Q432" i="1"/>
  <c r="Q443" i="1"/>
  <c r="Q236" i="1"/>
  <c r="Q100" i="1"/>
  <c r="Q248" i="1"/>
  <c r="Q638" i="1"/>
  <c r="Q121" i="1" s="1"/>
  <c r="P649" i="1"/>
  <c r="P60" i="1"/>
  <c r="P12" i="1"/>
  <c r="P103" i="1"/>
  <c r="P58" i="1"/>
  <c r="P9" i="1"/>
  <c r="P75" i="1"/>
  <c r="P11" i="1"/>
  <c r="P102" i="1"/>
  <c r="P13" i="1"/>
  <c r="P10" i="1"/>
  <c r="P134" i="1"/>
  <c r="P61" i="1"/>
  <c r="N67" i="1"/>
  <c r="N667" i="1"/>
  <c r="N576" i="1"/>
  <c r="N578" i="1" s="1"/>
  <c r="O194" i="1"/>
  <c r="O649" i="1"/>
  <c r="O61" i="1"/>
  <c r="O58" i="1"/>
  <c r="O134" i="1"/>
  <c r="O136" i="1" s="1"/>
  <c r="O9" i="1"/>
  <c r="O60" i="1"/>
  <c r="O12" i="1"/>
  <c r="O13" i="1"/>
  <c r="O10" i="1"/>
  <c r="O103" i="1"/>
  <c r="O75" i="1"/>
  <c r="O77" i="1" s="1"/>
  <c r="O94" i="1" s="1"/>
  <c r="O11" i="1"/>
  <c r="O102" i="1"/>
  <c r="O400" i="1"/>
  <c r="L107" i="1"/>
  <c r="F72" i="2" s="1"/>
  <c r="L600" i="1"/>
  <c r="F587" i="2" s="1"/>
  <c r="L598" i="1"/>
  <c r="F529" i="2" s="1"/>
  <c r="L596" i="1"/>
  <c r="L527" i="1"/>
  <c r="L530" i="1"/>
  <c r="L604" i="1"/>
  <c r="L323" i="1"/>
  <c r="L322" i="1"/>
  <c r="L319" i="1"/>
  <c r="L602" i="1"/>
  <c r="F644" i="2" s="1"/>
  <c r="M578" i="1"/>
  <c r="M653" i="1"/>
  <c r="M79" i="1"/>
  <c r="M93" i="1"/>
  <c r="M96" i="1" s="1"/>
  <c r="M112" i="1"/>
  <c r="M126" i="1"/>
  <c r="M125" i="1"/>
  <c r="M123" i="1"/>
  <c r="M124" i="1"/>
  <c r="M111" i="1"/>
  <c r="F14" i="2"/>
  <c r="N162" i="1"/>
  <c r="G300" i="2"/>
  <c r="L300" i="2"/>
  <c r="H300" i="2"/>
  <c r="I300" i="2"/>
  <c r="M300" i="2"/>
  <c r="N300" i="2"/>
  <c r="R300" i="2"/>
  <c r="Q300" i="2"/>
  <c r="K300" i="2"/>
  <c r="O300" i="2"/>
  <c r="J300" i="2"/>
  <c r="P300" i="2"/>
  <c r="K128" i="1"/>
  <c r="M12" i="2"/>
  <c r="N12" i="2"/>
  <c r="I12" i="2"/>
  <c r="R12" i="2"/>
  <c r="H12" i="2"/>
  <c r="L12" i="2"/>
  <c r="Q12" i="2"/>
  <c r="K12" i="2"/>
  <c r="G12" i="2"/>
  <c r="J12" i="2"/>
  <c r="P12" i="2"/>
  <c r="O12" i="2"/>
  <c r="F15" i="2"/>
  <c r="N463" i="1"/>
  <c r="H306" i="1"/>
  <c r="K299" i="2"/>
  <c r="H299" i="2"/>
  <c r="M299" i="2"/>
  <c r="R299" i="2"/>
  <c r="I299" i="2"/>
  <c r="N299" i="2"/>
  <c r="G299" i="2"/>
  <c r="L299" i="2"/>
  <c r="Q299" i="2"/>
  <c r="J299" i="2"/>
  <c r="O299" i="2"/>
  <c r="P299" i="2"/>
  <c r="F1053" i="2"/>
  <c r="P214" i="1"/>
  <c r="P212" i="1"/>
  <c r="P211" i="1"/>
  <c r="P213" i="1"/>
  <c r="P428" i="1"/>
  <c r="K306" i="1"/>
  <c r="H356" i="2"/>
  <c r="I356" i="2"/>
  <c r="Q356" i="2"/>
  <c r="L356" i="2"/>
  <c r="G356" i="2"/>
  <c r="N356" i="2"/>
  <c r="R356" i="2"/>
  <c r="K356" i="2"/>
  <c r="M356" i="2"/>
  <c r="P356" i="2"/>
  <c r="J356" i="2"/>
  <c r="O356" i="2"/>
  <c r="F359" i="2"/>
  <c r="K664" i="1"/>
  <c r="K316" i="1"/>
  <c r="K321" i="1"/>
  <c r="K531" i="1"/>
  <c r="K324" i="1"/>
  <c r="K526" i="1"/>
  <c r="K525" i="1"/>
  <c r="K523" i="1"/>
  <c r="K524" i="1"/>
  <c r="K325" i="1"/>
  <c r="K532" i="1"/>
  <c r="K315" i="1"/>
  <c r="K528" i="1"/>
  <c r="K529" i="1"/>
  <c r="K317" i="1"/>
  <c r="K318" i="1"/>
  <c r="K320" i="1"/>
  <c r="H329" i="1"/>
  <c r="H536" i="1"/>
  <c r="N472" i="1"/>
  <c r="J273" i="1"/>
  <c r="O239" i="1"/>
  <c r="L128" i="1"/>
  <c r="Q629" i="1"/>
  <c r="Q362" i="1" s="1"/>
  <c r="Q289" i="1"/>
  <c r="Q439" i="1"/>
  <c r="Q497" i="1"/>
  <c r="Q46" i="1"/>
  <c r="Q512" i="1"/>
  <c r="Q631" i="1"/>
  <c r="Q373" i="1" s="1"/>
  <c r="Q379" i="1" s="1"/>
  <c r="O273" i="1"/>
  <c r="O275" i="1" s="1"/>
  <c r="P402" i="1"/>
  <c r="P658" i="1"/>
  <c r="P167" i="1"/>
  <c r="P174" i="1" s="1"/>
  <c r="P650" i="1"/>
  <c r="P252" i="1"/>
  <c r="P583" i="1"/>
  <c r="P480" i="1"/>
  <c r="P635" i="1" s="1"/>
  <c r="P472" i="1" s="1"/>
  <c r="P482" i="1" s="1"/>
  <c r="P65" i="1"/>
  <c r="P62" i="1"/>
  <c r="P74" i="1"/>
  <c r="P133" i="1"/>
  <c r="P136" i="1" s="1"/>
  <c r="P253" i="1"/>
  <c r="P574" i="1"/>
  <c r="P254" i="1"/>
  <c r="P101" i="1"/>
  <c r="P105" i="1" s="1"/>
  <c r="P460" i="1"/>
  <c r="P269" i="1"/>
  <c r="P461" i="1"/>
  <c r="P255" i="1"/>
  <c r="P591" i="1"/>
  <c r="O153" i="1"/>
  <c r="O164" i="1" s="1"/>
  <c r="J221" i="1"/>
  <c r="G13" i="2"/>
  <c r="I13" i="2"/>
  <c r="M13" i="2"/>
  <c r="K13" i="2"/>
  <c r="Q13" i="2"/>
  <c r="H13" i="2"/>
  <c r="N13" i="2"/>
  <c r="L13" i="2"/>
  <c r="R13" i="2"/>
  <c r="J13" i="2"/>
  <c r="O13" i="2"/>
  <c r="P13" i="2"/>
  <c r="M594" i="1"/>
  <c r="I358" i="2"/>
  <c r="L358" i="2"/>
  <c r="N358" i="2"/>
  <c r="Q358" i="2"/>
  <c r="G358" i="2"/>
  <c r="K358" i="2"/>
  <c r="M358" i="2"/>
  <c r="R358" i="2"/>
  <c r="H358" i="2"/>
  <c r="J358" i="2"/>
  <c r="O358" i="2"/>
  <c r="P358" i="2"/>
  <c r="J488" i="1"/>
  <c r="K96" i="1"/>
  <c r="L484" i="1"/>
  <c r="L663" i="1"/>
  <c r="L261" i="1"/>
  <c r="I652" i="1"/>
  <c r="I110" i="1"/>
  <c r="I114" i="1" s="1"/>
  <c r="I138" i="1" s="1"/>
  <c r="F126" i="2" s="1"/>
  <c r="P659" i="1"/>
  <c r="P177" i="1"/>
  <c r="P183" i="1" s="1"/>
  <c r="P379" i="1"/>
  <c r="P660" i="1"/>
  <c r="P423" i="1"/>
  <c r="P188" i="1"/>
  <c r="P194" i="1" s="1"/>
  <c r="P206" i="1" s="1"/>
  <c r="M425" i="1"/>
  <c r="M183" i="1"/>
  <c r="R73" i="1"/>
  <c r="R388" i="1"/>
  <c r="R145" i="1"/>
  <c r="R367" i="1"/>
  <c r="R159" i="1"/>
  <c r="R368" i="1"/>
  <c r="R192" i="1"/>
  <c r="R395" i="1"/>
  <c r="R215" i="1"/>
  <c r="R23" i="1"/>
  <c r="R397" i="1"/>
  <c r="R131" i="1"/>
  <c r="R398" i="1"/>
  <c r="R283" i="1"/>
  <c r="R40" i="1"/>
  <c r="R299" i="1"/>
  <c r="S2" i="1"/>
  <c r="R285" i="1"/>
  <c r="R39" i="1"/>
  <c r="R266" i="1" s="1"/>
  <c r="R146" i="1"/>
  <c r="R502" i="1"/>
  <c r="R287" i="1"/>
  <c r="R570" i="1"/>
  <c r="R407" i="1"/>
  <c r="R38" i="1"/>
  <c r="R248" i="1" s="1"/>
  <c r="R190" i="1"/>
  <c r="R491" i="1"/>
  <c r="R251" i="1"/>
  <c r="R33" i="1"/>
  <c r="R440" i="1" s="1"/>
  <c r="R42" i="1"/>
  <c r="R160" i="1"/>
  <c r="R364" i="1"/>
  <c r="R639" i="1"/>
  <c r="R295" i="1"/>
  <c r="R569" i="1"/>
  <c r="R296" i="1"/>
  <c r="R37" i="1"/>
  <c r="R638" i="1" s="1"/>
  <c r="R121" i="1" s="1"/>
  <c r="R179" i="1"/>
  <c r="R429" i="1"/>
  <c r="R180" i="1"/>
  <c r="R640" i="1"/>
  <c r="R377" i="1"/>
  <c r="R41" i="1"/>
  <c r="R457" i="1" s="1"/>
  <c r="R150" i="1"/>
  <c r="R411" i="1"/>
  <c r="R191" i="1"/>
  <c r="R458" i="1"/>
  <c r="R302" i="1"/>
  <c r="R149" i="1"/>
  <c r="R396" i="1"/>
  <c r="R63" i="1"/>
  <c r="R385" i="1"/>
  <c r="R172" i="1"/>
  <c r="R492" i="1"/>
  <c r="R387" i="1"/>
  <c r="R36" i="1"/>
  <c r="R262" i="1" s="1"/>
  <c r="R43" i="1"/>
  <c r="R249" i="1" s="1"/>
  <c r="R157" i="1"/>
  <c r="R416" i="1"/>
  <c r="R99" i="1"/>
  <c r="R501" i="1"/>
  <c r="R202" i="1"/>
  <c r="R506" i="1"/>
  <c r="R376" i="1"/>
  <c r="R581" i="1"/>
  <c r="R475" i="1"/>
  <c r="R476" i="1"/>
  <c r="R181" i="1"/>
  <c r="R508" i="1"/>
  <c r="R294" i="1"/>
  <c r="R505" i="1"/>
  <c r="R286" i="1"/>
  <c r="R510" i="1"/>
  <c r="R217" i="1"/>
  <c r="R19" i="1"/>
  <c r="R366" i="1"/>
  <c r="R201" i="1"/>
  <c r="R509" i="1"/>
  <c r="R375" i="1"/>
  <c r="R148" i="1"/>
  <c r="R503" i="1"/>
  <c r="R200" i="1"/>
  <c r="R500" i="1"/>
  <c r="R158" i="1"/>
  <c r="R419" i="1"/>
  <c r="R216" i="1"/>
  <c r="R365" i="1"/>
  <c r="R408" i="1"/>
  <c r="R169" i="1"/>
  <c r="R504" i="1"/>
  <c r="R389" i="1"/>
  <c r="R151" i="1"/>
  <c r="R410" i="1"/>
  <c r="R459" i="1"/>
  <c r="R292" i="1"/>
  <c r="R430" i="1"/>
  <c r="R189" i="1"/>
  <c r="R418" i="1"/>
  <c r="R171" i="1"/>
  <c r="R409" i="1"/>
  <c r="R64" i="1"/>
  <c r="R386" i="1"/>
  <c r="R72" i="1"/>
  <c r="R298" i="1"/>
  <c r="R170" i="1"/>
  <c r="R589" i="1"/>
  <c r="R300" i="1"/>
  <c r="R495" i="1"/>
  <c r="R363" i="1"/>
  <c r="R199" i="1"/>
  <c r="R147" i="1"/>
  <c r="R293" i="1"/>
  <c r="R494" i="1"/>
  <c r="R178" i="1"/>
  <c r="R27" i="1"/>
  <c r="R297" i="1"/>
  <c r="R113" i="1"/>
  <c r="R507" i="1"/>
  <c r="R284" i="1"/>
  <c r="R571" i="1"/>
  <c r="R374" i="1"/>
  <c r="R631" i="1" s="1"/>
  <c r="R373" i="1" s="1"/>
  <c r="R379" i="1" s="1"/>
  <c r="R44" i="1"/>
  <c r="R301" i="1"/>
  <c r="R168" i="1"/>
  <c r="R417" i="1"/>
  <c r="R493" i="1"/>
  <c r="R477" i="1"/>
  <c r="R264" i="1"/>
  <c r="R246" i="1"/>
  <c r="R443" i="1"/>
  <c r="R478" i="1"/>
  <c r="R268" i="1"/>
  <c r="R438" i="1"/>
  <c r="R572" i="1"/>
  <c r="R441" i="1"/>
  <c r="R590" i="1"/>
  <c r="R132" i="1"/>
  <c r="R245" i="1"/>
  <c r="R473" i="1"/>
  <c r="R263" i="1"/>
  <c r="R474" i="1"/>
  <c r="R479" i="1"/>
  <c r="R236" i="1"/>
  <c r="R267" i="1"/>
  <c r="R573" i="1"/>
  <c r="R445" i="1"/>
  <c r="R446" i="1"/>
  <c r="R229" i="1"/>
  <c r="R100" i="1"/>
  <c r="R230" i="1"/>
  <c r="Q632" i="1"/>
  <c r="Q384" i="1" s="1"/>
  <c r="Q391" i="1" s="1"/>
  <c r="O391" i="1"/>
  <c r="G414" i="2"/>
  <c r="M414" i="2"/>
  <c r="N414" i="2"/>
  <c r="Q414" i="2"/>
  <c r="I414" i="2"/>
  <c r="H414" i="2"/>
  <c r="K414" i="2"/>
  <c r="L414" i="2"/>
  <c r="R414" i="2"/>
  <c r="P414" i="2"/>
  <c r="J414" i="2"/>
  <c r="O414" i="2"/>
  <c r="P448" i="1"/>
  <c r="Q219" i="1"/>
  <c r="Q421" i="1"/>
  <c r="Q204" i="1"/>
  <c r="Q29" i="1"/>
  <c r="Q438" i="1"/>
  <c r="Q448" i="1" s="1"/>
  <c r="Q247" i="1"/>
  <c r="Q413" i="1"/>
  <c r="Q475" i="1"/>
  <c r="Q304" i="1"/>
  <c r="S358" i="2" l="1"/>
  <c r="S12" i="2"/>
  <c r="S13" i="2"/>
  <c r="S299" i="2"/>
  <c r="S414" i="2"/>
  <c r="S356" i="2"/>
  <c r="R453" i="1"/>
  <c r="R452" i="1"/>
  <c r="Q659" i="1"/>
  <c r="Q177" i="1"/>
  <c r="Q183" i="1" s="1"/>
  <c r="T984" i="2"/>
  <c r="T983" i="2"/>
  <c r="T760" i="2"/>
  <c r="T14" i="33" s="1"/>
  <c r="T1097" i="2"/>
  <c r="T1010" i="2"/>
  <c r="U2" i="2"/>
  <c r="T700" i="2"/>
  <c r="T1005" i="2"/>
  <c r="T703" i="2"/>
  <c r="T768" i="2"/>
  <c r="T22" i="33" s="1"/>
  <c r="T761" i="2"/>
  <c r="T15" i="33" s="1"/>
  <c r="T707" i="2"/>
  <c r="T797" i="2"/>
  <c r="T51" i="33" s="1"/>
  <c r="T1009" i="2"/>
  <c r="T704" i="2"/>
  <c r="T901" i="2"/>
  <c r="T701" i="2"/>
  <c r="T766" i="2"/>
  <c r="T20" i="33" s="1"/>
  <c r="T772" i="2"/>
  <c r="T26" i="33" s="1"/>
  <c r="T702" i="2"/>
  <c r="T759" i="2"/>
  <c r="T13" i="33" s="1"/>
  <c r="T764" i="2"/>
  <c r="T18" i="33" s="1"/>
  <c r="T800" i="2"/>
  <c r="T54" i="33" s="1"/>
  <c r="T798" i="2"/>
  <c r="T52" i="33" s="1"/>
  <c r="T771" i="2"/>
  <c r="T25" i="33" s="1"/>
  <c r="T1002" i="2"/>
  <c r="T357" i="2" s="1"/>
  <c r="T697" i="2"/>
  <c r="T809" i="2" s="1"/>
  <c r="T63" i="33" s="1"/>
  <c r="S973" i="2"/>
  <c r="S986" i="2" s="1"/>
  <c r="S912" i="2"/>
  <c r="S932" i="2"/>
  <c r="S698" i="2"/>
  <c r="S357" i="2"/>
  <c r="S415" i="2"/>
  <c r="R629" i="1"/>
  <c r="R362" i="1" s="1"/>
  <c r="R370" i="1" s="1"/>
  <c r="R144" i="1" s="1"/>
  <c r="R153" i="1" s="1"/>
  <c r="R456" i="1"/>
  <c r="R454" i="1"/>
  <c r="R444" i="1"/>
  <c r="R442" i="1"/>
  <c r="R439" i="1"/>
  <c r="R582" i="1"/>
  <c r="R247" i="1"/>
  <c r="R250" i="1"/>
  <c r="R204" i="1"/>
  <c r="R455" i="1"/>
  <c r="R265" i="1"/>
  <c r="P634" i="1"/>
  <c r="P451" i="1" s="1"/>
  <c r="P463" i="1" s="1"/>
  <c r="P484" i="1" s="1"/>
  <c r="P486" i="1" s="1"/>
  <c r="R657" i="1"/>
  <c r="R156" i="1"/>
  <c r="R162" i="1" s="1"/>
  <c r="Q423" i="1"/>
  <c r="Q660" i="1"/>
  <c r="Q188" i="1"/>
  <c r="Q194" i="1" s="1"/>
  <c r="Q206" i="1" s="1"/>
  <c r="Q661" i="1"/>
  <c r="Q235" i="1"/>
  <c r="Q224" i="1"/>
  <c r="Q233" i="1"/>
  <c r="Q225" i="1"/>
  <c r="Q234" i="1"/>
  <c r="Q228" i="1"/>
  <c r="Q237" i="1"/>
  <c r="Q226" i="1"/>
  <c r="Q227" i="1"/>
  <c r="Q231" i="1"/>
  <c r="Q232" i="1"/>
  <c r="Q48" i="1"/>
  <c r="Q666" i="1"/>
  <c r="Q570" i="1"/>
  <c r="Q569" i="1"/>
  <c r="Q571" i="1"/>
  <c r="P661" i="1"/>
  <c r="P237" i="1"/>
  <c r="P224" i="1"/>
  <c r="P234" i="1"/>
  <c r="P235" i="1"/>
  <c r="P232" i="1"/>
  <c r="P227" i="1"/>
  <c r="P233" i="1"/>
  <c r="P231" i="1"/>
  <c r="P228" i="1"/>
  <c r="P225" i="1"/>
  <c r="P226" i="1"/>
  <c r="O658" i="1"/>
  <c r="O402" i="1"/>
  <c r="O425" i="1" s="1"/>
  <c r="O488" i="1" s="1"/>
  <c r="O167" i="1"/>
  <c r="Q402" i="1"/>
  <c r="Q658" i="1"/>
  <c r="Q167" i="1"/>
  <c r="Q174" i="1" s="1"/>
  <c r="Q185" i="1" s="1"/>
  <c r="R656" i="1"/>
  <c r="R381" i="1"/>
  <c r="M488" i="1"/>
  <c r="P657" i="1"/>
  <c r="P156" i="1"/>
  <c r="P381" i="1"/>
  <c r="P425" i="1" s="1"/>
  <c r="L271" i="1"/>
  <c r="L486" i="1"/>
  <c r="K107" i="1"/>
  <c r="K602" i="1"/>
  <c r="K596" i="1"/>
  <c r="K600" i="1"/>
  <c r="K319" i="1"/>
  <c r="K530" i="1"/>
  <c r="K323" i="1"/>
  <c r="K598" i="1"/>
  <c r="K527" i="1"/>
  <c r="K604" i="1"/>
  <c r="K322" i="1"/>
  <c r="J514" i="1"/>
  <c r="J277" i="1"/>
  <c r="P663" i="1"/>
  <c r="P261" i="1"/>
  <c r="P271" i="1" s="1"/>
  <c r="Q657" i="1"/>
  <c r="Q156" i="1"/>
  <c r="Q162" i="1" s="1"/>
  <c r="Q650" i="1"/>
  <c r="Q253" i="1"/>
  <c r="Q461" i="1"/>
  <c r="Q254" i="1"/>
  <c r="Q101" i="1"/>
  <c r="Q62" i="1"/>
  <c r="Q255" i="1"/>
  <c r="Q269" i="1"/>
  <c r="Q583" i="1"/>
  <c r="Q460" i="1"/>
  <c r="Q480" i="1"/>
  <c r="Q635" i="1" s="1"/>
  <c r="Q472" i="1" s="1"/>
  <c r="Q74" i="1"/>
  <c r="Q574" i="1"/>
  <c r="Q591" i="1"/>
  <c r="Q133" i="1"/>
  <c r="Q252" i="1"/>
  <c r="Q65" i="1"/>
  <c r="Q370" i="1"/>
  <c r="J275" i="1"/>
  <c r="N482" i="1"/>
  <c r="H538" i="1"/>
  <c r="F1055" i="2"/>
  <c r="AA1053" i="2"/>
  <c r="AB1053" i="2" s="1"/>
  <c r="H655" i="1"/>
  <c r="H118" i="1"/>
  <c r="N662" i="1"/>
  <c r="N244" i="1"/>
  <c r="H14" i="2"/>
  <c r="L14" i="2"/>
  <c r="Q14" i="2"/>
  <c r="K14" i="2"/>
  <c r="N14" i="2"/>
  <c r="G14" i="2"/>
  <c r="S14" i="2"/>
  <c r="I14" i="2"/>
  <c r="M14" i="2"/>
  <c r="R14" i="2"/>
  <c r="J14" i="2"/>
  <c r="O14" i="2"/>
  <c r="P14" i="2"/>
  <c r="I644" i="2"/>
  <c r="N644" i="2"/>
  <c r="R644" i="2"/>
  <c r="H644" i="2"/>
  <c r="M644" i="2"/>
  <c r="Q644" i="2"/>
  <c r="G644" i="2"/>
  <c r="L644" i="2"/>
  <c r="T644" i="2"/>
  <c r="K644" i="2"/>
  <c r="S644" i="2"/>
  <c r="J644" i="2"/>
  <c r="O644" i="2"/>
  <c r="P644" i="2"/>
  <c r="H529" i="2"/>
  <c r="M529" i="2"/>
  <c r="T529" i="2"/>
  <c r="R529" i="2"/>
  <c r="K529" i="2"/>
  <c r="G529" i="2"/>
  <c r="I529" i="2"/>
  <c r="N529" i="2"/>
  <c r="S529" i="2"/>
  <c r="L529" i="2"/>
  <c r="Q529" i="2"/>
  <c r="O529" i="2"/>
  <c r="P529" i="2"/>
  <c r="J529" i="2"/>
  <c r="P665" i="1"/>
  <c r="P584" i="1"/>
  <c r="P592" i="1"/>
  <c r="P533" i="1"/>
  <c r="P575" i="1"/>
  <c r="P326" i="1"/>
  <c r="P534" i="1"/>
  <c r="P327" i="1"/>
  <c r="R304" i="1"/>
  <c r="R46" i="1"/>
  <c r="R48" i="1" s="1"/>
  <c r="R632" i="1"/>
  <c r="R384" i="1" s="1"/>
  <c r="R413" i="1"/>
  <c r="R289" i="1"/>
  <c r="R633" i="1"/>
  <c r="P185" i="1"/>
  <c r="K329" i="1"/>
  <c r="K331" i="1" s="1"/>
  <c r="K536" i="1"/>
  <c r="K538" i="1" s="1"/>
  <c r="H331" i="1"/>
  <c r="R651" i="1"/>
  <c r="S146" i="1"/>
  <c r="S502" i="1"/>
  <c r="S283" i="1"/>
  <c r="S23" i="1"/>
  <c r="S300" i="1"/>
  <c r="S42" i="1"/>
  <c r="S169" i="1"/>
  <c r="S301" i="1"/>
  <c r="S251" i="1"/>
  <c r="S510" i="1"/>
  <c r="S200" i="1"/>
  <c r="S491" i="1"/>
  <c r="S395" i="1"/>
  <c r="S191" i="1"/>
  <c r="S389" i="1"/>
  <c r="S192" i="1"/>
  <c r="S27" i="1"/>
  <c r="S292" i="1"/>
  <c r="S495" i="1"/>
  <c r="S396" i="1"/>
  <c r="S38" i="1"/>
  <c r="S63" i="1"/>
  <c r="S397" i="1"/>
  <c r="S43" i="1"/>
  <c r="S456" i="1" s="1"/>
  <c r="S179" i="1"/>
  <c r="S41" i="1"/>
  <c r="S180" i="1"/>
  <c r="S44" i="1"/>
  <c r="S19" i="1"/>
  <c r="S299" i="1"/>
  <c r="S40" i="1"/>
  <c r="S504" i="1"/>
  <c r="S199" i="1"/>
  <c r="S494" i="1"/>
  <c r="S363" i="1"/>
  <c r="S37" i="1"/>
  <c r="S151" i="1"/>
  <c r="S418" i="1"/>
  <c r="S170" i="1"/>
  <c r="S64" i="1"/>
  <c r="S367" i="1"/>
  <c r="S147" i="1"/>
  <c r="S374" i="1"/>
  <c r="S99" i="1"/>
  <c r="S302" i="1"/>
  <c r="S284" i="1"/>
  <c r="S501" i="1"/>
  <c r="S285" i="1"/>
  <c r="S113" i="1"/>
  <c r="S375" i="1"/>
  <c r="T2" i="1"/>
  <c r="S388" i="1"/>
  <c r="S145" i="1"/>
  <c r="S505" i="1"/>
  <c r="S364" i="1"/>
  <c r="S294" i="1"/>
  <c r="S376" i="1"/>
  <c r="S509" i="1"/>
  <c r="S158" i="1"/>
  <c r="S507" i="1"/>
  <c r="S430" i="1"/>
  <c r="S296" i="1"/>
  <c r="S39" i="1"/>
  <c r="S477" i="1" s="1"/>
  <c r="S160" i="1"/>
  <c r="S297" i="1"/>
  <c r="S216" i="1"/>
  <c r="S506" i="1"/>
  <c r="S459" i="1"/>
  <c r="S286" i="1"/>
  <c r="S159" i="1"/>
  <c r="S386" i="1"/>
  <c r="S72" i="1"/>
  <c r="S387" i="1"/>
  <c r="S190" i="1"/>
  <c r="S416" i="1"/>
  <c r="S366" i="1"/>
  <c r="S493" i="1"/>
  <c r="S398" i="1"/>
  <c r="S178" i="1"/>
  <c r="S429" i="1"/>
  <c r="S73" i="1"/>
  <c r="S500" i="1"/>
  <c r="S455" i="1"/>
  <c r="S172" i="1"/>
  <c r="S639" i="1"/>
  <c r="S458" i="1"/>
  <c r="S457" i="1"/>
  <c r="S36" i="1"/>
  <c r="S46" i="1" s="1"/>
  <c r="S650" i="1" s="1"/>
  <c r="S201" i="1"/>
  <c r="S377" i="1"/>
  <c r="S298" i="1"/>
  <c r="S589" i="1"/>
  <c r="S293" i="1"/>
  <c r="S365" i="1"/>
  <c r="S407" i="1"/>
  <c r="S189" i="1"/>
  <c r="S410" i="1"/>
  <c r="S454" i="1"/>
  <c r="S295" i="1"/>
  <c r="S640" i="1"/>
  <c r="S368" i="1"/>
  <c r="S181" i="1"/>
  <c r="S409" i="1"/>
  <c r="S148" i="1"/>
  <c r="S419" i="1"/>
  <c r="S287" i="1"/>
  <c r="S131" i="1"/>
  <c r="S385" i="1"/>
  <c r="S33" i="1"/>
  <c r="S651" i="1" s="1"/>
  <c r="S168" i="1"/>
  <c r="S411" i="1"/>
  <c r="S217" i="1"/>
  <c r="S503" i="1"/>
  <c r="S171" i="1"/>
  <c r="S492" i="1"/>
  <c r="S215" i="1"/>
  <c r="S581" i="1"/>
  <c r="S508" i="1"/>
  <c r="S408" i="1"/>
  <c r="S202" i="1"/>
  <c r="S157" i="1"/>
  <c r="S417" i="1"/>
  <c r="S149" i="1"/>
  <c r="S150" i="1"/>
  <c r="S478" i="1"/>
  <c r="S249" i="1"/>
  <c r="S267" i="1"/>
  <c r="S229" i="1"/>
  <c r="S440" i="1"/>
  <c r="S236" i="1"/>
  <c r="S445" i="1"/>
  <c r="S476" i="1"/>
  <c r="S268" i="1"/>
  <c r="S582" i="1"/>
  <c r="S263" i="1"/>
  <c r="S247" i="1"/>
  <c r="S480" i="1"/>
  <c r="S479" i="1"/>
  <c r="S248" i="1"/>
  <c r="S265" i="1"/>
  <c r="S250" i="1"/>
  <c r="S441" i="1"/>
  <c r="S266" i="1"/>
  <c r="S264" i="1"/>
  <c r="S475" i="1"/>
  <c r="S591" i="1"/>
  <c r="S254" i="1"/>
  <c r="S253" i="1"/>
  <c r="S269" i="1"/>
  <c r="M185" i="1"/>
  <c r="F416" i="2"/>
  <c r="P77" i="1"/>
  <c r="P94" i="1" s="1"/>
  <c r="K655" i="1"/>
  <c r="K118" i="1"/>
  <c r="P432" i="1"/>
  <c r="P219" i="1"/>
  <c r="N164" i="1"/>
  <c r="M107" i="1"/>
  <c r="F73" i="2" s="1"/>
  <c r="M527" i="1"/>
  <c r="M596" i="1"/>
  <c r="F473" i="2" s="1"/>
  <c r="M322" i="1"/>
  <c r="M323" i="1"/>
  <c r="M319" i="1"/>
  <c r="M602" i="1"/>
  <c r="F645" i="2" s="1"/>
  <c r="M600" i="1"/>
  <c r="F588" i="2" s="1"/>
  <c r="M604" i="1"/>
  <c r="M598" i="1"/>
  <c r="F530" i="2" s="1"/>
  <c r="M530" i="1"/>
  <c r="F301" i="2"/>
  <c r="F472" i="2"/>
  <c r="L606" i="1"/>
  <c r="R587" i="2"/>
  <c r="T587" i="2"/>
  <c r="H587" i="2"/>
  <c r="M587" i="2"/>
  <c r="N587" i="2"/>
  <c r="S587" i="2"/>
  <c r="I587" i="2"/>
  <c r="L587" i="2"/>
  <c r="Q587" i="2"/>
  <c r="K587" i="2"/>
  <c r="G587" i="2"/>
  <c r="J587" i="2"/>
  <c r="O587" i="2"/>
  <c r="P587" i="2"/>
  <c r="L72" i="2"/>
  <c r="S72" i="2"/>
  <c r="H72" i="2"/>
  <c r="K72" i="2"/>
  <c r="M72" i="2"/>
  <c r="I72" i="2"/>
  <c r="Q72" i="2"/>
  <c r="G72" i="2"/>
  <c r="N72" i="2"/>
  <c r="T72" i="2"/>
  <c r="R72" i="2"/>
  <c r="J72" i="2"/>
  <c r="O72" i="2"/>
  <c r="P72" i="2"/>
  <c r="O659" i="1"/>
  <c r="O177" i="1"/>
  <c r="O105" i="1"/>
  <c r="O15" i="1"/>
  <c r="O665" i="1"/>
  <c r="O592" i="1"/>
  <c r="O533" i="1"/>
  <c r="O584" i="1"/>
  <c r="O534" i="1"/>
  <c r="O326" i="1"/>
  <c r="O575" i="1"/>
  <c r="O327" i="1"/>
  <c r="O206" i="1"/>
  <c r="F305" i="2"/>
  <c r="N653" i="1"/>
  <c r="N93" i="1"/>
  <c r="N79" i="1"/>
  <c r="N126" i="1"/>
  <c r="N123" i="1"/>
  <c r="N111" i="1"/>
  <c r="N112" i="1"/>
  <c r="F18" i="2"/>
  <c r="N124" i="1"/>
  <c r="N125" i="1"/>
  <c r="R164" i="1"/>
  <c r="R448" i="1"/>
  <c r="R512" i="1"/>
  <c r="R421" i="1"/>
  <c r="R641" i="1"/>
  <c r="R497" i="1"/>
  <c r="P594" i="1"/>
  <c r="F422" i="2" s="1"/>
  <c r="P586" i="1"/>
  <c r="F364" i="2" s="1"/>
  <c r="M128" i="1"/>
  <c r="P15" i="1"/>
  <c r="T14" i="2" l="1"/>
  <c r="S101" i="1"/>
  <c r="S252" i="1"/>
  <c r="S133" i="1"/>
  <c r="S262" i="1"/>
  <c r="T415" i="2"/>
  <c r="S246" i="1"/>
  <c r="S245" i="1"/>
  <c r="S632" i="1"/>
  <c r="S384" i="1" s="1"/>
  <c r="S391" i="1" s="1"/>
  <c r="S167" i="1" s="1"/>
  <c r="T698" i="2"/>
  <c r="T299" i="2"/>
  <c r="T13" i="2"/>
  <c r="T358" i="2"/>
  <c r="T414" i="2"/>
  <c r="T300" i="2"/>
  <c r="T12" i="2"/>
  <c r="T356" i="2"/>
  <c r="U1009" i="2"/>
  <c r="U760" i="2"/>
  <c r="U14" i="33" s="1"/>
  <c r="U1097" i="2"/>
  <c r="U707" i="2"/>
  <c r="V2" i="2"/>
  <c r="U701" i="2"/>
  <c r="U983" i="2"/>
  <c r="U703" i="2"/>
  <c r="U697" i="2"/>
  <c r="U809" i="2" s="1"/>
  <c r="U63" i="33" s="1"/>
  <c r="U797" i="2"/>
  <c r="U51" i="33" s="1"/>
  <c r="U901" i="2"/>
  <c r="U700" i="2"/>
  <c r="U984" i="2"/>
  <c r="U759" i="2"/>
  <c r="U13" i="33" s="1"/>
  <c r="U771" i="2"/>
  <c r="U25" i="33" s="1"/>
  <c r="U702" i="2"/>
  <c r="U704" i="2"/>
  <c r="U800" i="2"/>
  <c r="U54" i="33" s="1"/>
  <c r="U761" i="2"/>
  <c r="U15" i="33" s="1"/>
  <c r="U764" i="2"/>
  <c r="U18" i="33" s="1"/>
  <c r="U772" i="2"/>
  <c r="U26" i="33" s="1"/>
  <c r="U1002" i="2"/>
  <c r="U13" i="2" s="1"/>
  <c r="U798" i="2"/>
  <c r="U52" i="33" s="1"/>
  <c r="U766" i="2"/>
  <c r="U20" i="33" s="1"/>
  <c r="U768" i="2"/>
  <c r="U22" i="33" s="1"/>
  <c r="U1005" i="2"/>
  <c r="U1010" i="2"/>
  <c r="T932" i="2"/>
  <c r="T973" i="2"/>
  <c r="T912" i="2"/>
  <c r="S174" i="1"/>
  <c r="M606" i="1"/>
  <c r="S65" i="1"/>
  <c r="S74" i="1"/>
  <c r="S255" i="1"/>
  <c r="S62" i="1"/>
  <c r="S583" i="1"/>
  <c r="S574" i="1"/>
  <c r="S453" i="1"/>
  <c r="S460" i="1"/>
  <c r="S461" i="1"/>
  <c r="S474" i="1"/>
  <c r="S638" i="1"/>
  <c r="S121" i="1" s="1"/>
  <c r="Q634" i="1"/>
  <c r="Q451" i="1" s="1"/>
  <c r="Q463" i="1" s="1"/>
  <c r="S442" i="1"/>
  <c r="S439" i="1"/>
  <c r="S443" i="1"/>
  <c r="S446" i="1"/>
  <c r="S573" i="1"/>
  <c r="S572" i="1"/>
  <c r="S590" i="1"/>
  <c r="S230" i="1"/>
  <c r="S29" i="1"/>
  <c r="R649" i="1"/>
  <c r="R60" i="1"/>
  <c r="R61" i="1"/>
  <c r="R13" i="1"/>
  <c r="R134" i="1"/>
  <c r="R75" i="1"/>
  <c r="R103" i="1"/>
  <c r="R11" i="1"/>
  <c r="R9" i="1"/>
  <c r="R58" i="1"/>
  <c r="R12" i="1"/>
  <c r="R10" i="1"/>
  <c r="R102" i="1"/>
  <c r="Q482" i="1"/>
  <c r="R214" i="1"/>
  <c r="R211" i="1"/>
  <c r="R213" i="1"/>
  <c r="R428" i="1"/>
  <c r="R432" i="1" s="1"/>
  <c r="R212" i="1"/>
  <c r="R661" i="1"/>
  <c r="R225" i="1"/>
  <c r="R226" i="1"/>
  <c r="R228" i="1"/>
  <c r="R237" i="1"/>
  <c r="R227" i="1"/>
  <c r="R231" i="1"/>
  <c r="R232" i="1"/>
  <c r="R234" i="1"/>
  <c r="R224" i="1"/>
  <c r="R233" i="1"/>
  <c r="R235" i="1"/>
  <c r="N128" i="1"/>
  <c r="O67" i="1"/>
  <c r="O667" i="1"/>
  <c r="O576" i="1"/>
  <c r="O578" i="1" s="1"/>
  <c r="O183" i="1"/>
  <c r="N96" i="1"/>
  <c r="O586" i="1"/>
  <c r="O594" i="1"/>
  <c r="K472" i="2"/>
  <c r="I472" i="2"/>
  <c r="N472" i="2"/>
  <c r="T472" i="2"/>
  <c r="H472" i="2"/>
  <c r="L472" i="2"/>
  <c r="Q472" i="2"/>
  <c r="S472" i="2"/>
  <c r="G472" i="2"/>
  <c r="M472" i="2"/>
  <c r="R472" i="2"/>
  <c r="O472" i="2"/>
  <c r="J472" i="2"/>
  <c r="P472" i="2"/>
  <c r="H301" i="2"/>
  <c r="K301" i="2"/>
  <c r="Q301" i="2"/>
  <c r="T301" i="2"/>
  <c r="I301" i="2"/>
  <c r="N301" i="2"/>
  <c r="L301" i="2"/>
  <c r="S301" i="2"/>
  <c r="G301" i="2"/>
  <c r="M301" i="2"/>
  <c r="R301" i="2"/>
  <c r="J301" i="2"/>
  <c r="O301" i="2"/>
  <c r="P301" i="2"/>
  <c r="F302" i="2"/>
  <c r="I645" i="2"/>
  <c r="L645" i="2"/>
  <c r="Q645" i="2"/>
  <c r="M645" i="2"/>
  <c r="R645" i="2"/>
  <c r="S645" i="2"/>
  <c r="G645" i="2"/>
  <c r="K645" i="2"/>
  <c r="N645" i="2"/>
  <c r="H645" i="2"/>
  <c r="T645" i="2"/>
  <c r="J645" i="2"/>
  <c r="O645" i="2"/>
  <c r="P645" i="2"/>
  <c r="G473" i="2"/>
  <c r="Q473" i="2"/>
  <c r="H473" i="2"/>
  <c r="N473" i="2"/>
  <c r="M473" i="2"/>
  <c r="K473" i="2"/>
  <c r="S473" i="2"/>
  <c r="I473" i="2"/>
  <c r="L473" i="2"/>
  <c r="R473" i="2"/>
  <c r="T473" i="2"/>
  <c r="O473" i="2"/>
  <c r="P473" i="2"/>
  <c r="J473" i="2"/>
  <c r="N208" i="1"/>
  <c r="N221" i="1" s="1"/>
  <c r="G416" i="2"/>
  <c r="K416" i="2"/>
  <c r="M416" i="2"/>
  <c r="R416" i="2"/>
  <c r="H416" i="2"/>
  <c r="T416" i="2"/>
  <c r="I416" i="2"/>
  <c r="N416" i="2"/>
  <c r="Q416" i="2"/>
  <c r="L416" i="2"/>
  <c r="S416" i="2"/>
  <c r="P416" i="2"/>
  <c r="J416" i="2"/>
  <c r="O416" i="2"/>
  <c r="F417" i="2"/>
  <c r="M208" i="1"/>
  <c r="S658" i="1"/>
  <c r="T581" i="1"/>
  <c r="T38" i="1"/>
  <c r="T589" i="1"/>
  <c r="T416" i="1"/>
  <c r="T410" i="1"/>
  <c r="T500" i="1"/>
  <c r="T181" i="1"/>
  <c r="T216" i="1"/>
  <c r="T398" i="1"/>
  <c r="T296" i="1"/>
  <c r="T510" i="1"/>
  <c r="T44" i="1"/>
  <c r="T492" i="1"/>
  <c r="T170" i="1"/>
  <c r="T419" i="1"/>
  <c r="T146" i="1"/>
  <c r="T297" i="1"/>
  <c r="T215" i="1"/>
  <c r="T491" i="1"/>
  <c r="T199" i="1"/>
  <c r="T418" i="1"/>
  <c r="T408" i="1"/>
  <c r="T201" i="1"/>
  <c r="T301" i="1"/>
  <c r="T72" i="1"/>
  <c r="T397" i="1"/>
  <c r="T43" i="1"/>
  <c r="T249" i="1" s="1"/>
  <c r="T157" i="1"/>
  <c r="T407" i="1"/>
  <c r="T180" i="1"/>
  <c r="T36" i="1"/>
  <c r="T159" i="1"/>
  <c r="T506" i="1"/>
  <c r="T386" i="1"/>
  <c r="T33" i="1"/>
  <c r="T651" i="1" s="1"/>
  <c r="T99" i="1"/>
  <c r="T429" i="1"/>
  <c r="T73" i="1"/>
  <c r="T505" i="1"/>
  <c r="T284" i="1"/>
  <c r="T39" i="1"/>
  <c r="T113" i="1"/>
  <c r="T298" i="1"/>
  <c r="T169" i="1"/>
  <c r="T458" i="1"/>
  <c r="T145" i="1"/>
  <c r="T300" i="1"/>
  <c r="T365" i="1"/>
  <c r="T389" i="1"/>
  <c r="T42" i="1"/>
  <c r="T459" i="1" s="1"/>
  <c r="T285" i="1"/>
  <c r="T217" i="1"/>
  <c r="T150" i="1"/>
  <c r="T294" i="1"/>
  <c r="T168" i="1"/>
  <c r="T179" i="1"/>
  <c r="T374" i="1"/>
  <c r="T37" i="1"/>
  <c r="T638" i="1" s="1"/>
  <c r="T121" i="1" s="1"/>
  <c r="T503" i="1"/>
  <c r="T63" i="1"/>
  <c r="T191" i="1"/>
  <c r="T295" i="1"/>
  <c r="T377" i="1"/>
  <c r="T19" i="1"/>
  <c r="T364" i="1"/>
  <c r="T509" i="1"/>
  <c r="T287" i="1"/>
  <c r="T147" i="1"/>
  <c r="T367" i="1"/>
  <c r="T40" i="1"/>
  <c r="T363" i="1"/>
  <c r="T200" i="1"/>
  <c r="T23" i="1"/>
  <c r="T385" i="1"/>
  <c r="T502" i="1"/>
  <c r="T192" i="1"/>
  <c r="T495" i="1"/>
  <c r="T283" i="1"/>
  <c r="T639" i="1"/>
  <c r="T430" i="1"/>
  <c r="T246" i="1"/>
  <c r="T396" i="1"/>
  <c r="T172" i="1"/>
  <c r="T411" i="1"/>
  <c r="T286" i="1"/>
  <c r="T640" i="1"/>
  <c r="T388" i="1"/>
  <c r="T131" i="1"/>
  <c r="T494" i="1"/>
  <c r="T477" i="1"/>
  <c r="T251" i="1"/>
  <c r="T507" i="1"/>
  <c r="T387" i="1"/>
  <c r="T508" i="1"/>
  <c r="T293" i="1"/>
  <c r="T493" i="1"/>
  <c r="T171" i="1"/>
  <c r="T455" i="1"/>
  <c r="T265" i="1"/>
  <c r="T267" i="1"/>
  <c r="T452" i="1"/>
  <c r="T441" i="1"/>
  <c r="T473" i="1"/>
  <c r="T132" i="1"/>
  <c r="T264" i="1"/>
  <c r="T229" i="1"/>
  <c r="T456" i="1"/>
  <c r="T582" i="1"/>
  <c r="T230" i="1"/>
  <c r="T475" i="1"/>
  <c r="T266" i="1"/>
  <c r="T100" i="1"/>
  <c r="T438" i="1"/>
  <c r="T417" i="1"/>
  <c r="T178" i="1"/>
  <c r="T64" i="1"/>
  <c r="T504" i="1"/>
  <c r="T376" i="1"/>
  <c r="T409" i="1"/>
  <c r="T158" i="1"/>
  <c r="T368" i="1"/>
  <c r="T202" i="1"/>
  <c r="T395" i="1"/>
  <c r="T299" i="1"/>
  <c r="T302" i="1"/>
  <c r="T440" i="1"/>
  <c r="T476" i="1"/>
  <c r="T262" i="1"/>
  <c r="T444" i="1"/>
  <c r="T439" i="1"/>
  <c r="T446" i="1"/>
  <c r="T478" i="1"/>
  <c r="T236" i="1"/>
  <c r="T443" i="1"/>
  <c r="T263" i="1"/>
  <c r="T453" i="1"/>
  <c r="T245" i="1"/>
  <c r="T474" i="1"/>
  <c r="T590" i="1"/>
  <c r="T572" i="1"/>
  <c r="T573" i="1"/>
  <c r="T292" i="1"/>
  <c r="T304" i="1" s="1"/>
  <c r="T375" i="1"/>
  <c r="T190" i="1"/>
  <c r="T189" i="1"/>
  <c r="T148" i="1"/>
  <c r="T501" i="1"/>
  <c r="T41" i="1"/>
  <c r="T479" i="1" s="1"/>
  <c r="U2" i="1"/>
  <c r="T27" i="1"/>
  <c r="T366" i="1"/>
  <c r="T151" i="1"/>
  <c r="T248" i="1"/>
  <c r="T149" i="1"/>
  <c r="T160" i="1"/>
  <c r="T268" i="1"/>
  <c r="T457" i="1"/>
  <c r="H333" i="1"/>
  <c r="H608" i="1"/>
  <c r="F182" i="2"/>
  <c r="K333" i="1"/>
  <c r="F185" i="2"/>
  <c r="R394" i="1"/>
  <c r="R391" i="1"/>
  <c r="I1055" i="2"/>
  <c r="I1056" i="2" s="1"/>
  <c r="F1056" i="2"/>
  <c r="M1055" i="2"/>
  <c r="M1056" i="2" s="1"/>
  <c r="O1055" i="2"/>
  <c r="O1056" i="2" s="1"/>
  <c r="O1057" i="2" s="1"/>
  <c r="S1055" i="2"/>
  <c r="S1056" i="2" s="1"/>
  <c r="S1057" i="2" s="1"/>
  <c r="R1055" i="2"/>
  <c r="R1056" i="2" s="1"/>
  <c r="R1057" i="2" s="1"/>
  <c r="U1055" i="2"/>
  <c r="U1056" i="2" s="1"/>
  <c r="U1057" i="2" s="1"/>
  <c r="G1055" i="2"/>
  <c r="J1055" i="2"/>
  <c r="J1056" i="2" s="1"/>
  <c r="J1057" i="2" s="1"/>
  <c r="H1055" i="2"/>
  <c r="H1056" i="2" s="1"/>
  <c r="L1055" i="2"/>
  <c r="L1056" i="2" s="1"/>
  <c r="L1057" i="2" s="1"/>
  <c r="N1055" i="2"/>
  <c r="N1056" i="2" s="1"/>
  <c r="N1057" i="2" s="1"/>
  <c r="Q1055" i="2"/>
  <c r="Q1056" i="2" s="1"/>
  <c r="Q1057" i="2" s="1"/>
  <c r="P1055" i="2"/>
  <c r="P1056" i="2" s="1"/>
  <c r="P1057" i="2" s="1"/>
  <c r="T1055" i="2"/>
  <c r="T1056" i="2" s="1"/>
  <c r="T1057" i="2" s="1"/>
  <c r="V1055" i="2"/>
  <c r="V1056" i="2" s="1"/>
  <c r="V1057" i="2" s="1"/>
  <c r="K1055" i="2"/>
  <c r="K1056" i="2" s="1"/>
  <c r="N484" i="1"/>
  <c r="N663" i="1"/>
  <c r="N261" i="1"/>
  <c r="Q381" i="1"/>
  <c r="Q425" i="1" s="1"/>
  <c r="Q656" i="1"/>
  <c r="Q144" i="1"/>
  <c r="Q662" i="1"/>
  <c r="Q244" i="1"/>
  <c r="Q257" i="1" s="1"/>
  <c r="J306" i="1"/>
  <c r="F528" i="2"/>
  <c r="F586" i="2"/>
  <c r="F643" i="2"/>
  <c r="F71" i="2"/>
  <c r="L488" i="1"/>
  <c r="L273" i="1"/>
  <c r="O174" i="1"/>
  <c r="O514" i="1"/>
  <c r="Q649" i="1"/>
  <c r="Q13" i="1"/>
  <c r="Q102" i="1"/>
  <c r="Q10" i="1"/>
  <c r="Q12" i="1"/>
  <c r="Q58" i="1"/>
  <c r="Q75" i="1"/>
  <c r="Q77" i="1" s="1"/>
  <c r="Q94" i="1" s="1"/>
  <c r="Q11" i="1"/>
  <c r="Q60" i="1"/>
  <c r="Q134" i="1"/>
  <c r="Q103" i="1"/>
  <c r="Q61" i="1"/>
  <c r="Q9" i="1"/>
  <c r="S641" i="1"/>
  <c r="S421" i="1"/>
  <c r="S100" i="1"/>
  <c r="S444" i="1"/>
  <c r="S438" i="1"/>
  <c r="S633" i="1"/>
  <c r="S394" i="1" s="1"/>
  <c r="S400" i="1" s="1"/>
  <c r="S289" i="1"/>
  <c r="Q239" i="1"/>
  <c r="P67" i="1"/>
  <c r="P667" i="1"/>
  <c r="P576" i="1"/>
  <c r="P578" i="1" s="1"/>
  <c r="I530" i="2"/>
  <c r="R530" i="2"/>
  <c r="L530" i="2"/>
  <c r="Q530" i="2"/>
  <c r="G530" i="2"/>
  <c r="K530" i="2"/>
  <c r="N530" i="2"/>
  <c r="S530" i="2"/>
  <c r="H530" i="2"/>
  <c r="M530" i="2"/>
  <c r="T530" i="2"/>
  <c r="O530" i="2"/>
  <c r="J530" i="2"/>
  <c r="P530" i="2"/>
  <c r="M588" i="2"/>
  <c r="I588" i="2"/>
  <c r="K588" i="2"/>
  <c r="T588" i="2"/>
  <c r="G588" i="2"/>
  <c r="N588" i="2"/>
  <c r="Q588" i="2"/>
  <c r="S588" i="2"/>
  <c r="H588" i="2"/>
  <c r="L588" i="2"/>
  <c r="R588" i="2"/>
  <c r="J588" i="2"/>
  <c r="P588" i="2"/>
  <c r="O588" i="2"/>
  <c r="I73" i="2"/>
  <c r="M73" i="2"/>
  <c r="R73" i="2"/>
  <c r="K73" i="2"/>
  <c r="Q73" i="2"/>
  <c r="T73" i="2"/>
  <c r="H73" i="2"/>
  <c r="L73" i="2"/>
  <c r="S73" i="2"/>
  <c r="G73" i="2"/>
  <c r="N73" i="2"/>
  <c r="P73" i="2"/>
  <c r="J73" i="2"/>
  <c r="O73" i="2"/>
  <c r="S666" i="1"/>
  <c r="S48" i="1"/>
  <c r="K540" i="1"/>
  <c r="K654" i="1"/>
  <c r="F242" i="2"/>
  <c r="K117" i="1"/>
  <c r="K120" i="1" s="1"/>
  <c r="R423" i="1"/>
  <c r="R660" i="1"/>
  <c r="R188" i="1"/>
  <c r="R194" i="1" s="1"/>
  <c r="R206" i="1" s="1"/>
  <c r="R650" i="1"/>
  <c r="R461" i="1"/>
  <c r="R255" i="1"/>
  <c r="R65" i="1"/>
  <c r="R74" i="1"/>
  <c r="R77" i="1" s="1"/>
  <c r="R94" i="1" s="1"/>
  <c r="R253" i="1"/>
  <c r="R583" i="1"/>
  <c r="R101" i="1"/>
  <c r="R105" i="1" s="1"/>
  <c r="R480" i="1"/>
  <c r="R635" i="1" s="1"/>
  <c r="R472" i="1" s="1"/>
  <c r="R482" i="1" s="1"/>
  <c r="R254" i="1"/>
  <c r="R133" i="1"/>
  <c r="R136" i="1" s="1"/>
  <c r="R269" i="1"/>
  <c r="R591" i="1"/>
  <c r="R574" i="1"/>
  <c r="R460" i="1"/>
  <c r="R62" i="1"/>
  <c r="R252" i="1"/>
  <c r="N257" i="1"/>
  <c r="H654" i="1"/>
  <c r="F239" i="2"/>
  <c r="H117" i="1"/>
  <c r="H540" i="1"/>
  <c r="J664" i="1"/>
  <c r="J317" i="1"/>
  <c r="J325" i="1"/>
  <c r="J531" i="1"/>
  <c r="J526" i="1"/>
  <c r="J528" i="1"/>
  <c r="J523" i="1"/>
  <c r="J320" i="1"/>
  <c r="J315" i="1"/>
  <c r="J324" i="1"/>
  <c r="J524" i="1"/>
  <c r="J529" i="1"/>
  <c r="J525" i="1"/>
  <c r="J318" i="1"/>
  <c r="J532" i="1"/>
  <c r="J316" i="1"/>
  <c r="J321" i="1"/>
  <c r="F471" i="2"/>
  <c r="K606" i="1"/>
  <c r="K608" i="1" s="1"/>
  <c r="P162" i="1"/>
  <c r="M514" i="1"/>
  <c r="P239" i="1"/>
  <c r="P662" i="1"/>
  <c r="P244" i="1"/>
  <c r="P257" i="1" s="1"/>
  <c r="P273" i="1" s="1"/>
  <c r="P275" i="1" s="1"/>
  <c r="S413" i="1"/>
  <c r="S512" i="1"/>
  <c r="S132" i="1"/>
  <c r="S473" i="1"/>
  <c r="S635" i="1" s="1"/>
  <c r="S472" i="1" s="1"/>
  <c r="S482" i="1" s="1"/>
  <c r="S631" i="1"/>
  <c r="S373" i="1" s="1"/>
  <c r="S379" i="1" s="1"/>
  <c r="S629" i="1"/>
  <c r="S362" i="1" s="1"/>
  <c r="S370" i="1" s="1"/>
  <c r="S204" i="1"/>
  <c r="S452" i="1"/>
  <c r="S634" i="1" s="1"/>
  <c r="S451" i="1" s="1"/>
  <c r="S463" i="1" s="1"/>
  <c r="S304" i="1"/>
  <c r="S497" i="1"/>
  <c r="Q136" i="1"/>
  <c r="Q105" i="1"/>
  <c r="P488" i="1"/>
  <c r="U645" i="2" l="1"/>
  <c r="U530" i="2"/>
  <c r="U416" i="2"/>
  <c r="U12" i="2"/>
  <c r="U472" i="2"/>
  <c r="U357" i="2"/>
  <c r="U300" i="2"/>
  <c r="U73" i="2"/>
  <c r="U588" i="2"/>
  <c r="U414" i="2"/>
  <c r="U415" i="2"/>
  <c r="U356" i="2"/>
  <c r="U299" i="2"/>
  <c r="U358" i="2"/>
  <c r="U473" i="2"/>
  <c r="U301" i="2"/>
  <c r="T454" i="1"/>
  <c r="T247" i="1"/>
  <c r="T633" i="1"/>
  <c r="T394" i="1" s="1"/>
  <c r="T400" i="1" s="1"/>
  <c r="T659" i="1" s="1"/>
  <c r="T442" i="1"/>
  <c r="T445" i="1"/>
  <c r="U698" i="2"/>
  <c r="U644" i="2"/>
  <c r="U529" i="2"/>
  <c r="U587" i="2"/>
  <c r="U72" i="2"/>
  <c r="U14" i="2"/>
  <c r="T986" i="2"/>
  <c r="U932" i="2"/>
  <c r="U912" i="2"/>
  <c r="U973" i="2"/>
  <c r="U986" i="2" s="1"/>
  <c r="W2" i="2"/>
  <c r="V704" i="2"/>
  <c r="V1002" i="2"/>
  <c r="V357" i="2" s="1"/>
  <c r="V697" i="2"/>
  <c r="V901" i="2"/>
  <c r="V1008" i="2"/>
  <c r="V1010" i="2"/>
  <c r="V983" i="2"/>
  <c r="V764" i="2"/>
  <c r="V18" i="33" s="1"/>
  <c r="V984" i="2"/>
  <c r="V761" i="2"/>
  <c r="V15" i="33" s="1"/>
  <c r="V797" i="2"/>
  <c r="V51" i="33" s="1"/>
  <c r="V707" i="2"/>
  <c r="V1009" i="2"/>
  <c r="V759" i="2"/>
  <c r="V13" i="33" s="1"/>
  <c r="V702" i="2"/>
  <c r="V771" i="2"/>
  <c r="V25" i="33" s="1"/>
  <c r="V1005" i="2"/>
  <c r="V973" i="2"/>
  <c r="V986" i="2" s="1"/>
  <c r="V703" i="2"/>
  <c r="V701" i="2"/>
  <c r="V800" i="2"/>
  <c r="V54" i="33" s="1"/>
  <c r="V766" i="2"/>
  <c r="V20" i="33" s="1"/>
  <c r="V700" i="2"/>
  <c r="V798" i="2"/>
  <c r="V52" i="33" s="1"/>
  <c r="V772" i="2"/>
  <c r="V26" i="33" s="1"/>
  <c r="V932" i="2"/>
  <c r="V1097" i="2"/>
  <c r="V768" i="2"/>
  <c r="V22" i="33" s="1"/>
  <c r="V760" i="2"/>
  <c r="V14" i="33" s="1"/>
  <c r="V809" i="2"/>
  <c r="V63" i="33" s="1"/>
  <c r="V300" i="2"/>
  <c r="V14" i="2"/>
  <c r="S571" i="1"/>
  <c r="S569" i="1"/>
  <c r="S570" i="1"/>
  <c r="R634" i="1"/>
  <c r="R451" i="1" s="1"/>
  <c r="R463" i="1" s="1"/>
  <c r="R244" i="1" s="1"/>
  <c r="R257" i="1" s="1"/>
  <c r="S448" i="1"/>
  <c r="F306" i="2"/>
  <c r="S657" i="1"/>
  <c r="S156" i="1"/>
  <c r="H471" i="2"/>
  <c r="N471" i="2"/>
  <c r="S471" i="2"/>
  <c r="R471" i="2"/>
  <c r="I471" i="2"/>
  <c r="T471" i="2"/>
  <c r="K471" i="2"/>
  <c r="L471" i="2"/>
  <c r="U471" i="2"/>
  <c r="G471" i="2"/>
  <c r="M471" i="2"/>
  <c r="Q471" i="2"/>
  <c r="J471" i="2"/>
  <c r="O471" i="2"/>
  <c r="P471" i="2"/>
  <c r="F474" i="2"/>
  <c r="J329" i="1"/>
  <c r="J536" i="1"/>
  <c r="R662" i="1"/>
  <c r="R663" i="1"/>
  <c r="R261" i="1"/>
  <c r="R271" i="1" s="1"/>
  <c r="S649" i="1"/>
  <c r="S10" i="1"/>
  <c r="S134" i="1"/>
  <c r="S136" i="1" s="1"/>
  <c r="S13" i="1"/>
  <c r="S61" i="1"/>
  <c r="S103" i="1"/>
  <c r="S58" i="1"/>
  <c r="S75" i="1"/>
  <c r="S77" i="1" s="1"/>
  <c r="S94" i="1" s="1"/>
  <c r="S12" i="1"/>
  <c r="S9" i="1"/>
  <c r="S60" i="1"/>
  <c r="S11" i="1"/>
  <c r="S102" i="1"/>
  <c r="F307" i="2"/>
  <c r="P653" i="1"/>
  <c r="P93" i="1"/>
  <c r="P96" i="1" s="1"/>
  <c r="P79" i="1"/>
  <c r="P112" i="1"/>
  <c r="F20" i="2"/>
  <c r="P123" i="1"/>
  <c r="P111" i="1"/>
  <c r="P125" i="1"/>
  <c r="P126" i="1"/>
  <c r="P124" i="1"/>
  <c r="Q15" i="1"/>
  <c r="O664" i="1"/>
  <c r="O315" i="1"/>
  <c r="O523" i="1"/>
  <c r="O316" i="1"/>
  <c r="O525" i="1"/>
  <c r="O531" i="1"/>
  <c r="O529" i="1"/>
  <c r="O524" i="1"/>
  <c r="O532" i="1"/>
  <c r="O526" i="1"/>
  <c r="O325" i="1"/>
  <c r="O528" i="1"/>
  <c r="O317" i="1"/>
  <c r="O320" i="1"/>
  <c r="O321" i="1"/>
  <c r="O324" i="1"/>
  <c r="O318" i="1"/>
  <c r="O185" i="1"/>
  <c r="O208" i="1" s="1"/>
  <c r="O221" i="1" s="1"/>
  <c r="O277" i="1" s="1"/>
  <c r="L275" i="1"/>
  <c r="L277" i="1"/>
  <c r="L514" i="1"/>
  <c r="G71" i="2"/>
  <c r="L71" i="2"/>
  <c r="T71" i="2"/>
  <c r="S71" i="2"/>
  <c r="R71" i="2"/>
  <c r="I71" i="2"/>
  <c r="N71" i="2"/>
  <c r="Q71" i="2"/>
  <c r="K71" i="2"/>
  <c r="H71" i="2"/>
  <c r="M71" i="2"/>
  <c r="U71" i="2"/>
  <c r="P71" i="2"/>
  <c r="J71" i="2"/>
  <c r="O71" i="2"/>
  <c r="F74" i="2"/>
  <c r="G643" i="2"/>
  <c r="M643" i="2"/>
  <c r="Q643" i="2"/>
  <c r="R643" i="2"/>
  <c r="H643" i="2"/>
  <c r="N643" i="2"/>
  <c r="S643" i="2"/>
  <c r="I643" i="2"/>
  <c r="K643" i="2"/>
  <c r="T643" i="2"/>
  <c r="L643" i="2"/>
  <c r="U643" i="2"/>
  <c r="P643" i="2"/>
  <c r="J643" i="2"/>
  <c r="O643" i="2"/>
  <c r="F646" i="2"/>
  <c r="H586" i="2"/>
  <c r="K586" i="2"/>
  <c r="Q586" i="2"/>
  <c r="T586" i="2"/>
  <c r="G586" i="2"/>
  <c r="L586" i="2"/>
  <c r="N586" i="2"/>
  <c r="S586" i="2"/>
  <c r="I586" i="2"/>
  <c r="M586" i="2"/>
  <c r="R586" i="2"/>
  <c r="U586" i="2"/>
  <c r="J586" i="2"/>
  <c r="O586" i="2"/>
  <c r="P586" i="2"/>
  <c r="F589" i="2"/>
  <c r="H528" i="2"/>
  <c r="Q528" i="2"/>
  <c r="K528" i="2"/>
  <c r="L528" i="2"/>
  <c r="R528" i="2"/>
  <c r="T528" i="2"/>
  <c r="G528" i="2"/>
  <c r="M528" i="2"/>
  <c r="S528" i="2"/>
  <c r="I528" i="2"/>
  <c r="N528" i="2"/>
  <c r="U528" i="2"/>
  <c r="J528" i="2"/>
  <c r="O528" i="2"/>
  <c r="P528" i="2"/>
  <c r="F531" i="2"/>
  <c r="V584" i="2"/>
  <c r="V69" i="2"/>
  <c r="V240" i="2"/>
  <c r="V126" i="2"/>
  <c r="V10" i="2"/>
  <c r="V469" i="2"/>
  <c r="V183" i="2"/>
  <c r="V306" i="2"/>
  <c r="V412" i="2"/>
  <c r="V297" i="2"/>
  <c r="V354" i="2"/>
  <c r="V641" i="2"/>
  <c r="V526" i="2"/>
  <c r="T584" i="2"/>
  <c r="T412" i="2"/>
  <c r="T306" i="2"/>
  <c r="T240" i="2"/>
  <c r="T354" i="2"/>
  <c r="T126" i="2"/>
  <c r="T183" i="2"/>
  <c r="T10" i="2"/>
  <c r="T469" i="2"/>
  <c r="T297" i="2"/>
  <c r="T526" i="2"/>
  <c r="T641" i="2"/>
  <c r="T69" i="2"/>
  <c r="Q641" i="2"/>
  <c r="Q69" i="2"/>
  <c r="Q183" i="2"/>
  <c r="Q354" i="2"/>
  <c r="Q126" i="2"/>
  <c r="Q240" i="2"/>
  <c r="Q526" i="2"/>
  <c r="Q306" i="2"/>
  <c r="Q10" i="2"/>
  <c r="Q412" i="2"/>
  <c r="Q469" i="2"/>
  <c r="Q584" i="2"/>
  <c r="Q297" i="2"/>
  <c r="L10" i="2"/>
  <c r="L526" i="2"/>
  <c r="L412" i="2"/>
  <c r="L183" i="2"/>
  <c r="L240" i="2"/>
  <c r="L354" i="2"/>
  <c r="L126" i="2"/>
  <c r="L297" i="2"/>
  <c r="L306" i="2"/>
  <c r="L69" i="2"/>
  <c r="L469" i="2"/>
  <c r="L641" i="2"/>
  <c r="L584" i="2"/>
  <c r="J641" i="2"/>
  <c r="J584" i="2"/>
  <c r="J240" i="2"/>
  <c r="J306" i="2"/>
  <c r="J469" i="2"/>
  <c r="J354" i="2"/>
  <c r="J297" i="2"/>
  <c r="J526" i="2"/>
  <c r="J69" i="2"/>
  <c r="J183" i="2"/>
  <c r="J126" i="2"/>
  <c r="J10" i="2"/>
  <c r="J412" i="2"/>
  <c r="U297" i="2"/>
  <c r="U10" i="2"/>
  <c r="U469" i="2"/>
  <c r="U69" i="2"/>
  <c r="U526" i="2"/>
  <c r="U584" i="2"/>
  <c r="U183" i="2"/>
  <c r="U126" i="2"/>
  <c r="U641" i="2"/>
  <c r="U412" i="2"/>
  <c r="U354" i="2"/>
  <c r="U240" i="2"/>
  <c r="U306" i="2"/>
  <c r="S354" i="2"/>
  <c r="S641" i="2"/>
  <c r="S240" i="2"/>
  <c r="S69" i="2"/>
  <c r="S526" i="2"/>
  <c r="S126" i="2"/>
  <c r="S306" i="2"/>
  <c r="S10" i="2"/>
  <c r="S584" i="2"/>
  <c r="S297" i="2"/>
  <c r="S183" i="2"/>
  <c r="S469" i="2"/>
  <c r="S412" i="2"/>
  <c r="R658" i="1"/>
  <c r="R167" i="1"/>
  <c r="U429" i="1"/>
  <c r="U419" i="1"/>
  <c r="U589" i="1"/>
  <c r="U506" i="1"/>
  <c r="U179" i="1"/>
  <c r="U180" i="1"/>
  <c r="U172" i="1"/>
  <c r="U158" i="1"/>
  <c r="U72" i="1"/>
  <c r="U387" i="1"/>
  <c r="U301" i="1"/>
  <c r="U386" i="1"/>
  <c r="U299" i="1"/>
  <c r="U398" i="1"/>
  <c r="U504" i="1"/>
  <c r="U27" i="1"/>
  <c r="U44" i="1"/>
  <c r="U509" i="1"/>
  <c r="U503" i="1"/>
  <c r="U191" i="1"/>
  <c r="U395" i="1"/>
  <c r="U396" i="1"/>
  <c r="U409" i="1"/>
  <c r="U368" i="1"/>
  <c r="U492" i="1"/>
  <c r="U42" i="1"/>
  <c r="U159" i="1"/>
  <c r="U283" i="1"/>
  <c r="U293" i="1"/>
  <c r="U178" i="1"/>
  <c r="U367" i="1"/>
  <c r="U41" i="1"/>
  <c r="U189" i="1"/>
  <c r="U216" i="1"/>
  <c r="U287" i="1"/>
  <c r="U375" i="1"/>
  <c r="U495" i="1"/>
  <c r="U410" i="1"/>
  <c r="U458" i="1"/>
  <c r="U63" i="1"/>
  <c r="U640" i="1"/>
  <c r="U294" i="1"/>
  <c r="U169" i="1"/>
  <c r="U200" i="1"/>
  <c r="U201" i="1"/>
  <c r="U192" i="1"/>
  <c r="U385" i="1"/>
  <c r="U571" i="1"/>
  <c r="U416" i="1"/>
  <c r="U411" i="1"/>
  <c r="U377" i="1"/>
  <c r="U430" i="1"/>
  <c r="U73" i="1"/>
  <c r="U639" i="1"/>
  <c r="U641" i="1" s="1"/>
  <c r="U213" i="1" s="1"/>
  <c r="U508" i="1"/>
  <c r="U365" i="1"/>
  <c r="U150" i="1"/>
  <c r="U295" i="1"/>
  <c r="U407" i="1"/>
  <c r="U296" i="1"/>
  <c r="U285" i="1"/>
  <c r="U298" i="1"/>
  <c r="U505" i="1"/>
  <c r="U64" i="1"/>
  <c r="U151" i="1"/>
  <c r="U43" i="1"/>
  <c r="U249" i="1" s="1"/>
  <c r="U113" i="1"/>
  <c r="U131" i="1"/>
  <c r="U199" i="1"/>
  <c r="U459" i="1"/>
  <c r="U507" i="1"/>
  <c r="U491" i="1"/>
  <c r="U570" i="1"/>
  <c r="U418" i="1"/>
  <c r="U157" i="1"/>
  <c r="U268" i="1"/>
  <c r="U569" i="1"/>
  <c r="U494" i="1"/>
  <c r="U168" i="1"/>
  <c r="U190" i="1"/>
  <c r="U40" i="1"/>
  <c r="U170" i="1"/>
  <c r="U292" i="1"/>
  <c r="U408" i="1"/>
  <c r="U202" i="1"/>
  <c r="U251" i="1"/>
  <c r="U501" i="1"/>
  <c r="U286" i="1"/>
  <c r="U149" i="1"/>
  <c r="U19" i="1"/>
  <c r="U38" i="1"/>
  <c r="U476" i="1" s="1"/>
  <c r="U397" i="1"/>
  <c r="U502" i="1"/>
  <c r="U297" i="1"/>
  <c r="U363" i="1"/>
  <c r="U23" i="1"/>
  <c r="U36" i="1"/>
  <c r="U473" i="1" s="1"/>
  <c r="U374" i="1"/>
  <c r="U215" i="1"/>
  <c r="U581" i="1"/>
  <c r="U302" i="1"/>
  <c r="U493" i="1"/>
  <c r="U217" i="1"/>
  <c r="U145" i="1"/>
  <c r="U33" i="1"/>
  <c r="U590" i="1" s="1"/>
  <c r="U364" i="1"/>
  <c r="U39" i="1"/>
  <c r="U266" i="1" s="1"/>
  <c r="V2" i="1"/>
  <c r="U146" i="1"/>
  <c r="U284" i="1"/>
  <c r="U37" i="1"/>
  <c r="U475" i="1" s="1"/>
  <c r="U300" i="1"/>
  <c r="U148" i="1"/>
  <c r="U100" i="1"/>
  <c r="U212" i="1"/>
  <c r="U246" i="1"/>
  <c r="U214" i="1"/>
  <c r="U267" i="1"/>
  <c r="U376" i="1"/>
  <c r="U147" i="1"/>
  <c r="U99" i="1"/>
  <c r="U417" i="1"/>
  <c r="U500" i="1"/>
  <c r="U388" i="1"/>
  <c r="U160" i="1"/>
  <c r="U389" i="1"/>
  <c r="U366" i="1"/>
  <c r="U171" i="1"/>
  <c r="U510" i="1"/>
  <c r="U181" i="1"/>
  <c r="U456" i="1"/>
  <c r="U573" i="1"/>
  <c r="U250" i="1"/>
  <c r="U428" i="1"/>
  <c r="U432" i="1" s="1"/>
  <c r="U211" i="1"/>
  <c r="U457" i="1"/>
  <c r="U245" i="1"/>
  <c r="U230" i="1"/>
  <c r="U443" i="1"/>
  <c r="U478" i="1"/>
  <c r="U452" i="1"/>
  <c r="U479" i="1"/>
  <c r="U263" i="1"/>
  <c r="U236" i="1"/>
  <c r="F421" i="2"/>
  <c r="F423" i="2" s="1"/>
  <c r="F363" i="2"/>
  <c r="F365" i="2" s="1"/>
  <c r="N107" i="1"/>
  <c r="N323" i="1"/>
  <c r="N596" i="1"/>
  <c r="N598" i="1"/>
  <c r="N600" i="1"/>
  <c r="N602" i="1"/>
  <c r="N319" i="1"/>
  <c r="N527" i="1"/>
  <c r="N604" i="1"/>
  <c r="N322" i="1"/>
  <c r="N530" i="1"/>
  <c r="O653" i="1"/>
  <c r="O79" i="1"/>
  <c r="O93" i="1"/>
  <c r="O126" i="1"/>
  <c r="O123" i="1"/>
  <c r="F19" i="2"/>
  <c r="O112" i="1"/>
  <c r="O124" i="1"/>
  <c r="O111" i="1"/>
  <c r="O125" i="1"/>
  <c r="M1057" i="2"/>
  <c r="T177" i="1"/>
  <c r="T183" i="1" s="1"/>
  <c r="T250" i="1"/>
  <c r="T448" i="1"/>
  <c r="T641" i="1"/>
  <c r="T632" i="1"/>
  <c r="T384" i="1" s="1"/>
  <c r="T29" i="1"/>
  <c r="T204" i="1"/>
  <c r="T512" i="1"/>
  <c r="T421" i="1"/>
  <c r="F30" i="24"/>
  <c r="R219" i="1"/>
  <c r="R15" i="1"/>
  <c r="P514" i="1"/>
  <c r="S662" i="1"/>
  <c r="S244" i="1"/>
  <c r="S257" i="1" s="1"/>
  <c r="S656" i="1"/>
  <c r="S381" i="1"/>
  <c r="S144" i="1"/>
  <c r="S153" i="1" s="1"/>
  <c r="S484" i="1"/>
  <c r="S486" i="1" s="1"/>
  <c r="S663" i="1"/>
  <c r="S261" i="1"/>
  <c r="S271" i="1" s="1"/>
  <c r="S660" i="1"/>
  <c r="S423" i="1"/>
  <c r="S188" i="1"/>
  <c r="S194" i="1" s="1"/>
  <c r="S206" i="1" s="1"/>
  <c r="M664" i="1"/>
  <c r="M529" i="1"/>
  <c r="M526" i="1"/>
  <c r="M320" i="1"/>
  <c r="M318" i="1"/>
  <c r="M525" i="1"/>
  <c r="M528" i="1"/>
  <c r="M315" i="1"/>
  <c r="M325" i="1"/>
  <c r="M316" i="1"/>
  <c r="M321" i="1"/>
  <c r="M324" i="1"/>
  <c r="M523" i="1"/>
  <c r="M524" i="1"/>
  <c r="M317" i="1"/>
  <c r="M531" i="1"/>
  <c r="M532" i="1"/>
  <c r="P164" i="1"/>
  <c r="H120" i="1"/>
  <c r="G242" i="2"/>
  <c r="M242" i="2"/>
  <c r="N242" i="2"/>
  <c r="I242" i="2"/>
  <c r="Q242" i="2"/>
  <c r="R242" i="2"/>
  <c r="H242" i="2"/>
  <c r="T242" i="2"/>
  <c r="S242" i="2"/>
  <c r="K242" i="2"/>
  <c r="L242" i="2"/>
  <c r="U242" i="2"/>
  <c r="J242" i="2"/>
  <c r="O242" i="2"/>
  <c r="P242" i="2"/>
  <c r="S659" i="1"/>
  <c r="S177" i="1"/>
  <c r="S183" i="1" s="1"/>
  <c r="S185" i="1" s="1"/>
  <c r="S661" i="1"/>
  <c r="S227" i="1"/>
  <c r="S237" i="1"/>
  <c r="S233" i="1"/>
  <c r="S235" i="1"/>
  <c r="S226" i="1"/>
  <c r="S234" i="1"/>
  <c r="S232" i="1"/>
  <c r="S225" i="1"/>
  <c r="S231" i="1"/>
  <c r="S224" i="1"/>
  <c r="S228" i="1"/>
  <c r="S212" i="1"/>
  <c r="S214" i="1"/>
  <c r="S428" i="1"/>
  <c r="S432" i="1" s="1"/>
  <c r="S213" i="1"/>
  <c r="S211" i="1"/>
  <c r="Q665" i="1"/>
  <c r="Q584" i="1"/>
  <c r="Q586" i="1" s="1"/>
  <c r="F368" i="2" s="1"/>
  <c r="Q592" i="1"/>
  <c r="Q594" i="1" s="1"/>
  <c r="F426" i="2" s="1"/>
  <c r="Q533" i="1"/>
  <c r="Q326" i="1"/>
  <c r="Q327" i="1"/>
  <c r="Q534" i="1"/>
  <c r="Q575" i="1"/>
  <c r="J655" i="1"/>
  <c r="J118" i="1"/>
  <c r="Q153" i="1"/>
  <c r="Q164" i="1" s="1"/>
  <c r="Q208" i="1" s="1"/>
  <c r="Q221" i="1" s="1"/>
  <c r="N271" i="1"/>
  <c r="N273" i="1" s="1"/>
  <c r="N486" i="1"/>
  <c r="P526" i="2"/>
  <c r="P306" i="2"/>
  <c r="P297" i="2"/>
  <c r="P69" i="2"/>
  <c r="P10" i="2"/>
  <c r="P19" i="2"/>
  <c r="P584" i="2"/>
  <c r="P641" i="2"/>
  <c r="P183" i="2"/>
  <c r="P354" i="2"/>
  <c r="P412" i="2"/>
  <c r="P240" i="2"/>
  <c r="P469" i="2"/>
  <c r="P126" i="2"/>
  <c r="N469" i="2"/>
  <c r="N69" i="2"/>
  <c r="N240" i="2"/>
  <c r="N526" i="2"/>
  <c r="N183" i="2"/>
  <c r="N641" i="2"/>
  <c r="N306" i="2"/>
  <c r="N584" i="2"/>
  <c r="N126" i="2"/>
  <c r="N421" i="2"/>
  <c r="N412" i="2"/>
  <c r="N10" i="2"/>
  <c r="N354" i="2"/>
  <c r="N19" i="2"/>
  <c r="N297" i="2"/>
  <c r="G1056" i="2"/>
  <c r="G1057" i="2" s="1"/>
  <c r="R641" i="2"/>
  <c r="R240" i="2"/>
  <c r="R469" i="2"/>
  <c r="R526" i="2"/>
  <c r="R183" i="2"/>
  <c r="R19" i="2"/>
  <c r="R297" i="2"/>
  <c r="R10" i="2"/>
  <c r="R421" i="2"/>
  <c r="R69" i="2"/>
  <c r="R126" i="2"/>
  <c r="R412" i="2"/>
  <c r="R584" i="2"/>
  <c r="R354" i="2"/>
  <c r="R363" i="2"/>
  <c r="R306" i="2"/>
  <c r="O297" i="2"/>
  <c r="O469" i="2"/>
  <c r="O363" i="2"/>
  <c r="O584" i="2"/>
  <c r="O19" i="2"/>
  <c r="O526" i="2"/>
  <c r="O69" i="2"/>
  <c r="O421" i="2"/>
  <c r="O183" i="2"/>
  <c r="O10" i="2"/>
  <c r="O641" i="2"/>
  <c r="O306" i="2"/>
  <c r="O240" i="2"/>
  <c r="O412" i="2"/>
  <c r="O354" i="2"/>
  <c r="O126" i="2"/>
  <c r="K1057" i="2"/>
  <c r="H1057" i="2"/>
  <c r="I1057" i="2"/>
  <c r="R400" i="1"/>
  <c r="G185" i="2"/>
  <c r="M185" i="2"/>
  <c r="Q185" i="2"/>
  <c r="R185" i="2"/>
  <c r="N185" i="2"/>
  <c r="S185" i="2"/>
  <c r="U185" i="2"/>
  <c r="H185" i="2"/>
  <c r="T185" i="2"/>
  <c r="I185" i="2"/>
  <c r="L185" i="2"/>
  <c r="K185" i="2"/>
  <c r="J185" i="2"/>
  <c r="O185" i="2"/>
  <c r="F28" i="28" s="1"/>
  <c r="P185" i="2"/>
  <c r="K652" i="1"/>
  <c r="K110" i="1"/>
  <c r="K114" i="1" s="1"/>
  <c r="K138" i="1" s="1"/>
  <c r="F128" i="2" s="1"/>
  <c r="F1067" i="2"/>
  <c r="H110" i="1"/>
  <c r="H652" i="1"/>
  <c r="M221" i="1"/>
  <c r="Q484" i="1"/>
  <c r="Q486" i="1" s="1"/>
  <c r="Q488" i="1" s="1"/>
  <c r="Q663" i="1"/>
  <c r="Q261" i="1"/>
  <c r="Q271" i="1" s="1"/>
  <c r="Q273" i="1" s="1"/>
  <c r="Q275" i="1" s="1"/>
  <c r="R665" i="1"/>
  <c r="R327" i="1"/>
  <c r="R534" i="1"/>
  <c r="R326" i="1"/>
  <c r="R575" i="1"/>
  <c r="R592" i="1"/>
  <c r="R594" i="1" s="1"/>
  <c r="F429" i="2" s="1"/>
  <c r="R533" i="1"/>
  <c r="R584" i="1"/>
  <c r="R586" i="1" s="1"/>
  <c r="F371" i="2" s="1"/>
  <c r="T289" i="1"/>
  <c r="T629" i="1"/>
  <c r="T362" i="1" s="1"/>
  <c r="T370" i="1" s="1"/>
  <c r="T631" i="1"/>
  <c r="T373" i="1" s="1"/>
  <c r="T379" i="1" s="1"/>
  <c r="T46" i="1"/>
  <c r="T413" i="1"/>
  <c r="T497" i="1"/>
  <c r="S402" i="1"/>
  <c r="R239" i="1"/>
  <c r="F30" i="31" l="1"/>
  <c r="F30" i="26"/>
  <c r="P421" i="2"/>
  <c r="F21" i="2"/>
  <c r="F30" i="28"/>
  <c r="V358" i="2"/>
  <c r="V415" i="2"/>
  <c r="V13" i="2"/>
  <c r="V528" i="2"/>
  <c r="V71" i="2"/>
  <c r="V299" i="2"/>
  <c r="V698" i="2"/>
  <c r="V185" i="2"/>
  <c r="V242" i="2"/>
  <c r="V643" i="2"/>
  <c r="V72" i="2"/>
  <c r="V12" i="2"/>
  <c r="V586" i="2"/>
  <c r="V471" i="2"/>
  <c r="V644" i="2"/>
  <c r="V356" i="2"/>
  <c r="V529" i="2"/>
  <c r="V414" i="2"/>
  <c r="V587" i="2"/>
  <c r="F30" i="27"/>
  <c r="U582" i="1"/>
  <c r="U247" i="1"/>
  <c r="U474" i="1"/>
  <c r="U442" i="1"/>
  <c r="U229" i="1"/>
  <c r="U439" i="1"/>
  <c r="R484" i="1"/>
  <c r="R486" i="1" s="1"/>
  <c r="U638" i="1"/>
  <c r="U121" i="1" s="1"/>
  <c r="N363" i="2"/>
  <c r="P363" i="2"/>
  <c r="V472" i="2"/>
  <c r="V73" i="2"/>
  <c r="V301" i="2"/>
  <c r="V473" i="2"/>
  <c r="V645" i="2"/>
  <c r="V416" i="2"/>
  <c r="V530" i="2"/>
  <c r="V588" i="2"/>
  <c r="V912" i="2"/>
  <c r="W703" i="2"/>
  <c r="W932" i="2"/>
  <c r="W797" i="2"/>
  <c r="W51" i="33" s="1"/>
  <c r="W697" i="2"/>
  <c r="W809" i="2" s="1"/>
  <c r="W63" i="33" s="1"/>
  <c r="W771" i="2"/>
  <c r="W25" i="33" s="1"/>
  <c r="W766" i="2"/>
  <c r="W20" i="33" s="1"/>
  <c r="W1005" i="2"/>
  <c r="W768" i="2"/>
  <c r="W22" i="33" s="1"/>
  <c r="W759" i="2"/>
  <c r="W13" i="33" s="1"/>
  <c r="W1008" i="2"/>
  <c r="W700" i="2"/>
  <c r="W1002" i="2"/>
  <c r="W299" i="2" s="1"/>
  <c r="W704" i="2"/>
  <c r="W761" i="2"/>
  <c r="W15" i="33" s="1"/>
  <c r="W983" i="2"/>
  <c r="W984" i="2"/>
  <c r="W1097" i="2"/>
  <c r="W1009" i="2"/>
  <c r="X2" i="2"/>
  <c r="W772" i="2"/>
  <c r="W26" i="33" s="1"/>
  <c r="W702" i="2"/>
  <c r="W707" i="2"/>
  <c r="W901" i="2"/>
  <c r="W912" i="2" s="1"/>
  <c r="W800" i="2"/>
  <c r="W54" i="33" s="1"/>
  <c r="W764" i="2"/>
  <c r="W18" i="33" s="1"/>
  <c r="W798" i="2"/>
  <c r="W52" i="33" s="1"/>
  <c r="W1010" i="2"/>
  <c r="W973" i="2"/>
  <c r="W986" i="2" s="1"/>
  <c r="W701" i="2"/>
  <c r="W760" i="2"/>
  <c r="W14" i="33" s="1"/>
  <c r="W1055" i="2"/>
  <c r="U454" i="1"/>
  <c r="U477" i="1"/>
  <c r="O128" i="1"/>
  <c r="U219" i="1"/>
  <c r="U512" i="1"/>
  <c r="S105" i="1"/>
  <c r="S219" i="1"/>
  <c r="S239" i="1"/>
  <c r="O429" i="2"/>
  <c r="U429" i="2"/>
  <c r="L429" i="2"/>
  <c r="X429" i="2"/>
  <c r="M429" i="2"/>
  <c r="R429" i="2"/>
  <c r="K429" i="2"/>
  <c r="T429" i="2"/>
  <c r="H429" i="2"/>
  <c r="Q429" i="2"/>
  <c r="W429" i="2"/>
  <c r="J429" i="2"/>
  <c r="S429" i="2"/>
  <c r="G429" i="2"/>
  <c r="P429" i="2"/>
  <c r="V429" i="2"/>
  <c r="I429" i="2"/>
  <c r="N429" i="2"/>
  <c r="N275" i="1"/>
  <c r="N277" i="1"/>
  <c r="K371" i="2"/>
  <c r="U371" i="2"/>
  <c r="H371" i="2"/>
  <c r="P371" i="2"/>
  <c r="W371" i="2"/>
  <c r="I371" i="2"/>
  <c r="Q371" i="2"/>
  <c r="G371" i="2"/>
  <c r="O371" i="2"/>
  <c r="T371" i="2"/>
  <c r="N371" i="2"/>
  <c r="X371" i="2"/>
  <c r="M371" i="2"/>
  <c r="S371" i="2"/>
  <c r="L371" i="2"/>
  <c r="V371" i="2"/>
  <c r="J371" i="2"/>
  <c r="R371" i="2"/>
  <c r="T656" i="1"/>
  <c r="T381" i="1"/>
  <c r="T144" i="1"/>
  <c r="F28" i="31"/>
  <c r="I306" i="2"/>
  <c r="I354" i="2"/>
  <c r="I19" i="2"/>
  <c r="I10" i="2"/>
  <c r="I641" i="2"/>
  <c r="I183" i="2"/>
  <c r="I240" i="2"/>
  <c r="I421" i="2"/>
  <c r="I363" i="2"/>
  <c r="I469" i="2"/>
  <c r="I126" i="2"/>
  <c r="I584" i="2"/>
  <c r="I297" i="2"/>
  <c r="I69" i="2"/>
  <c r="I412" i="2"/>
  <c r="I526" i="2"/>
  <c r="T660" i="1"/>
  <c r="T423" i="1"/>
  <c r="T188" i="1"/>
  <c r="T194" i="1" s="1"/>
  <c r="T206" i="1" s="1"/>
  <c r="T657" i="1"/>
  <c r="T156" i="1"/>
  <c r="T162" i="1" s="1"/>
  <c r="Q514" i="1"/>
  <c r="M277" i="1"/>
  <c r="AA1067" i="2"/>
  <c r="AB1067" i="2" s="1"/>
  <c r="F1069" i="2"/>
  <c r="F28" i="26"/>
  <c r="F28" i="14"/>
  <c r="R659" i="1"/>
  <c r="R177" i="1"/>
  <c r="H526" i="2"/>
  <c r="H10" i="2"/>
  <c r="H19" i="2"/>
  <c r="H641" i="2"/>
  <c r="H584" i="2"/>
  <c r="H240" i="2"/>
  <c r="H421" i="2"/>
  <c r="H469" i="2"/>
  <c r="H183" i="2"/>
  <c r="H306" i="2"/>
  <c r="H69" i="2"/>
  <c r="H126" i="2"/>
  <c r="H354" i="2"/>
  <c r="H363" i="2"/>
  <c r="H412" i="2"/>
  <c r="H297" i="2"/>
  <c r="G526" i="2"/>
  <c r="G183" i="2"/>
  <c r="G19" i="2"/>
  <c r="G421" i="2"/>
  <c r="G469" i="2"/>
  <c r="G306" i="2"/>
  <c r="G297" i="2"/>
  <c r="G126" i="2"/>
  <c r="G641" i="2"/>
  <c r="G363" i="2"/>
  <c r="G354" i="2"/>
  <c r="G69" i="2"/>
  <c r="G240" i="2"/>
  <c r="G412" i="2"/>
  <c r="G10" i="2"/>
  <c r="G584" i="2"/>
  <c r="N488" i="1"/>
  <c r="H426" i="2"/>
  <c r="K426" i="2"/>
  <c r="M426" i="2"/>
  <c r="P426" i="2"/>
  <c r="S426" i="2"/>
  <c r="X426" i="2"/>
  <c r="I426" i="2"/>
  <c r="Q426" i="2"/>
  <c r="U426" i="2"/>
  <c r="J426" i="2"/>
  <c r="L426" i="2"/>
  <c r="O426" i="2"/>
  <c r="R426" i="2"/>
  <c r="V426" i="2"/>
  <c r="G426" i="2"/>
  <c r="N426" i="2"/>
  <c r="T426" i="2"/>
  <c r="W426" i="2"/>
  <c r="P664" i="1"/>
  <c r="P531" i="1"/>
  <c r="P523" i="1"/>
  <c r="P320" i="1"/>
  <c r="P526" i="1"/>
  <c r="P532" i="1"/>
  <c r="P524" i="1"/>
  <c r="P316" i="1"/>
  <c r="P529" i="1"/>
  <c r="P315" i="1"/>
  <c r="P318" i="1"/>
  <c r="P525" i="1"/>
  <c r="P317" i="1"/>
  <c r="P324" i="1"/>
  <c r="P325" i="1"/>
  <c r="P321" i="1"/>
  <c r="P528" i="1"/>
  <c r="R667" i="1"/>
  <c r="R67" i="1"/>
  <c r="R576" i="1"/>
  <c r="R578" i="1" s="1"/>
  <c r="T666" i="1"/>
  <c r="T48" i="1"/>
  <c r="T571" i="1"/>
  <c r="T569" i="1"/>
  <c r="T570" i="1"/>
  <c r="T428" i="1"/>
  <c r="T432" i="1" s="1"/>
  <c r="T211" i="1"/>
  <c r="T213" i="1"/>
  <c r="T214" i="1"/>
  <c r="T212" i="1"/>
  <c r="T661" i="1"/>
  <c r="T235" i="1"/>
  <c r="T237" i="1"/>
  <c r="T225" i="1"/>
  <c r="T228" i="1"/>
  <c r="T232" i="1"/>
  <c r="T226" i="1"/>
  <c r="T227" i="1"/>
  <c r="T231" i="1"/>
  <c r="T233" i="1"/>
  <c r="T224" i="1"/>
  <c r="T234" i="1"/>
  <c r="M641" i="2"/>
  <c r="M183" i="2"/>
  <c r="M69" i="2"/>
  <c r="M126" i="2"/>
  <c r="M297" i="2"/>
  <c r="M19" i="2"/>
  <c r="M421" i="2"/>
  <c r="M526" i="2"/>
  <c r="M469" i="2"/>
  <c r="M363" i="2"/>
  <c r="M240" i="2"/>
  <c r="M584" i="2"/>
  <c r="M354" i="2"/>
  <c r="M306" i="2"/>
  <c r="M412" i="2"/>
  <c r="M10" i="2"/>
  <c r="F649" i="2"/>
  <c r="F534" i="2"/>
  <c r="F77" i="2"/>
  <c r="V146" i="1"/>
  <c r="V63" i="1"/>
  <c r="V298" i="1"/>
  <c r="V640" i="1"/>
  <c r="V216" i="1"/>
  <c r="V181" i="1"/>
  <c r="V493" i="1"/>
  <c r="V570" i="1"/>
  <c r="V504" i="1"/>
  <c r="V495" i="1"/>
  <c r="V571" i="1"/>
  <c r="V508" i="1"/>
  <c r="V299" i="1"/>
  <c r="V492" i="1"/>
  <c r="V202" i="1"/>
  <c r="V503" i="1"/>
  <c r="V169" i="1"/>
  <c r="V159" i="1"/>
  <c r="V398" i="1"/>
  <c r="V409" i="1"/>
  <c r="V397" i="1"/>
  <c r="V19" i="1"/>
  <c r="V385" i="1"/>
  <c r="V251" i="1"/>
  <c r="V170" i="1"/>
  <c r="V172" i="1"/>
  <c r="V294" i="1"/>
  <c r="V171" i="1"/>
  <c r="V367" i="1"/>
  <c r="V581" i="1"/>
  <c r="V27" i="1"/>
  <c r="V149" i="1"/>
  <c r="V301" i="1"/>
  <c r="V37" i="1"/>
  <c r="V454" i="1" s="1"/>
  <c r="V364" i="1"/>
  <c r="V113" i="1"/>
  <c r="V145" i="1"/>
  <c r="V416" i="1"/>
  <c r="V131" i="1"/>
  <c r="V39" i="1"/>
  <c r="V477" i="1" s="1"/>
  <c r="V430" i="1"/>
  <c r="V284" i="1"/>
  <c r="V458" i="1"/>
  <c r="V395" i="1"/>
  <c r="V376" i="1"/>
  <c r="V64" i="1"/>
  <c r="V99" i="1"/>
  <c r="V365" i="1"/>
  <c r="V491" i="1"/>
  <c r="V41" i="1"/>
  <c r="V268" i="1" s="1"/>
  <c r="V190" i="1"/>
  <c r="V192" i="1"/>
  <c r="V43" i="1"/>
  <c r="V199" i="1"/>
  <c r="V23" i="1"/>
  <c r="V639" i="1"/>
  <c r="V641" i="1" s="1"/>
  <c r="V214" i="1" s="1"/>
  <c r="V408" i="1"/>
  <c r="V38" i="1"/>
  <c r="V265" i="1" s="1"/>
  <c r="V148" i="1"/>
  <c r="V44" i="1"/>
  <c r="V249" i="1"/>
  <c r="V363" i="1"/>
  <c r="V160" i="1"/>
  <c r="V33" i="1"/>
  <c r="V443" i="1" s="1"/>
  <c r="V158" i="1"/>
  <c r="V151" i="1"/>
  <c r="V500" i="1"/>
  <c r="V501" i="1"/>
  <c r="V189" i="1"/>
  <c r="V283" i="1"/>
  <c r="V374" i="1"/>
  <c r="V179" i="1"/>
  <c r="V191" i="1"/>
  <c r="V375" i="1"/>
  <c r="V73" i="1"/>
  <c r="V296" i="1"/>
  <c r="V569" i="1"/>
  <c r="V147" i="1"/>
  <c r="V506" i="1"/>
  <c r="V180" i="1"/>
  <c r="V201" i="1"/>
  <c r="V168" i="1"/>
  <c r="V407" i="1"/>
  <c r="V510" i="1"/>
  <c r="V494" i="1"/>
  <c r="V386" i="1"/>
  <c r="V387" i="1"/>
  <c r="V429" i="1"/>
  <c r="V509" i="1"/>
  <c r="V368" i="1"/>
  <c r="V42" i="1"/>
  <c r="V459" i="1" s="1"/>
  <c r="V157" i="1"/>
  <c r="V285" i="1"/>
  <c r="V287" i="1"/>
  <c r="V502" i="1"/>
  <c r="V396" i="1"/>
  <c r="V72" i="1"/>
  <c r="V589" i="1"/>
  <c r="V419" i="1"/>
  <c r="V417" i="1"/>
  <c r="V418" i="1"/>
  <c r="V293" i="1"/>
  <c r="V389" i="1"/>
  <c r="V150" i="1"/>
  <c r="V411" i="1"/>
  <c r="V200" i="1"/>
  <c r="V297" i="1"/>
  <c r="V377" i="1"/>
  <c r="V36" i="1"/>
  <c r="V46" i="1" s="1"/>
  <c r="V650" i="1" s="1"/>
  <c r="V40" i="1"/>
  <c r="W2" i="1"/>
  <c r="V215" i="1"/>
  <c r="V300" i="1"/>
  <c r="V217" i="1"/>
  <c r="V388" i="1"/>
  <c r="V302" i="1"/>
  <c r="V479" i="1"/>
  <c r="V410" i="1"/>
  <c r="V505" i="1"/>
  <c r="V267" i="1"/>
  <c r="V286" i="1"/>
  <c r="V295" i="1"/>
  <c r="V178" i="1"/>
  <c r="V248" i="1"/>
  <c r="V366" i="1"/>
  <c r="V292" i="1"/>
  <c r="V507" i="1"/>
  <c r="V439" i="1"/>
  <c r="V229" i="1"/>
  <c r="V230" i="1"/>
  <c r="V264" i="1"/>
  <c r="V446" i="1"/>
  <c r="V441" i="1"/>
  <c r="V250" i="1"/>
  <c r="V456" i="1"/>
  <c r="V457" i="1"/>
  <c r="V478" i="1"/>
  <c r="V475" i="1"/>
  <c r="V476" i="1"/>
  <c r="V455" i="1"/>
  <c r="L306" i="1"/>
  <c r="Q67" i="1"/>
  <c r="Q667" i="1"/>
  <c r="Q576" i="1"/>
  <c r="Q277" i="1"/>
  <c r="M536" i="1"/>
  <c r="M538" i="1" s="1"/>
  <c r="S425" i="1"/>
  <c r="S488" i="1" s="1"/>
  <c r="S273" i="1"/>
  <c r="S275" i="1" s="1"/>
  <c r="U446" i="1"/>
  <c r="U265" i="1"/>
  <c r="U248" i="1"/>
  <c r="U132" i="1"/>
  <c r="U440" i="1"/>
  <c r="U438" i="1"/>
  <c r="U444" i="1"/>
  <c r="U455" i="1"/>
  <c r="U262" i="1"/>
  <c r="U572" i="1"/>
  <c r="U264" i="1"/>
  <c r="U445" i="1"/>
  <c r="U441" i="1"/>
  <c r="U631" i="1"/>
  <c r="U373" i="1" s="1"/>
  <c r="U379" i="1" s="1"/>
  <c r="U304" i="1"/>
  <c r="U204" i="1"/>
  <c r="U413" i="1"/>
  <c r="U421" i="1"/>
  <c r="U632" i="1"/>
  <c r="U384" i="1" s="1"/>
  <c r="U391" i="1" s="1"/>
  <c r="R402" i="1"/>
  <c r="R425" i="1" s="1"/>
  <c r="S421" i="2"/>
  <c r="S363" i="2"/>
  <c r="U363" i="2"/>
  <c r="J363" i="2"/>
  <c r="L19" i="2"/>
  <c r="L421" i="2"/>
  <c r="Q19" i="2"/>
  <c r="T421" i="2"/>
  <c r="T19" i="2"/>
  <c r="T363" i="2"/>
  <c r="V421" i="2"/>
  <c r="V363" i="2"/>
  <c r="S15" i="1"/>
  <c r="R273" i="1"/>
  <c r="R275" i="1" s="1"/>
  <c r="T650" i="1"/>
  <c r="T65" i="1"/>
  <c r="T62" i="1"/>
  <c r="T254" i="1"/>
  <c r="T461" i="1"/>
  <c r="T480" i="1"/>
  <c r="T635" i="1" s="1"/>
  <c r="T472" i="1" s="1"/>
  <c r="T482" i="1" s="1"/>
  <c r="T460" i="1"/>
  <c r="T133" i="1"/>
  <c r="T574" i="1"/>
  <c r="T591" i="1"/>
  <c r="T252" i="1"/>
  <c r="T253" i="1"/>
  <c r="T269" i="1"/>
  <c r="T74" i="1"/>
  <c r="T101" i="1"/>
  <c r="T255" i="1"/>
  <c r="T583" i="1"/>
  <c r="H114" i="1"/>
  <c r="H128" i="2"/>
  <c r="L128" i="2"/>
  <c r="V128" i="2"/>
  <c r="G128" i="2"/>
  <c r="K128" i="2"/>
  <c r="S128" i="2"/>
  <c r="M128" i="2"/>
  <c r="R128" i="2"/>
  <c r="U128" i="2"/>
  <c r="I128" i="2"/>
  <c r="N128" i="2"/>
  <c r="Q128" i="2"/>
  <c r="T128" i="2"/>
  <c r="J128" i="2"/>
  <c r="P128" i="2"/>
  <c r="O128" i="2"/>
  <c r="F14" i="28" s="1"/>
  <c r="F28" i="27"/>
  <c r="F28" i="24"/>
  <c r="K526" i="2"/>
  <c r="K69" i="2"/>
  <c r="K10" i="2"/>
  <c r="K354" i="2"/>
  <c r="K469" i="2"/>
  <c r="K584" i="2"/>
  <c r="K363" i="2"/>
  <c r="K306" i="2"/>
  <c r="K297" i="2"/>
  <c r="K126" i="2"/>
  <c r="K412" i="2"/>
  <c r="K240" i="2"/>
  <c r="K641" i="2"/>
  <c r="K19" i="2"/>
  <c r="K421" i="2"/>
  <c r="K183" i="2"/>
  <c r="G368" i="2"/>
  <c r="I368" i="2"/>
  <c r="T368" i="2"/>
  <c r="H368" i="2"/>
  <c r="O368" i="2"/>
  <c r="U368" i="2"/>
  <c r="N368" i="2"/>
  <c r="L368" i="2"/>
  <c r="R368" i="2"/>
  <c r="X368" i="2"/>
  <c r="S368" i="2"/>
  <c r="M368" i="2"/>
  <c r="Q368" i="2"/>
  <c r="V368" i="2"/>
  <c r="P368" i="2"/>
  <c r="K368" i="2"/>
  <c r="W368" i="2"/>
  <c r="J368" i="2"/>
  <c r="P208" i="1"/>
  <c r="T391" i="1"/>
  <c r="O96" i="1"/>
  <c r="F592" i="2"/>
  <c r="F477" i="2"/>
  <c r="N606" i="1"/>
  <c r="U651" i="1"/>
  <c r="R174" i="1"/>
  <c r="L664" i="1"/>
  <c r="L529" i="1"/>
  <c r="L321" i="1"/>
  <c r="L315" i="1"/>
  <c r="L318" i="1"/>
  <c r="L324" i="1"/>
  <c r="L320" i="1"/>
  <c r="L525" i="1"/>
  <c r="L528" i="1"/>
  <c r="L325" i="1"/>
  <c r="L523" i="1"/>
  <c r="L524" i="1"/>
  <c r="L316" i="1"/>
  <c r="L317" i="1"/>
  <c r="L526" i="1"/>
  <c r="L531" i="1"/>
  <c r="L532" i="1"/>
  <c r="O306" i="1"/>
  <c r="P107" i="1"/>
  <c r="F79" i="2" s="1"/>
  <c r="P600" i="1"/>
  <c r="F594" i="2" s="1"/>
  <c r="P604" i="1"/>
  <c r="P530" i="1"/>
  <c r="P323" i="1"/>
  <c r="P319" i="1"/>
  <c r="P602" i="1"/>
  <c r="F651" i="2" s="1"/>
  <c r="P598" i="1"/>
  <c r="F536" i="2" s="1"/>
  <c r="P596" i="1"/>
  <c r="P322" i="1"/>
  <c r="P527" i="1"/>
  <c r="S665" i="1"/>
  <c r="S534" i="1"/>
  <c r="S533" i="1"/>
  <c r="S327" i="1"/>
  <c r="S575" i="1"/>
  <c r="S592" i="1"/>
  <c r="S594" i="1" s="1"/>
  <c r="F432" i="2" s="1"/>
  <c r="S326" i="1"/>
  <c r="S584" i="1"/>
  <c r="S586" i="1" s="1"/>
  <c r="F374" i="2" s="1"/>
  <c r="J538" i="1"/>
  <c r="J331" i="1"/>
  <c r="F30" i="14"/>
  <c r="S162" i="1"/>
  <c r="Q578" i="1"/>
  <c r="M329" i="1"/>
  <c r="S164" i="1"/>
  <c r="S208" i="1" s="1"/>
  <c r="S221" i="1" s="1"/>
  <c r="S277" i="1" s="1"/>
  <c r="U46" i="1"/>
  <c r="U629" i="1"/>
  <c r="U362" i="1" s="1"/>
  <c r="U370" i="1" s="1"/>
  <c r="U453" i="1"/>
  <c r="U497" i="1"/>
  <c r="U289" i="1"/>
  <c r="U633" i="1"/>
  <c r="U394" i="1" s="1"/>
  <c r="U400" i="1" s="1"/>
  <c r="S19" i="2"/>
  <c r="U421" i="2"/>
  <c r="U19" i="2"/>
  <c r="J421" i="2"/>
  <c r="J19" i="2"/>
  <c r="L363" i="2"/>
  <c r="Q363" i="2"/>
  <c r="Q421" i="2"/>
  <c r="V19" i="2"/>
  <c r="P128" i="1"/>
  <c r="R488" i="1"/>
  <c r="F308" i="2"/>
  <c r="W128" i="2" l="1"/>
  <c r="W588" i="2"/>
  <c r="W587" i="2"/>
  <c r="W356" i="2"/>
  <c r="V236" i="1"/>
  <c r="W73" i="2"/>
  <c r="W472" i="2"/>
  <c r="W12" i="2"/>
  <c r="V266" i="1"/>
  <c r="W416" i="2"/>
  <c r="W72" i="2"/>
  <c r="W414" i="2"/>
  <c r="V213" i="1"/>
  <c r="V453" i="1"/>
  <c r="V247" i="1"/>
  <c r="W473" i="2"/>
  <c r="W644" i="2"/>
  <c r="W358" i="2"/>
  <c r="T634" i="1"/>
  <c r="T451" i="1" s="1"/>
  <c r="T463" i="1" s="1"/>
  <c r="V211" i="1"/>
  <c r="V582" i="1"/>
  <c r="W530" i="2"/>
  <c r="W14" i="2"/>
  <c r="W300" i="2"/>
  <c r="V572" i="1"/>
  <c r="V428" i="1"/>
  <c r="V432" i="1" s="1"/>
  <c r="V573" i="1"/>
  <c r="V263" i="1"/>
  <c r="W529" i="2"/>
  <c r="W357" i="2"/>
  <c r="V74" i="1"/>
  <c r="W645" i="2"/>
  <c r="W13" i="2"/>
  <c r="W415" i="2"/>
  <c r="V452" i="1"/>
  <c r="W301" i="2"/>
  <c r="X1097" i="2"/>
  <c r="X701" i="2"/>
  <c r="X759" i="2"/>
  <c r="X13" i="33" s="1"/>
  <c r="X697" i="2"/>
  <c r="X809" i="2" s="1"/>
  <c r="X63" i="33" s="1"/>
  <c r="X932" i="2"/>
  <c r="X703" i="2"/>
  <c r="X1010" i="2"/>
  <c r="X984" i="2"/>
  <c r="Y2" i="2"/>
  <c r="X797" i="2"/>
  <c r="X702" i="2"/>
  <c r="X901" i="2"/>
  <c r="X912" i="2" s="1"/>
  <c r="X764" i="2"/>
  <c r="X18" i="33" s="1"/>
  <c r="X1005" i="2"/>
  <c r="X768" i="2"/>
  <c r="X22" i="33" s="1"/>
  <c r="X983" i="2"/>
  <c r="X771" i="2"/>
  <c r="X25" i="33" s="1"/>
  <c r="X704" i="2"/>
  <c r="X1009" i="2"/>
  <c r="X772" i="2"/>
  <c r="X26" i="33" s="1"/>
  <c r="X800" i="2"/>
  <c r="X54" i="33" s="1"/>
  <c r="X1002" i="2"/>
  <c r="X299" i="2" s="1"/>
  <c r="X766" i="2"/>
  <c r="X20" i="33" s="1"/>
  <c r="X973" i="2"/>
  <c r="X986" i="2" s="1"/>
  <c r="X760" i="2"/>
  <c r="X14" i="33" s="1"/>
  <c r="X761" i="2"/>
  <c r="X15" i="33" s="1"/>
  <c r="X1008" i="2"/>
  <c r="X700" i="2"/>
  <c r="X798" i="2"/>
  <c r="X52" i="33" s="1"/>
  <c r="X707" i="2"/>
  <c r="X1055" i="2"/>
  <c r="X1056" i="2" s="1"/>
  <c r="X1057" i="2" s="1"/>
  <c r="X469" i="2" s="1"/>
  <c r="W1056" i="2"/>
  <c r="W698" i="2"/>
  <c r="W643" i="2"/>
  <c r="W586" i="2"/>
  <c r="W242" i="2"/>
  <c r="W528" i="2"/>
  <c r="W185" i="2"/>
  <c r="W471" i="2"/>
  <c r="W71" i="2"/>
  <c r="V583" i="1"/>
  <c r="V574" i="1"/>
  <c r="V62" i="1"/>
  <c r="V212" i="1"/>
  <c r="U659" i="1"/>
  <c r="U177" i="1"/>
  <c r="U183" i="1" s="1"/>
  <c r="U650" i="1"/>
  <c r="U65" i="1"/>
  <c r="U255" i="1"/>
  <c r="U574" i="1"/>
  <c r="U480" i="1"/>
  <c r="U635" i="1" s="1"/>
  <c r="U472" i="1" s="1"/>
  <c r="U482" i="1" s="1"/>
  <c r="U74" i="1"/>
  <c r="U591" i="1"/>
  <c r="U133" i="1"/>
  <c r="U62" i="1"/>
  <c r="U583" i="1"/>
  <c r="U460" i="1"/>
  <c r="U101" i="1"/>
  <c r="U254" i="1"/>
  <c r="U269" i="1"/>
  <c r="U253" i="1"/>
  <c r="U252" i="1"/>
  <c r="U461" i="1"/>
  <c r="S306" i="1"/>
  <c r="J333" i="1"/>
  <c r="J608" i="1"/>
  <c r="F184" i="2"/>
  <c r="G432" i="2"/>
  <c r="J432" i="2"/>
  <c r="K432" i="2"/>
  <c r="L432" i="2"/>
  <c r="O432" i="2"/>
  <c r="Q432" i="2"/>
  <c r="S432" i="2"/>
  <c r="T432" i="2"/>
  <c r="W432" i="2"/>
  <c r="Y432" i="2"/>
  <c r="H432" i="2"/>
  <c r="I432" i="2"/>
  <c r="N432" i="2"/>
  <c r="M432" i="2"/>
  <c r="P432" i="2"/>
  <c r="R432" i="2"/>
  <c r="V432" i="2"/>
  <c r="U432" i="2"/>
  <c r="X432" i="2"/>
  <c r="F479" i="2"/>
  <c r="P606" i="1"/>
  <c r="L329" i="1"/>
  <c r="R514" i="1"/>
  <c r="U381" i="1"/>
  <c r="U656" i="1"/>
  <c r="U144" i="1"/>
  <c r="U153" i="1" s="1"/>
  <c r="F311" i="2"/>
  <c r="J540" i="1"/>
  <c r="J654" i="1"/>
  <c r="J117" i="1"/>
  <c r="F241" i="2"/>
  <c r="O655" i="1"/>
  <c r="O118" i="1"/>
  <c r="L536" i="1"/>
  <c r="F14" i="31"/>
  <c r="F14" i="26"/>
  <c r="T662" i="1"/>
  <c r="T244" i="1"/>
  <c r="T257" i="1" s="1"/>
  <c r="M540" i="1"/>
  <c r="M654" i="1"/>
  <c r="M117" i="1"/>
  <c r="F244" i="2"/>
  <c r="R93" i="1"/>
  <c r="R96" i="1" s="1"/>
  <c r="R79" i="1"/>
  <c r="R653" i="1"/>
  <c r="R111" i="1"/>
  <c r="R126" i="1"/>
  <c r="R112" i="1"/>
  <c r="R123" i="1"/>
  <c r="F27" i="2"/>
  <c r="R124" i="1"/>
  <c r="R125" i="1"/>
  <c r="N514" i="1"/>
  <c r="H1069" i="2"/>
  <c r="H1070" i="2" s="1"/>
  <c r="K1069" i="2"/>
  <c r="K1070" i="2" s="1"/>
  <c r="G1069" i="2"/>
  <c r="M1069" i="2"/>
  <c r="M1070" i="2" s="1"/>
  <c r="T1069" i="2"/>
  <c r="T1070" i="2" s="1"/>
  <c r="S1069" i="2"/>
  <c r="S1070" i="2" s="1"/>
  <c r="X1069" i="2"/>
  <c r="X1070" i="2" s="1"/>
  <c r="F1070" i="2"/>
  <c r="N1069" i="2"/>
  <c r="N1070" i="2" s="1"/>
  <c r="L1069" i="2"/>
  <c r="L1070" i="2" s="1"/>
  <c r="L1071" i="2" s="1"/>
  <c r="Q1069" i="2"/>
  <c r="Q1070" i="2" s="1"/>
  <c r="V1069" i="2"/>
  <c r="V1070" i="2" s="1"/>
  <c r="V1071" i="2" s="1"/>
  <c r="R1069" i="2"/>
  <c r="R1070" i="2" s="1"/>
  <c r="U1069" i="2"/>
  <c r="U1070" i="2" s="1"/>
  <c r="Y1069" i="2"/>
  <c r="Y1070" i="2" s="1"/>
  <c r="Y1071" i="2" s="1"/>
  <c r="W1069" i="2"/>
  <c r="W1070" i="2" s="1"/>
  <c r="W1071" i="2" s="1"/>
  <c r="I1069" i="2"/>
  <c r="I1070" i="2" s="1"/>
  <c r="O1069" i="2"/>
  <c r="O1070" i="2" s="1"/>
  <c r="P1069" i="2"/>
  <c r="P1070" i="2" s="1"/>
  <c r="J1069" i="2"/>
  <c r="J1070" i="2" s="1"/>
  <c r="M306" i="1"/>
  <c r="M331" i="1"/>
  <c r="Q664" i="1"/>
  <c r="Q318" i="1"/>
  <c r="Q528" i="1"/>
  <c r="Q321" i="1"/>
  <c r="Q526" i="1"/>
  <c r="Q532" i="1"/>
  <c r="Q315" i="1"/>
  <c r="Q525" i="1"/>
  <c r="Q524" i="1"/>
  <c r="Q316" i="1"/>
  <c r="Q325" i="1"/>
  <c r="Q320" i="1"/>
  <c r="Q324" i="1"/>
  <c r="Q529" i="1"/>
  <c r="Q523" i="1"/>
  <c r="Q531" i="1"/>
  <c r="Q317" i="1"/>
  <c r="U48" i="1"/>
  <c r="U448" i="1"/>
  <c r="V262" i="1"/>
  <c r="V219" i="1"/>
  <c r="V65" i="1"/>
  <c r="V254" i="1"/>
  <c r="V591" i="1"/>
  <c r="V461" i="1"/>
  <c r="V304" i="1"/>
  <c r="V413" i="1"/>
  <c r="V631" i="1"/>
  <c r="V373" i="1" s="1"/>
  <c r="V379" i="1" s="1"/>
  <c r="V512" i="1"/>
  <c r="V252" i="1"/>
  <c r="V269" i="1"/>
  <c r="V460" i="1"/>
  <c r="V133" i="1"/>
  <c r="V100" i="1"/>
  <c r="V440" i="1"/>
  <c r="V444" i="1"/>
  <c r="V590" i="1"/>
  <c r="V474" i="1"/>
  <c r="V445" i="1"/>
  <c r="V497" i="1"/>
  <c r="V633" i="1"/>
  <c r="V394" i="1" s="1"/>
  <c r="V400" i="1" s="1"/>
  <c r="V421" i="1"/>
  <c r="V638" i="1"/>
  <c r="V121" i="1" s="1"/>
  <c r="V632" i="1"/>
  <c r="V384" i="1" s="1"/>
  <c r="V391" i="1" s="1"/>
  <c r="T239" i="1"/>
  <c r="T219" i="1"/>
  <c r="P536" i="1"/>
  <c r="P538" i="1" s="1"/>
  <c r="G374" i="2"/>
  <c r="I374" i="2"/>
  <c r="K374" i="2"/>
  <c r="M374" i="2"/>
  <c r="N374" i="2"/>
  <c r="U374" i="2"/>
  <c r="Q374" i="2"/>
  <c r="S374" i="2"/>
  <c r="X374" i="2"/>
  <c r="H374" i="2"/>
  <c r="J374" i="2"/>
  <c r="L374" i="2"/>
  <c r="O374" i="2"/>
  <c r="P374" i="2"/>
  <c r="V374" i="2"/>
  <c r="R374" i="2"/>
  <c r="T374" i="2"/>
  <c r="W374" i="2"/>
  <c r="Y374" i="2"/>
  <c r="O107" i="1"/>
  <c r="O319" i="1"/>
  <c r="O600" i="1"/>
  <c r="O527" i="1"/>
  <c r="O530" i="1"/>
  <c r="O596" i="1"/>
  <c r="O604" i="1"/>
  <c r="O602" i="1"/>
  <c r="O322" i="1"/>
  <c r="O598" i="1"/>
  <c r="O323" i="1"/>
  <c r="T658" i="1"/>
  <c r="T402" i="1"/>
  <c r="T425" i="1" s="1"/>
  <c r="T167" i="1"/>
  <c r="P221" i="1"/>
  <c r="F14" i="27"/>
  <c r="F14" i="14"/>
  <c r="F14" i="24"/>
  <c r="H138" i="1"/>
  <c r="T484" i="1"/>
  <c r="T486" i="1" s="1"/>
  <c r="T663" i="1"/>
  <c r="T261" i="1"/>
  <c r="T271" i="1" s="1"/>
  <c r="S67" i="1"/>
  <c r="S667" i="1"/>
  <c r="S576" i="1"/>
  <c r="S578" i="1" s="1"/>
  <c r="U402" i="1"/>
  <c r="U658" i="1"/>
  <c r="U167" i="1"/>
  <c r="U174" i="1" s="1"/>
  <c r="U185" i="1" s="1"/>
  <c r="U660" i="1"/>
  <c r="U423" i="1"/>
  <c r="U188" i="1"/>
  <c r="U194" i="1" s="1"/>
  <c r="U206" i="1" s="1"/>
  <c r="U657" i="1"/>
  <c r="U156" i="1"/>
  <c r="U162" i="1" s="1"/>
  <c r="S514" i="1"/>
  <c r="Q306" i="1"/>
  <c r="Q653" i="1"/>
  <c r="Q79" i="1"/>
  <c r="Q93" i="1"/>
  <c r="Q96" i="1" s="1"/>
  <c r="F24" i="2"/>
  <c r="Q124" i="1"/>
  <c r="Q123" i="1"/>
  <c r="Q112" i="1"/>
  <c r="Q125" i="1"/>
  <c r="Q111" i="1"/>
  <c r="Q126" i="1"/>
  <c r="L655" i="1"/>
  <c r="L118" i="1"/>
  <c r="W27" i="1"/>
  <c r="W368" i="1"/>
  <c r="W168" i="1"/>
  <c r="W396" i="1"/>
  <c r="W191" i="1"/>
  <c r="W150" i="1"/>
  <c r="W386" i="1"/>
  <c r="W458" i="1"/>
  <c r="W19" i="1"/>
  <c r="W287" i="1"/>
  <c r="W215" i="1"/>
  <c r="W302" i="1"/>
  <c r="W151" i="1"/>
  <c r="W43" i="1"/>
  <c r="W160" i="1"/>
  <c r="W148" i="1"/>
  <c r="W510" i="1"/>
  <c r="W145" i="1"/>
  <c r="W293" i="1"/>
  <c r="W387" i="1"/>
  <c r="W251" i="1"/>
  <c r="X2" i="1"/>
  <c r="W508" i="1"/>
  <c r="W409" i="1"/>
  <c r="W99" i="1"/>
  <c r="W408" i="1"/>
  <c r="W297" i="1"/>
  <c r="W37" i="1"/>
  <c r="W365" i="1"/>
  <c r="W190" i="1"/>
  <c r="W296" i="1"/>
  <c r="W147" i="1"/>
  <c r="W503" i="1"/>
  <c r="W495" i="1"/>
  <c r="W40" i="1"/>
  <c r="W23" i="1"/>
  <c r="W192" i="1"/>
  <c r="W640" i="1"/>
  <c r="W171" i="1"/>
  <c r="W180" i="1"/>
  <c r="W570" i="1"/>
  <c r="W178" i="1"/>
  <c r="W131" i="1"/>
  <c r="W500" i="1"/>
  <c r="W397" i="1"/>
  <c r="W169" i="1"/>
  <c r="W494" i="1"/>
  <c r="W172" i="1"/>
  <c r="W157" i="1"/>
  <c r="W73" i="1"/>
  <c r="W395" i="1"/>
  <c r="W298" i="1"/>
  <c r="W286" i="1"/>
  <c r="W113" i="1"/>
  <c r="W41" i="1"/>
  <c r="W457" i="1" s="1"/>
  <c r="W216" i="1"/>
  <c r="W505" i="1"/>
  <c r="W200" i="1"/>
  <c r="W367" i="1"/>
  <c r="W491" i="1"/>
  <c r="W388" i="1"/>
  <c r="W267" i="1"/>
  <c r="W478" i="1"/>
  <c r="W42" i="1"/>
  <c r="W459" i="1" s="1"/>
  <c r="W398" i="1"/>
  <c r="W410" i="1"/>
  <c r="W430" i="1"/>
  <c r="W149" i="1"/>
  <c r="W507" i="1"/>
  <c r="W501" i="1"/>
  <c r="W63" i="1"/>
  <c r="W292" i="1"/>
  <c r="W374" i="1"/>
  <c r="W639" i="1"/>
  <c r="W641" i="1" s="1"/>
  <c r="W33" i="1"/>
  <c r="W236" i="1" s="1"/>
  <c r="W159" i="1"/>
  <c r="W456" i="1"/>
  <c r="W285" i="1"/>
  <c r="W509" i="1"/>
  <c r="W294" i="1"/>
  <c r="W389" i="1"/>
  <c r="W504" i="1"/>
  <c r="W571" i="1"/>
  <c r="W199" i="1"/>
  <c r="W44" i="1"/>
  <c r="W492" i="1"/>
  <c r="W146" i="1"/>
  <c r="W39" i="1"/>
  <c r="W477" i="1" s="1"/>
  <c r="W158" i="1"/>
  <c r="W411" i="1"/>
  <c r="W364" i="1"/>
  <c r="W264" i="1"/>
  <c r="W189" i="1"/>
  <c r="W419" i="1"/>
  <c r="W295" i="1"/>
  <c r="W217" i="1"/>
  <c r="W170" i="1"/>
  <c r="W300" i="1"/>
  <c r="W569" i="1"/>
  <c r="W366" i="1"/>
  <c r="W283" i="1"/>
  <c r="W375" i="1"/>
  <c r="W502" i="1"/>
  <c r="W179" i="1"/>
  <c r="W581" i="1"/>
  <c r="W407" i="1"/>
  <c r="W506" i="1"/>
  <c r="W38" i="1"/>
  <c r="W455" i="1" s="1"/>
  <c r="W284" i="1"/>
  <c r="W385" i="1"/>
  <c r="W301" i="1"/>
  <c r="W181" i="1"/>
  <c r="W201" i="1"/>
  <c r="W416" i="1"/>
  <c r="W36" i="1"/>
  <c r="W263" i="1" s="1"/>
  <c r="W376" i="1"/>
  <c r="W72" i="1"/>
  <c r="W377" i="1"/>
  <c r="W429" i="1"/>
  <c r="W493" i="1"/>
  <c r="W202" i="1"/>
  <c r="W299" i="1"/>
  <c r="W250" i="1"/>
  <c r="W64" i="1"/>
  <c r="W418" i="1"/>
  <c r="W363" i="1"/>
  <c r="W589" i="1"/>
  <c r="W417" i="1"/>
  <c r="W445" i="1"/>
  <c r="W572" i="1"/>
  <c r="W214" i="1"/>
  <c r="W476" i="1"/>
  <c r="W212" i="1"/>
  <c r="W249" i="1"/>
  <c r="W475" i="1"/>
  <c r="W428" i="1"/>
  <c r="W432" i="1" s="1"/>
  <c r="W454" i="1"/>
  <c r="W211" i="1"/>
  <c r="W265" i="1"/>
  <c r="W213" i="1"/>
  <c r="W266" i="1"/>
  <c r="W247" i="1"/>
  <c r="W248" i="1"/>
  <c r="V48" i="1"/>
  <c r="V651" i="1"/>
  <c r="T649" i="1"/>
  <c r="T75" i="1"/>
  <c r="T77" i="1" s="1"/>
  <c r="T94" i="1" s="1"/>
  <c r="T11" i="1"/>
  <c r="T58" i="1"/>
  <c r="T102" i="1"/>
  <c r="T9" i="1"/>
  <c r="T10" i="1"/>
  <c r="T60" i="1"/>
  <c r="T12" i="1"/>
  <c r="T61" i="1"/>
  <c r="T134" i="1"/>
  <c r="T103" i="1"/>
  <c r="T13" i="1"/>
  <c r="F314" i="2"/>
  <c r="R183" i="1"/>
  <c r="R185" i="1" s="1"/>
  <c r="R208" i="1" s="1"/>
  <c r="T153" i="1"/>
  <c r="T164" i="1" s="1"/>
  <c r="N306" i="1"/>
  <c r="T136" i="1"/>
  <c r="V634" i="1"/>
  <c r="V451" i="1" s="1"/>
  <c r="V463" i="1" s="1"/>
  <c r="V289" i="1"/>
  <c r="V629" i="1"/>
  <c r="V362" i="1" s="1"/>
  <c r="V370" i="1" s="1"/>
  <c r="V255" i="1"/>
  <c r="V480" i="1"/>
  <c r="V101" i="1"/>
  <c r="V253" i="1"/>
  <c r="V438" i="1"/>
  <c r="V442" i="1"/>
  <c r="V132" i="1"/>
  <c r="V245" i="1"/>
  <c r="V246" i="1"/>
  <c r="V204" i="1"/>
  <c r="V473" i="1"/>
  <c r="P329" i="1"/>
  <c r="X950" i="2" l="1"/>
  <c r="X51" i="33"/>
  <c r="X185" i="2"/>
  <c r="X412" i="2"/>
  <c r="X242" i="2"/>
  <c r="X416" i="2"/>
  <c r="X584" i="2"/>
  <c r="X530" i="2"/>
  <c r="X354" i="2"/>
  <c r="X472" i="2"/>
  <c r="X69" i="2"/>
  <c r="X587" i="2"/>
  <c r="U1071" i="2"/>
  <c r="X297" i="2"/>
  <c r="X421" i="2"/>
  <c r="X14" i="2"/>
  <c r="X10" i="2"/>
  <c r="X643" i="2"/>
  <c r="X13" i="2"/>
  <c r="X300" i="2"/>
  <c r="X471" i="2"/>
  <c r="X473" i="2"/>
  <c r="X415" i="2"/>
  <c r="W452" i="1"/>
  <c r="W479" i="1"/>
  <c r="W590" i="1"/>
  <c r="W413" i="1"/>
  <c r="W188" i="1" s="1"/>
  <c r="W194" i="1" s="1"/>
  <c r="N1071" i="2"/>
  <c r="N640" i="2" s="1"/>
  <c r="X363" i="2"/>
  <c r="X528" i="2"/>
  <c r="X301" i="2"/>
  <c r="X358" i="2"/>
  <c r="X357" i="2"/>
  <c r="W262" i="1"/>
  <c r="W230" i="1"/>
  <c r="W439" i="1"/>
  <c r="X73" i="2"/>
  <c r="X12" i="2"/>
  <c r="W268" i="1"/>
  <c r="W629" i="1"/>
  <c r="W362" i="1" s="1"/>
  <c r="W370" i="1" s="1"/>
  <c r="W144" i="1" s="1"/>
  <c r="W153" i="1" s="1"/>
  <c r="R1071" i="2"/>
  <c r="X526" i="2"/>
  <c r="X645" i="2"/>
  <c r="X72" i="2"/>
  <c r="X356" i="2"/>
  <c r="W438" i="1"/>
  <c r="W441" i="1"/>
  <c r="X529" i="2"/>
  <c r="X414" i="2"/>
  <c r="W443" i="1"/>
  <c r="Q1071" i="2"/>
  <c r="X586" i="2"/>
  <c r="X71" i="2"/>
  <c r="X588" i="2"/>
  <c r="X644" i="2"/>
  <c r="X641" i="2"/>
  <c r="X19" i="2"/>
  <c r="W1057" i="2"/>
  <c r="Y1002" i="2"/>
  <c r="Y764" i="2"/>
  <c r="Y18" i="33" s="1"/>
  <c r="Y1008" i="2"/>
  <c r="Y1010" i="2"/>
  <c r="Y768" i="2"/>
  <c r="Y22" i="33" s="1"/>
  <c r="Y797" i="2"/>
  <c r="Y700" i="2"/>
  <c r="Y984" i="2"/>
  <c r="Y798" i="2"/>
  <c r="Y52" i="33" s="1"/>
  <c r="Y701" i="2"/>
  <c r="Y759" i="2"/>
  <c r="Y13" i="33" s="1"/>
  <c r="Y697" i="2"/>
  <c r="Y809" i="2" s="1"/>
  <c r="Y63" i="33" s="1"/>
  <c r="Y1005" i="2"/>
  <c r="Y703" i="2"/>
  <c r="Y766" i="2"/>
  <c r="Y20" i="33" s="1"/>
  <c r="Y983" i="2"/>
  <c r="Y932" i="2"/>
  <c r="Y704" i="2"/>
  <c r="Y901" i="2"/>
  <c r="Y912" i="2" s="1"/>
  <c r="Y1009" i="2"/>
  <c r="Y973" i="2"/>
  <c r="Y986" i="2" s="1"/>
  <c r="Y771" i="2"/>
  <c r="Y25" i="33" s="1"/>
  <c r="Y760" i="2"/>
  <c r="Y14" i="33" s="1"/>
  <c r="Y761" i="2"/>
  <c r="Y15" i="33" s="1"/>
  <c r="Z2" i="2"/>
  <c r="Y707" i="2"/>
  <c r="Y1097" i="2"/>
  <c r="Y772" i="2"/>
  <c r="Y26" i="33" s="1"/>
  <c r="Y800" i="2"/>
  <c r="Y54" i="33" s="1"/>
  <c r="Y702" i="2"/>
  <c r="Y698" i="2"/>
  <c r="Y357" i="2"/>
  <c r="Y415" i="2"/>
  <c r="Y12" i="2"/>
  <c r="Y358" i="2"/>
  <c r="Y356" i="2"/>
  <c r="Y299" i="2"/>
  <c r="Y414" i="2"/>
  <c r="Y300" i="2"/>
  <c r="Y13" i="2"/>
  <c r="Y14" i="2"/>
  <c r="Y72" i="2"/>
  <c r="Y644" i="2"/>
  <c r="Y529" i="2"/>
  <c r="Y587" i="2"/>
  <c r="Y645" i="2"/>
  <c r="Y530" i="2"/>
  <c r="Y588" i="2"/>
  <c r="Y301" i="2"/>
  <c r="Y473" i="2"/>
  <c r="Y1055" i="2"/>
  <c r="Y472" i="2"/>
  <c r="Y416" i="2"/>
  <c r="Y73" i="2"/>
  <c r="Y643" i="2"/>
  <c r="Y528" i="2"/>
  <c r="Y71" i="2"/>
  <c r="Y242" i="2"/>
  <c r="Y185" i="2"/>
  <c r="Y471" i="2"/>
  <c r="Y586" i="2"/>
  <c r="Y371" i="2"/>
  <c r="Y426" i="2"/>
  <c r="Y429" i="2"/>
  <c r="Y128" i="2"/>
  <c r="Y368" i="2"/>
  <c r="X698" i="2"/>
  <c r="X128" i="2"/>
  <c r="X240" i="2"/>
  <c r="X306" i="2"/>
  <c r="X183" i="2"/>
  <c r="X126" i="2"/>
  <c r="T15" i="1"/>
  <c r="W46" i="1"/>
  <c r="T105" i="1"/>
  <c r="U634" i="1"/>
  <c r="U451" i="1" s="1"/>
  <c r="U463" i="1" s="1"/>
  <c r="U662" i="1" s="1"/>
  <c r="R221" i="1"/>
  <c r="R277" i="1" s="1"/>
  <c r="F317" i="2"/>
  <c r="N655" i="1"/>
  <c r="N118" i="1"/>
  <c r="T667" i="1"/>
  <c r="T67" i="1"/>
  <c r="T576" i="1"/>
  <c r="V662" i="1"/>
  <c r="V244" i="1"/>
  <c r="V257" i="1" s="1"/>
  <c r="J314" i="2"/>
  <c r="T314" i="2"/>
  <c r="G314" i="2"/>
  <c r="N314" i="2"/>
  <c r="W314" i="2"/>
  <c r="I314" i="2"/>
  <c r="S314" i="2"/>
  <c r="Z314" i="2"/>
  <c r="M314" i="2"/>
  <c r="R314" i="2"/>
  <c r="O314" i="2"/>
  <c r="V314" i="2"/>
  <c r="L314" i="2"/>
  <c r="Q314" i="2"/>
  <c r="Y314" i="2"/>
  <c r="K314" i="2"/>
  <c r="U314" i="2"/>
  <c r="H314" i="2"/>
  <c r="P314" i="2"/>
  <c r="X314" i="2"/>
  <c r="V649" i="1"/>
  <c r="V10" i="1"/>
  <c r="V60" i="1"/>
  <c r="V12" i="1"/>
  <c r="V58" i="1"/>
  <c r="V103" i="1"/>
  <c r="V134" i="1"/>
  <c r="V136" i="1" s="1"/>
  <c r="V61" i="1"/>
  <c r="V13" i="1"/>
  <c r="V9" i="1"/>
  <c r="V75" i="1"/>
  <c r="V77" i="1" s="1"/>
  <c r="V94" i="1" s="1"/>
  <c r="V11" i="1"/>
  <c r="V102" i="1"/>
  <c r="W656" i="1"/>
  <c r="W660" i="1"/>
  <c r="X168" i="1"/>
  <c r="X292" i="1"/>
  <c r="X374" i="1"/>
  <c r="X507" i="1"/>
  <c r="X500" i="1"/>
  <c r="X181" i="1"/>
  <c r="X178" i="1"/>
  <c r="X385" i="1"/>
  <c r="X398" i="1"/>
  <c r="X510" i="1"/>
  <c r="X148" i="1"/>
  <c r="X42" i="1"/>
  <c r="X160" i="1"/>
  <c r="X640" i="1"/>
  <c r="X367" i="1"/>
  <c r="X251" i="1"/>
  <c r="X191" i="1"/>
  <c r="X366" i="1"/>
  <c r="X508" i="1"/>
  <c r="X40" i="1"/>
  <c r="X38" i="1"/>
  <c r="X491" i="1"/>
  <c r="X492" i="1"/>
  <c r="X33" i="1"/>
  <c r="X651" i="1" s="1"/>
  <c r="X43" i="1"/>
  <c r="X150" i="1"/>
  <c r="X295" i="1"/>
  <c r="X389" i="1"/>
  <c r="X386" i="1"/>
  <c r="X494" i="1"/>
  <c r="X581" i="1"/>
  <c r="X64" i="1"/>
  <c r="X589" i="1"/>
  <c r="X151" i="1"/>
  <c r="X285" i="1"/>
  <c r="X407" i="1"/>
  <c r="X408" i="1"/>
  <c r="X503" i="1"/>
  <c r="X388" i="1"/>
  <c r="X417" i="1"/>
  <c r="X299" i="1"/>
  <c r="X72" i="1"/>
  <c r="X215" i="1"/>
  <c r="X397" i="1"/>
  <c r="X505" i="1"/>
  <c r="X419" i="1"/>
  <c r="X396" i="1"/>
  <c r="X376" i="1"/>
  <c r="X493" i="1"/>
  <c r="X293" i="1"/>
  <c r="X429" i="1"/>
  <c r="X458" i="1"/>
  <c r="X157" i="1"/>
  <c r="X297" i="1"/>
  <c r="X504" i="1"/>
  <c r="X418" i="1"/>
  <c r="X502" i="1"/>
  <c r="X159" i="1"/>
  <c r="X286" i="1"/>
  <c r="X201" i="1"/>
  <c r="X248" i="1"/>
  <c r="X455" i="1"/>
  <c r="X445" i="1"/>
  <c r="X230" i="1"/>
  <c r="X438" i="1"/>
  <c r="X572" i="1"/>
  <c r="X430" i="1"/>
  <c r="X509" i="1"/>
  <c r="X171" i="1"/>
  <c r="X216" i="1"/>
  <c r="X217" i="1"/>
  <c r="X416" i="1"/>
  <c r="X365" i="1"/>
  <c r="X639" i="1"/>
  <c r="X641" i="1" s="1"/>
  <c r="X211" i="1" s="1"/>
  <c r="X200" i="1"/>
  <c r="X375" i="1"/>
  <c r="X298" i="1"/>
  <c r="X459" i="1"/>
  <c r="X377" i="1"/>
  <c r="X495" i="1"/>
  <c r="X27" i="1"/>
  <c r="X501" i="1"/>
  <c r="X19" i="1"/>
  <c r="X189" i="1"/>
  <c r="X368" i="1"/>
  <c r="X395" i="1"/>
  <c r="X633" i="1" s="1"/>
  <c r="X394" i="1" s="1"/>
  <c r="X400" i="1" s="1"/>
  <c r="X158" i="1"/>
  <c r="X202" i="1"/>
  <c r="X287" i="1"/>
  <c r="X267" i="1"/>
  <c r="X411" i="1"/>
  <c r="X23" i="1"/>
  <c r="X147" i="1"/>
  <c r="X283" i="1"/>
  <c r="X294" i="1"/>
  <c r="X302" i="1"/>
  <c r="X363" i="1"/>
  <c r="X364" i="1"/>
  <c r="X301" i="1"/>
  <c r="X149" i="1"/>
  <c r="X145" i="1"/>
  <c r="X192" i="1"/>
  <c r="X387" i="1"/>
  <c r="X36" i="1"/>
  <c r="X263" i="1" s="1"/>
  <c r="X99" i="1"/>
  <c r="X169" i="1"/>
  <c r="X37" i="1"/>
  <c r="X638" i="1" s="1"/>
  <c r="X121" i="1" s="1"/>
  <c r="X300" i="1"/>
  <c r="X63" i="1"/>
  <c r="X199" i="1"/>
  <c r="X170" i="1"/>
  <c r="X476" i="1"/>
  <c r="X73" i="1"/>
  <c r="X39" i="1"/>
  <c r="X266" i="1" s="1"/>
  <c r="X113" i="1"/>
  <c r="X44" i="1"/>
  <c r="X172" i="1"/>
  <c r="X180" i="1"/>
  <c r="X296" i="1"/>
  <c r="X41" i="1"/>
  <c r="X250" i="1" s="1"/>
  <c r="X146" i="1"/>
  <c r="X179" i="1"/>
  <c r="X190" i="1"/>
  <c r="X131" i="1"/>
  <c r="X284" i="1"/>
  <c r="X410" i="1"/>
  <c r="Y2" i="1"/>
  <c r="X506" i="1"/>
  <c r="X409" i="1"/>
  <c r="X446" i="1"/>
  <c r="X265" i="1"/>
  <c r="X439" i="1"/>
  <c r="X100" i="1"/>
  <c r="X268" i="1"/>
  <c r="X132" i="1"/>
  <c r="X229" i="1"/>
  <c r="X478" i="1"/>
  <c r="X456" i="1"/>
  <c r="X249" i="1"/>
  <c r="I24" i="2"/>
  <c r="L24" i="2"/>
  <c r="O24" i="2"/>
  <c r="Q24" i="2"/>
  <c r="Z24" i="2"/>
  <c r="G24" i="2"/>
  <c r="K24" i="2"/>
  <c r="P24" i="2"/>
  <c r="V24" i="2"/>
  <c r="X24" i="2"/>
  <c r="J24" i="2"/>
  <c r="N24" i="2"/>
  <c r="U24" i="2"/>
  <c r="S24" i="2"/>
  <c r="Y24" i="2"/>
  <c r="H24" i="2"/>
  <c r="M24" i="2"/>
  <c r="T24" i="2"/>
  <c r="R24" i="2"/>
  <c r="W24" i="2"/>
  <c r="S79" i="1"/>
  <c r="S93" i="1"/>
  <c r="S96" i="1" s="1"/>
  <c r="S653" i="1"/>
  <c r="S123" i="1"/>
  <c r="S112" i="1"/>
  <c r="S124" i="1"/>
  <c r="S111" i="1"/>
  <c r="S125" i="1"/>
  <c r="F30" i="2"/>
  <c r="S126" i="1"/>
  <c r="F125" i="2"/>
  <c r="Q125" i="2" s="1"/>
  <c r="F535" i="2"/>
  <c r="F650" i="2"/>
  <c r="F478" i="2"/>
  <c r="O606" i="1"/>
  <c r="F78" i="2"/>
  <c r="P654" i="1"/>
  <c r="P540" i="1"/>
  <c r="F250" i="2"/>
  <c r="P117" i="1"/>
  <c r="U661" i="1"/>
  <c r="U228" i="1"/>
  <c r="U232" i="1"/>
  <c r="U224" i="1"/>
  <c r="U225" i="1"/>
  <c r="U235" i="1"/>
  <c r="U233" i="1"/>
  <c r="U237" i="1"/>
  <c r="U227" i="1"/>
  <c r="U234" i="1"/>
  <c r="U231" i="1"/>
  <c r="U226" i="1"/>
  <c r="U649" i="1"/>
  <c r="U61" i="1"/>
  <c r="U134" i="1"/>
  <c r="U60" i="1"/>
  <c r="U75" i="1"/>
  <c r="U11" i="1"/>
  <c r="U12" i="1"/>
  <c r="U10" i="1"/>
  <c r="U13" i="1"/>
  <c r="U102" i="1"/>
  <c r="U58" i="1"/>
  <c r="U103" i="1"/>
  <c r="U9" i="1"/>
  <c r="M655" i="1"/>
  <c r="M118" i="1"/>
  <c r="Y649" i="2"/>
  <c r="Y9" i="2"/>
  <c r="Y239" i="2"/>
  <c r="Y411" i="2"/>
  <c r="Y477" i="2"/>
  <c r="Y18" i="2"/>
  <c r="Y525" i="2"/>
  <c r="Y296" i="2"/>
  <c r="Y362" i="2"/>
  <c r="Y182" i="2"/>
  <c r="Y583" i="2"/>
  <c r="Y68" i="2"/>
  <c r="Y305" i="2"/>
  <c r="Y420" i="2"/>
  <c r="Y534" i="2"/>
  <c r="Y468" i="2"/>
  <c r="Y353" i="2"/>
  <c r="Y592" i="2"/>
  <c r="Y640" i="2"/>
  <c r="Y77" i="2"/>
  <c r="R9" i="2"/>
  <c r="R68" i="2"/>
  <c r="R420" i="2"/>
  <c r="R239" i="2"/>
  <c r="R18" i="2"/>
  <c r="R182" i="2"/>
  <c r="R411" i="2"/>
  <c r="R77" i="2"/>
  <c r="R534" i="2"/>
  <c r="R305" i="2"/>
  <c r="R468" i="2"/>
  <c r="R640" i="2"/>
  <c r="R649" i="2"/>
  <c r="R362" i="2"/>
  <c r="R592" i="2"/>
  <c r="R296" i="2"/>
  <c r="R477" i="2"/>
  <c r="R353" i="2"/>
  <c r="R583" i="2"/>
  <c r="R525" i="2"/>
  <c r="Q592" i="2"/>
  <c r="Q77" i="2"/>
  <c r="Q68" i="2"/>
  <c r="Q534" i="2"/>
  <c r="Q353" i="2"/>
  <c r="Q640" i="2"/>
  <c r="Q420" i="2"/>
  <c r="Q9" i="2"/>
  <c r="Q239" i="2"/>
  <c r="Q477" i="2"/>
  <c r="Q525" i="2"/>
  <c r="Q18" i="2"/>
  <c r="Q296" i="2"/>
  <c r="Q362" i="2"/>
  <c r="Q649" i="2"/>
  <c r="Q182" i="2"/>
  <c r="Q468" i="2"/>
  <c r="Q583" i="2"/>
  <c r="Q411" i="2"/>
  <c r="Q305" i="2"/>
  <c r="N534" i="2"/>
  <c r="N18" i="2"/>
  <c r="N420" i="2"/>
  <c r="N525" i="2"/>
  <c r="N77" i="2"/>
  <c r="N649" i="2"/>
  <c r="N239" i="2"/>
  <c r="N353" i="2"/>
  <c r="N296" i="2"/>
  <c r="N411" i="2"/>
  <c r="N182" i="2"/>
  <c r="N468" i="2"/>
  <c r="N583" i="2"/>
  <c r="N362" i="2"/>
  <c r="N68" i="2"/>
  <c r="N477" i="2"/>
  <c r="N592" i="2"/>
  <c r="N305" i="2"/>
  <c r="N664" i="1"/>
  <c r="N317" i="1"/>
  <c r="N318" i="1"/>
  <c r="N321" i="1"/>
  <c r="N315" i="1"/>
  <c r="N529" i="1"/>
  <c r="N325" i="1"/>
  <c r="N532" i="1"/>
  <c r="N316" i="1"/>
  <c r="N523" i="1"/>
  <c r="N324" i="1"/>
  <c r="N531" i="1"/>
  <c r="N320" i="1"/>
  <c r="N524" i="1"/>
  <c r="N525" i="1"/>
  <c r="N528" i="1"/>
  <c r="N526" i="1"/>
  <c r="R107" i="1"/>
  <c r="F86" i="2" s="1"/>
  <c r="R604" i="1"/>
  <c r="R319" i="1"/>
  <c r="R602" i="1"/>
  <c r="F658" i="2" s="1"/>
  <c r="R527" i="1"/>
  <c r="R530" i="1"/>
  <c r="R598" i="1"/>
  <c r="F543" i="2" s="1"/>
  <c r="R322" i="1"/>
  <c r="R600" i="1"/>
  <c r="F601" i="2" s="1"/>
  <c r="R596" i="1"/>
  <c r="R323" i="1"/>
  <c r="T273" i="1"/>
  <c r="T275" i="1" s="1"/>
  <c r="J120" i="1"/>
  <c r="F1060" i="2"/>
  <c r="J652" i="1"/>
  <c r="J110" i="1"/>
  <c r="S655" i="1"/>
  <c r="S118" i="1"/>
  <c r="V635" i="1"/>
  <c r="V472" i="1" s="1"/>
  <c r="V482" i="1" s="1"/>
  <c r="V448" i="1"/>
  <c r="W246" i="1"/>
  <c r="W269" i="1"/>
  <c r="W74" i="1"/>
  <c r="W583" i="1"/>
  <c r="W133" i="1"/>
  <c r="W245" i="1"/>
  <c r="W474" i="1"/>
  <c r="W473" i="1"/>
  <c r="W421" i="1"/>
  <c r="W423" i="1" s="1"/>
  <c r="W632" i="1"/>
  <c r="W384" i="1" s="1"/>
  <c r="W391" i="1" s="1"/>
  <c r="W204" i="1"/>
  <c r="W206" i="1" s="1"/>
  <c r="W304" i="1"/>
  <c r="W444" i="1"/>
  <c r="W442" i="1"/>
  <c r="W573" i="1"/>
  <c r="W633" i="1"/>
  <c r="W394" i="1" s="1"/>
  <c r="W400" i="1" s="1"/>
  <c r="W512" i="1"/>
  <c r="Q128" i="1"/>
  <c r="O536" i="1"/>
  <c r="O538" i="1" s="1"/>
  <c r="O329" i="1"/>
  <c r="O331" i="1" s="1"/>
  <c r="R128" i="1"/>
  <c r="M120" i="1"/>
  <c r="U105" i="1"/>
  <c r="U136" i="1"/>
  <c r="U77" i="1"/>
  <c r="U94" i="1" s="1"/>
  <c r="V381" i="1"/>
  <c r="V656" i="1"/>
  <c r="V144" i="1"/>
  <c r="V153" i="1" s="1"/>
  <c r="T665" i="1"/>
  <c r="T326" i="1"/>
  <c r="T327" i="1"/>
  <c r="T533" i="1"/>
  <c r="T584" i="1"/>
  <c r="T586" i="1" s="1"/>
  <c r="F375" i="2" s="1"/>
  <c r="T592" i="1"/>
  <c r="T594" i="1" s="1"/>
  <c r="F433" i="2" s="1"/>
  <c r="T534" i="1"/>
  <c r="T575" i="1"/>
  <c r="T578" i="1" s="1"/>
  <c r="W651" i="1"/>
  <c r="W48" i="1"/>
  <c r="Q107" i="1"/>
  <c r="F83" i="2" s="1"/>
  <c r="Q322" i="1"/>
  <c r="Q323" i="1"/>
  <c r="Q602" i="1"/>
  <c r="F655" i="2" s="1"/>
  <c r="Q598" i="1"/>
  <c r="F540" i="2" s="1"/>
  <c r="Q530" i="1"/>
  <c r="Q604" i="1"/>
  <c r="Q596" i="1"/>
  <c r="Q600" i="1"/>
  <c r="F598" i="2" s="1"/>
  <c r="Q319" i="1"/>
  <c r="Q527" i="1"/>
  <c r="Q655" i="1"/>
  <c r="Q118" i="1"/>
  <c r="S664" i="1"/>
  <c r="S532" i="1"/>
  <c r="S325" i="1"/>
  <c r="S525" i="1"/>
  <c r="S531" i="1"/>
  <c r="S321" i="1"/>
  <c r="S318" i="1"/>
  <c r="S529" i="1"/>
  <c r="S524" i="1"/>
  <c r="S526" i="1"/>
  <c r="S523" i="1"/>
  <c r="S528" i="1"/>
  <c r="S324" i="1"/>
  <c r="S316" i="1"/>
  <c r="S317" i="1"/>
  <c r="S320" i="1"/>
  <c r="S315" i="1"/>
  <c r="T488" i="1"/>
  <c r="P277" i="1"/>
  <c r="T174" i="1"/>
  <c r="F593" i="2"/>
  <c r="V658" i="1"/>
  <c r="V402" i="1"/>
  <c r="V167" i="1"/>
  <c r="V174" i="1" s="1"/>
  <c r="V659" i="1"/>
  <c r="V177" i="1"/>
  <c r="V183" i="1" s="1"/>
  <c r="V657" i="1"/>
  <c r="V156" i="1"/>
  <c r="V162" i="1" s="1"/>
  <c r="V660" i="1"/>
  <c r="V423" i="1"/>
  <c r="V188" i="1"/>
  <c r="V194" i="1" s="1"/>
  <c r="V206" i="1" s="1"/>
  <c r="M333" i="1"/>
  <c r="M608" i="1"/>
  <c r="F187" i="2"/>
  <c r="W592" i="2"/>
  <c r="W649" i="2"/>
  <c r="W305" i="2"/>
  <c r="W182" i="2"/>
  <c r="W9" i="2"/>
  <c r="W420" i="2"/>
  <c r="W477" i="2"/>
  <c r="W18" i="2"/>
  <c r="W353" i="2"/>
  <c r="W525" i="2"/>
  <c r="W583" i="2"/>
  <c r="W68" i="2"/>
  <c r="W239" i="2"/>
  <c r="W468" i="2"/>
  <c r="W296" i="2"/>
  <c r="W411" i="2"/>
  <c r="W534" i="2"/>
  <c r="W362" i="2"/>
  <c r="W77" i="2"/>
  <c r="W640" i="2"/>
  <c r="U640" i="2"/>
  <c r="U411" i="2"/>
  <c r="U18" i="2"/>
  <c r="U592" i="2"/>
  <c r="U68" i="2"/>
  <c r="U468" i="2"/>
  <c r="U362" i="2"/>
  <c r="U534" i="2"/>
  <c r="U649" i="2"/>
  <c r="U9" i="2"/>
  <c r="U296" i="2"/>
  <c r="U353" i="2"/>
  <c r="U477" i="2"/>
  <c r="U583" i="2"/>
  <c r="U239" i="2"/>
  <c r="U77" i="2"/>
  <c r="U182" i="2"/>
  <c r="U525" i="2"/>
  <c r="U420" i="2"/>
  <c r="U305" i="2"/>
  <c r="V182" i="2"/>
  <c r="V649" i="2"/>
  <c r="V411" i="2"/>
  <c r="V68" i="2"/>
  <c r="V18" i="2"/>
  <c r="V640" i="2"/>
  <c r="V353" i="2"/>
  <c r="V305" i="2"/>
  <c r="V239" i="2"/>
  <c r="V525" i="2"/>
  <c r="V534" i="2"/>
  <c r="V468" i="2"/>
  <c r="V296" i="2"/>
  <c r="V77" i="2"/>
  <c r="V583" i="2"/>
  <c r="V592" i="2"/>
  <c r="V362" i="2"/>
  <c r="V420" i="2"/>
  <c r="V477" i="2"/>
  <c r="V9" i="2"/>
  <c r="L68" i="2"/>
  <c r="L640" i="2"/>
  <c r="L9" i="2"/>
  <c r="L353" i="2"/>
  <c r="L420" i="2"/>
  <c r="L468" i="2"/>
  <c r="L583" i="2"/>
  <c r="L592" i="2"/>
  <c r="L411" i="2"/>
  <c r="L525" i="2"/>
  <c r="L125" i="2"/>
  <c r="L296" i="2"/>
  <c r="L18" i="2"/>
  <c r="L305" i="2"/>
  <c r="L182" i="2"/>
  <c r="L362" i="2"/>
  <c r="L477" i="2"/>
  <c r="L239" i="2"/>
  <c r="L77" i="2"/>
  <c r="L649" i="2"/>
  <c r="L534" i="2"/>
  <c r="X1071" i="2"/>
  <c r="P1071" i="2"/>
  <c r="M1071" i="2"/>
  <c r="K1071" i="2"/>
  <c r="J1071" i="2"/>
  <c r="S1071" i="2"/>
  <c r="T1071" i="2"/>
  <c r="O1071" i="2"/>
  <c r="H1071" i="2"/>
  <c r="I1071" i="2"/>
  <c r="G1070" i="2"/>
  <c r="H27" i="2"/>
  <c r="O27" i="2"/>
  <c r="R27" i="2"/>
  <c r="V27" i="2"/>
  <c r="X27" i="2"/>
  <c r="K27" i="2"/>
  <c r="M27" i="2"/>
  <c r="P27" i="2"/>
  <c r="U27" i="2"/>
  <c r="Z27" i="2"/>
  <c r="G27" i="2"/>
  <c r="J27" i="2"/>
  <c r="Q27" i="2"/>
  <c r="S27" i="2"/>
  <c r="W27" i="2"/>
  <c r="I27" i="2"/>
  <c r="L27" i="2"/>
  <c r="N27" i="2"/>
  <c r="T27" i="2"/>
  <c r="Y27" i="2"/>
  <c r="G244" i="2"/>
  <c r="I244" i="2"/>
  <c r="M244" i="2"/>
  <c r="R244" i="2"/>
  <c r="V244" i="2"/>
  <c r="Q244" i="2"/>
  <c r="U244" i="2"/>
  <c r="X244" i="2"/>
  <c r="H244" i="2"/>
  <c r="L244" i="2"/>
  <c r="N244" i="2"/>
  <c r="T244" i="2"/>
  <c r="S244" i="2"/>
  <c r="W244" i="2"/>
  <c r="Y244" i="2"/>
  <c r="K244" i="2"/>
  <c r="J244" i="2"/>
  <c r="O244" i="2"/>
  <c r="P244" i="2"/>
  <c r="L538" i="1"/>
  <c r="G311" i="2"/>
  <c r="H311" i="2"/>
  <c r="K311" i="2"/>
  <c r="L311" i="2"/>
  <c r="N311" i="2"/>
  <c r="S311" i="2"/>
  <c r="R311" i="2"/>
  <c r="U311" i="2"/>
  <c r="W311" i="2"/>
  <c r="X311" i="2"/>
  <c r="I311" i="2"/>
  <c r="J311" i="2"/>
  <c r="O311" i="2"/>
  <c r="M311" i="2"/>
  <c r="P311" i="2"/>
  <c r="Q311" i="2"/>
  <c r="T311" i="2"/>
  <c r="V311" i="2"/>
  <c r="Y311" i="2"/>
  <c r="Z311" i="2"/>
  <c r="R664" i="1"/>
  <c r="R525" i="1"/>
  <c r="R523" i="1"/>
  <c r="R531" i="1"/>
  <c r="R316" i="1"/>
  <c r="R320" i="1"/>
  <c r="R315" i="1"/>
  <c r="R325" i="1"/>
  <c r="R529" i="1"/>
  <c r="R524" i="1"/>
  <c r="R318" i="1"/>
  <c r="R528" i="1"/>
  <c r="R317" i="1"/>
  <c r="R526" i="1"/>
  <c r="R321" i="1"/>
  <c r="R532" i="1"/>
  <c r="R324" i="1"/>
  <c r="L331" i="1"/>
  <c r="U484" i="1"/>
  <c r="U486" i="1" s="1"/>
  <c r="U663" i="1"/>
  <c r="U261" i="1"/>
  <c r="U271" i="1" s="1"/>
  <c r="W219" i="1"/>
  <c r="W289" i="1"/>
  <c r="W631" i="1"/>
  <c r="W373" i="1" s="1"/>
  <c r="W379" i="1" s="1"/>
  <c r="W100" i="1"/>
  <c r="W446" i="1"/>
  <c r="W440" i="1"/>
  <c r="W132" i="1"/>
  <c r="W582" i="1"/>
  <c r="W497" i="1"/>
  <c r="W453" i="1"/>
  <c r="W229" i="1"/>
  <c r="W638" i="1"/>
  <c r="W121" i="1" s="1"/>
  <c r="U164" i="1"/>
  <c r="U208" i="1" s="1"/>
  <c r="U221" i="1" s="1"/>
  <c r="U425" i="1"/>
  <c r="Y950" i="2" l="1"/>
  <c r="Y51" i="33"/>
  <c r="W125" i="2"/>
  <c r="Y125" i="2"/>
  <c r="N9" i="2"/>
  <c r="N125" i="2"/>
  <c r="R125" i="2"/>
  <c r="U125" i="2"/>
  <c r="V125" i="2"/>
  <c r="X212" i="1"/>
  <c r="X477" i="1"/>
  <c r="X421" i="1"/>
  <c r="X213" i="1"/>
  <c r="X247" i="1"/>
  <c r="X264" i="1"/>
  <c r="Z703" i="2"/>
  <c r="AA703" i="2" s="1"/>
  <c r="AB703" i="2" s="1"/>
  <c r="Z1009" i="2"/>
  <c r="AA1009" i="2" s="1"/>
  <c r="AB1009" i="2" s="1"/>
  <c r="Z761" i="2"/>
  <c r="Z973" i="2"/>
  <c r="Z764" i="2"/>
  <c r="Z1010" i="2"/>
  <c r="AA1010" i="2" s="1"/>
  <c r="AB1010" i="2" s="1"/>
  <c r="Z800" i="2"/>
  <c r="Z771" i="2"/>
  <c r="Z760" i="2"/>
  <c r="AA2" i="2"/>
  <c r="AB2" i="2" s="1"/>
  <c r="Z798" i="2"/>
  <c r="Z700" i="2"/>
  <c r="AA700" i="2" s="1"/>
  <c r="AB700" i="2" s="1"/>
  <c r="Z768" i="2"/>
  <c r="Z932" i="2"/>
  <c r="AA932" i="2" s="1"/>
  <c r="AB932" i="2" s="1"/>
  <c r="Z766" i="2"/>
  <c r="Z759" i="2"/>
  <c r="Z983" i="2"/>
  <c r="AA983" i="2" s="1"/>
  <c r="AB983" i="2" s="1"/>
  <c r="Z772" i="2"/>
  <c r="Z1008" i="2"/>
  <c r="AA1008" i="2" s="1"/>
  <c r="AB1008" i="2" s="1"/>
  <c r="Z797" i="2"/>
  <c r="Z51" i="33" s="1"/>
  <c r="Z1005" i="2"/>
  <c r="AA1005" i="2" s="1"/>
  <c r="AB1005" i="2" s="1"/>
  <c r="Z707" i="2"/>
  <c r="AA707" i="2" s="1"/>
  <c r="AB707" i="2" s="1"/>
  <c r="Z1097" i="2"/>
  <c r="AA1097" i="2" s="1"/>
  <c r="AB1097" i="2" s="1"/>
  <c r="Z984" i="2"/>
  <c r="AA984" i="2" s="1"/>
  <c r="AB984" i="2" s="1"/>
  <c r="Z704" i="2"/>
  <c r="AA704" i="2" s="1"/>
  <c r="AB704" i="2" s="1"/>
  <c r="Z702" i="2"/>
  <c r="AA702" i="2" s="1"/>
  <c r="AB702" i="2" s="1"/>
  <c r="Z1002" i="2"/>
  <c r="Z415" i="2" s="1"/>
  <c r="AA415" i="2" s="1"/>
  <c r="AB415" i="2" s="1"/>
  <c r="Z697" i="2"/>
  <c r="Z901" i="2"/>
  <c r="Z701" i="2"/>
  <c r="AA701" i="2" s="1"/>
  <c r="AB701" i="2" s="1"/>
  <c r="Z529" i="2"/>
  <c r="AA529" i="2" s="1"/>
  <c r="AB529" i="2" s="1"/>
  <c r="Z72" i="2"/>
  <c r="AA72" i="2" s="1"/>
  <c r="AB72" i="2" s="1"/>
  <c r="Z301" i="2"/>
  <c r="AA301" i="2" s="1"/>
  <c r="AB301" i="2" s="1"/>
  <c r="Z1055" i="2"/>
  <c r="Z1056" i="2" s="1"/>
  <c r="Z1057" i="2" s="1"/>
  <c r="Z19" i="2" s="1"/>
  <c r="Z588" i="2"/>
  <c r="AA588" i="2" s="1"/>
  <c r="AB588" i="2" s="1"/>
  <c r="Z416" i="2"/>
  <c r="AA416" i="2" s="1"/>
  <c r="AB416" i="2" s="1"/>
  <c r="Z472" i="2"/>
  <c r="AA472" i="2" s="1"/>
  <c r="AB472" i="2" s="1"/>
  <c r="Z73" i="2"/>
  <c r="AA73" i="2" s="1"/>
  <c r="AB73" i="2" s="1"/>
  <c r="Z586" i="2"/>
  <c r="AA586" i="2" s="1"/>
  <c r="AB586" i="2" s="1"/>
  <c r="Z242" i="2"/>
  <c r="AA242" i="2" s="1"/>
  <c r="AB242" i="2" s="1"/>
  <c r="Z471" i="2"/>
  <c r="AA471" i="2" s="1"/>
  <c r="AB471" i="2" s="1"/>
  <c r="Z71" i="2"/>
  <c r="AA71" i="2" s="1"/>
  <c r="AB71" i="2" s="1"/>
  <c r="Z643" i="2"/>
  <c r="AA643" i="2" s="1"/>
  <c r="AB643" i="2" s="1"/>
  <c r="Z528" i="2"/>
  <c r="AA528" i="2" s="1"/>
  <c r="AB528" i="2" s="1"/>
  <c r="Z126" i="2"/>
  <c r="Z185" i="2"/>
  <c r="AA185" i="2" s="1"/>
  <c r="AB185" i="2" s="1"/>
  <c r="Z371" i="2"/>
  <c r="Z368" i="2"/>
  <c r="AA368" i="2" s="1"/>
  <c r="AB368" i="2" s="1"/>
  <c r="Z128" i="2"/>
  <c r="Z429" i="2"/>
  <c r="AA429" i="2" s="1"/>
  <c r="AB429" i="2" s="1"/>
  <c r="Z426" i="2"/>
  <c r="AA426" i="2" s="1"/>
  <c r="AB426" i="2" s="1"/>
  <c r="Z432" i="2"/>
  <c r="AA432" i="2" s="1"/>
  <c r="AB432" i="2" s="1"/>
  <c r="Z374" i="2"/>
  <c r="AA374" i="2" s="1"/>
  <c r="AB374" i="2" s="1"/>
  <c r="Z1069" i="2"/>
  <c r="W126" i="2"/>
  <c r="W10" i="2"/>
  <c r="W354" i="2"/>
  <c r="W412" i="2"/>
  <c r="W584" i="2"/>
  <c r="W183" i="2"/>
  <c r="W297" i="2"/>
  <c r="W469" i="2"/>
  <c r="W306" i="2"/>
  <c r="W641" i="2"/>
  <c r="W526" i="2"/>
  <c r="W240" i="2"/>
  <c r="W69" i="2"/>
  <c r="W19" i="2"/>
  <c r="W421" i="2"/>
  <c r="W363" i="2"/>
  <c r="AA371" i="2"/>
  <c r="AB371" i="2" s="1"/>
  <c r="Y1056" i="2"/>
  <c r="AA128" i="2"/>
  <c r="AB128" i="2" s="1"/>
  <c r="W448" i="1"/>
  <c r="Q536" i="1"/>
  <c r="Q538" i="1" s="1"/>
  <c r="Q540" i="1" s="1"/>
  <c r="X479" i="1"/>
  <c r="X245" i="1"/>
  <c r="W650" i="1"/>
  <c r="W574" i="1"/>
  <c r="W101" i="1"/>
  <c r="W461" i="1"/>
  <c r="W254" i="1"/>
  <c r="W591" i="1"/>
  <c r="W460" i="1"/>
  <c r="W634" i="1" s="1"/>
  <c r="W451" i="1" s="1"/>
  <c r="W463" i="1" s="1"/>
  <c r="W62" i="1"/>
  <c r="W255" i="1"/>
  <c r="W65" i="1"/>
  <c r="W480" i="1"/>
  <c r="W253" i="1"/>
  <c r="W252" i="1"/>
  <c r="X46" i="1"/>
  <c r="X269" i="1" s="1"/>
  <c r="V105" i="1"/>
  <c r="U244" i="1"/>
  <c r="U257" i="1" s="1"/>
  <c r="Q329" i="1"/>
  <c r="Q331" i="1" s="1"/>
  <c r="Q333" i="1" s="1"/>
  <c r="W635" i="1"/>
  <c r="W472" i="1" s="1"/>
  <c r="W482" i="1" s="1"/>
  <c r="U15" i="1"/>
  <c r="X252" i="1"/>
  <c r="X133" i="1"/>
  <c r="X428" i="1"/>
  <c r="X432" i="1" s="1"/>
  <c r="X254" i="1"/>
  <c r="X480" i="1"/>
  <c r="X262" i="1"/>
  <c r="X214" i="1"/>
  <c r="X219" i="1" s="1"/>
  <c r="X442" i="1"/>
  <c r="X443" i="1"/>
  <c r="X573" i="1"/>
  <c r="X582" i="1"/>
  <c r="X590" i="1"/>
  <c r="X236" i="1"/>
  <c r="X440" i="1"/>
  <c r="X444" i="1"/>
  <c r="X441" i="1"/>
  <c r="U488" i="1"/>
  <c r="X659" i="1"/>
  <c r="X177" i="1"/>
  <c r="X183" i="1" s="1"/>
  <c r="W661" i="1"/>
  <c r="W233" i="1"/>
  <c r="W231" i="1"/>
  <c r="W228" i="1"/>
  <c r="W226" i="1"/>
  <c r="W227" i="1"/>
  <c r="W234" i="1"/>
  <c r="W224" i="1"/>
  <c r="W237" i="1"/>
  <c r="W232" i="1"/>
  <c r="W235" i="1"/>
  <c r="W225" i="1"/>
  <c r="Q654" i="1"/>
  <c r="Q117" i="1"/>
  <c r="Q120" i="1" s="1"/>
  <c r="F254" i="2"/>
  <c r="W657" i="1"/>
  <c r="W156" i="1"/>
  <c r="W162" i="1" s="1"/>
  <c r="W164" i="1" s="1"/>
  <c r="L654" i="1"/>
  <c r="L540" i="1"/>
  <c r="F243" i="2"/>
  <c r="L117" i="1"/>
  <c r="H182" i="2"/>
  <c r="H583" i="2"/>
  <c r="H296" i="2"/>
  <c r="H649" i="2"/>
  <c r="H420" i="2"/>
  <c r="H239" i="2"/>
  <c r="H477" i="2"/>
  <c r="H468" i="2"/>
  <c r="H525" i="2"/>
  <c r="H68" i="2"/>
  <c r="H411" i="2"/>
  <c r="H125" i="2"/>
  <c r="H353" i="2"/>
  <c r="H592" i="2"/>
  <c r="H9" i="2"/>
  <c r="H640" i="2"/>
  <c r="H362" i="2"/>
  <c r="H18" i="2"/>
  <c r="H77" i="2"/>
  <c r="H305" i="2"/>
  <c r="H534" i="2"/>
  <c r="T353" i="2"/>
  <c r="T468" i="2"/>
  <c r="T649" i="2"/>
  <c r="T583" i="2"/>
  <c r="T68" i="2"/>
  <c r="T411" i="2"/>
  <c r="T77" i="2"/>
  <c r="T477" i="2"/>
  <c r="T125" i="2"/>
  <c r="T239" i="2"/>
  <c r="T362" i="2"/>
  <c r="T296" i="2"/>
  <c r="T640" i="2"/>
  <c r="T18" i="2"/>
  <c r="T420" i="2"/>
  <c r="T525" i="2"/>
  <c r="T9" i="2"/>
  <c r="T534" i="2"/>
  <c r="T592" i="2"/>
  <c r="T305" i="2"/>
  <c r="T182" i="2"/>
  <c r="K77" i="2"/>
  <c r="K420" i="2"/>
  <c r="K477" i="2"/>
  <c r="K68" i="2"/>
  <c r="K468" i="2"/>
  <c r="K296" i="2"/>
  <c r="K534" i="2"/>
  <c r="K239" i="2"/>
  <c r="K305" i="2"/>
  <c r="K125" i="2"/>
  <c r="K525" i="2"/>
  <c r="K592" i="2"/>
  <c r="K649" i="2"/>
  <c r="K640" i="2"/>
  <c r="K411" i="2"/>
  <c r="K9" i="2"/>
  <c r="K353" i="2"/>
  <c r="K583" i="2"/>
  <c r="K182" i="2"/>
  <c r="K18" i="2"/>
  <c r="K362" i="2"/>
  <c r="P77" i="2"/>
  <c r="P9" i="2"/>
  <c r="P640" i="2"/>
  <c r="P305" i="2"/>
  <c r="P649" i="2"/>
  <c r="P420" i="2"/>
  <c r="P239" i="2"/>
  <c r="P477" i="2"/>
  <c r="P583" i="2"/>
  <c r="P125" i="2"/>
  <c r="P534" i="2"/>
  <c r="P182" i="2"/>
  <c r="P68" i="2"/>
  <c r="P592" i="2"/>
  <c r="P525" i="2"/>
  <c r="P468" i="2"/>
  <c r="P353" i="2"/>
  <c r="P18" i="2"/>
  <c r="P411" i="2"/>
  <c r="P362" i="2"/>
  <c r="P296" i="2"/>
  <c r="T514" i="1"/>
  <c r="K598" i="2"/>
  <c r="M598" i="2"/>
  <c r="T598" i="2"/>
  <c r="R598" i="2"/>
  <c r="Z598" i="2"/>
  <c r="J598" i="2"/>
  <c r="L598" i="2"/>
  <c r="S598" i="2"/>
  <c r="Q598" i="2"/>
  <c r="Y598" i="2"/>
  <c r="H598" i="2"/>
  <c r="O598" i="2"/>
  <c r="P598" i="2"/>
  <c r="V598" i="2"/>
  <c r="X598" i="2"/>
  <c r="G598" i="2"/>
  <c r="I598" i="2"/>
  <c r="N598" i="2"/>
  <c r="U598" i="2"/>
  <c r="W598" i="2"/>
  <c r="H540" i="2"/>
  <c r="J540" i="2"/>
  <c r="M540" i="2"/>
  <c r="Q540" i="2"/>
  <c r="W540" i="2"/>
  <c r="K540" i="2"/>
  <c r="L540" i="2"/>
  <c r="N540" i="2"/>
  <c r="R540" i="2"/>
  <c r="X540" i="2"/>
  <c r="G540" i="2"/>
  <c r="O540" i="2"/>
  <c r="S540" i="2"/>
  <c r="T540" i="2"/>
  <c r="Z540" i="2"/>
  <c r="I540" i="2"/>
  <c r="P540" i="2"/>
  <c r="V540" i="2"/>
  <c r="U540" i="2"/>
  <c r="Y540" i="2"/>
  <c r="W649" i="1"/>
  <c r="W12" i="1"/>
  <c r="W10" i="1"/>
  <c r="W134" i="1"/>
  <c r="W136" i="1" s="1"/>
  <c r="W103" i="1"/>
  <c r="W58" i="1"/>
  <c r="W13" i="1"/>
  <c r="W11" i="1"/>
  <c r="W75" i="1"/>
  <c r="W77" i="1" s="1"/>
  <c r="W94" i="1" s="1"/>
  <c r="W9" i="1"/>
  <c r="W61" i="1"/>
  <c r="W102" i="1"/>
  <c r="W60" i="1"/>
  <c r="F318" i="2"/>
  <c r="H433" i="2"/>
  <c r="L433" i="2"/>
  <c r="N433" i="2"/>
  <c r="T433" i="2"/>
  <c r="V433" i="2"/>
  <c r="X433" i="2"/>
  <c r="I433" i="2"/>
  <c r="P433" i="2"/>
  <c r="R433" i="2"/>
  <c r="Y433" i="2"/>
  <c r="K433" i="2"/>
  <c r="M433" i="2"/>
  <c r="O433" i="2"/>
  <c r="U433" i="2"/>
  <c r="W433" i="2"/>
  <c r="G433" i="2"/>
  <c r="J433" i="2"/>
  <c r="Q433" i="2"/>
  <c r="S433" i="2"/>
  <c r="Z433" i="2"/>
  <c r="O333" i="1"/>
  <c r="O608" i="1"/>
  <c r="F192" i="2"/>
  <c r="V661" i="1"/>
  <c r="V234" i="1"/>
  <c r="V237" i="1"/>
  <c r="V233" i="1"/>
  <c r="V231" i="1"/>
  <c r="V226" i="1"/>
  <c r="V224" i="1"/>
  <c r="V228" i="1"/>
  <c r="V232" i="1"/>
  <c r="V225" i="1"/>
  <c r="V235" i="1"/>
  <c r="V227" i="1"/>
  <c r="AA1060" i="2"/>
  <c r="AB1060" i="2" s="1"/>
  <c r="F1062" i="2"/>
  <c r="F486" i="2"/>
  <c r="R606" i="1"/>
  <c r="H658" i="2"/>
  <c r="N658" i="2"/>
  <c r="R658" i="2"/>
  <c r="U658" i="2"/>
  <c r="Z658" i="2"/>
  <c r="G658" i="2"/>
  <c r="M658" i="2"/>
  <c r="Q658" i="2"/>
  <c r="V658" i="2"/>
  <c r="Y658" i="2"/>
  <c r="J658" i="2"/>
  <c r="L658" i="2"/>
  <c r="P658" i="2"/>
  <c r="T658" i="2"/>
  <c r="X658" i="2"/>
  <c r="I658" i="2"/>
  <c r="K658" i="2"/>
  <c r="O658" i="2"/>
  <c r="S658" i="2"/>
  <c r="W658" i="2"/>
  <c r="I86" i="2"/>
  <c r="N86" i="2"/>
  <c r="R86" i="2"/>
  <c r="U86" i="2"/>
  <c r="W86" i="2"/>
  <c r="J86" i="2"/>
  <c r="P86" i="2"/>
  <c r="S86" i="2"/>
  <c r="V86" i="2"/>
  <c r="X86" i="2"/>
  <c r="H86" i="2"/>
  <c r="K86" i="2"/>
  <c r="L86" i="2"/>
  <c r="Q86" i="2"/>
  <c r="Y86" i="2"/>
  <c r="G86" i="2"/>
  <c r="M86" i="2"/>
  <c r="O86" i="2"/>
  <c r="T86" i="2"/>
  <c r="Z86" i="2"/>
  <c r="N329" i="1"/>
  <c r="V478" i="2"/>
  <c r="Q478" i="2"/>
  <c r="L478" i="2"/>
  <c r="W478" i="2"/>
  <c r="N478" i="2"/>
  <c r="Z478" i="2"/>
  <c r="R478" i="2"/>
  <c r="O478" i="2"/>
  <c r="T478" i="2"/>
  <c r="J478" i="2"/>
  <c r="U478" i="2"/>
  <c r="S478" i="2"/>
  <c r="X478" i="2"/>
  <c r="P478" i="2"/>
  <c r="G478" i="2"/>
  <c r="K478" i="2"/>
  <c r="I478" i="2"/>
  <c r="H478" i="2"/>
  <c r="M478" i="2"/>
  <c r="F480" i="2"/>
  <c r="T650" i="2"/>
  <c r="Q650" i="2"/>
  <c r="L650" i="2"/>
  <c r="J650" i="2"/>
  <c r="X650" i="2"/>
  <c r="P650" i="2"/>
  <c r="V650" i="2"/>
  <c r="W650" i="2"/>
  <c r="U650" i="2"/>
  <c r="S650" i="2"/>
  <c r="N650" i="2"/>
  <c r="Z650" i="2"/>
  <c r="R650" i="2"/>
  <c r="O650" i="2"/>
  <c r="I650" i="2"/>
  <c r="H650" i="2"/>
  <c r="G650" i="2"/>
  <c r="K650" i="2"/>
  <c r="M650" i="2"/>
  <c r="F652" i="2"/>
  <c r="U535" i="2"/>
  <c r="V535" i="2"/>
  <c r="T535" i="2"/>
  <c r="Q535" i="2"/>
  <c r="L535" i="2"/>
  <c r="J535" i="2"/>
  <c r="W535" i="2"/>
  <c r="S535" i="2"/>
  <c r="X535" i="2"/>
  <c r="P535" i="2"/>
  <c r="N535" i="2"/>
  <c r="Z535" i="2"/>
  <c r="R535" i="2"/>
  <c r="O535" i="2"/>
  <c r="K535" i="2"/>
  <c r="I535" i="2"/>
  <c r="H535" i="2"/>
  <c r="G535" i="2"/>
  <c r="M535" i="2"/>
  <c r="F537" i="2"/>
  <c r="S107" i="1"/>
  <c r="F89" i="2" s="1"/>
  <c r="S598" i="1"/>
  <c r="F546" i="2" s="1"/>
  <c r="S527" i="1"/>
  <c r="S604" i="1"/>
  <c r="S322" i="1"/>
  <c r="S602" i="1"/>
  <c r="F661" i="2" s="1"/>
  <c r="S600" i="1"/>
  <c r="S596" i="1"/>
  <c r="S319" i="1"/>
  <c r="S530" i="1"/>
  <c r="S323" i="1"/>
  <c r="V665" i="1"/>
  <c r="V534" i="1"/>
  <c r="V584" i="1"/>
  <c r="V586" i="1" s="1"/>
  <c r="F377" i="2" s="1"/>
  <c r="V575" i="1"/>
  <c r="V327" i="1"/>
  <c r="V533" i="1"/>
  <c r="V326" i="1"/>
  <c r="V592" i="1"/>
  <c r="V594" i="1" s="1"/>
  <c r="F435" i="2" s="1"/>
  <c r="AA314" i="2"/>
  <c r="AB314" i="2" s="1"/>
  <c r="T653" i="1"/>
  <c r="T93" i="1"/>
  <c r="T96" i="1" s="1"/>
  <c r="T79" i="1"/>
  <c r="T111" i="1"/>
  <c r="T126" i="1"/>
  <c r="T112" i="1"/>
  <c r="F31" i="2"/>
  <c r="T125" i="1"/>
  <c r="T123" i="1"/>
  <c r="T124" i="1"/>
  <c r="R306" i="1"/>
  <c r="R329" i="1"/>
  <c r="R331" i="1" s="1"/>
  <c r="R536" i="1"/>
  <c r="R538" i="1" s="1"/>
  <c r="AA311" i="2"/>
  <c r="AB311" i="2" s="1"/>
  <c r="AA27" i="2"/>
  <c r="AB27" i="2" s="1"/>
  <c r="G1071" i="2"/>
  <c r="V164" i="1"/>
  <c r="V425" i="1"/>
  <c r="U239" i="1"/>
  <c r="S128" i="1"/>
  <c r="X204" i="1"/>
  <c r="X629" i="1"/>
  <c r="X362" i="1" s="1"/>
  <c r="X370" i="1" s="1"/>
  <c r="X29" i="1"/>
  <c r="X453" i="1"/>
  <c r="X454" i="1"/>
  <c r="X448" i="1"/>
  <c r="X457" i="1"/>
  <c r="X246" i="1"/>
  <c r="X473" i="1"/>
  <c r="X413" i="1"/>
  <c r="X497" i="1"/>
  <c r="X632" i="1"/>
  <c r="X384" i="1" s="1"/>
  <c r="X391" i="1" s="1"/>
  <c r="X304" i="1"/>
  <c r="U514" i="1"/>
  <c r="L608" i="1"/>
  <c r="L333" i="1"/>
  <c r="F186" i="2"/>
  <c r="I296" i="2"/>
  <c r="I362" i="2"/>
  <c r="I592" i="2"/>
  <c r="I411" i="2"/>
  <c r="I125" i="2"/>
  <c r="I640" i="2"/>
  <c r="I18" i="2"/>
  <c r="I649" i="2"/>
  <c r="I182" i="2"/>
  <c r="I420" i="2"/>
  <c r="I477" i="2"/>
  <c r="I534" i="2"/>
  <c r="I353" i="2"/>
  <c r="I305" i="2"/>
  <c r="I9" i="2"/>
  <c r="I239" i="2"/>
  <c r="I468" i="2"/>
  <c r="I77" i="2"/>
  <c r="I68" i="2"/>
  <c r="I583" i="2"/>
  <c r="I525" i="2"/>
  <c r="O649" i="2"/>
  <c r="O362" i="2"/>
  <c r="O77" i="2"/>
  <c r="O583" i="2"/>
  <c r="O296" i="2"/>
  <c r="O18" i="2"/>
  <c r="O305" i="2"/>
  <c r="O68" i="2"/>
  <c r="O468" i="2"/>
  <c r="O239" i="2"/>
  <c r="O353" i="2"/>
  <c r="O9" i="2"/>
  <c r="O477" i="2"/>
  <c r="O525" i="2"/>
  <c r="O411" i="2"/>
  <c r="O534" i="2"/>
  <c r="O420" i="2"/>
  <c r="O125" i="2"/>
  <c r="O640" i="2"/>
  <c r="O592" i="2"/>
  <c r="O182" i="2"/>
  <c r="S305" i="2"/>
  <c r="S649" i="2"/>
  <c r="S296" i="2"/>
  <c r="S525" i="2"/>
  <c r="S9" i="2"/>
  <c r="S411" i="2"/>
  <c r="S18" i="2"/>
  <c r="S353" i="2"/>
  <c r="S477" i="2"/>
  <c r="S583" i="2"/>
  <c r="S77" i="2"/>
  <c r="S68" i="2"/>
  <c r="S362" i="2"/>
  <c r="S182" i="2"/>
  <c r="S125" i="2"/>
  <c r="S420" i="2"/>
  <c r="S592" i="2"/>
  <c r="S239" i="2"/>
  <c r="S534" i="2"/>
  <c r="S468" i="2"/>
  <c r="S640" i="2"/>
  <c r="J420" i="2"/>
  <c r="J534" i="2"/>
  <c r="J305" i="2"/>
  <c r="J68" i="2"/>
  <c r="J583" i="2"/>
  <c r="J362" i="2"/>
  <c r="J239" i="2"/>
  <c r="J525" i="2"/>
  <c r="J77" i="2"/>
  <c r="J411" i="2"/>
  <c r="J640" i="2"/>
  <c r="J468" i="2"/>
  <c r="J353" i="2"/>
  <c r="J18" i="2"/>
  <c r="J477" i="2"/>
  <c r="J9" i="2"/>
  <c r="J649" i="2"/>
  <c r="J182" i="2"/>
  <c r="J592" i="2"/>
  <c r="J296" i="2"/>
  <c r="J125" i="2"/>
  <c r="M525" i="2"/>
  <c r="M305" i="2"/>
  <c r="M468" i="2"/>
  <c r="M477" i="2"/>
  <c r="M583" i="2"/>
  <c r="M296" i="2"/>
  <c r="M125" i="2"/>
  <c r="M640" i="2"/>
  <c r="M77" i="2"/>
  <c r="M68" i="2"/>
  <c r="M9" i="2"/>
  <c r="M420" i="2"/>
  <c r="M411" i="2"/>
  <c r="M18" i="2"/>
  <c r="M353" i="2"/>
  <c r="M362" i="2"/>
  <c r="M182" i="2"/>
  <c r="M649" i="2"/>
  <c r="M239" i="2"/>
  <c r="M534" i="2"/>
  <c r="M592" i="2"/>
  <c r="X77" i="2"/>
  <c r="X420" i="2"/>
  <c r="X305" i="2"/>
  <c r="X534" i="2"/>
  <c r="X296" i="2"/>
  <c r="X9" i="2"/>
  <c r="X649" i="2"/>
  <c r="X182" i="2"/>
  <c r="X525" i="2"/>
  <c r="X592" i="2"/>
  <c r="X640" i="2"/>
  <c r="X68" i="2"/>
  <c r="X18" i="2"/>
  <c r="X125" i="2"/>
  <c r="X583" i="2"/>
  <c r="X353" i="2"/>
  <c r="X477" i="2"/>
  <c r="X239" i="2"/>
  <c r="X411" i="2"/>
  <c r="X362" i="2"/>
  <c r="X468" i="2"/>
  <c r="I187" i="2"/>
  <c r="G187" i="2"/>
  <c r="L187" i="2"/>
  <c r="N187" i="2"/>
  <c r="R187" i="2"/>
  <c r="S187" i="2"/>
  <c r="U187" i="2"/>
  <c r="X187" i="2"/>
  <c r="Z187" i="2"/>
  <c r="H187" i="2"/>
  <c r="M187" i="2"/>
  <c r="Q187" i="2"/>
  <c r="V187" i="2"/>
  <c r="T187" i="2"/>
  <c r="W187" i="2"/>
  <c r="Y187" i="2"/>
  <c r="K187" i="2"/>
  <c r="J187" i="2"/>
  <c r="O187" i="2"/>
  <c r="P187" i="2"/>
  <c r="M652" i="1"/>
  <c r="M110" i="1"/>
  <c r="M114" i="1" s="1"/>
  <c r="M138" i="1" s="1"/>
  <c r="F130" i="2" s="1"/>
  <c r="V593" i="2"/>
  <c r="Q593" i="2"/>
  <c r="L593" i="2"/>
  <c r="W593" i="2"/>
  <c r="U593" i="2"/>
  <c r="X593" i="2"/>
  <c r="N593" i="2"/>
  <c r="Z593" i="2"/>
  <c r="R593" i="2"/>
  <c r="T593" i="2"/>
  <c r="J593" i="2"/>
  <c r="S593" i="2"/>
  <c r="P593" i="2"/>
  <c r="O593" i="2"/>
  <c r="G593" i="2"/>
  <c r="M593" i="2"/>
  <c r="I593" i="2"/>
  <c r="H593" i="2"/>
  <c r="K593" i="2"/>
  <c r="F595" i="2"/>
  <c r="T185" i="1"/>
  <c r="T208" i="1" s="1"/>
  <c r="T221" i="1" s="1"/>
  <c r="P331" i="1"/>
  <c r="P306" i="1"/>
  <c r="F483" i="2"/>
  <c r="Q606" i="1"/>
  <c r="Q608" i="1" s="1"/>
  <c r="K655" i="2"/>
  <c r="L655" i="2"/>
  <c r="P655" i="2"/>
  <c r="R655" i="2"/>
  <c r="Z655" i="2"/>
  <c r="G655" i="2"/>
  <c r="J655" i="2"/>
  <c r="N655" i="2"/>
  <c r="Q655" i="2"/>
  <c r="Y655" i="2"/>
  <c r="I655" i="2"/>
  <c r="O655" i="2"/>
  <c r="T655" i="2"/>
  <c r="V655" i="2"/>
  <c r="X655" i="2"/>
  <c r="H655" i="2"/>
  <c r="M655" i="2"/>
  <c r="S655" i="2"/>
  <c r="U655" i="2"/>
  <c r="W655" i="2"/>
  <c r="H83" i="2"/>
  <c r="N83" i="2"/>
  <c r="T83" i="2"/>
  <c r="V83" i="2"/>
  <c r="Z83" i="2"/>
  <c r="G83" i="2"/>
  <c r="M83" i="2"/>
  <c r="Q83" i="2"/>
  <c r="S83" i="2"/>
  <c r="X83" i="2"/>
  <c r="J83" i="2"/>
  <c r="L83" i="2"/>
  <c r="P83" i="2"/>
  <c r="R83" i="2"/>
  <c r="Y83" i="2"/>
  <c r="I83" i="2"/>
  <c r="K83" i="2"/>
  <c r="O83" i="2"/>
  <c r="U83" i="2"/>
  <c r="W83" i="2"/>
  <c r="G375" i="2"/>
  <c r="M375" i="2"/>
  <c r="V375" i="2"/>
  <c r="K375" i="2"/>
  <c r="T375" i="2"/>
  <c r="H375" i="2"/>
  <c r="P375" i="2"/>
  <c r="W375" i="2"/>
  <c r="N375" i="2"/>
  <c r="U375" i="2"/>
  <c r="J375" i="2"/>
  <c r="Q375" i="2"/>
  <c r="X375" i="2"/>
  <c r="O375" i="2"/>
  <c r="Y375" i="2"/>
  <c r="L375" i="2"/>
  <c r="S375" i="2"/>
  <c r="I375" i="2"/>
  <c r="R375" i="2"/>
  <c r="Z375" i="2"/>
  <c r="O540" i="1"/>
  <c r="O654" i="1"/>
  <c r="F249" i="2"/>
  <c r="O117" i="1"/>
  <c r="O120" i="1" s="1"/>
  <c r="W659" i="1"/>
  <c r="W177" i="1"/>
  <c r="W183" i="1" s="1"/>
  <c r="W658" i="1"/>
  <c r="W402" i="1"/>
  <c r="W167" i="1"/>
  <c r="W174" i="1" s="1"/>
  <c r="W663" i="1"/>
  <c r="W261" i="1"/>
  <c r="W271" i="1" s="1"/>
  <c r="V663" i="1"/>
  <c r="V484" i="1"/>
  <c r="V486" i="1" s="1"/>
  <c r="V261" i="1"/>
  <c r="V271" i="1" s="1"/>
  <c r="J114" i="1"/>
  <c r="J601" i="2"/>
  <c r="N601" i="2"/>
  <c r="T601" i="2"/>
  <c r="V601" i="2"/>
  <c r="Z601" i="2"/>
  <c r="H601" i="2"/>
  <c r="M601" i="2"/>
  <c r="R601" i="2"/>
  <c r="S601" i="2"/>
  <c r="Y601" i="2"/>
  <c r="I601" i="2"/>
  <c r="L601" i="2"/>
  <c r="O601" i="2"/>
  <c r="Q601" i="2"/>
  <c r="X601" i="2"/>
  <c r="G601" i="2"/>
  <c r="K601" i="2"/>
  <c r="P601" i="2"/>
  <c r="U601" i="2"/>
  <c r="W601" i="2"/>
  <c r="K543" i="2"/>
  <c r="M543" i="2"/>
  <c r="R543" i="2"/>
  <c r="T543" i="2"/>
  <c r="Z543" i="2"/>
  <c r="J543" i="2"/>
  <c r="L543" i="2"/>
  <c r="Q543" i="2"/>
  <c r="S543" i="2"/>
  <c r="W543" i="2"/>
  <c r="H543" i="2"/>
  <c r="N543" i="2"/>
  <c r="P543" i="2"/>
  <c r="V543" i="2"/>
  <c r="Y543" i="2"/>
  <c r="G543" i="2"/>
  <c r="I543" i="2"/>
  <c r="O543" i="2"/>
  <c r="U543" i="2"/>
  <c r="X543" i="2"/>
  <c r="N536" i="1"/>
  <c r="U667" i="1"/>
  <c r="U67" i="1"/>
  <c r="U576" i="1"/>
  <c r="U665" i="1"/>
  <c r="U575" i="1"/>
  <c r="U327" i="1"/>
  <c r="U592" i="1"/>
  <c r="U594" i="1" s="1"/>
  <c r="F434" i="2" s="1"/>
  <c r="U584" i="1"/>
  <c r="U586" i="1" s="1"/>
  <c r="F376" i="2" s="1"/>
  <c r="U534" i="1"/>
  <c r="U326" i="1"/>
  <c r="U533" i="1"/>
  <c r="V78" i="2"/>
  <c r="T78" i="2"/>
  <c r="L78" i="2"/>
  <c r="S78" i="2"/>
  <c r="P78" i="2"/>
  <c r="Z78" i="2"/>
  <c r="O78" i="2"/>
  <c r="Q78" i="2"/>
  <c r="J78" i="2"/>
  <c r="W78" i="2"/>
  <c r="U78" i="2"/>
  <c r="X78" i="2"/>
  <c r="N78" i="2"/>
  <c r="R78" i="2"/>
  <c r="I78" i="2"/>
  <c r="H78" i="2"/>
  <c r="G78" i="2"/>
  <c r="M78" i="2"/>
  <c r="K78" i="2"/>
  <c r="F80" i="2"/>
  <c r="G30" i="2"/>
  <c r="K30" i="2"/>
  <c r="J30" i="2"/>
  <c r="O30" i="2"/>
  <c r="M30" i="2"/>
  <c r="Q30" i="2"/>
  <c r="S30" i="2"/>
  <c r="V30" i="2"/>
  <c r="W30" i="2"/>
  <c r="X30" i="2"/>
  <c r="I30" i="2"/>
  <c r="H30" i="2"/>
  <c r="N30" i="2"/>
  <c r="L30" i="2"/>
  <c r="P30" i="2"/>
  <c r="R30" i="2"/>
  <c r="T30" i="2"/>
  <c r="U30" i="2"/>
  <c r="Y30" i="2"/>
  <c r="Z30" i="2"/>
  <c r="Y146" i="1"/>
  <c r="Y172" i="1"/>
  <c r="Y189" i="1"/>
  <c r="Y386" i="1"/>
  <c r="Y42" i="1"/>
  <c r="Y459" i="1" s="1"/>
  <c r="Y113" i="1"/>
  <c r="Y27" i="1"/>
  <c r="Y190" i="1"/>
  <c r="Y285" i="1"/>
  <c r="Y283" i="1"/>
  <c r="Y199" i="1"/>
  <c r="Y145" i="1"/>
  <c r="Y191" i="1"/>
  <c r="Y287" i="1"/>
  <c r="Y501" i="1"/>
  <c r="Y19" i="1"/>
  <c r="Y148" i="1"/>
  <c r="Y38" i="1"/>
  <c r="Y455" i="1" s="1"/>
  <c r="Y158" i="1"/>
  <c r="Y407" i="1"/>
  <c r="Y411" i="1"/>
  <c r="Y510" i="1"/>
  <c r="Y179" i="1"/>
  <c r="Y180" i="1"/>
  <c r="Y149" i="1"/>
  <c r="Y44" i="1"/>
  <c r="Y37" i="1"/>
  <c r="Y264" i="1" s="1"/>
  <c r="Y23" i="1"/>
  <c r="Y217" i="1"/>
  <c r="Y408" i="1"/>
  <c r="Y215" i="1"/>
  <c r="Y286" i="1"/>
  <c r="Y367" i="1"/>
  <c r="Y33" i="1"/>
  <c r="Y651" i="1" s="1"/>
  <c r="Y151" i="1"/>
  <c r="Y216" i="1"/>
  <c r="Y297" i="1"/>
  <c r="Y363" i="1"/>
  <c r="Y398" i="1"/>
  <c r="Y396" i="1"/>
  <c r="Y301" i="1"/>
  <c r="Y294" i="1"/>
  <c r="Y416" i="1"/>
  <c r="Y376" i="1"/>
  <c r="Y200" i="1"/>
  <c r="Y171" i="1"/>
  <c r="Y292" i="1"/>
  <c r="Y72" i="1"/>
  <c r="Y284" i="1"/>
  <c r="Y201" i="1"/>
  <c r="Y296" i="1"/>
  <c r="Y397" i="1"/>
  <c r="Y63" i="1"/>
  <c r="Y64" i="1"/>
  <c r="Y506" i="1"/>
  <c r="Y170" i="1"/>
  <c r="Y99" i="1"/>
  <c r="Y192" i="1"/>
  <c r="Y389" i="1"/>
  <c r="Y494" i="1"/>
  <c r="Y475" i="1"/>
  <c r="Y454" i="1"/>
  <c r="Y39" i="1"/>
  <c r="Y477" i="1" s="1"/>
  <c r="Y395" i="1"/>
  <c r="Y410" i="1"/>
  <c r="Y508" i="1"/>
  <c r="Y251" i="1"/>
  <c r="Y366" i="1"/>
  <c r="Y458" i="1"/>
  <c r="Y502" i="1"/>
  <c r="Z2" i="1"/>
  <c r="Y492" i="1"/>
  <c r="Y418" i="1"/>
  <c r="Y368" i="1"/>
  <c r="Y507" i="1"/>
  <c r="Y168" i="1"/>
  <c r="Y374" i="1"/>
  <c r="Y299" i="1"/>
  <c r="Y388" i="1"/>
  <c r="Y181" i="1"/>
  <c r="Y509" i="1"/>
  <c r="Y202" i="1"/>
  <c r="Y169" i="1"/>
  <c r="Y430" i="1"/>
  <c r="Y503" i="1"/>
  <c r="Y417" i="1"/>
  <c r="Y377" i="1"/>
  <c r="Y298" i="1"/>
  <c r="Y364" i="1"/>
  <c r="Y295" i="1"/>
  <c r="Y43" i="1"/>
  <c r="Y478" i="1" s="1"/>
  <c r="Y150" i="1"/>
  <c r="Y639" i="1"/>
  <c r="Y365" i="1"/>
  <c r="Y178" i="1"/>
  <c r="Y375" i="1"/>
  <c r="Y589" i="1"/>
  <c r="Y147" i="1"/>
  <c r="Y159" i="1"/>
  <c r="Y160" i="1"/>
  <c r="Y36" i="1"/>
  <c r="Y473" i="1" s="1"/>
  <c r="Y40" i="1"/>
  <c r="Y505" i="1"/>
  <c r="Y581" i="1"/>
  <c r="Y131" i="1"/>
  <c r="Y385" i="1"/>
  <c r="Y419" i="1"/>
  <c r="Y495" i="1"/>
  <c r="Y500" i="1"/>
  <c r="Y429" i="1"/>
  <c r="Y640" i="1"/>
  <c r="Y504" i="1"/>
  <c r="Y41" i="1"/>
  <c r="Y457" i="1" s="1"/>
  <c r="Y73" i="1"/>
  <c r="Y387" i="1"/>
  <c r="Y300" i="1"/>
  <c r="Y293" i="1"/>
  <c r="Y493" i="1"/>
  <c r="Y409" i="1"/>
  <c r="Y491" i="1"/>
  <c r="Y157" i="1"/>
  <c r="Y302" i="1"/>
  <c r="Y476" i="1"/>
  <c r="Y247" i="1"/>
  <c r="Y265" i="1"/>
  <c r="Y572" i="1"/>
  <c r="Y229" i="1"/>
  <c r="Y444" i="1"/>
  <c r="Y439" i="1"/>
  <c r="Y236" i="1"/>
  <c r="Y442" i="1"/>
  <c r="Y446" i="1"/>
  <c r="Y230" i="1"/>
  <c r="G317" i="2"/>
  <c r="J317" i="2"/>
  <c r="I317" i="2"/>
  <c r="L317" i="2"/>
  <c r="O317" i="2"/>
  <c r="P317" i="2"/>
  <c r="T317" i="2"/>
  <c r="V317" i="2"/>
  <c r="S317" i="2"/>
  <c r="W317" i="2"/>
  <c r="Y317" i="2"/>
  <c r="H317" i="2"/>
  <c r="K317" i="2"/>
  <c r="M317" i="2"/>
  <c r="N317" i="2"/>
  <c r="R317" i="2"/>
  <c r="U317" i="2"/>
  <c r="Q317" i="2"/>
  <c r="Z317" i="2"/>
  <c r="X317" i="2"/>
  <c r="V185" i="1"/>
  <c r="S329" i="1"/>
  <c r="S331" i="1" s="1"/>
  <c r="S536" i="1"/>
  <c r="S538" i="1" s="1"/>
  <c r="AA24" i="2"/>
  <c r="AB24" i="2" s="1"/>
  <c r="X289" i="1"/>
  <c r="X475" i="1"/>
  <c r="X452" i="1"/>
  <c r="X474" i="1"/>
  <c r="X512" i="1"/>
  <c r="X631" i="1"/>
  <c r="X373" i="1" s="1"/>
  <c r="X379" i="1" s="1"/>
  <c r="W381" i="1"/>
  <c r="W425" i="1" s="1"/>
  <c r="V15" i="1"/>
  <c r="V273" i="1"/>
  <c r="U273" i="1"/>
  <c r="U275" i="1" s="1"/>
  <c r="Z645" i="2" l="1"/>
  <c r="AA645" i="2" s="1"/>
  <c r="AB645" i="2" s="1"/>
  <c r="Z644" i="2"/>
  <c r="AA644" i="2" s="1"/>
  <c r="AB644" i="2" s="1"/>
  <c r="Z473" i="2"/>
  <c r="AA473" i="2" s="1"/>
  <c r="AB473" i="2" s="1"/>
  <c r="Z530" i="2"/>
  <c r="AA530" i="2" s="1"/>
  <c r="AB530" i="2" s="1"/>
  <c r="Z587" i="2"/>
  <c r="AA587" i="2" s="1"/>
  <c r="AB587" i="2" s="1"/>
  <c r="Z14" i="2"/>
  <c r="AA14" i="2" s="1"/>
  <c r="AB14" i="2" s="1"/>
  <c r="Z358" i="2"/>
  <c r="AA358" i="2" s="1"/>
  <c r="AB358" i="2" s="1"/>
  <c r="Z13" i="2"/>
  <c r="AA13" i="2" s="1"/>
  <c r="AB13" i="2" s="1"/>
  <c r="AA1055" i="2"/>
  <c r="AB1055" i="2" s="1"/>
  <c r="Z299" i="2"/>
  <c r="AA299" i="2" s="1"/>
  <c r="AB299" i="2" s="1"/>
  <c r="Z414" i="2"/>
  <c r="AA414" i="2" s="1"/>
  <c r="AB414" i="2" s="1"/>
  <c r="Z12" i="2"/>
  <c r="AA12" i="2" s="1"/>
  <c r="AB12" i="2" s="1"/>
  <c r="Z356" i="2"/>
  <c r="AA356" i="2" s="1"/>
  <c r="AB356" i="2" s="1"/>
  <c r="AA759" i="2"/>
  <c r="AB759" i="2" s="1"/>
  <c r="Z13" i="33"/>
  <c r="AA13" i="33" s="1"/>
  <c r="AB13" i="33" s="1"/>
  <c r="AA771" i="2"/>
  <c r="AB771" i="2" s="1"/>
  <c r="Z25" i="33"/>
  <c r="AA25" i="33" s="1"/>
  <c r="AB25" i="33" s="1"/>
  <c r="AA766" i="2"/>
  <c r="AB766" i="2" s="1"/>
  <c r="Z20" i="33"/>
  <c r="AA20" i="33" s="1"/>
  <c r="AB20" i="33" s="1"/>
  <c r="AA800" i="2"/>
  <c r="AB800" i="2" s="1"/>
  <c r="Z54" i="33"/>
  <c r="AA54" i="33" s="1"/>
  <c r="AB54" i="33" s="1"/>
  <c r="AA768" i="2"/>
  <c r="AB768" i="2" s="1"/>
  <c r="Z22" i="33"/>
  <c r="AA22" i="33" s="1"/>
  <c r="AB22" i="33" s="1"/>
  <c r="AA764" i="2"/>
  <c r="AB764" i="2" s="1"/>
  <c r="Z18" i="33"/>
  <c r="AA18" i="33" s="1"/>
  <c r="AB18" i="33" s="1"/>
  <c r="AA51" i="33"/>
  <c r="AB51" i="33" s="1"/>
  <c r="AA798" i="2"/>
  <c r="AB798" i="2" s="1"/>
  <c r="Z52" i="33"/>
  <c r="AA52" i="33" s="1"/>
  <c r="AB52" i="33" s="1"/>
  <c r="AA761" i="2"/>
  <c r="AB761" i="2" s="1"/>
  <c r="Z15" i="33"/>
  <c r="AA15" i="33" s="1"/>
  <c r="AB15" i="33" s="1"/>
  <c r="AA772" i="2"/>
  <c r="AB772" i="2" s="1"/>
  <c r="Z26" i="33"/>
  <c r="AA26" i="33" s="1"/>
  <c r="AB26" i="33" s="1"/>
  <c r="AA760" i="2"/>
  <c r="AB760" i="2" s="1"/>
  <c r="Z14" i="33"/>
  <c r="AA14" i="33" s="1"/>
  <c r="AB14" i="33" s="1"/>
  <c r="Z412" i="2"/>
  <c r="Z306" i="2"/>
  <c r="Z10" i="2"/>
  <c r="Z297" i="2"/>
  <c r="Z421" i="2"/>
  <c r="Z69" i="2"/>
  <c r="Z240" i="2"/>
  <c r="Z584" i="2"/>
  <c r="Z469" i="2"/>
  <c r="Z526" i="2"/>
  <c r="Z354" i="2"/>
  <c r="Z363" i="2"/>
  <c r="Z641" i="2"/>
  <c r="Z183" i="2"/>
  <c r="W662" i="1"/>
  <c r="W244" i="1"/>
  <c r="W257" i="1" s="1"/>
  <c r="W484" i="1"/>
  <c r="W486" i="1" s="1"/>
  <c r="X62" i="1"/>
  <c r="Z300" i="2"/>
  <c r="AA300" i="2" s="1"/>
  <c r="AB300" i="2" s="1"/>
  <c r="Z357" i="2"/>
  <c r="AA357" i="2" s="1"/>
  <c r="AB357" i="2" s="1"/>
  <c r="Y590" i="1"/>
  <c r="Y246" i="1"/>
  <c r="X460" i="1"/>
  <c r="Y582" i="1"/>
  <c r="F197" i="2"/>
  <c r="X253" i="1"/>
  <c r="U578" i="1"/>
  <c r="V488" i="1"/>
  <c r="Y1057" i="2"/>
  <c r="AA1056" i="2"/>
  <c r="AB1056" i="2" s="1"/>
  <c r="Z1070" i="2"/>
  <c r="AA1069" i="2"/>
  <c r="AB1069" i="2" s="1"/>
  <c r="Z809" i="2"/>
  <c r="AA697" i="2"/>
  <c r="AB697" i="2" s="1"/>
  <c r="Z950" i="2"/>
  <c r="AA797" i="2"/>
  <c r="AB797" i="2" s="1"/>
  <c r="Z986" i="2"/>
  <c r="AA973" i="2"/>
  <c r="AB973" i="2" s="1"/>
  <c r="Z912" i="2"/>
  <c r="AA912" i="2" s="1"/>
  <c r="AB912" i="2" s="1"/>
  <c r="AA901" i="2"/>
  <c r="AB901" i="2" s="1"/>
  <c r="Z698" i="2"/>
  <c r="AA698" i="2" s="1"/>
  <c r="AB698" i="2" s="1"/>
  <c r="Z244" i="2"/>
  <c r="AA244" i="2" s="1"/>
  <c r="AB244" i="2" s="1"/>
  <c r="AA1002" i="2"/>
  <c r="AB1002" i="2" s="1"/>
  <c r="Y512" i="1"/>
  <c r="Y443" i="1"/>
  <c r="Y266" i="1"/>
  <c r="Y633" i="1"/>
  <c r="Y394" i="1" s="1"/>
  <c r="Y400" i="1" s="1"/>
  <c r="Y659" i="1" s="1"/>
  <c r="Y248" i="1"/>
  <c r="X650" i="1"/>
  <c r="X74" i="1"/>
  <c r="X461" i="1"/>
  <c r="X634" i="1" s="1"/>
  <c r="X451" i="1" s="1"/>
  <c r="X463" i="1" s="1"/>
  <c r="X101" i="1"/>
  <c r="X65" i="1"/>
  <c r="X583" i="1"/>
  <c r="X574" i="1"/>
  <c r="X255" i="1"/>
  <c r="X591" i="1"/>
  <c r="Y445" i="1"/>
  <c r="Y456" i="1"/>
  <c r="Y100" i="1"/>
  <c r="Y573" i="1"/>
  <c r="Y441" i="1"/>
  <c r="Y474" i="1"/>
  <c r="Y440" i="1"/>
  <c r="Y262" i="1"/>
  <c r="Y438" i="1"/>
  <c r="Y497" i="1"/>
  <c r="Y132" i="1"/>
  <c r="W105" i="1"/>
  <c r="W15" i="1"/>
  <c r="U277" i="1"/>
  <c r="U306" i="1" s="1"/>
  <c r="Y479" i="1"/>
  <c r="Y268" i="1"/>
  <c r="Y245" i="1"/>
  <c r="Y452" i="1"/>
  <c r="W185" i="1"/>
  <c r="T128" i="1"/>
  <c r="R608" i="1"/>
  <c r="R333" i="1"/>
  <c r="F200" i="2"/>
  <c r="V667" i="1"/>
  <c r="V67" i="1"/>
  <c r="V576" i="1"/>
  <c r="S654" i="1"/>
  <c r="S540" i="1"/>
  <c r="S117" i="1"/>
  <c r="S120" i="1" s="1"/>
  <c r="F260" i="2"/>
  <c r="I434" i="2"/>
  <c r="O434" i="2"/>
  <c r="M434" i="2"/>
  <c r="S434" i="2"/>
  <c r="T434" i="2"/>
  <c r="Z434" i="2"/>
  <c r="X434" i="2"/>
  <c r="G434" i="2"/>
  <c r="L434" i="2"/>
  <c r="P434" i="2"/>
  <c r="V434" i="2"/>
  <c r="W434" i="2"/>
  <c r="Y434" i="2"/>
  <c r="R434" i="2"/>
  <c r="Q434" i="2"/>
  <c r="H434" i="2"/>
  <c r="U434" i="2"/>
  <c r="K434" i="2"/>
  <c r="N434" i="2"/>
  <c r="J434" i="2"/>
  <c r="F319" i="2"/>
  <c r="N538" i="1"/>
  <c r="J138" i="1"/>
  <c r="V514" i="1"/>
  <c r="AA375" i="2"/>
  <c r="AB375" i="2" s="1"/>
  <c r="G483" i="2"/>
  <c r="K483" i="2"/>
  <c r="N483" i="2"/>
  <c r="U483" i="2"/>
  <c r="X483" i="2"/>
  <c r="H483" i="2"/>
  <c r="L483" i="2"/>
  <c r="O483" i="2"/>
  <c r="V483" i="2"/>
  <c r="Y483" i="2"/>
  <c r="I483" i="2"/>
  <c r="P483" i="2"/>
  <c r="R483" i="2"/>
  <c r="Q483" i="2"/>
  <c r="W483" i="2"/>
  <c r="J483" i="2"/>
  <c r="M483" i="2"/>
  <c r="S483" i="2"/>
  <c r="T483" i="2"/>
  <c r="Z483" i="2"/>
  <c r="P655" i="1"/>
  <c r="P118" i="1"/>
  <c r="P120" i="1" s="1"/>
  <c r="H186" i="2"/>
  <c r="L186" i="2"/>
  <c r="Q186" i="2"/>
  <c r="S186" i="2"/>
  <c r="U186" i="2"/>
  <c r="W186" i="2"/>
  <c r="Z186" i="2"/>
  <c r="K186" i="2"/>
  <c r="G186" i="2"/>
  <c r="I186" i="2"/>
  <c r="N186" i="2"/>
  <c r="M186" i="2"/>
  <c r="R186" i="2"/>
  <c r="T186" i="2"/>
  <c r="V186" i="2"/>
  <c r="X186" i="2"/>
  <c r="Y186" i="2"/>
  <c r="J186" i="2"/>
  <c r="O186" i="2"/>
  <c r="P186" i="2"/>
  <c r="F188" i="2"/>
  <c r="U664" i="1"/>
  <c r="U529" i="1"/>
  <c r="U532" i="1"/>
  <c r="U524" i="1"/>
  <c r="U523" i="1"/>
  <c r="U325" i="1"/>
  <c r="U316" i="1"/>
  <c r="U320" i="1"/>
  <c r="U324" i="1"/>
  <c r="U321" i="1"/>
  <c r="U531" i="1"/>
  <c r="U318" i="1"/>
  <c r="U317" i="1"/>
  <c r="U526" i="1"/>
  <c r="U528" i="1"/>
  <c r="U315" i="1"/>
  <c r="U525" i="1"/>
  <c r="X402" i="1"/>
  <c r="X658" i="1"/>
  <c r="X167" i="1"/>
  <c r="X174" i="1" s="1"/>
  <c r="X185" i="1" s="1"/>
  <c r="X660" i="1"/>
  <c r="X423" i="1"/>
  <c r="X188" i="1"/>
  <c r="X194" i="1" s="1"/>
  <c r="X206" i="1" s="1"/>
  <c r="X661" i="1"/>
  <c r="X226" i="1"/>
  <c r="X227" i="1"/>
  <c r="X231" i="1"/>
  <c r="X237" i="1"/>
  <c r="X234" i="1"/>
  <c r="X224" i="1"/>
  <c r="X228" i="1"/>
  <c r="X235" i="1"/>
  <c r="X233" i="1"/>
  <c r="X232" i="1"/>
  <c r="X225" i="1"/>
  <c r="X656" i="1"/>
  <c r="X381" i="1"/>
  <c r="X144" i="1"/>
  <c r="X153" i="1" s="1"/>
  <c r="T107" i="1"/>
  <c r="F90" i="2" s="1"/>
  <c r="T319" i="1"/>
  <c r="T530" i="1"/>
  <c r="T604" i="1"/>
  <c r="T602" i="1"/>
  <c r="F662" i="2" s="1"/>
  <c r="T600" i="1"/>
  <c r="F605" i="2" s="1"/>
  <c r="T527" i="1"/>
  <c r="T596" i="1"/>
  <c r="T598" i="1"/>
  <c r="F547" i="2" s="1"/>
  <c r="T322" i="1"/>
  <c r="T323" i="1"/>
  <c r="G435" i="2"/>
  <c r="L435" i="2"/>
  <c r="N435" i="2"/>
  <c r="P435" i="2"/>
  <c r="S435" i="2"/>
  <c r="H435" i="2"/>
  <c r="J435" i="2"/>
  <c r="T435" i="2"/>
  <c r="W435" i="2"/>
  <c r="Y435" i="2"/>
  <c r="K435" i="2"/>
  <c r="M435" i="2"/>
  <c r="O435" i="2"/>
  <c r="R435" i="2"/>
  <c r="V435" i="2"/>
  <c r="I435" i="2"/>
  <c r="Q435" i="2"/>
  <c r="U435" i="2"/>
  <c r="X435" i="2"/>
  <c r="Z435" i="2"/>
  <c r="F604" i="2"/>
  <c r="N331" i="1"/>
  <c r="J486" i="2"/>
  <c r="L486" i="2"/>
  <c r="T486" i="2"/>
  <c r="W486" i="2"/>
  <c r="Z486" i="2"/>
  <c r="I486" i="2"/>
  <c r="N486" i="2"/>
  <c r="Q486" i="2"/>
  <c r="U486" i="2"/>
  <c r="V486" i="2"/>
  <c r="G486" i="2"/>
  <c r="M486" i="2"/>
  <c r="P486" i="2"/>
  <c r="S486" i="2"/>
  <c r="Y486" i="2"/>
  <c r="H486" i="2"/>
  <c r="K486" i="2"/>
  <c r="O486" i="2"/>
  <c r="R486" i="2"/>
  <c r="X486" i="2"/>
  <c r="G1062" i="2"/>
  <c r="K1062" i="2"/>
  <c r="K1063" i="2" s="1"/>
  <c r="J1062" i="2"/>
  <c r="J1063" i="2" s="1"/>
  <c r="N1062" i="2"/>
  <c r="N1063" i="2" s="1"/>
  <c r="L1062" i="2"/>
  <c r="L1063" i="2" s="1"/>
  <c r="R1062" i="2"/>
  <c r="R1063" i="2" s="1"/>
  <c r="T1062" i="2"/>
  <c r="T1063" i="2" s="1"/>
  <c r="Q1062" i="2"/>
  <c r="Q1063" i="2" s="1"/>
  <c r="W1062" i="2"/>
  <c r="W1063" i="2" s="1"/>
  <c r="Y1062" i="2"/>
  <c r="Y1063" i="2" s="1"/>
  <c r="F1063" i="2"/>
  <c r="H1062" i="2"/>
  <c r="H1063" i="2" s="1"/>
  <c r="I1062" i="2"/>
  <c r="I1063" i="2" s="1"/>
  <c r="M1062" i="2"/>
  <c r="M1063" i="2" s="1"/>
  <c r="P1062" i="2"/>
  <c r="P1063" i="2" s="1"/>
  <c r="O1062" i="2"/>
  <c r="O1063" i="2" s="1"/>
  <c r="S1062" i="2"/>
  <c r="S1063" i="2" s="1"/>
  <c r="U1062" i="2"/>
  <c r="U1063" i="2" s="1"/>
  <c r="V1062" i="2"/>
  <c r="V1063" i="2" s="1"/>
  <c r="V1064" i="2" s="1"/>
  <c r="X1062" i="2"/>
  <c r="X1063" i="2" s="1"/>
  <c r="X1064" i="2" s="1"/>
  <c r="Z1062" i="2"/>
  <c r="Z1063" i="2" s="1"/>
  <c r="J192" i="2"/>
  <c r="W192" i="2"/>
  <c r="S192" i="2"/>
  <c r="Y192" i="2"/>
  <c r="X192" i="2"/>
  <c r="N192" i="2"/>
  <c r="R192" i="2"/>
  <c r="O192" i="2"/>
  <c r="V192" i="2"/>
  <c r="T192" i="2"/>
  <c r="Q192" i="2"/>
  <c r="L192" i="2"/>
  <c r="U192" i="2"/>
  <c r="P192" i="2"/>
  <c r="Z192" i="2"/>
  <c r="H192" i="2"/>
  <c r="I192" i="2"/>
  <c r="G192" i="2"/>
  <c r="M192" i="2"/>
  <c r="K192" i="2"/>
  <c r="O652" i="1"/>
  <c r="O110" i="1"/>
  <c r="O114" i="1" s="1"/>
  <c r="O138" i="1" s="1"/>
  <c r="F135" i="2" s="1"/>
  <c r="AA433" i="2"/>
  <c r="AB433" i="2" s="1"/>
  <c r="N318" i="2"/>
  <c r="V318" i="2"/>
  <c r="J318" i="2"/>
  <c r="P318" i="2"/>
  <c r="Y318" i="2"/>
  <c r="L318" i="2"/>
  <c r="T318" i="2"/>
  <c r="H318" i="2"/>
  <c r="O318" i="2"/>
  <c r="W318" i="2"/>
  <c r="I318" i="2"/>
  <c r="R318" i="2"/>
  <c r="Z318" i="2"/>
  <c r="M318" i="2"/>
  <c r="U318" i="2"/>
  <c r="G318" i="2"/>
  <c r="Q318" i="2"/>
  <c r="X318" i="2"/>
  <c r="K318" i="2"/>
  <c r="S318" i="2"/>
  <c r="L120" i="1"/>
  <c r="I197" i="2"/>
  <c r="H197" i="2"/>
  <c r="N197" i="2"/>
  <c r="L197" i="2"/>
  <c r="O197" i="2"/>
  <c r="T197" i="2"/>
  <c r="S197" i="2"/>
  <c r="V197" i="2"/>
  <c r="W197" i="2"/>
  <c r="Z197" i="2"/>
  <c r="G197" i="2"/>
  <c r="J197" i="2"/>
  <c r="K197" i="2"/>
  <c r="P197" i="2"/>
  <c r="M197" i="2"/>
  <c r="R197" i="2"/>
  <c r="Q197" i="2"/>
  <c r="U197" i="2"/>
  <c r="X197" i="2"/>
  <c r="Y197" i="2"/>
  <c r="Q652" i="1"/>
  <c r="Q110" i="1"/>
  <c r="Q114" i="1" s="1"/>
  <c r="Q138" i="1" s="1"/>
  <c r="F140" i="2" s="1"/>
  <c r="Y267" i="1"/>
  <c r="Y250" i="1"/>
  <c r="Y177" i="1"/>
  <c r="Y183" i="1" s="1"/>
  <c r="Y249" i="1"/>
  <c r="Y632" i="1"/>
  <c r="Y384" i="1" s="1"/>
  <c r="Y391" i="1" s="1"/>
  <c r="Y641" i="1"/>
  <c r="Y304" i="1"/>
  <c r="Y421" i="1"/>
  <c r="Y629" i="1"/>
  <c r="Y362" i="1" s="1"/>
  <c r="Y370" i="1" s="1"/>
  <c r="Y638" i="1"/>
  <c r="Y121" i="1" s="1"/>
  <c r="Y204" i="1"/>
  <c r="V578" i="1"/>
  <c r="AA540" i="2"/>
  <c r="AB540" i="2" s="1"/>
  <c r="W208" i="1"/>
  <c r="W221" i="1" s="1"/>
  <c r="X657" i="1"/>
  <c r="X156" i="1"/>
  <c r="X162" i="1" s="1"/>
  <c r="S333" i="1"/>
  <c r="F203" i="2"/>
  <c r="AA317" i="2"/>
  <c r="AB317" i="2" s="1"/>
  <c r="Z296" i="1"/>
  <c r="Z302" i="1"/>
  <c r="Z409" i="1"/>
  <c r="Z157" i="1"/>
  <c r="Z158" i="1"/>
  <c r="Z492" i="1"/>
  <c r="Z510" i="1"/>
  <c r="Z19" i="1"/>
  <c r="Z131" i="1"/>
  <c r="Z172" i="1"/>
  <c r="Z504" i="1"/>
  <c r="Z169" i="1"/>
  <c r="Z64" i="1"/>
  <c r="Z202" i="1"/>
  <c r="Z385" i="1"/>
  <c r="Z366" i="1"/>
  <c r="Z398" i="1"/>
  <c r="Z410" i="1"/>
  <c r="Z168" i="1"/>
  <c r="Z44" i="1"/>
  <c r="Z365" i="1"/>
  <c r="Z640" i="1"/>
  <c r="Z43" i="1"/>
  <c r="Z267" i="1" s="1"/>
  <c r="Z189" i="1"/>
  <c r="Z190" i="1"/>
  <c r="Z377" i="1"/>
  <c r="Z287" i="1"/>
  <c r="Z191" i="1"/>
  <c r="Z215" i="1"/>
  <c r="Z417" i="1"/>
  <c r="Z503" i="1"/>
  <c r="Z429" i="1"/>
  <c r="Z506" i="1"/>
  <c r="Z216" i="1"/>
  <c r="Z151" i="1"/>
  <c r="Z99" i="1"/>
  <c r="Z178" i="1"/>
  <c r="Z181" i="1"/>
  <c r="Z37" i="1"/>
  <c r="Z264" i="1" s="1"/>
  <c r="Z159" i="1"/>
  <c r="Z364" i="1"/>
  <c r="Z571" i="1"/>
  <c r="Z374" i="1"/>
  <c r="Z294" i="1"/>
  <c r="Z299" i="1"/>
  <c r="Z293" i="1"/>
  <c r="Z494" i="1"/>
  <c r="Z39" i="1"/>
  <c r="Z266" i="1" s="1"/>
  <c r="Z72" i="1"/>
  <c r="Z397" i="1"/>
  <c r="Z300" i="1"/>
  <c r="Z201" i="1"/>
  <c r="Z501" i="1"/>
  <c r="Z430" i="1"/>
  <c r="Z491" i="1"/>
  <c r="Z23" i="1"/>
  <c r="Z33" i="1"/>
  <c r="Z440" i="1" s="1"/>
  <c r="Z42" i="1"/>
  <c r="Z148" i="1"/>
  <c r="Z73" i="1"/>
  <c r="Z170" i="1"/>
  <c r="Z113" i="1"/>
  <c r="Z495" i="1"/>
  <c r="Z150" i="1"/>
  <c r="Z160" i="1"/>
  <c r="Z411" i="1"/>
  <c r="Z396" i="1"/>
  <c r="Z285" i="1"/>
  <c r="Z286" i="1"/>
  <c r="Z508" i="1"/>
  <c r="Z295" i="1"/>
  <c r="Z376" i="1"/>
  <c r="Z458" i="1"/>
  <c r="Z200" i="1"/>
  <c r="Z570" i="1"/>
  <c r="Z368" i="1"/>
  <c r="Z502" i="1"/>
  <c r="Z36" i="1"/>
  <c r="Z263" i="1" s="1"/>
  <c r="Z149" i="1"/>
  <c r="Z27" i="1"/>
  <c r="Z180" i="1"/>
  <c r="Z375" i="1"/>
  <c r="Z507" i="1"/>
  <c r="Z386" i="1"/>
  <c r="Z387" i="1"/>
  <c r="Z389" i="1"/>
  <c r="Z416" i="1"/>
  <c r="Z363" i="1"/>
  <c r="Z284" i="1"/>
  <c r="AA2" i="1"/>
  <c r="Z509" i="1"/>
  <c r="Z493" i="1"/>
  <c r="Z199" i="1"/>
  <c r="Z146" i="1"/>
  <c r="Z251" i="1"/>
  <c r="Z297" i="1"/>
  <c r="Z569" i="1"/>
  <c r="Z418" i="1"/>
  <c r="Z419" i="1"/>
  <c r="Z367" i="1"/>
  <c r="Z581" i="1"/>
  <c r="Z505" i="1"/>
  <c r="Z639" i="1"/>
  <c r="Z641" i="1" s="1"/>
  <c r="Z428" i="1" s="1"/>
  <c r="Z432" i="1" s="1"/>
  <c r="Z147" i="1"/>
  <c r="Z41" i="1"/>
  <c r="Z250" i="1" s="1"/>
  <c r="Z145" i="1"/>
  <c r="Z589" i="1"/>
  <c r="Z301" i="1"/>
  <c r="Z292" i="1"/>
  <c r="Z171" i="1"/>
  <c r="Z407" i="1"/>
  <c r="Z40" i="1"/>
  <c r="Z38" i="1"/>
  <c r="Z265" i="1" s="1"/>
  <c r="Z63" i="1"/>
  <c r="Z192" i="1"/>
  <c r="Z408" i="1"/>
  <c r="Z283" i="1"/>
  <c r="Z179" i="1"/>
  <c r="Z459" i="1"/>
  <c r="Z217" i="1"/>
  <c r="Z388" i="1"/>
  <c r="Z298" i="1"/>
  <c r="Z395" i="1"/>
  <c r="Z633" i="1" s="1"/>
  <c r="Z394" i="1" s="1"/>
  <c r="Z400" i="1" s="1"/>
  <c r="Z659" i="1" s="1"/>
  <c r="Z500" i="1"/>
  <c r="Z456" i="1"/>
  <c r="Z454" i="1"/>
  <c r="Z477" i="1"/>
  <c r="Z249" i="1"/>
  <c r="Z438" i="1"/>
  <c r="Z444" i="1"/>
  <c r="Z247" i="1"/>
  <c r="Z453" i="1"/>
  <c r="Z246" i="1"/>
  <c r="Z439" i="1"/>
  <c r="Z582" i="1"/>
  <c r="AA30" i="2"/>
  <c r="AB30" i="2" s="1"/>
  <c r="G376" i="2"/>
  <c r="L376" i="2"/>
  <c r="P376" i="2"/>
  <c r="T376" i="2"/>
  <c r="Y376" i="2"/>
  <c r="V376" i="2"/>
  <c r="I376" i="2"/>
  <c r="O376" i="2"/>
  <c r="M376" i="2"/>
  <c r="S376" i="2"/>
  <c r="W376" i="2"/>
  <c r="Z376" i="2"/>
  <c r="X376" i="2"/>
  <c r="R376" i="2"/>
  <c r="Q376" i="2"/>
  <c r="H376" i="2"/>
  <c r="K376" i="2"/>
  <c r="U376" i="2"/>
  <c r="N376" i="2"/>
  <c r="J376" i="2"/>
  <c r="U93" i="1"/>
  <c r="U96" i="1" s="1"/>
  <c r="U653" i="1"/>
  <c r="U79" i="1"/>
  <c r="U112" i="1"/>
  <c r="U123" i="1"/>
  <c r="U111" i="1"/>
  <c r="U126" i="1"/>
  <c r="U125" i="1"/>
  <c r="F32" i="2"/>
  <c r="U124" i="1"/>
  <c r="Q249" i="2"/>
  <c r="L249" i="2"/>
  <c r="J249" i="2"/>
  <c r="U249" i="2"/>
  <c r="S249" i="2"/>
  <c r="Y249" i="2"/>
  <c r="P249" i="2"/>
  <c r="V249" i="2"/>
  <c r="T249" i="2"/>
  <c r="W249" i="2"/>
  <c r="X249" i="2"/>
  <c r="N249" i="2"/>
  <c r="Z249" i="2"/>
  <c r="R249" i="2"/>
  <c r="O249" i="2"/>
  <c r="I249" i="2"/>
  <c r="G249" i="2"/>
  <c r="M249" i="2"/>
  <c r="H249" i="2"/>
  <c r="K249" i="2"/>
  <c r="P333" i="1"/>
  <c r="P608" i="1"/>
  <c r="F193" i="2"/>
  <c r="T277" i="1"/>
  <c r="G130" i="2"/>
  <c r="K130" i="2"/>
  <c r="M130" i="2"/>
  <c r="Q130" i="2"/>
  <c r="S130" i="2"/>
  <c r="U130" i="2"/>
  <c r="W130" i="2"/>
  <c r="Y130" i="2"/>
  <c r="I130" i="2"/>
  <c r="H130" i="2"/>
  <c r="N130" i="2"/>
  <c r="L130" i="2"/>
  <c r="R130" i="2"/>
  <c r="T130" i="2"/>
  <c r="V130" i="2"/>
  <c r="X130" i="2"/>
  <c r="Z130" i="2"/>
  <c r="J130" i="2"/>
  <c r="O130" i="2"/>
  <c r="P130" i="2"/>
  <c r="L652" i="1"/>
  <c r="L110" i="1"/>
  <c r="X666" i="1"/>
  <c r="X48" i="1"/>
  <c r="X570" i="1"/>
  <c r="X571" i="1"/>
  <c r="X569" i="1"/>
  <c r="G77" i="2"/>
  <c r="G239" i="2"/>
  <c r="G18" i="2"/>
  <c r="G420" i="2"/>
  <c r="G534" i="2"/>
  <c r="G468" i="2"/>
  <c r="G296" i="2"/>
  <c r="G477" i="2"/>
  <c r="G9" i="2"/>
  <c r="G305" i="2"/>
  <c r="G68" i="2"/>
  <c r="G125" i="2"/>
  <c r="G592" i="2"/>
  <c r="G362" i="2"/>
  <c r="G640" i="2"/>
  <c r="G649" i="2"/>
  <c r="G525" i="2"/>
  <c r="G182" i="2"/>
  <c r="G583" i="2"/>
  <c r="G411" i="2"/>
  <c r="G353" i="2"/>
  <c r="R654" i="1"/>
  <c r="R540" i="1"/>
  <c r="R117" i="1"/>
  <c r="F257" i="2"/>
  <c r="R655" i="1"/>
  <c r="R118" i="1"/>
  <c r="G31" i="2"/>
  <c r="L31" i="2"/>
  <c r="O31" i="2"/>
  <c r="T31" i="2"/>
  <c r="W31" i="2"/>
  <c r="H31" i="2"/>
  <c r="K31" i="2"/>
  <c r="P31" i="2"/>
  <c r="S31" i="2"/>
  <c r="X31" i="2"/>
  <c r="I31" i="2"/>
  <c r="M31" i="2"/>
  <c r="Q31" i="2"/>
  <c r="U31" i="2"/>
  <c r="Y31" i="2"/>
  <c r="J31" i="2"/>
  <c r="N31" i="2"/>
  <c r="R31" i="2"/>
  <c r="V31" i="2"/>
  <c r="Z31" i="2"/>
  <c r="H377" i="2"/>
  <c r="L377" i="2"/>
  <c r="T377" i="2"/>
  <c r="X377" i="2"/>
  <c r="I377" i="2"/>
  <c r="M377" i="2"/>
  <c r="O377" i="2"/>
  <c r="Q377" i="2"/>
  <c r="U377" i="2"/>
  <c r="Y377" i="2"/>
  <c r="G377" i="2"/>
  <c r="J377" i="2"/>
  <c r="S377" i="2"/>
  <c r="V377" i="2"/>
  <c r="Z377" i="2"/>
  <c r="K377" i="2"/>
  <c r="N377" i="2"/>
  <c r="P377" i="2"/>
  <c r="R377" i="2"/>
  <c r="W377" i="2"/>
  <c r="F489" i="2"/>
  <c r="S606" i="1"/>
  <c r="S608" i="1" s="1"/>
  <c r="I661" i="2"/>
  <c r="K661" i="2"/>
  <c r="M661" i="2"/>
  <c r="O661" i="2"/>
  <c r="L661" i="2"/>
  <c r="V661" i="2"/>
  <c r="R661" i="2"/>
  <c r="U661" i="2"/>
  <c r="W661" i="2"/>
  <c r="Z661" i="2"/>
  <c r="G661" i="2"/>
  <c r="J661" i="2"/>
  <c r="H661" i="2"/>
  <c r="N661" i="2"/>
  <c r="P661" i="2"/>
  <c r="S661" i="2"/>
  <c r="Q661" i="2"/>
  <c r="T661" i="2"/>
  <c r="Y661" i="2"/>
  <c r="X661" i="2"/>
  <c r="I546" i="2"/>
  <c r="J546" i="2"/>
  <c r="P546" i="2"/>
  <c r="M546" i="2"/>
  <c r="O546" i="2"/>
  <c r="T546" i="2"/>
  <c r="Q546" i="2"/>
  <c r="V546" i="2"/>
  <c r="Z546" i="2"/>
  <c r="X546" i="2"/>
  <c r="G546" i="2"/>
  <c r="H546" i="2"/>
  <c r="K546" i="2"/>
  <c r="L546" i="2"/>
  <c r="N546" i="2"/>
  <c r="S546" i="2"/>
  <c r="U546" i="2"/>
  <c r="R546" i="2"/>
  <c r="Y546" i="2"/>
  <c r="W546" i="2"/>
  <c r="H89" i="2"/>
  <c r="I89" i="2"/>
  <c r="L89" i="2"/>
  <c r="N89" i="2"/>
  <c r="Q89" i="2"/>
  <c r="U89" i="2"/>
  <c r="R89" i="2"/>
  <c r="V89" i="2"/>
  <c r="X89" i="2"/>
  <c r="Y89" i="2"/>
  <c r="G89" i="2"/>
  <c r="J89" i="2"/>
  <c r="K89" i="2"/>
  <c r="M89" i="2"/>
  <c r="O89" i="2"/>
  <c r="T89" i="2"/>
  <c r="P89" i="2"/>
  <c r="S89" i="2"/>
  <c r="W89" i="2"/>
  <c r="Z89" i="2"/>
  <c r="W67" i="1"/>
  <c r="W667" i="1"/>
  <c r="W576" i="1"/>
  <c r="W665" i="1"/>
  <c r="W534" i="1"/>
  <c r="W326" i="1"/>
  <c r="W575" i="1"/>
  <c r="W578" i="1" s="1"/>
  <c r="W584" i="1"/>
  <c r="W586" i="1" s="1"/>
  <c r="F378" i="2" s="1"/>
  <c r="W533" i="1"/>
  <c r="W592" i="1"/>
  <c r="W594" i="1" s="1"/>
  <c r="F436" i="2" s="1"/>
  <c r="W327" i="1"/>
  <c r="T664" i="1"/>
  <c r="T320" i="1"/>
  <c r="T318" i="1"/>
  <c r="T316" i="1"/>
  <c r="T524" i="1"/>
  <c r="T532" i="1"/>
  <c r="T317" i="1"/>
  <c r="T526" i="1"/>
  <c r="T531" i="1"/>
  <c r="T525" i="1"/>
  <c r="T321" i="1"/>
  <c r="T529" i="1"/>
  <c r="T325" i="1"/>
  <c r="T528" i="1"/>
  <c r="T324" i="1"/>
  <c r="T523" i="1"/>
  <c r="T315" i="1"/>
  <c r="G243" i="2"/>
  <c r="L243" i="2"/>
  <c r="N243" i="2"/>
  <c r="S243" i="2"/>
  <c r="Q243" i="2"/>
  <c r="T243" i="2"/>
  <c r="Y243" i="2"/>
  <c r="W243" i="2"/>
  <c r="H243" i="2"/>
  <c r="I243" i="2"/>
  <c r="M243" i="2"/>
  <c r="K243" i="2"/>
  <c r="U243" i="2"/>
  <c r="R243" i="2"/>
  <c r="X243" i="2"/>
  <c r="V243" i="2"/>
  <c r="Z243" i="2"/>
  <c r="O243" i="2"/>
  <c r="P243" i="2"/>
  <c r="J243" i="2"/>
  <c r="F245" i="2"/>
  <c r="H254" i="2"/>
  <c r="K254" i="2"/>
  <c r="N254" i="2"/>
  <c r="P254" i="2"/>
  <c r="M254" i="2"/>
  <c r="S254" i="2"/>
  <c r="T254" i="2"/>
  <c r="V254" i="2"/>
  <c r="X254" i="2"/>
  <c r="Z254" i="2"/>
  <c r="G254" i="2"/>
  <c r="J254" i="2"/>
  <c r="I254" i="2"/>
  <c r="O254" i="2"/>
  <c r="L254" i="2"/>
  <c r="Q254" i="2"/>
  <c r="R254" i="2"/>
  <c r="U254" i="2"/>
  <c r="W254" i="2"/>
  <c r="Y254" i="2"/>
  <c r="W273" i="1"/>
  <c r="Y448" i="1"/>
  <c r="Y46" i="1"/>
  <c r="Y631" i="1"/>
  <c r="Y373" i="1" s="1"/>
  <c r="Y379" i="1" s="1"/>
  <c r="Y263" i="1"/>
  <c r="Y453" i="1"/>
  <c r="Y413" i="1"/>
  <c r="Y29" i="1"/>
  <c r="Y289" i="1"/>
  <c r="AA543" i="2"/>
  <c r="AB543" i="2" s="1"/>
  <c r="AA601" i="2"/>
  <c r="AB601" i="2" s="1"/>
  <c r="W488" i="1"/>
  <c r="AA83" i="2"/>
  <c r="AB83" i="2" s="1"/>
  <c r="AA655" i="2"/>
  <c r="AB655" i="2" s="1"/>
  <c r="AA187" i="2"/>
  <c r="AB187" i="2" s="1"/>
  <c r="X635" i="1"/>
  <c r="X472" i="1" s="1"/>
  <c r="X482" i="1" s="1"/>
  <c r="V208" i="1"/>
  <c r="V221" i="1" s="1"/>
  <c r="AA86" i="2"/>
  <c r="AB86" i="2" s="1"/>
  <c r="AA658" i="2"/>
  <c r="AB658" i="2" s="1"/>
  <c r="V239" i="1"/>
  <c r="V275" i="1" s="1"/>
  <c r="F437" i="2"/>
  <c r="AA598" i="2"/>
  <c r="AB598" i="2" s="1"/>
  <c r="W239" i="1"/>
  <c r="Z1064" i="2" l="1"/>
  <c r="AA809" i="2"/>
  <c r="AB809" i="2" s="1"/>
  <c r="Z63" i="33"/>
  <c r="AA63" i="33" s="1"/>
  <c r="AB63" i="33" s="1"/>
  <c r="I1064" i="2"/>
  <c r="U1064" i="2"/>
  <c r="S1064" i="2"/>
  <c r="Z268" i="1"/>
  <c r="Z100" i="1"/>
  <c r="Z590" i="1"/>
  <c r="Z572" i="1"/>
  <c r="P1064" i="2"/>
  <c r="Z132" i="1"/>
  <c r="Z476" i="1"/>
  <c r="X425" i="1"/>
  <c r="Z455" i="1"/>
  <c r="Y354" i="2"/>
  <c r="AA354" i="2" s="1"/>
  <c r="AB354" i="2" s="1"/>
  <c r="Y126" i="2"/>
  <c r="AA126" i="2" s="1"/>
  <c r="AB126" i="2" s="1"/>
  <c r="Y10" i="2"/>
  <c r="AA10" i="2" s="1"/>
  <c r="AB10" i="2" s="1"/>
  <c r="Y297" i="2"/>
  <c r="AA297" i="2" s="1"/>
  <c r="AB297" i="2" s="1"/>
  <c r="Y641" i="2"/>
  <c r="AA641" i="2" s="1"/>
  <c r="AB641" i="2" s="1"/>
  <c r="Y306" i="2"/>
  <c r="AA306" i="2" s="1"/>
  <c r="AB306" i="2" s="1"/>
  <c r="Y584" i="2"/>
  <c r="AA584" i="2" s="1"/>
  <c r="AB584" i="2" s="1"/>
  <c r="Y69" i="2"/>
  <c r="AA69" i="2" s="1"/>
  <c r="AB69" i="2" s="1"/>
  <c r="Y183" i="2"/>
  <c r="AA183" i="2" s="1"/>
  <c r="AB183" i="2" s="1"/>
  <c r="Y412" i="2"/>
  <c r="AA412" i="2" s="1"/>
  <c r="AB412" i="2" s="1"/>
  <c r="Y421" i="2"/>
  <c r="AA421" i="2" s="1"/>
  <c r="AB421" i="2" s="1"/>
  <c r="Y469" i="2"/>
  <c r="AA469" i="2" s="1"/>
  <c r="AB469" i="2" s="1"/>
  <c r="Y363" i="2"/>
  <c r="AA363" i="2" s="1"/>
  <c r="AB363" i="2" s="1"/>
  <c r="Y19" i="2"/>
  <c r="AA19" i="2" s="1"/>
  <c r="AB19" i="2" s="1"/>
  <c r="Y526" i="2"/>
  <c r="AA526" i="2" s="1"/>
  <c r="AB526" i="2" s="1"/>
  <c r="Y240" i="2"/>
  <c r="AA240" i="2" s="1"/>
  <c r="AB240" i="2" s="1"/>
  <c r="AA1057" i="2"/>
  <c r="AB1057" i="2" s="1"/>
  <c r="Y78" i="2"/>
  <c r="AA78" i="2" s="1"/>
  <c r="AB78" i="2" s="1"/>
  <c r="Y650" i="2"/>
  <c r="AA650" i="2" s="1"/>
  <c r="AB650" i="2" s="1"/>
  <c r="Y593" i="2"/>
  <c r="AA593" i="2" s="1"/>
  <c r="AB593" i="2" s="1"/>
  <c r="Y478" i="2"/>
  <c r="AA478" i="2" s="1"/>
  <c r="AB478" i="2" s="1"/>
  <c r="Y535" i="2"/>
  <c r="AA535" i="2" s="1"/>
  <c r="AB535" i="2" s="1"/>
  <c r="Z1071" i="2"/>
  <c r="AA1070" i="2"/>
  <c r="AB1070" i="2" s="1"/>
  <c r="K1064" i="2"/>
  <c r="K585" i="2" s="1"/>
  <c r="K589" i="2" s="1"/>
  <c r="X244" i="1"/>
  <c r="X257" i="1" s="1"/>
  <c r="X662" i="1"/>
  <c r="Z479" i="1"/>
  <c r="Z214" i="1"/>
  <c r="Z212" i="1"/>
  <c r="Z213" i="1"/>
  <c r="Z211" i="1"/>
  <c r="Z457" i="1"/>
  <c r="Z445" i="1"/>
  <c r="Z442" i="1"/>
  <c r="Z443" i="1"/>
  <c r="Z573" i="1"/>
  <c r="Z236" i="1"/>
  <c r="Z441" i="1"/>
  <c r="Z245" i="1"/>
  <c r="Z446" i="1"/>
  <c r="Z229" i="1"/>
  <c r="Z289" i="1"/>
  <c r="Z478" i="1"/>
  <c r="O1064" i="2"/>
  <c r="M1064" i="2"/>
  <c r="M241" i="2" s="1"/>
  <c r="M245" i="2" s="1"/>
  <c r="H1064" i="2"/>
  <c r="V277" i="1"/>
  <c r="Z177" i="1"/>
  <c r="Z183" i="1" s="1"/>
  <c r="Z219" i="1"/>
  <c r="Z512" i="1"/>
  <c r="Z413" i="1"/>
  <c r="Z188" i="1" s="1"/>
  <c r="Z194" i="1" s="1"/>
  <c r="Z204" i="1"/>
  <c r="X663" i="1"/>
  <c r="X484" i="1"/>
  <c r="X486" i="1" s="1"/>
  <c r="X488" i="1" s="1"/>
  <c r="X261" i="1"/>
  <c r="X271" i="1" s="1"/>
  <c r="W514" i="1"/>
  <c r="Y666" i="1"/>
  <c r="Y48" i="1"/>
  <c r="Y569" i="1"/>
  <c r="Y570" i="1"/>
  <c r="Y571" i="1"/>
  <c r="Y657" i="1"/>
  <c r="Y156" i="1"/>
  <c r="Y162" i="1" s="1"/>
  <c r="Y650" i="1"/>
  <c r="Y583" i="1"/>
  <c r="Y252" i="1"/>
  <c r="Y253" i="1"/>
  <c r="Y254" i="1"/>
  <c r="Y461" i="1"/>
  <c r="Y65" i="1"/>
  <c r="Y269" i="1"/>
  <c r="Y133" i="1"/>
  <c r="Y62" i="1"/>
  <c r="Y480" i="1"/>
  <c r="Y635" i="1" s="1"/>
  <c r="Y472" i="1" s="1"/>
  <c r="Y482" i="1" s="1"/>
  <c r="Y74" i="1"/>
  <c r="Y255" i="1"/>
  <c r="Y591" i="1"/>
  <c r="Y574" i="1"/>
  <c r="Y460" i="1"/>
  <c r="Y101" i="1"/>
  <c r="Y661" i="1"/>
  <c r="Y233" i="1"/>
  <c r="Y231" i="1"/>
  <c r="Y227" i="1"/>
  <c r="Y232" i="1"/>
  <c r="Y225" i="1"/>
  <c r="Y224" i="1"/>
  <c r="Y235" i="1"/>
  <c r="Y228" i="1"/>
  <c r="Y237" i="1"/>
  <c r="Y234" i="1"/>
  <c r="Y226" i="1"/>
  <c r="T329" i="1"/>
  <c r="O436" i="2"/>
  <c r="O437" i="2" s="1"/>
  <c r="Z436" i="2"/>
  <c r="Z437" i="2" s="1"/>
  <c r="N436" i="2"/>
  <c r="N437" i="2" s="1"/>
  <c r="T436" i="2"/>
  <c r="T437" i="2" s="1"/>
  <c r="I436" i="2"/>
  <c r="I437" i="2" s="1"/>
  <c r="P436" i="2"/>
  <c r="P437" i="2" s="1"/>
  <c r="J436" i="2"/>
  <c r="J437" i="2" s="1"/>
  <c r="Q436" i="2"/>
  <c r="Q437" i="2" s="1"/>
  <c r="Y436" i="2"/>
  <c r="Y437" i="2" s="1"/>
  <c r="G436" i="2"/>
  <c r="W436" i="2"/>
  <c r="W437" i="2" s="1"/>
  <c r="L436" i="2"/>
  <c r="L437" i="2" s="1"/>
  <c r="R436" i="2"/>
  <c r="R437" i="2" s="1"/>
  <c r="V436" i="2"/>
  <c r="V437" i="2" s="1"/>
  <c r="K436" i="2"/>
  <c r="K437" i="2" s="1"/>
  <c r="X436" i="2"/>
  <c r="X437" i="2" s="1"/>
  <c r="M436" i="2"/>
  <c r="M437" i="2" s="1"/>
  <c r="S436" i="2"/>
  <c r="S437" i="2" s="1"/>
  <c r="H436" i="2"/>
  <c r="H437" i="2" s="1"/>
  <c r="U436" i="2"/>
  <c r="J378" i="2"/>
  <c r="R378" i="2"/>
  <c r="R379" i="2" s="1"/>
  <c r="K378" i="2"/>
  <c r="S378" i="2"/>
  <c r="S379" i="2" s="1"/>
  <c r="I378" i="2"/>
  <c r="O378" i="2"/>
  <c r="O379" i="2" s="1"/>
  <c r="G378" i="2"/>
  <c r="Q378" i="2"/>
  <c r="Q379" i="2" s="1"/>
  <c r="V378" i="2"/>
  <c r="V379" i="2" s="1"/>
  <c r="N378" i="2"/>
  <c r="Z378" i="2"/>
  <c r="Z379" i="2" s="1"/>
  <c r="P378" i="2"/>
  <c r="P379" i="2" s="1"/>
  <c r="W378" i="2"/>
  <c r="W379" i="2" s="1"/>
  <c r="M378" i="2"/>
  <c r="M379" i="2" s="1"/>
  <c r="Y378" i="2"/>
  <c r="Y379" i="2" s="1"/>
  <c r="L378" i="2"/>
  <c r="L379" i="2" s="1"/>
  <c r="T378" i="2"/>
  <c r="T379" i="2" s="1"/>
  <c r="X378" i="2"/>
  <c r="X379" i="2" s="1"/>
  <c r="H378" i="2"/>
  <c r="U378" i="2"/>
  <c r="U379" i="2" s="1"/>
  <c r="AA661" i="2"/>
  <c r="AB661" i="2" s="1"/>
  <c r="H489" i="2"/>
  <c r="I489" i="2"/>
  <c r="L489" i="2"/>
  <c r="M489" i="2"/>
  <c r="P489" i="2"/>
  <c r="S489" i="2"/>
  <c r="T489" i="2"/>
  <c r="V489" i="2"/>
  <c r="Y489" i="2"/>
  <c r="X489" i="2"/>
  <c r="G489" i="2"/>
  <c r="J489" i="2"/>
  <c r="K489" i="2"/>
  <c r="N489" i="2"/>
  <c r="O489" i="2"/>
  <c r="R489" i="2"/>
  <c r="Q489" i="2"/>
  <c r="U489" i="2"/>
  <c r="W489" i="2"/>
  <c r="Z489" i="2"/>
  <c r="L114" i="1"/>
  <c r="P652" i="1"/>
  <c r="P110" i="1"/>
  <c r="P114" i="1" s="1"/>
  <c r="P138" i="1" s="1"/>
  <c r="F136" i="2" s="1"/>
  <c r="X136" i="2" s="1"/>
  <c r="AA429" i="1"/>
  <c r="AB2" i="1"/>
  <c r="AA151" i="1"/>
  <c r="AA287" i="1"/>
  <c r="AA148" i="1"/>
  <c r="AA286" i="1"/>
  <c r="AA201" i="1"/>
  <c r="AA39" i="1"/>
  <c r="AA113" i="1"/>
  <c r="AA363" i="1"/>
  <c r="AA295" i="1"/>
  <c r="AA191" i="1"/>
  <c r="AA385" i="1"/>
  <c r="AA300" i="1"/>
  <c r="AA43" i="1"/>
  <c r="AA267" i="1" s="1"/>
  <c r="AA284" i="1"/>
  <c r="AA375" i="1"/>
  <c r="AA508" i="1"/>
  <c r="AA493" i="1"/>
  <c r="AA23" i="1"/>
  <c r="AA38" i="1"/>
  <c r="AA248" i="1" s="1"/>
  <c r="AA73" i="1"/>
  <c r="AA169" i="1"/>
  <c r="AA494" i="1"/>
  <c r="AA180" i="1"/>
  <c r="AA299" i="1"/>
  <c r="AA296" i="1"/>
  <c r="AA506" i="1"/>
  <c r="AA387" i="1"/>
  <c r="AA147" i="1"/>
  <c r="AA376" i="1"/>
  <c r="AA491" i="1"/>
  <c r="AA168" i="1"/>
  <c r="AA190" i="1"/>
  <c r="AA510" i="1"/>
  <c r="AA37" i="1"/>
  <c r="AA409" i="1"/>
  <c r="AA99" i="1"/>
  <c r="AA639" i="1"/>
  <c r="AA217" i="1"/>
  <c r="AA266" i="1"/>
  <c r="AA36" i="1"/>
  <c r="AA458" i="1"/>
  <c r="AA416" i="1"/>
  <c r="AA396" i="1"/>
  <c r="AA504" i="1"/>
  <c r="AA569" i="1"/>
  <c r="AA171" i="1"/>
  <c r="AA27" i="1"/>
  <c r="AA159" i="1"/>
  <c r="AA430" i="1"/>
  <c r="AA640" i="1"/>
  <c r="AA172" i="1"/>
  <c r="AA395" i="1"/>
  <c r="AA495" i="1"/>
  <c r="AA366" i="1"/>
  <c r="AA500" i="1"/>
  <c r="AA509" i="1"/>
  <c r="AA388" i="1"/>
  <c r="AA41" i="1"/>
  <c r="AA158" i="1"/>
  <c r="AA179" i="1"/>
  <c r="AA157" i="1"/>
  <c r="AA247" i="1"/>
  <c r="AA474" i="1"/>
  <c r="AA64" i="1"/>
  <c r="AA285" i="1"/>
  <c r="AA364" i="1"/>
  <c r="AA581" i="1"/>
  <c r="AA294" i="1"/>
  <c r="AA408" i="1"/>
  <c r="AA407" i="1"/>
  <c r="AA302" i="1"/>
  <c r="AA477" i="1"/>
  <c r="AA301" i="1"/>
  <c r="AA589" i="1"/>
  <c r="AA146" i="1"/>
  <c r="AA365" i="1"/>
  <c r="AA44" i="1"/>
  <c r="AA502" i="1"/>
  <c r="AA19" i="1"/>
  <c r="AA160" i="1"/>
  <c r="AA251" i="1"/>
  <c r="AA181" i="1"/>
  <c r="AA200" i="1"/>
  <c r="AA377" i="1"/>
  <c r="AA411" i="1"/>
  <c r="AA571" i="1"/>
  <c r="AA419" i="1"/>
  <c r="AA63" i="1"/>
  <c r="AA40" i="1"/>
  <c r="AA42" i="1"/>
  <c r="AA459" i="1" s="1"/>
  <c r="AA131" i="1"/>
  <c r="AA368" i="1"/>
  <c r="AA293" i="1"/>
  <c r="AA503" i="1"/>
  <c r="AA170" i="1"/>
  <c r="AA389" i="1"/>
  <c r="AA501" i="1"/>
  <c r="AA410" i="1"/>
  <c r="AA33" i="1"/>
  <c r="AA582" i="1" s="1"/>
  <c r="AA150" i="1"/>
  <c r="AA292" i="1"/>
  <c r="AA374" i="1"/>
  <c r="AA631" i="1" s="1"/>
  <c r="AA373" i="1" s="1"/>
  <c r="AA379" i="1" s="1"/>
  <c r="AA72" i="1"/>
  <c r="AA216" i="1"/>
  <c r="AA178" i="1"/>
  <c r="AA149" i="1"/>
  <c r="AA507" i="1"/>
  <c r="AA189" i="1"/>
  <c r="AA215" i="1"/>
  <c r="AA298" i="1"/>
  <c r="AA145" i="1"/>
  <c r="AA398" i="1"/>
  <c r="AA386" i="1"/>
  <c r="AA367" i="1"/>
  <c r="AA297" i="1"/>
  <c r="AA492" i="1"/>
  <c r="AA505" i="1"/>
  <c r="AA397" i="1"/>
  <c r="AA202" i="1"/>
  <c r="AA199" i="1"/>
  <c r="AA192" i="1"/>
  <c r="AA283" i="1"/>
  <c r="AA289" i="1" s="1"/>
  <c r="AA457" i="1"/>
  <c r="AA417" i="1"/>
  <c r="AA418" i="1"/>
  <c r="AA570" i="1"/>
  <c r="AA245" i="1"/>
  <c r="AA572" i="1"/>
  <c r="AA264" i="1"/>
  <c r="AA573" i="1"/>
  <c r="AA443" i="1"/>
  <c r="AA478" i="1"/>
  <c r="AA262" i="1"/>
  <c r="AA452" i="1"/>
  <c r="AA475" i="1"/>
  <c r="AA265" i="1"/>
  <c r="AA268" i="1"/>
  <c r="AA479" i="1"/>
  <c r="AA440" i="1"/>
  <c r="AA263" i="1"/>
  <c r="AA453" i="1"/>
  <c r="AA246" i="1"/>
  <c r="AA454" i="1"/>
  <c r="AA476" i="1"/>
  <c r="AA473" i="1"/>
  <c r="AA250" i="1"/>
  <c r="F320" i="2"/>
  <c r="Y211" i="1"/>
  <c r="Y428" i="1"/>
  <c r="Y432" i="1" s="1"/>
  <c r="Y214" i="1"/>
  <c r="Y212" i="1"/>
  <c r="Y213" i="1"/>
  <c r="Y402" i="1"/>
  <c r="Y658" i="1"/>
  <c r="Y167" i="1"/>
  <c r="Y174" i="1" s="1"/>
  <c r="Y185" i="1" s="1"/>
  <c r="AA197" i="2"/>
  <c r="AB197" i="2" s="1"/>
  <c r="X355" i="2"/>
  <c r="X359" i="2" s="1"/>
  <c r="X250" i="2"/>
  <c r="X594" i="2"/>
  <c r="X595" i="2" s="1"/>
  <c r="X364" i="2"/>
  <c r="X365" i="2" s="1"/>
  <c r="X70" i="2"/>
  <c r="X74" i="2" s="1"/>
  <c r="X20" i="2"/>
  <c r="X21" i="2" s="1"/>
  <c r="X79" i="2"/>
  <c r="X80" i="2" s="1"/>
  <c r="X193" i="2"/>
  <c r="X241" i="2"/>
  <c r="X245" i="2" s="1"/>
  <c r="X536" i="2"/>
  <c r="X537" i="2" s="1"/>
  <c r="X413" i="2"/>
  <c r="X417" i="2" s="1"/>
  <c r="X422" i="2"/>
  <c r="X423" i="2" s="1"/>
  <c r="X527" i="2"/>
  <c r="X531" i="2" s="1"/>
  <c r="X307" i="2"/>
  <c r="X308" i="2" s="1"/>
  <c r="X651" i="2"/>
  <c r="X652" i="2" s="1"/>
  <c r="X184" i="2"/>
  <c r="X188" i="2" s="1"/>
  <c r="X470" i="2"/>
  <c r="X474" i="2" s="1"/>
  <c r="X479" i="2"/>
  <c r="X480" i="2" s="1"/>
  <c r="X642" i="2"/>
  <c r="X646" i="2" s="1"/>
  <c r="X11" i="2"/>
  <c r="X585" i="2"/>
  <c r="X589" i="2" s="1"/>
  <c r="X298" i="2"/>
  <c r="X302" i="2" s="1"/>
  <c r="U193" i="2"/>
  <c r="U594" i="2"/>
  <c r="U595" i="2" s="1"/>
  <c r="U79" i="2"/>
  <c r="U80" i="2" s="1"/>
  <c r="U364" i="2"/>
  <c r="U365" i="2" s="1"/>
  <c r="U298" i="2"/>
  <c r="U302" i="2" s="1"/>
  <c r="U136" i="2"/>
  <c r="U355" i="2"/>
  <c r="U359" i="2" s="1"/>
  <c r="U479" i="2"/>
  <c r="U480" i="2" s="1"/>
  <c r="U20" i="2"/>
  <c r="U21" i="2" s="1"/>
  <c r="U11" i="2"/>
  <c r="U70" i="2"/>
  <c r="U74" i="2" s="1"/>
  <c r="U422" i="2"/>
  <c r="U423" i="2" s="1"/>
  <c r="U536" i="2"/>
  <c r="U537" i="2" s="1"/>
  <c r="U642" i="2"/>
  <c r="U646" i="2" s="1"/>
  <c r="U527" i="2"/>
  <c r="U531" i="2" s="1"/>
  <c r="U585" i="2"/>
  <c r="U589" i="2" s="1"/>
  <c r="U413" i="2"/>
  <c r="U417" i="2" s="1"/>
  <c r="U241" i="2"/>
  <c r="U245" i="2" s="1"/>
  <c r="U250" i="2"/>
  <c r="U470" i="2"/>
  <c r="U474" i="2" s="1"/>
  <c r="U307" i="2"/>
  <c r="U308" i="2" s="1"/>
  <c r="U651" i="2"/>
  <c r="U652" i="2" s="1"/>
  <c r="U184" i="2"/>
  <c r="O11" i="2"/>
  <c r="O594" i="2"/>
  <c r="O595" i="2" s="1"/>
  <c r="O413" i="2"/>
  <c r="O417" i="2" s="1"/>
  <c r="O20" i="2"/>
  <c r="O21" i="2" s="1"/>
  <c r="O585" i="2"/>
  <c r="O589" i="2" s="1"/>
  <c r="O250" i="2"/>
  <c r="O241" i="2"/>
  <c r="O245" i="2" s="1"/>
  <c r="O527" i="2"/>
  <c r="O531" i="2" s="1"/>
  <c r="O70" i="2"/>
  <c r="O74" i="2" s="1"/>
  <c r="O422" i="2"/>
  <c r="O423" i="2" s="1"/>
  <c r="O136" i="2"/>
  <c r="O79" i="2"/>
  <c r="O80" i="2" s="1"/>
  <c r="O355" i="2"/>
  <c r="O359" i="2" s="1"/>
  <c r="O307" i="2"/>
  <c r="O308" i="2" s="1"/>
  <c r="G29" i="28" s="1"/>
  <c r="O536" i="2"/>
  <c r="O537" i="2" s="1"/>
  <c r="O642" i="2"/>
  <c r="O646" i="2" s="1"/>
  <c r="O364" i="2"/>
  <c r="O365" i="2" s="1"/>
  <c r="O470" i="2"/>
  <c r="O474" i="2" s="1"/>
  <c r="O298" i="2"/>
  <c r="O302" i="2" s="1"/>
  <c r="O651" i="2"/>
  <c r="O652" i="2" s="1"/>
  <c r="O193" i="2"/>
  <c r="O184" i="2"/>
  <c r="O479" i="2"/>
  <c r="O480" i="2" s="1"/>
  <c r="H241" i="2"/>
  <c r="H245" i="2" s="1"/>
  <c r="H136" i="2"/>
  <c r="H642" i="2"/>
  <c r="H646" i="2" s="1"/>
  <c r="H651" i="2"/>
  <c r="H652" i="2" s="1"/>
  <c r="H422" i="2"/>
  <c r="H423" i="2" s="1"/>
  <c r="H193" i="2"/>
  <c r="H355" i="2"/>
  <c r="H359" i="2" s="1"/>
  <c r="H20" i="2"/>
  <c r="H21" i="2" s="1"/>
  <c r="H364" i="2"/>
  <c r="H365" i="2" s="1"/>
  <c r="H11" i="2"/>
  <c r="H298" i="2"/>
  <c r="H302" i="2" s="1"/>
  <c r="H250" i="2"/>
  <c r="H184" i="2"/>
  <c r="H479" i="2"/>
  <c r="H480" i="2" s="1"/>
  <c r="H307" i="2"/>
  <c r="H308" i="2" s="1"/>
  <c r="H470" i="2"/>
  <c r="H474" i="2" s="1"/>
  <c r="H536" i="2"/>
  <c r="H537" i="2" s="1"/>
  <c r="H527" i="2"/>
  <c r="H531" i="2" s="1"/>
  <c r="H70" i="2"/>
  <c r="H74" i="2" s="1"/>
  <c r="H594" i="2"/>
  <c r="H595" i="2" s="1"/>
  <c r="H585" i="2"/>
  <c r="H589" i="2" s="1"/>
  <c r="H79" i="2"/>
  <c r="H80" i="2" s="1"/>
  <c r="H413" i="2"/>
  <c r="H417" i="2" s="1"/>
  <c r="G547" i="2"/>
  <c r="R547" i="2"/>
  <c r="W547" i="2"/>
  <c r="J547" i="2"/>
  <c r="P547" i="2"/>
  <c r="H547" i="2"/>
  <c r="S547" i="2"/>
  <c r="Y547" i="2"/>
  <c r="K547" i="2"/>
  <c r="Q547" i="2"/>
  <c r="N547" i="2"/>
  <c r="T547" i="2"/>
  <c r="Z547" i="2"/>
  <c r="L547" i="2"/>
  <c r="V547" i="2"/>
  <c r="O547" i="2"/>
  <c r="U547" i="2"/>
  <c r="I547" i="2"/>
  <c r="M547" i="2"/>
  <c r="X547" i="2"/>
  <c r="J662" i="2"/>
  <c r="Q662" i="2"/>
  <c r="W662" i="2"/>
  <c r="L662" i="2"/>
  <c r="U662" i="2"/>
  <c r="K662" i="2"/>
  <c r="S662" i="2"/>
  <c r="X662" i="2"/>
  <c r="O662" i="2"/>
  <c r="Z662" i="2"/>
  <c r="G662" i="2"/>
  <c r="M662" i="2"/>
  <c r="T662" i="2"/>
  <c r="Y662" i="2"/>
  <c r="P662" i="2"/>
  <c r="H662" i="2"/>
  <c r="N662" i="2"/>
  <c r="V662" i="2"/>
  <c r="I662" i="2"/>
  <c r="R662" i="2"/>
  <c r="AA186" i="2"/>
  <c r="AB186" i="2" s="1"/>
  <c r="I319" i="2"/>
  <c r="L319" i="2"/>
  <c r="P319" i="2"/>
  <c r="T319" i="2"/>
  <c r="X319" i="2"/>
  <c r="Y319" i="2"/>
  <c r="G319" i="2"/>
  <c r="M319" i="2"/>
  <c r="O319" i="2"/>
  <c r="S319" i="2"/>
  <c r="V319" i="2"/>
  <c r="W319" i="2"/>
  <c r="Z319" i="2"/>
  <c r="R319" i="2"/>
  <c r="H319" i="2"/>
  <c r="Q319" i="2"/>
  <c r="K319" i="2"/>
  <c r="U319" i="2"/>
  <c r="N319" i="2"/>
  <c r="J319" i="2"/>
  <c r="I260" i="2"/>
  <c r="K260" i="2"/>
  <c r="M260" i="2"/>
  <c r="O260" i="2"/>
  <c r="L260" i="2"/>
  <c r="Q260" i="2"/>
  <c r="S260" i="2"/>
  <c r="U260" i="2"/>
  <c r="Y260" i="2"/>
  <c r="X260" i="2"/>
  <c r="G260" i="2"/>
  <c r="J260" i="2"/>
  <c r="H260" i="2"/>
  <c r="N260" i="2"/>
  <c r="P260" i="2"/>
  <c r="V260" i="2"/>
  <c r="R260" i="2"/>
  <c r="T260" i="2"/>
  <c r="W260" i="2"/>
  <c r="Z260" i="2"/>
  <c r="G200" i="2"/>
  <c r="K200" i="2"/>
  <c r="J200" i="2"/>
  <c r="N200" i="2"/>
  <c r="L200" i="2"/>
  <c r="H200" i="2"/>
  <c r="I200" i="2"/>
  <c r="M200" i="2"/>
  <c r="O200" i="2"/>
  <c r="P200" i="2"/>
  <c r="S200" i="2"/>
  <c r="V200" i="2"/>
  <c r="T200" i="2"/>
  <c r="Z200" i="2"/>
  <c r="Y200" i="2"/>
  <c r="U200" i="2"/>
  <c r="X200" i="2"/>
  <c r="R200" i="2"/>
  <c r="Q200" i="2"/>
  <c r="W200" i="2"/>
  <c r="U655" i="1"/>
  <c r="U118" i="1"/>
  <c r="AA243" i="2"/>
  <c r="AB243" i="2" s="1"/>
  <c r="AA89" i="2"/>
  <c r="AB89" i="2" s="1"/>
  <c r="AA546" i="2"/>
  <c r="AB546" i="2" s="1"/>
  <c r="AA377" i="2"/>
  <c r="AB377" i="2" s="1"/>
  <c r="AA31" i="2"/>
  <c r="AB31" i="2" s="1"/>
  <c r="R120" i="1"/>
  <c r="H379" i="2"/>
  <c r="Z248" i="1"/>
  <c r="Z448" i="1"/>
  <c r="Z230" i="1"/>
  <c r="Z473" i="1"/>
  <c r="Z452" i="1"/>
  <c r="Z304" i="1"/>
  <c r="Z475" i="1"/>
  <c r="Z629" i="1"/>
  <c r="Z362" i="1" s="1"/>
  <c r="Z370" i="1" s="1"/>
  <c r="Z632" i="1"/>
  <c r="Z384" i="1" s="1"/>
  <c r="Z391" i="1" s="1"/>
  <c r="X273" i="1"/>
  <c r="W277" i="1"/>
  <c r="Y1064" i="2"/>
  <c r="Q1064" i="2"/>
  <c r="R1064" i="2"/>
  <c r="N1064" i="2"/>
  <c r="X164" i="1"/>
  <c r="X208" i="1" s="1"/>
  <c r="X221" i="1" s="1"/>
  <c r="X239" i="1"/>
  <c r="AA434" i="2"/>
  <c r="AB434" i="2" s="1"/>
  <c r="F379" i="2"/>
  <c r="V306" i="1"/>
  <c r="Y660" i="1"/>
  <c r="Y423" i="1"/>
  <c r="Y188" i="1"/>
  <c r="Y194" i="1" s="1"/>
  <c r="Y206" i="1" s="1"/>
  <c r="T536" i="1"/>
  <c r="F321" i="2"/>
  <c r="W79" i="1"/>
  <c r="W93" i="1"/>
  <c r="W96" i="1" s="1"/>
  <c r="W653" i="1"/>
  <c r="W123" i="1"/>
  <c r="W124" i="1"/>
  <c r="W111" i="1"/>
  <c r="W126" i="1"/>
  <c r="W125" i="1"/>
  <c r="F34" i="2"/>
  <c r="W112" i="1"/>
  <c r="G257" i="2"/>
  <c r="K257" i="2"/>
  <c r="J257" i="2"/>
  <c r="M257" i="2"/>
  <c r="N257" i="2"/>
  <c r="Q257" i="2"/>
  <c r="V257" i="2"/>
  <c r="S257" i="2"/>
  <c r="W257" i="2"/>
  <c r="Y257" i="2"/>
  <c r="I257" i="2"/>
  <c r="H257" i="2"/>
  <c r="L257" i="2"/>
  <c r="O257" i="2"/>
  <c r="P257" i="2"/>
  <c r="T257" i="2"/>
  <c r="R257" i="2"/>
  <c r="U257" i="2"/>
  <c r="X257" i="2"/>
  <c r="Z257" i="2"/>
  <c r="X649" i="1"/>
  <c r="X12" i="1"/>
  <c r="X102" i="1"/>
  <c r="X60" i="1"/>
  <c r="X134" i="1"/>
  <c r="X136" i="1" s="1"/>
  <c r="X75" i="1"/>
  <c r="X77" i="1" s="1"/>
  <c r="X94" i="1" s="1"/>
  <c r="X13" i="1"/>
  <c r="X9" i="1"/>
  <c r="X11" i="1"/>
  <c r="X58" i="1"/>
  <c r="X61" i="1"/>
  <c r="X103" i="1"/>
  <c r="X10" i="1"/>
  <c r="T306" i="1"/>
  <c r="T331" i="1"/>
  <c r="I32" i="2"/>
  <c r="M32" i="2"/>
  <c r="O32" i="2"/>
  <c r="P32" i="2"/>
  <c r="T32" i="2"/>
  <c r="X32" i="2"/>
  <c r="Z32" i="2"/>
  <c r="G32" i="2"/>
  <c r="L32" i="2"/>
  <c r="V32" i="2"/>
  <c r="S32" i="2"/>
  <c r="W32" i="2"/>
  <c r="Y32" i="2"/>
  <c r="R32" i="2"/>
  <c r="H32" i="2"/>
  <c r="Q32" i="2"/>
  <c r="U32" i="2"/>
  <c r="K32" i="2"/>
  <c r="N32" i="2"/>
  <c r="J32" i="2"/>
  <c r="U107" i="1"/>
  <c r="F91" i="2" s="1"/>
  <c r="U598" i="1"/>
  <c r="F548" i="2" s="1"/>
  <c r="U530" i="1"/>
  <c r="U604" i="1"/>
  <c r="U527" i="1"/>
  <c r="U596" i="1"/>
  <c r="U322" i="1"/>
  <c r="U602" i="1"/>
  <c r="F663" i="2" s="1"/>
  <c r="U323" i="1"/>
  <c r="U600" i="1"/>
  <c r="F606" i="2" s="1"/>
  <c r="U319" i="1"/>
  <c r="AA376" i="2"/>
  <c r="AB376" i="2" s="1"/>
  <c r="Z660" i="1"/>
  <c r="Z651" i="1"/>
  <c r="I203" i="2"/>
  <c r="H203" i="2"/>
  <c r="L203" i="2"/>
  <c r="N203" i="2"/>
  <c r="R203" i="2"/>
  <c r="U203" i="2"/>
  <c r="P203" i="2"/>
  <c r="S203" i="2"/>
  <c r="W203" i="2"/>
  <c r="Y203" i="2"/>
  <c r="G203" i="2"/>
  <c r="J203" i="2"/>
  <c r="K203" i="2"/>
  <c r="M203" i="2"/>
  <c r="O203" i="2"/>
  <c r="T203" i="2"/>
  <c r="V203" i="2"/>
  <c r="Q203" i="2"/>
  <c r="Z203" i="2"/>
  <c r="X203" i="2"/>
  <c r="S652" i="1"/>
  <c r="S110" i="1"/>
  <c r="S114" i="1" s="1"/>
  <c r="S138" i="1" s="1"/>
  <c r="F146" i="2" s="1"/>
  <c r="Y381" i="1"/>
  <c r="Y425" i="1" s="1"/>
  <c r="Y656" i="1"/>
  <c r="Y144" i="1"/>
  <c r="Y153" i="1" s="1"/>
  <c r="Y164" i="1" s="1"/>
  <c r="Y208" i="1" s="1"/>
  <c r="H140" i="2"/>
  <c r="J140" i="2"/>
  <c r="N140" i="2"/>
  <c r="L140" i="2"/>
  <c r="Q140" i="2"/>
  <c r="P140" i="2"/>
  <c r="T140" i="2"/>
  <c r="V140" i="2"/>
  <c r="X140" i="2"/>
  <c r="Z140" i="2"/>
  <c r="G140" i="2"/>
  <c r="I140" i="2"/>
  <c r="K140" i="2"/>
  <c r="O140" i="2"/>
  <c r="M140" i="2"/>
  <c r="S140" i="2"/>
  <c r="R140" i="2"/>
  <c r="U140" i="2"/>
  <c r="W140" i="2"/>
  <c r="Y140" i="2"/>
  <c r="AA318" i="2"/>
  <c r="AB318" i="2" s="1"/>
  <c r="V135" i="2"/>
  <c r="T135" i="2"/>
  <c r="L135" i="2"/>
  <c r="W135" i="2"/>
  <c r="S135" i="2"/>
  <c r="P135" i="2"/>
  <c r="N135" i="2"/>
  <c r="O135" i="2"/>
  <c r="Q135" i="2"/>
  <c r="J135" i="2"/>
  <c r="U135" i="2"/>
  <c r="Y135" i="2"/>
  <c r="X135" i="2"/>
  <c r="Z135" i="2"/>
  <c r="R135" i="2"/>
  <c r="H135" i="2"/>
  <c r="G135" i="2"/>
  <c r="I135" i="2"/>
  <c r="M135" i="2"/>
  <c r="K135" i="2"/>
  <c r="AA192" i="2"/>
  <c r="AB192" i="2" s="1"/>
  <c r="Z298" i="2"/>
  <c r="Z422" i="2"/>
  <c r="Z307" i="2"/>
  <c r="Z11" i="2"/>
  <c r="Z585" i="2"/>
  <c r="Z364" i="2"/>
  <c r="Z536" i="2"/>
  <c r="Z241" i="2"/>
  <c r="Z136" i="2"/>
  <c r="Z479" i="2"/>
  <c r="Z527" i="2"/>
  <c r="Z355" i="2"/>
  <c r="Z470" i="2"/>
  <c r="Z413" i="2"/>
  <c r="Z651" i="2"/>
  <c r="Z20" i="2"/>
  <c r="Z184" i="2"/>
  <c r="Z70" i="2"/>
  <c r="Z193" i="2"/>
  <c r="Z79" i="2"/>
  <c r="Z250" i="2"/>
  <c r="Z642" i="2"/>
  <c r="Z594" i="2"/>
  <c r="V136" i="2"/>
  <c r="V250" i="2"/>
  <c r="V298" i="2"/>
  <c r="V302" i="2" s="1"/>
  <c r="V810" i="2" s="1"/>
  <c r="V64" i="33" s="1"/>
  <c r="V413" i="2"/>
  <c r="V417" i="2" s="1"/>
  <c r="V642" i="2"/>
  <c r="V646" i="2" s="1"/>
  <c r="V241" i="2"/>
  <c r="V245" i="2" s="1"/>
  <c r="V585" i="2"/>
  <c r="V589" i="2" s="1"/>
  <c r="V422" i="2"/>
  <c r="V423" i="2" s="1"/>
  <c r="V479" i="2"/>
  <c r="V480" i="2" s="1"/>
  <c r="V307" i="2"/>
  <c r="V308" i="2" s="1"/>
  <c r="V11" i="2"/>
  <c r="V193" i="2"/>
  <c r="V594" i="2"/>
  <c r="V595" i="2" s="1"/>
  <c r="V20" i="2"/>
  <c r="V21" i="2" s="1"/>
  <c r="V470" i="2"/>
  <c r="V474" i="2" s="1"/>
  <c r="V184" i="2"/>
  <c r="V188" i="2" s="1"/>
  <c r="V536" i="2"/>
  <c r="V537" i="2" s="1"/>
  <c r="V355" i="2"/>
  <c r="V359" i="2" s="1"/>
  <c r="V527" i="2"/>
  <c r="V531" i="2" s="1"/>
  <c r="V70" i="2"/>
  <c r="V74" i="2" s="1"/>
  <c r="V79" i="2"/>
  <c r="V80" i="2" s="1"/>
  <c r="V651" i="2"/>
  <c r="V652" i="2" s="1"/>
  <c r="V364" i="2"/>
  <c r="V365" i="2" s="1"/>
  <c r="S355" i="2"/>
  <c r="S359" i="2" s="1"/>
  <c r="S479" i="2"/>
  <c r="S480" i="2" s="1"/>
  <c r="S527" i="2"/>
  <c r="S531" i="2" s="1"/>
  <c r="S642" i="2"/>
  <c r="S646" i="2" s="1"/>
  <c r="S413" i="2"/>
  <c r="S417" i="2" s="1"/>
  <c r="S250" i="2"/>
  <c r="S79" i="2"/>
  <c r="S80" i="2" s="1"/>
  <c r="S298" i="2"/>
  <c r="S302" i="2" s="1"/>
  <c r="S11" i="2"/>
  <c r="S20" i="2"/>
  <c r="S21" i="2" s="1"/>
  <c r="S651" i="2"/>
  <c r="S652" i="2" s="1"/>
  <c r="S70" i="2"/>
  <c r="S74" i="2" s="1"/>
  <c r="S307" i="2"/>
  <c r="S308" i="2" s="1"/>
  <c r="S241" i="2"/>
  <c r="S245" i="2" s="1"/>
  <c r="S193" i="2"/>
  <c r="S585" i="2"/>
  <c r="S589" i="2" s="1"/>
  <c r="S536" i="2"/>
  <c r="S537" i="2" s="1"/>
  <c r="S422" i="2"/>
  <c r="S423" i="2" s="1"/>
  <c r="S184" i="2"/>
  <c r="S470" i="2"/>
  <c r="S474" i="2" s="1"/>
  <c r="S136" i="2"/>
  <c r="S364" i="2"/>
  <c r="S365" i="2" s="1"/>
  <c r="S594" i="2"/>
  <c r="S595" i="2" s="1"/>
  <c r="P536" i="2"/>
  <c r="P537" i="2" s="1"/>
  <c r="P70" i="2"/>
  <c r="P74" i="2" s="1"/>
  <c r="P594" i="2"/>
  <c r="P595" i="2" s="1"/>
  <c r="P585" i="2"/>
  <c r="P589" i="2" s="1"/>
  <c r="P479" i="2"/>
  <c r="P480" i="2" s="1"/>
  <c r="P193" i="2"/>
  <c r="P20" i="2"/>
  <c r="P21" i="2" s="1"/>
  <c r="P241" i="2"/>
  <c r="P245" i="2" s="1"/>
  <c r="P184" i="2"/>
  <c r="P298" i="2"/>
  <c r="P302" i="2" s="1"/>
  <c r="P413" i="2"/>
  <c r="P417" i="2" s="1"/>
  <c r="P307" i="2"/>
  <c r="P308" i="2" s="1"/>
  <c r="P470" i="2"/>
  <c r="P474" i="2" s="1"/>
  <c r="P11" i="2"/>
  <c r="P364" i="2"/>
  <c r="P365" i="2" s="1"/>
  <c r="P250" i="2"/>
  <c r="P79" i="2"/>
  <c r="P80" i="2" s="1"/>
  <c r="P422" i="2"/>
  <c r="P423" i="2" s="1"/>
  <c r="P355" i="2"/>
  <c r="P359" i="2" s="1"/>
  <c r="P651" i="2"/>
  <c r="P652" i="2" s="1"/>
  <c r="P527" i="2"/>
  <c r="P531" i="2" s="1"/>
  <c r="P642" i="2"/>
  <c r="P646" i="2" s="1"/>
  <c r="P136" i="2"/>
  <c r="I651" i="2"/>
  <c r="I652" i="2" s="1"/>
  <c r="I184" i="2"/>
  <c r="I307" i="2"/>
  <c r="I308" i="2" s="1"/>
  <c r="I470" i="2"/>
  <c r="I474" i="2" s="1"/>
  <c r="I527" i="2"/>
  <c r="I531" i="2" s="1"/>
  <c r="I20" i="2"/>
  <c r="I21" i="2" s="1"/>
  <c r="I479" i="2"/>
  <c r="I480" i="2" s="1"/>
  <c r="I585" i="2"/>
  <c r="I589" i="2" s="1"/>
  <c r="I422" i="2"/>
  <c r="I423" i="2" s="1"/>
  <c r="I250" i="2"/>
  <c r="I413" i="2"/>
  <c r="I417" i="2" s="1"/>
  <c r="I136" i="2"/>
  <c r="I355" i="2"/>
  <c r="I359" i="2" s="1"/>
  <c r="I298" i="2"/>
  <c r="I302" i="2" s="1"/>
  <c r="I241" i="2"/>
  <c r="I245" i="2" s="1"/>
  <c r="I11" i="2"/>
  <c r="I536" i="2"/>
  <c r="I537" i="2" s="1"/>
  <c r="I70" i="2"/>
  <c r="I74" i="2" s="1"/>
  <c r="I594" i="2"/>
  <c r="I595" i="2" s="1"/>
  <c r="I364" i="2"/>
  <c r="I365" i="2" s="1"/>
  <c r="I79" i="2"/>
  <c r="I80" i="2" s="1"/>
  <c r="I193" i="2"/>
  <c r="I642" i="2"/>
  <c r="I646" i="2" s="1"/>
  <c r="K20" i="2"/>
  <c r="K21" i="2" s="1"/>
  <c r="K11" i="2"/>
  <c r="G1063" i="2"/>
  <c r="AA1062" i="2"/>
  <c r="AB1062" i="2" s="1"/>
  <c r="N608" i="1"/>
  <c r="N333" i="1"/>
  <c r="F191" i="2"/>
  <c r="H604" i="2"/>
  <c r="K604" i="2"/>
  <c r="M604" i="2"/>
  <c r="O604" i="2"/>
  <c r="P604" i="2"/>
  <c r="R604" i="2"/>
  <c r="V604" i="2"/>
  <c r="T604" i="2"/>
  <c r="X604" i="2"/>
  <c r="Z604" i="2"/>
  <c r="G604" i="2"/>
  <c r="I604" i="2"/>
  <c r="J604" i="2"/>
  <c r="N604" i="2"/>
  <c r="L604" i="2"/>
  <c r="Q604" i="2"/>
  <c r="U604" i="2"/>
  <c r="S604" i="2"/>
  <c r="W604" i="2"/>
  <c r="Y604" i="2"/>
  <c r="F490" i="2"/>
  <c r="T606" i="1"/>
  <c r="L605" i="2"/>
  <c r="U605" i="2"/>
  <c r="Z605" i="2"/>
  <c r="N605" i="2"/>
  <c r="X605" i="2"/>
  <c r="J605" i="2"/>
  <c r="T605" i="2"/>
  <c r="Y605" i="2"/>
  <c r="M605" i="2"/>
  <c r="S605" i="2"/>
  <c r="I605" i="2"/>
  <c r="R605" i="2"/>
  <c r="W605" i="2"/>
  <c r="K605" i="2"/>
  <c r="P605" i="2"/>
  <c r="G605" i="2"/>
  <c r="Q605" i="2"/>
  <c r="V605" i="2"/>
  <c r="H605" i="2"/>
  <c r="O605" i="2"/>
  <c r="J90" i="2"/>
  <c r="P90" i="2"/>
  <c r="U90" i="2"/>
  <c r="G90" i="2"/>
  <c r="Q90" i="2"/>
  <c r="I90" i="2"/>
  <c r="O90" i="2"/>
  <c r="T90" i="2"/>
  <c r="Z90" i="2"/>
  <c r="N90" i="2"/>
  <c r="M90" i="2"/>
  <c r="S90" i="2"/>
  <c r="Y90" i="2"/>
  <c r="K90" i="2"/>
  <c r="X90" i="2"/>
  <c r="L90" i="2"/>
  <c r="R90" i="2"/>
  <c r="V90" i="2"/>
  <c r="H90" i="2"/>
  <c r="W90" i="2"/>
  <c r="V664" i="1"/>
  <c r="V532" i="1"/>
  <c r="V316" i="1"/>
  <c r="V315" i="1"/>
  <c r="V523" i="1"/>
  <c r="V325" i="1"/>
  <c r="V321" i="1"/>
  <c r="V525" i="1"/>
  <c r="V320" i="1"/>
  <c r="V317" i="1"/>
  <c r="V526" i="1"/>
  <c r="V531" i="1"/>
  <c r="V528" i="1"/>
  <c r="V324" i="1"/>
  <c r="V524" i="1"/>
  <c r="V529" i="1"/>
  <c r="V318" i="1"/>
  <c r="F127" i="2"/>
  <c r="H127" i="2" s="1"/>
  <c r="N540" i="1"/>
  <c r="N654" i="1"/>
  <c r="F248" i="2"/>
  <c r="N117" i="1"/>
  <c r="V79" i="1"/>
  <c r="V93" i="1"/>
  <c r="V96" i="1" s="1"/>
  <c r="V653" i="1"/>
  <c r="V126" i="1"/>
  <c r="V111" i="1"/>
  <c r="V112" i="1"/>
  <c r="F33" i="2"/>
  <c r="V124" i="1"/>
  <c r="V123" i="1"/>
  <c r="V125" i="1"/>
  <c r="R652" i="1"/>
  <c r="R110" i="1"/>
  <c r="R114" i="1" s="1"/>
  <c r="R138" i="1" s="1"/>
  <c r="F143" i="2" s="1"/>
  <c r="W275" i="1"/>
  <c r="AA254" i="2"/>
  <c r="AB254" i="2" s="1"/>
  <c r="AA130" i="2"/>
  <c r="AB130" i="2" s="1"/>
  <c r="K379" i="2"/>
  <c r="I379" i="2"/>
  <c r="AA249" i="2"/>
  <c r="AB249" i="2" s="1"/>
  <c r="U128" i="1"/>
  <c r="Z421" i="1"/>
  <c r="Z423" i="1" s="1"/>
  <c r="Z46" i="1"/>
  <c r="Z48" i="1" s="1"/>
  <c r="Z474" i="1"/>
  <c r="Z497" i="1"/>
  <c r="Z631" i="1"/>
  <c r="Z373" i="1" s="1"/>
  <c r="Z379" i="1" s="1"/>
  <c r="Z638" i="1"/>
  <c r="Z121" i="1" s="1"/>
  <c r="Z262" i="1"/>
  <c r="W1064" i="2"/>
  <c r="T1064" i="2"/>
  <c r="L1064" i="2"/>
  <c r="J1064" i="2"/>
  <c r="AA486" i="2"/>
  <c r="AB486" i="2" s="1"/>
  <c r="AA435" i="2"/>
  <c r="AB435" i="2" s="1"/>
  <c r="U536" i="1"/>
  <c r="U538" i="1" s="1"/>
  <c r="AA483" i="2"/>
  <c r="AB483" i="2" s="1"/>
  <c r="N379" i="2"/>
  <c r="J379" i="2"/>
  <c r="U437" i="2"/>
  <c r="K193" i="2" l="1"/>
  <c r="K136" i="2"/>
  <c r="K536" i="2"/>
  <c r="K537" i="2" s="1"/>
  <c r="K70" i="2"/>
  <c r="K74" i="2" s="1"/>
  <c r="K250" i="2"/>
  <c r="K594" i="2"/>
  <c r="K595" i="2" s="1"/>
  <c r="K298" i="2"/>
  <c r="K302" i="2" s="1"/>
  <c r="K79" i="2"/>
  <c r="K80" i="2" s="1"/>
  <c r="K422" i="2"/>
  <c r="K423" i="2" s="1"/>
  <c r="K307" i="2"/>
  <c r="K308" i="2" s="1"/>
  <c r="K184" i="2"/>
  <c r="K479" i="2"/>
  <c r="K480" i="2" s="1"/>
  <c r="K470" i="2"/>
  <c r="K474" i="2" s="1"/>
  <c r="K527" i="2"/>
  <c r="K531" i="2" s="1"/>
  <c r="K241" i="2"/>
  <c r="K245" i="2" s="1"/>
  <c r="K642" i="2"/>
  <c r="K646" i="2" s="1"/>
  <c r="K413" i="2"/>
  <c r="K417" i="2" s="1"/>
  <c r="K355" i="2"/>
  <c r="K359" i="2" s="1"/>
  <c r="K364" i="2"/>
  <c r="K365" i="2" s="1"/>
  <c r="K651" i="2"/>
  <c r="K652" i="2" s="1"/>
  <c r="M364" i="2"/>
  <c r="M365" i="2" s="1"/>
  <c r="M422" i="2"/>
  <c r="M423" i="2" s="1"/>
  <c r="M479" i="2"/>
  <c r="M480" i="2" s="1"/>
  <c r="M79" i="2"/>
  <c r="M80" i="2" s="1"/>
  <c r="M527" i="2"/>
  <c r="M531" i="2" s="1"/>
  <c r="M193" i="2"/>
  <c r="M20" i="2"/>
  <c r="M21" i="2" s="1"/>
  <c r="M816" i="2" s="1"/>
  <c r="M70" i="33" s="1"/>
  <c r="M250" i="2"/>
  <c r="M585" i="2"/>
  <c r="M589" i="2" s="1"/>
  <c r="M470" i="2"/>
  <c r="M474" i="2" s="1"/>
  <c r="M651" i="2"/>
  <c r="M652" i="2" s="1"/>
  <c r="M413" i="2"/>
  <c r="M417" i="2" s="1"/>
  <c r="M70" i="2"/>
  <c r="M74" i="2" s="1"/>
  <c r="M307" i="2"/>
  <c r="M308" i="2" s="1"/>
  <c r="M184" i="2"/>
  <c r="M11" i="2"/>
  <c r="M594" i="2"/>
  <c r="M595" i="2" s="1"/>
  <c r="M642" i="2"/>
  <c r="M646" i="2" s="1"/>
  <c r="M298" i="2"/>
  <c r="M302" i="2" s="1"/>
  <c r="M810" i="2" s="1"/>
  <c r="M64" i="33" s="1"/>
  <c r="M355" i="2"/>
  <c r="M359" i="2" s="1"/>
  <c r="M536" i="2"/>
  <c r="M537" i="2" s="1"/>
  <c r="M136" i="2"/>
  <c r="AA590" i="1"/>
  <c r="AA444" i="1"/>
  <c r="AA230" i="1"/>
  <c r="U329" i="1"/>
  <c r="U331" i="1" s="1"/>
  <c r="AA442" i="1"/>
  <c r="AA132" i="1"/>
  <c r="AA439" i="1"/>
  <c r="AA438" i="1"/>
  <c r="Y634" i="1"/>
  <c r="Y451" i="1" s="1"/>
  <c r="Y463" i="1" s="1"/>
  <c r="Z353" i="2"/>
  <c r="AA353" i="2" s="1"/>
  <c r="AB353" i="2" s="1"/>
  <c r="Z18" i="2"/>
  <c r="AA18" i="2" s="1"/>
  <c r="AB18" i="2" s="1"/>
  <c r="Z477" i="2"/>
  <c r="AA477" i="2" s="1"/>
  <c r="AB477" i="2" s="1"/>
  <c r="Z77" i="2"/>
  <c r="AA77" i="2" s="1"/>
  <c r="AB77" i="2" s="1"/>
  <c r="Z534" i="2"/>
  <c r="AA534" i="2" s="1"/>
  <c r="AB534" i="2" s="1"/>
  <c r="Z125" i="2"/>
  <c r="AA125" i="2" s="1"/>
  <c r="AB125" i="2" s="1"/>
  <c r="Z362" i="2"/>
  <c r="AA362" i="2" s="1"/>
  <c r="AB362" i="2" s="1"/>
  <c r="Z640" i="2"/>
  <c r="AA640" i="2" s="1"/>
  <c r="AB640" i="2" s="1"/>
  <c r="Z592" i="2"/>
  <c r="AA592" i="2" s="1"/>
  <c r="AB592" i="2" s="1"/>
  <c r="Z296" i="2"/>
  <c r="AA296" i="2" s="1"/>
  <c r="AB296" i="2" s="1"/>
  <c r="Z420" i="2"/>
  <c r="AA420" i="2" s="1"/>
  <c r="AB420" i="2" s="1"/>
  <c r="Z9" i="2"/>
  <c r="AA9" i="2" s="1"/>
  <c r="AB9" i="2" s="1"/>
  <c r="Z182" i="2"/>
  <c r="AA182" i="2" s="1"/>
  <c r="AB182" i="2" s="1"/>
  <c r="Z525" i="2"/>
  <c r="AA525" i="2" s="1"/>
  <c r="AB525" i="2" s="1"/>
  <c r="Z68" i="2"/>
  <c r="AA68" i="2" s="1"/>
  <c r="AB68" i="2" s="1"/>
  <c r="Z411" i="2"/>
  <c r="AA411" i="2" s="1"/>
  <c r="AB411" i="2" s="1"/>
  <c r="Z583" i="2"/>
  <c r="AA583" i="2" s="1"/>
  <c r="AB583" i="2" s="1"/>
  <c r="Z649" i="2"/>
  <c r="AA649" i="2" s="1"/>
  <c r="AB649" i="2" s="1"/>
  <c r="Z468" i="2"/>
  <c r="AA468" i="2" s="1"/>
  <c r="AB468" i="2" s="1"/>
  <c r="Z305" i="2"/>
  <c r="AA305" i="2" s="1"/>
  <c r="AB305" i="2" s="1"/>
  <c r="Z239" i="2"/>
  <c r="AA239" i="2" s="1"/>
  <c r="AB239" i="2" s="1"/>
  <c r="AA1071" i="2"/>
  <c r="AB1071" i="2" s="1"/>
  <c r="Z74" i="2"/>
  <c r="Z359" i="2"/>
  <c r="AA641" i="1"/>
  <c r="X105" i="1"/>
  <c r="AA204" i="1"/>
  <c r="X277" i="1"/>
  <c r="X275" i="1"/>
  <c r="AA456" i="1"/>
  <c r="AA455" i="1"/>
  <c r="AA428" i="1"/>
  <c r="AA432" i="1" s="1"/>
  <c r="AA213" i="1"/>
  <c r="AA249" i="1"/>
  <c r="AA638" i="1"/>
  <c r="AA121" i="1" s="1"/>
  <c r="Z206" i="1"/>
  <c r="E14" i="24"/>
  <c r="Z649" i="1"/>
  <c r="Z60" i="1"/>
  <c r="Z102" i="1"/>
  <c r="Z12" i="1"/>
  <c r="Z134" i="1"/>
  <c r="Z103" i="1"/>
  <c r="Z58" i="1"/>
  <c r="Z13" i="1"/>
  <c r="Z10" i="1"/>
  <c r="Z61" i="1"/>
  <c r="Z11" i="1"/>
  <c r="Z75" i="1"/>
  <c r="Z9" i="1"/>
  <c r="U333" i="1"/>
  <c r="F205" i="2"/>
  <c r="AA657" i="1"/>
  <c r="AA156" i="1"/>
  <c r="AA162" i="1" s="1"/>
  <c r="J642" i="2"/>
  <c r="J646" i="2" s="1"/>
  <c r="J594" i="2"/>
  <c r="J595" i="2" s="1"/>
  <c r="J422" i="2"/>
  <c r="J423" i="2" s="1"/>
  <c r="J70" i="2"/>
  <c r="J74" i="2" s="1"/>
  <c r="J536" i="2"/>
  <c r="J537" i="2" s="1"/>
  <c r="J193" i="2"/>
  <c r="J651" i="2"/>
  <c r="J652" i="2" s="1"/>
  <c r="J298" i="2"/>
  <c r="J302" i="2" s="1"/>
  <c r="J307" i="2"/>
  <c r="J308" i="2" s="1"/>
  <c r="J11" i="2"/>
  <c r="J136" i="2"/>
  <c r="J241" i="2"/>
  <c r="J245" i="2" s="1"/>
  <c r="J479" i="2"/>
  <c r="J480" i="2" s="1"/>
  <c r="J250" i="2"/>
  <c r="J585" i="2"/>
  <c r="J589" i="2" s="1"/>
  <c r="J527" i="2"/>
  <c r="J531" i="2" s="1"/>
  <c r="J470" i="2"/>
  <c r="J474" i="2" s="1"/>
  <c r="J79" i="2"/>
  <c r="J80" i="2" s="1"/>
  <c r="J127" i="2"/>
  <c r="J20" i="2"/>
  <c r="J21" i="2" s="1"/>
  <c r="J413" i="2"/>
  <c r="J417" i="2" s="1"/>
  <c r="J184" i="2"/>
  <c r="J364" i="2"/>
  <c r="J365" i="2" s="1"/>
  <c r="J355" i="2"/>
  <c r="J359" i="2" s="1"/>
  <c r="V107" i="1"/>
  <c r="F92" i="2" s="1"/>
  <c r="V530" i="1"/>
  <c r="V604" i="1"/>
  <c r="V598" i="1"/>
  <c r="F549" i="2" s="1"/>
  <c r="V527" i="1"/>
  <c r="V319" i="1"/>
  <c r="V329" i="1" s="1"/>
  <c r="V331" i="1" s="1"/>
  <c r="V322" i="1"/>
  <c r="V602" i="1"/>
  <c r="F664" i="2" s="1"/>
  <c r="V323" i="1"/>
  <c r="V596" i="1"/>
  <c r="V600" i="1"/>
  <c r="F607" i="2" s="1"/>
  <c r="L136" i="2"/>
  <c r="L298" i="2"/>
  <c r="L302" i="2" s="1"/>
  <c r="L307" i="2"/>
  <c r="L308" i="2" s="1"/>
  <c r="L642" i="2"/>
  <c r="L646" i="2" s="1"/>
  <c r="L585" i="2"/>
  <c r="L589" i="2" s="1"/>
  <c r="L11" i="2"/>
  <c r="L651" i="2"/>
  <c r="L652" i="2" s="1"/>
  <c r="L364" i="2"/>
  <c r="L365" i="2" s="1"/>
  <c r="L70" i="2"/>
  <c r="L74" i="2" s="1"/>
  <c r="L527" i="2"/>
  <c r="L531" i="2" s="1"/>
  <c r="L470" i="2"/>
  <c r="L474" i="2" s="1"/>
  <c r="L422" i="2"/>
  <c r="L423" i="2" s="1"/>
  <c r="L250" i="2"/>
  <c r="L413" i="2"/>
  <c r="L417" i="2" s="1"/>
  <c r="L193" i="2"/>
  <c r="L20" i="2"/>
  <c r="L21" i="2" s="1"/>
  <c r="L594" i="2"/>
  <c r="L595" i="2" s="1"/>
  <c r="L79" i="2"/>
  <c r="L80" i="2" s="1"/>
  <c r="L355" i="2"/>
  <c r="L359" i="2" s="1"/>
  <c r="L536" i="2"/>
  <c r="L537" i="2" s="1"/>
  <c r="L241" i="2"/>
  <c r="L245" i="2" s="1"/>
  <c r="L184" i="2"/>
  <c r="L479" i="2"/>
  <c r="L480" i="2" s="1"/>
  <c r="L127" i="2"/>
  <c r="W536" i="2"/>
  <c r="W537" i="2" s="1"/>
  <c r="W364" i="2"/>
  <c r="W365" i="2" s="1"/>
  <c r="W307" i="2"/>
  <c r="W308" i="2" s="1"/>
  <c r="W136" i="2"/>
  <c r="W241" i="2"/>
  <c r="W245" i="2" s="1"/>
  <c r="W184" i="2"/>
  <c r="W188" i="2" s="1"/>
  <c r="W527" i="2"/>
  <c r="W531" i="2" s="1"/>
  <c r="W585" i="2"/>
  <c r="W589" i="2" s="1"/>
  <c r="W127" i="2"/>
  <c r="W11" i="2"/>
  <c r="W594" i="2"/>
  <c r="W595" i="2" s="1"/>
  <c r="W470" i="2"/>
  <c r="W474" i="2" s="1"/>
  <c r="W20" i="2"/>
  <c r="W21" i="2" s="1"/>
  <c r="W79" i="2"/>
  <c r="W80" i="2" s="1"/>
  <c r="W413" i="2"/>
  <c r="W417" i="2" s="1"/>
  <c r="W651" i="2"/>
  <c r="W652" i="2" s="1"/>
  <c r="W642" i="2"/>
  <c r="W646" i="2" s="1"/>
  <c r="W479" i="2"/>
  <c r="W480" i="2" s="1"/>
  <c r="W298" i="2"/>
  <c r="W302" i="2" s="1"/>
  <c r="W422" i="2"/>
  <c r="W423" i="2" s="1"/>
  <c r="W193" i="2"/>
  <c r="W250" i="2"/>
  <c r="W70" i="2"/>
  <c r="W74" i="2" s="1"/>
  <c r="W355" i="2"/>
  <c r="W359" i="2" s="1"/>
  <c r="Z657" i="1"/>
  <c r="Z156" i="1"/>
  <c r="Z162" i="1" s="1"/>
  <c r="J143" i="2"/>
  <c r="H143" i="2"/>
  <c r="K143" i="2"/>
  <c r="L143" i="2"/>
  <c r="O143" i="2"/>
  <c r="Q143" i="2"/>
  <c r="R143" i="2"/>
  <c r="U143" i="2"/>
  <c r="W143" i="2"/>
  <c r="Z143" i="2"/>
  <c r="G143" i="2"/>
  <c r="I143" i="2"/>
  <c r="N143" i="2"/>
  <c r="M143" i="2"/>
  <c r="P143" i="2"/>
  <c r="T143" i="2"/>
  <c r="S143" i="2"/>
  <c r="V143" i="2"/>
  <c r="Y143" i="2"/>
  <c r="X143" i="2"/>
  <c r="J33" i="2"/>
  <c r="M33" i="2"/>
  <c r="S33" i="2"/>
  <c r="X33" i="2"/>
  <c r="Z33" i="2"/>
  <c r="H33" i="2"/>
  <c r="L33" i="2"/>
  <c r="P33" i="2"/>
  <c r="R33" i="2"/>
  <c r="U33" i="2"/>
  <c r="K33" i="2"/>
  <c r="O33" i="2"/>
  <c r="W33" i="2"/>
  <c r="Y33" i="2"/>
  <c r="G33" i="2"/>
  <c r="I33" i="2"/>
  <c r="N33" i="2"/>
  <c r="Q33" i="2"/>
  <c r="T33" i="2"/>
  <c r="V33" i="2"/>
  <c r="N120" i="1"/>
  <c r="I490" i="2"/>
  <c r="R490" i="2"/>
  <c r="Z490" i="2"/>
  <c r="L490" i="2"/>
  <c r="S490" i="2"/>
  <c r="K490" i="2"/>
  <c r="T490" i="2"/>
  <c r="G490" i="2"/>
  <c r="N490" i="2"/>
  <c r="U490" i="2"/>
  <c r="M490" i="2"/>
  <c r="W490" i="2"/>
  <c r="H490" i="2"/>
  <c r="O490" i="2"/>
  <c r="V490" i="2"/>
  <c r="Q490" i="2"/>
  <c r="Y490" i="2"/>
  <c r="J490" i="2"/>
  <c r="P490" i="2"/>
  <c r="X490" i="2"/>
  <c r="N652" i="1"/>
  <c r="N110" i="1"/>
  <c r="K1105" i="2"/>
  <c r="K15" i="2"/>
  <c r="G29" i="26"/>
  <c r="E28" i="26"/>
  <c r="K188" i="2"/>
  <c r="E30" i="26"/>
  <c r="I1105" i="2"/>
  <c r="I15" i="2"/>
  <c r="I810" i="2"/>
  <c r="I64" i="33" s="1"/>
  <c r="I816" i="2"/>
  <c r="I70" i="33" s="1"/>
  <c r="I808" i="2"/>
  <c r="I62" i="33" s="1"/>
  <c r="I811" i="2"/>
  <c r="I65" i="33" s="1"/>
  <c r="I188" i="2"/>
  <c r="P1105" i="2"/>
  <c r="P15" i="2"/>
  <c r="G29" i="31"/>
  <c r="E29" i="31"/>
  <c r="P810" i="2"/>
  <c r="S188" i="2"/>
  <c r="S811" i="2"/>
  <c r="S65" i="33" s="1"/>
  <c r="S816" i="2"/>
  <c r="S70" i="33" s="1"/>
  <c r="S808" i="2"/>
  <c r="S62" i="33" s="1"/>
  <c r="S810" i="2"/>
  <c r="S64" i="33" s="1"/>
  <c r="V816" i="2"/>
  <c r="V70" i="33" s="1"/>
  <c r="V811" i="2"/>
  <c r="V65" i="33" s="1"/>
  <c r="V808" i="2"/>
  <c r="V62" i="33" s="1"/>
  <c r="Z1105" i="2"/>
  <c r="AA135" i="2"/>
  <c r="AB135" i="2" s="1"/>
  <c r="G146" i="2"/>
  <c r="H146" i="2"/>
  <c r="J146" i="2"/>
  <c r="O146" i="2"/>
  <c r="N146" i="2"/>
  <c r="S146" i="2"/>
  <c r="P146" i="2"/>
  <c r="T146" i="2"/>
  <c r="W146" i="2"/>
  <c r="Z146" i="2"/>
  <c r="K146" i="2"/>
  <c r="I146" i="2"/>
  <c r="L146" i="2"/>
  <c r="M146" i="2"/>
  <c r="R146" i="2"/>
  <c r="U146" i="2"/>
  <c r="Q146" i="2"/>
  <c r="V146" i="2"/>
  <c r="Y146" i="2"/>
  <c r="X146" i="2"/>
  <c r="AA203" i="2"/>
  <c r="AB203" i="2" s="1"/>
  <c r="I606" i="2"/>
  <c r="G606" i="2"/>
  <c r="L606" i="2"/>
  <c r="O606" i="2"/>
  <c r="S606" i="2"/>
  <c r="V606" i="2"/>
  <c r="W606" i="2"/>
  <c r="Y606" i="2"/>
  <c r="M606" i="2"/>
  <c r="P606" i="2"/>
  <c r="T606" i="2"/>
  <c r="Z606" i="2"/>
  <c r="X606" i="2"/>
  <c r="R606" i="2"/>
  <c r="Q606" i="2"/>
  <c r="H606" i="2"/>
  <c r="U606" i="2"/>
  <c r="K606" i="2"/>
  <c r="N606" i="2"/>
  <c r="J606" i="2"/>
  <c r="I663" i="2"/>
  <c r="L663" i="2"/>
  <c r="O663" i="2"/>
  <c r="V663" i="2"/>
  <c r="W663" i="2"/>
  <c r="Z663" i="2"/>
  <c r="G663" i="2"/>
  <c r="M663" i="2"/>
  <c r="P663" i="2"/>
  <c r="S663" i="2"/>
  <c r="T663" i="2"/>
  <c r="X663" i="2"/>
  <c r="Y663" i="2"/>
  <c r="R663" i="2"/>
  <c r="Q663" i="2"/>
  <c r="H663" i="2"/>
  <c r="U663" i="2"/>
  <c r="K663" i="2"/>
  <c r="N663" i="2"/>
  <c r="J663" i="2"/>
  <c r="F491" i="2"/>
  <c r="U606" i="1"/>
  <c r="U608" i="1" s="1"/>
  <c r="P548" i="2"/>
  <c r="M548" i="2"/>
  <c r="T548" i="2"/>
  <c r="W548" i="2"/>
  <c r="X548" i="2"/>
  <c r="I548" i="2"/>
  <c r="G548" i="2"/>
  <c r="O548" i="2"/>
  <c r="L548" i="2"/>
  <c r="S548" i="2"/>
  <c r="V548" i="2"/>
  <c r="Y548" i="2"/>
  <c r="Z548" i="2"/>
  <c r="R548" i="2"/>
  <c r="H548" i="2"/>
  <c r="Q548" i="2"/>
  <c r="K548" i="2"/>
  <c r="U548" i="2"/>
  <c r="N548" i="2"/>
  <c r="J548" i="2"/>
  <c r="M91" i="2"/>
  <c r="L91" i="2"/>
  <c r="P91" i="2"/>
  <c r="S91" i="2"/>
  <c r="V91" i="2"/>
  <c r="W91" i="2"/>
  <c r="Z91" i="2"/>
  <c r="I91" i="2"/>
  <c r="G91" i="2"/>
  <c r="O91" i="2"/>
  <c r="R91" i="2"/>
  <c r="T91" i="2"/>
  <c r="Y91" i="2"/>
  <c r="X91" i="2"/>
  <c r="Q91" i="2"/>
  <c r="H91" i="2"/>
  <c r="K91" i="2"/>
  <c r="U91" i="2"/>
  <c r="N91" i="2"/>
  <c r="J91" i="2"/>
  <c r="T655" i="1"/>
  <c r="T118" i="1"/>
  <c r="X665" i="1"/>
  <c r="X592" i="1"/>
  <c r="X594" i="1" s="1"/>
  <c r="F440" i="2" s="1"/>
  <c r="X327" i="1"/>
  <c r="X584" i="1"/>
  <c r="X586" i="1" s="1"/>
  <c r="F382" i="2" s="1"/>
  <c r="X326" i="1"/>
  <c r="X575" i="1"/>
  <c r="X533" i="1"/>
  <c r="X534" i="1"/>
  <c r="W107" i="1"/>
  <c r="F93" i="2" s="1"/>
  <c r="F94" i="2" s="1"/>
  <c r="W319" i="1"/>
  <c r="W602" i="1"/>
  <c r="F665" i="2" s="1"/>
  <c r="W604" i="1"/>
  <c r="W322" i="1"/>
  <c r="W596" i="1"/>
  <c r="W600" i="1"/>
  <c r="F608" i="2" s="1"/>
  <c r="W527" i="1"/>
  <c r="W598" i="1"/>
  <c r="F550" i="2" s="1"/>
  <c r="W323" i="1"/>
  <c r="W530" i="1"/>
  <c r="G321" i="2"/>
  <c r="K321" i="2"/>
  <c r="Y321" i="2"/>
  <c r="S321" i="2"/>
  <c r="Z321" i="2"/>
  <c r="V321" i="2"/>
  <c r="W321" i="2"/>
  <c r="O321" i="2"/>
  <c r="R321" i="2"/>
  <c r="P321" i="2"/>
  <c r="T321" i="2"/>
  <c r="M321" i="2"/>
  <c r="L321" i="2"/>
  <c r="N321" i="2"/>
  <c r="Q321" i="2"/>
  <c r="J321" i="2"/>
  <c r="I321" i="2"/>
  <c r="X321" i="2"/>
  <c r="H321" i="2"/>
  <c r="U321" i="2"/>
  <c r="V655" i="1"/>
  <c r="V118" i="1"/>
  <c r="N536" i="2"/>
  <c r="N537" i="2" s="1"/>
  <c r="N193" i="2"/>
  <c r="N184" i="2"/>
  <c r="N250" i="2"/>
  <c r="N642" i="2"/>
  <c r="N646" i="2" s="1"/>
  <c r="N651" i="2"/>
  <c r="N652" i="2" s="1"/>
  <c r="N20" i="2"/>
  <c r="N21" i="2" s="1"/>
  <c r="N70" i="2"/>
  <c r="N74" i="2" s="1"/>
  <c r="N79" i="2"/>
  <c r="N80" i="2" s="1"/>
  <c r="N527" i="2"/>
  <c r="N531" i="2" s="1"/>
  <c r="N241" i="2"/>
  <c r="N245" i="2" s="1"/>
  <c r="N594" i="2"/>
  <c r="N595" i="2" s="1"/>
  <c r="N355" i="2"/>
  <c r="N359" i="2" s="1"/>
  <c r="N127" i="2"/>
  <c r="N479" i="2"/>
  <c r="N480" i="2" s="1"/>
  <c r="N11" i="2"/>
  <c r="N585" i="2"/>
  <c r="N589" i="2" s="1"/>
  <c r="N413" i="2"/>
  <c r="N417" i="2" s="1"/>
  <c r="N422" i="2"/>
  <c r="N423" i="2" s="1"/>
  <c r="N470" i="2"/>
  <c r="N474" i="2" s="1"/>
  <c r="N136" i="2"/>
  <c r="N298" i="2"/>
  <c r="N302" i="2" s="1"/>
  <c r="N307" i="2"/>
  <c r="N308" i="2" s="1"/>
  <c r="N364" i="2"/>
  <c r="N365" i="2" s="1"/>
  <c r="Q184" i="2"/>
  <c r="Q193" i="2"/>
  <c r="Q307" i="2"/>
  <c r="Q308" i="2" s="1"/>
  <c r="Q364" i="2"/>
  <c r="Q365" i="2" s="1"/>
  <c r="Q470" i="2"/>
  <c r="Q474" i="2" s="1"/>
  <c r="Q594" i="2"/>
  <c r="Q595" i="2" s="1"/>
  <c r="Q127" i="2"/>
  <c r="Q79" i="2"/>
  <c r="Q80" i="2" s="1"/>
  <c r="Q355" i="2"/>
  <c r="Q359" i="2" s="1"/>
  <c r="Q585" i="2"/>
  <c r="Q589" i="2" s="1"/>
  <c r="Q642" i="2"/>
  <c r="Q646" i="2" s="1"/>
  <c r="Q413" i="2"/>
  <c r="Q417" i="2" s="1"/>
  <c r="Q136" i="2"/>
  <c r="Q651" i="2"/>
  <c r="Q652" i="2" s="1"/>
  <c r="Q527" i="2"/>
  <c r="Q531" i="2" s="1"/>
  <c r="Q250" i="2"/>
  <c r="Q20" i="2"/>
  <c r="Q21" i="2" s="1"/>
  <c r="Q70" i="2"/>
  <c r="Q74" i="2" s="1"/>
  <c r="Q479" i="2"/>
  <c r="Q480" i="2" s="1"/>
  <c r="Q422" i="2"/>
  <c r="Q423" i="2" s="1"/>
  <c r="Q11" i="2"/>
  <c r="Q298" i="2"/>
  <c r="Q302" i="2" s="1"/>
  <c r="Q241" i="2"/>
  <c r="Q245" i="2" s="1"/>
  <c r="Q536" i="2"/>
  <c r="Q537" i="2" s="1"/>
  <c r="W306" i="1"/>
  <c r="Z381" i="1"/>
  <c r="Z656" i="1"/>
  <c r="Z144" i="1"/>
  <c r="Z153" i="1" s="1"/>
  <c r="Z164" i="1" s="1"/>
  <c r="AA200" i="2"/>
  <c r="AB200" i="2" s="1"/>
  <c r="AA260" i="2"/>
  <c r="AB260" i="2" s="1"/>
  <c r="AA319" i="2"/>
  <c r="AB319" i="2" s="1"/>
  <c r="E30" i="24"/>
  <c r="H1105" i="2"/>
  <c r="H15" i="2"/>
  <c r="H811" i="2"/>
  <c r="H65" i="33" s="1"/>
  <c r="H816" i="2"/>
  <c r="H70" i="33" s="1"/>
  <c r="H808" i="2"/>
  <c r="H62" i="33" s="1"/>
  <c r="E29" i="28"/>
  <c r="O810" i="2"/>
  <c r="O816" i="2"/>
  <c r="O70" i="33" s="1"/>
  <c r="O811" i="2"/>
  <c r="O65" i="33" s="1"/>
  <c r="O808" i="2"/>
  <c r="O62" i="33" s="1"/>
  <c r="U188" i="2"/>
  <c r="U816" i="2"/>
  <c r="U70" i="33" s="1"/>
  <c r="U808" i="2"/>
  <c r="U62" i="33" s="1"/>
  <c r="U811" i="2"/>
  <c r="U65" i="33" s="1"/>
  <c r="U810" i="2"/>
  <c r="U64" i="33" s="1"/>
  <c r="X810" i="2"/>
  <c r="X64" i="33" s="1"/>
  <c r="X1105" i="2"/>
  <c r="X15" i="2"/>
  <c r="X811" i="2"/>
  <c r="X65" i="33" s="1"/>
  <c r="X816" i="2"/>
  <c r="X70" i="33" s="1"/>
  <c r="X808" i="2"/>
  <c r="X62" i="33" s="1"/>
  <c r="AA651" i="1"/>
  <c r="AB202" i="1"/>
  <c r="AB215" i="1"/>
  <c r="AB430" i="1"/>
  <c r="AB408" i="1"/>
  <c r="AB500" i="1"/>
  <c r="AB33" i="1"/>
  <c r="AB651" i="1" s="1"/>
  <c r="AB42" i="1"/>
  <c r="AB295" i="1"/>
  <c r="AB375" i="1"/>
  <c r="AB301" i="1"/>
  <c r="AB494" i="1"/>
  <c r="AB502" i="1"/>
  <c r="AB44" i="1"/>
  <c r="AB292" i="1"/>
  <c r="AB192" i="1"/>
  <c r="AB285" i="1"/>
  <c r="AB385" i="1"/>
  <c r="AB363" i="1"/>
  <c r="AB491" i="1"/>
  <c r="AB507" i="1"/>
  <c r="AB27" i="1"/>
  <c r="AB200" i="1"/>
  <c r="AB178" i="1"/>
  <c r="AB190" i="1"/>
  <c r="AB284" i="1"/>
  <c r="AB364" i="1"/>
  <c r="AB296" i="1"/>
  <c r="AB508" i="1"/>
  <c r="AB640" i="1"/>
  <c r="AB72" i="1"/>
  <c r="AB148" i="1"/>
  <c r="AB41" i="1"/>
  <c r="AB457" i="1" s="1"/>
  <c r="AB113" i="1"/>
  <c r="AB170" i="1"/>
  <c r="AB294" i="1"/>
  <c r="AB297" i="1"/>
  <c r="AB302" i="1"/>
  <c r="AB293" i="1"/>
  <c r="AB581" i="1"/>
  <c r="AB504" i="1"/>
  <c r="AB157" i="1"/>
  <c r="AB189" i="1"/>
  <c r="AB201" i="1"/>
  <c r="AB377" i="1"/>
  <c r="AB407" i="1"/>
  <c r="AB300" i="1"/>
  <c r="AB411" i="1"/>
  <c r="AB505" i="1"/>
  <c r="AB396" i="1"/>
  <c r="AB416" i="1"/>
  <c r="AB509" i="1"/>
  <c r="AB639" i="1"/>
  <c r="AB40" i="1"/>
  <c r="AB37" i="1"/>
  <c r="AB99" i="1"/>
  <c r="AB417" i="1"/>
  <c r="AB365" i="1"/>
  <c r="AB199" i="1"/>
  <c r="AB429" i="1"/>
  <c r="AB506" i="1"/>
  <c r="AB229" i="1"/>
  <c r="AB444" i="1"/>
  <c r="AB446" i="1"/>
  <c r="AB493" i="1"/>
  <c r="AC2" i="1"/>
  <c r="AB146" i="1"/>
  <c r="AB283" i="1"/>
  <c r="AB191" i="1"/>
  <c r="AB150" i="1"/>
  <c r="AB43" i="1"/>
  <c r="AB478" i="1" s="1"/>
  <c r="AB151" i="1"/>
  <c r="AB159" i="1"/>
  <c r="AB169" i="1"/>
  <c r="AB216" i="1"/>
  <c r="AB388" i="1"/>
  <c r="AB409" i="1"/>
  <c r="AB501" i="1"/>
  <c r="AB39" i="1"/>
  <c r="AB266" i="1" s="1"/>
  <c r="AB23" i="1"/>
  <c r="AB147" i="1"/>
  <c r="AB145" i="1"/>
  <c r="AB171" i="1"/>
  <c r="AB389" i="1"/>
  <c r="AB368" i="1"/>
  <c r="AB458" i="1"/>
  <c r="AB492" i="1"/>
  <c r="AB419" i="1"/>
  <c r="AB589" i="1"/>
  <c r="AB158" i="1"/>
  <c r="AB168" i="1"/>
  <c r="AB386" i="1"/>
  <c r="AB395" i="1"/>
  <c r="AB503" i="1"/>
  <c r="AB376" i="1"/>
  <c r="AB298" i="1"/>
  <c r="AB510" i="1"/>
  <c r="AB36" i="1"/>
  <c r="AB246" i="1" s="1"/>
  <c r="AB73" i="1"/>
  <c r="AB63" i="1"/>
  <c r="AB459" i="1"/>
  <c r="AB495" i="1"/>
  <c r="AB217" i="1"/>
  <c r="AB286" i="1"/>
  <c r="AB398" i="1"/>
  <c r="AB299" i="1"/>
  <c r="AB418" i="1"/>
  <c r="AB149" i="1"/>
  <c r="AB38" i="1"/>
  <c r="AB455" i="1" s="1"/>
  <c r="AB64" i="1"/>
  <c r="AB172" i="1"/>
  <c r="AB180" i="1"/>
  <c r="AB374" i="1"/>
  <c r="AB19" i="1"/>
  <c r="AB29" i="1" s="1"/>
  <c r="AB570" i="1" s="1"/>
  <c r="AB179" i="1"/>
  <c r="AB160" i="1"/>
  <c r="AB387" i="1"/>
  <c r="AB287" i="1"/>
  <c r="AB367" i="1"/>
  <c r="AB475" i="1"/>
  <c r="AB410" i="1"/>
  <c r="AB181" i="1"/>
  <c r="AB251" i="1"/>
  <c r="AB397" i="1"/>
  <c r="AB131" i="1"/>
  <c r="AB366" i="1"/>
  <c r="AB442" i="1"/>
  <c r="AB438" i="1"/>
  <c r="AB230" i="1"/>
  <c r="AB265" i="1"/>
  <c r="AB247" i="1"/>
  <c r="AB439" i="1"/>
  <c r="AB441" i="1"/>
  <c r="AB236" i="1"/>
  <c r="AB440" i="1"/>
  <c r="AB572" i="1"/>
  <c r="AB445" i="1"/>
  <c r="AB250" i="1"/>
  <c r="AB267" i="1"/>
  <c r="AB582" i="1"/>
  <c r="AB590" i="1"/>
  <c r="AB268" i="1"/>
  <c r="AB573" i="1"/>
  <c r="AB100" i="1"/>
  <c r="AB476" i="1"/>
  <c r="AB479" i="1"/>
  <c r="AB454" i="1"/>
  <c r="AB264" i="1"/>
  <c r="Y662" i="1"/>
  <c r="Y244" i="1"/>
  <c r="Y257" i="1" s="1"/>
  <c r="W664" i="1"/>
  <c r="W315" i="1"/>
  <c r="W528" i="1"/>
  <c r="W531" i="1"/>
  <c r="W316" i="1"/>
  <c r="W523" i="1"/>
  <c r="W321" i="1"/>
  <c r="W320" i="1"/>
  <c r="W529" i="1"/>
  <c r="W324" i="1"/>
  <c r="W532" i="1"/>
  <c r="W524" i="1"/>
  <c r="W318" i="1"/>
  <c r="W325" i="1"/>
  <c r="W525" i="1"/>
  <c r="W317" i="1"/>
  <c r="W526" i="1"/>
  <c r="X514" i="1"/>
  <c r="V128" i="1"/>
  <c r="V536" i="1"/>
  <c r="V538" i="1" s="1"/>
  <c r="K127" i="2"/>
  <c r="P127" i="2"/>
  <c r="S127" i="2"/>
  <c r="Z127" i="2"/>
  <c r="AA32" i="2"/>
  <c r="AB32" i="2" s="1"/>
  <c r="X15" i="1"/>
  <c r="W128" i="1"/>
  <c r="F322" i="2"/>
  <c r="G30" i="28"/>
  <c r="Y219" i="1"/>
  <c r="AA304" i="1"/>
  <c r="AA236" i="1"/>
  <c r="AA100" i="1"/>
  <c r="AA633" i="1"/>
  <c r="AA394" i="1" s="1"/>
  <c r="AA400" i="1" s="1"/>
  <c r="AA421" i="1"/>
  <c r="AA46" i="1"/>
  <c r="AA441" i="1"/>
  <c r="AA629" i="1"/>
  <c r="AA362" i="1" s="1"/>
  <c r="AA370" i="1" s="1"/>
  <c r="AA489" i="2"/>
  <c r="AB489" i="2" s="1"/>
  <c r="AA378" i="2"/>
  <c r="AB378" i="2" s="1"/>
  <c r="Y239" i="1"/>
  <c r="U654" i="1"/>
  <c r="U540" i="1"/>
  <c r="U117" i="1"/>
  <c r="U120" i="1" s="1"/>
  <c r="F262" i="2"/>
  <c r="T364" i="2"/>
  <c r="T365" i="2" s="1"/>
  <c r="T127" i="2"/>
  <c r="T479" i="2"/>
  <c r="T480" i="2" s="1"/>
  <c r="T536" i="2"/>
  <c r="T537" i="2" s="1"/>
  <c r="T136" i="2"/>
  <c r="T642" i="2"/>
  <c r="T646" i="2" s="1"/>
  <c r="T413" i="2"/>
  <c r="T417" i="2" s="1"/>
  <c r="T193" i="2"/>
  <c r="T527" i="2"/>
  <c r="T531" i="2" s="1"/>
  <c r="T585" i="2"/>
  <c r="T589" i="2" s="1"/>
  <c r="T184" i="2"/>
  <c r="T20" i="2"/>
  <c r="T21" i="2" s="1"/>
  <c r="T470" i="2"/>
  <c r="T474" i="2" s="1"/>
  <c r="T307" i="2"/>
  <c r="T308" i="2" s="1"/>
  <c r="T651" i="2"/>
  <c r="T652" i="2" s="1"/>
  <c r="T79" i="2"/>
  <c r="T80" i="2" s="1"/>
  <c r="T11" i="2"/>
  <c r="T241" i="2"/>
  <c r="T245" i="2" s="1"/>
  <c r="T298" i="2"/>
  <c r="T302" i="2" s="1"/>
  <c r="T70" i="2"/>
  <c r="T74" i="2" s="1"/>
  <c r="T355" i="2"/>
  <c r="T359" i="2" s="1"/>
  <c r="T594" i="2"/>
  <c r="T595" i="2" s="1"/>
  <c r="T250" i="2"/>
  <c r="T422" i="2"/>
  <c r="T423" i="2" s="1"/>
  <c r="Z650" i="1"/>
  <c r="Z591" i="1"/>
  <c r="Z574" i="1"/>
  <c r="Z253" i="1"/>
  <c r="Z460" i="1"/>
  <c r="Z480" i="1"/>
  <c r="Z252" i="1"/>
  <c r="Z101" i="1"/>
  <c r="Z105" i="1" s="1"/>
  <c r="Z461" i="1"/>
  <c r="Z133" i="1"/>
  <c r="Z136" i="1" s="1"/>
  <c r="Z583" i="1"/>
  <c r="Z65" i="1"/>
  <c r="Z62" i="1"/>
  <c r="Z269" i="1"/>
  <c r="Z74" i="1"/>
  <c r="Z77" i="1" s="1"/>
  <c r="Z94" i="1" s="1"/>
  <c r="Z255" i="1"/>
  <c r="Z254" i="1"/>
  <c r="F251" i="2"/>
  <c r="Q248" i="2"/>
  <c r="N248" i="2"/>
  <c r="W248" i="2"/>
  <c r="W251" i="2" s="1"/>
  <c r="U248" i="2"/>
  <c r="U251" i="2" s="1"/>
  <c r="V248" i="2"/>
  <c r="V251" i="2" s="1"/>
  <c r="L248" i="2"/>
  <c r="L251" i="2" s="1"/>
  <c r="Y248" i="2"/>
  <c r="R248" i="2"/>
  <c r="H248" i="2"/>
  <c r="H251" i="2" s="1"/>
  <c r="K248" i="2"/>
  <c r="K251" i="2" s="1"/>
  <c r="P248" i="2"/>
  <c r="P251" i="2" s="1"/>
  <c r="I248" i="2"/>
  <c r="I251" i="2" s="1"/>
  <c r="O248" i="2"/>
  <c r="O251" i="2" s="1"/>
  <c r="T248" i="2"/>
  <c r="Z248" i="2"/>
  <c r="Z251" i="2" s="1"/>
  <c r="S248" i="2"/>
  <c r="S251" i="2" s="1"/>
  <c r="J248" i="2"/>
  <c r="J251" i="2" s="1"/>
  <c r="M248" i="2"/>
  <c r="M251" i="2" s="1"/>
  <c r="X248" i="2"/>
  <c r="X251" i="2" s="1"/>
  <c r="G248" i="2"/>
  <c r="F194" i="2"/>
  <c r="Y191" i="2"/>
  <c r="W191" i="2"/>
  <c r="W194" i="2" s="1"/>
  <c r="U191" i="2"/>
  <c r="V191" i="2"/>
  <c r="V194" i="2" s="1"/>
  <c r="R191" i="2"/>
  <c r="Q191" i="2"/>
  <c r="N191" i="2"/>
  <c r="L191" i="2"/>
  <c r="H191" i="2"/>
  <c r="T191" i="2"/>
  <c r="K191" i="2"/>
  <c r="M191" i="2"/>
  <c r="Z191" i="2"/>
  <c r="Z194" i="2" s="1"/>
  <c r="P191" i="2"/>
  <c r="I191" i="2"/>
  <c r="O191" i="2"/>
  <c r="S191" i="2"/>
  <c r="J191" i="2"/>
  <c r="X191" i="2"/>
  <c r="X194" i="2" s="1"/>
  <c r="G191" i="2"/>
  <c r="G1064" i="2"/>
  <c r="AA1063" i="2"/>
  <c r="AB1063" i="2" s="1"/>
  <c r="E29" i="26"/>
  <c r="K810" i="2"/>
  <c r="G30" i="26"/>
  <c r="K808" i="2"/>
  <c r="K62" i="33" s="1"/>
  <c r="K816" i="2"/>
  <c r="K70" i="33" s="1"/>
  <c r="K811" i="2"/>
  <c r="K65" i="33" s="1"/>
  <c r="G30" i="31"/>
  <c r="E30" i="31"/>
  <c r="E28" i="31"/>
  <c r="P188" i="2"/>
  <c r="P811" i="2"/>
  <c r="P65" i="33" s="1"/>
  <c r="P816" i="2"/>
  <c r="P70" i="33" s="1"/>
  <c r="P808" i="2"/>
  <c r="P62" i="33" s="1"/>
  <c r="S1105" i="2"/>
  <c r="S15" i="2"/>
  <c r="V1105" i="2"/>
  <c r="V15" i="2"/>
  <c r="AA140" i="2"/>
  <c r="AB140" i="2" s="1"/>
  <c r="T333" i="1"/>
  <c r="T608" i="1"/>
  <c r="F204" i="2"/>
  <c r="J34" i="2"/>
  <c r="J35" i="2" s="1"/>
  <c r="N34" i="2"/>
  <c r="N35" i="2" s="1"/>
  <c r="T34" i="2"/>
  <c r="T35" i="2" s="1"/>
  <c r="Z34" i="2"/>
  <c r="Q34" i="2"/>
  <c r="Q35" i="2" s="1"/>
  <c r="I34" i="2"/>
  <c r="I35" i="2" s="1"/>
  <c r="L34" i="2"/>
  <c r="L35" i="2" s="1"/>
  <c r="S34" i="2"/>
  <c r="S35" i="2" s="1"/>
  <c r="P34" i="2"/>
  <c r="P35" i="2" s="1"/>
  <c r="K34" i="2"/>
  <c r="K35" i="2" s="1"/>
  <c r="R34" i="2"/>
  <c r="R35" i="2" s="1"/>
  <c r="W34" i="2"/>
  <c r="M34" i="2"/>
  <c r="M35" i="2" s="1"/>
  <c r="X34" i="2"/>
  <c r="X35" i="2" s="1"/>
  <c r="G34" i="2"/>
  <c r="O34" i="2"/>
  <c r="O35" i="2" s="1"/>
  <c r="Y34" i="2"/>
  <c r="V34" i="2"/>
  <c r="V35" i="2" s="1"/>
  <c r="H34" i="2"/>
  <c r="U34" i="2"/>
  <c r="U35" i="2" s="1"/>
  <c r="T538" i="1"/>
  <c r="X306" i="1"/>
  <c r="R642" i="2"/>
  <c r="R646" i="2" s="1"/>
  <c r="R184" i="2"/>
  <c r="R536" i="2"/>
  <c r="R537" i="2" s="1"/>
  <c r="R79" i="2"/>
  <c r="R80" i="2" s="1"/>
  <c r="R413" i="2"/>
  <c r="R417" i="2" s="1"/>
  <c r="R651" i="2"/>
  <c r="R652" i="2" s="1"/>
  <c r="R127" i="2"/>
  <c r="R364" i="2"/>
  <c r="R365" i="2" s="1"/>
  <c r="R241" i="2"/>
  <c r="R245" i="2" s="1"/>
  <c r="R307" i="2"/>
  <c r="R308" i="2" s="1"/>
  <c r="R594" i="2"/>
  <c r="R595" i="2" s="1"/>
  <c r="R470" i="2"/>
  <c r="R474" i="2" s="1"/>
  <c r="R20" i="2"/>
  <c r="R21" i="2" s="1"/>
  <c r="R527" i="2"/>
  <c r="R531" i="2" s="1"/>
  <c r="R193" i="2"/>
  <c r="R479" i="2"/>
  <c r="R480" i="2" s="1"/>
  <c r="R136" i="2"/>
  <c r="R355" i="2"/>
  <c r="R359" i="2" s="1"/>
  <c r="R11" i="2"/>
  <c r="R298" i="2"/>
  <c r="R302" i="2" s="1"/>
  <c r="R250" i="2"/>
  <c r="R70" i="2"/>
  <c r="R74" i="2" s="1"/>
  <c r="R585" i="2"/>
  <c r="R589" i="2" s="1"/>
  <c r="R422" i="2"/>
  <c r="R423" i="2" s="1"/>
  <c r="Y250" i="2"/>
  <c r="Y651" i="2"/>
  <c r="Y652" i="2" s="1"/>
  <c r="Y136" i="2"/>
  <c r="Y79" i="2"/>
  <c r="Y80" i="2" s="1"/>
  <c r="Y184" i="2"/>
  <c r="Y188" i="2" s="1"/>
  <c r="Y127" i="2"/>
  <c r="Y355" i="2"/>
  <c r="Y359" i="2" s="1"/>
  <c r="Y479" i="2"/>
  <c r="Y480" i="2" s="1"/>
  <c r="Y193" i="2"/>
  <c r="Y11" i="2"/>
  <c r="Y422" i="2"/>
  <c r="Y423" i="2" s="1"/>
  <c r="Y241" i="2"/>
  <c r="Y245" i="2" s="1"/>
  <c r="Y298" i="2"/>
  <c r="Y302" i="2" s="1"/>
  <c r="Y307" i="2"/>
  <c r="Y308" i="2" s="1"/>
  <c r="Y594" i="2"/>
  <c r="Y595" i="2" s="1"/>
  <c r="Y536" i="2"/>
  <c r="Y537" i="2" s="1"/>
  <c r="Y585" i="2"/>
  <c r="Y589" i="2" s="1"/>
  <c r="Y20" i="2"/>
  <c r="Y21" i="2" s="1"/>
  <c r="Y364" i="2"/>
  <c r="Y365" i="2" s="1"/>
  <c r="Y413" i="2"/>
  <c r="Y417" i="2" s="1"/>
  <c r="Y470" i="2"/>
  <c r="Y474" i="2" s="1"/>
  <c r="Y642" i="2"/>
  <c r="Y646" i="2" s="1"/>
  <c r="Y70" i="2"/>
  <c r="Y74" i="2" s="1"/>
  <c r="Y527" i="2"/>
  <c r="Y531" i="2" s="1"/>
  <c r="Z658" i="1"/>
  <c r="Z402" i="1"/>
  <c r="Z167" i="1"/>
  <c r="Z174" i="1" s="1"/>
  <c r="Z185" i="1" s="1"/>
  <c r="Z661" i="1"/>
  <c r="Z233" i="1"/>
  <c r="Z234" i="1"/>
  <c r="Z224" i="1"/>
  <c r="Z237" i="1"/>
  <c r="Z226" i="1"/>
  <c r="Z232" i="1"/>
  <c r="Z227" i="1"/>
  <c r="Z225" i="1"/>
  <c r="Z228" i="1"/>
  <c r="Z235" i="1"/>
  <c r="Z231" i="1"/>
  <c r="G29" i="24"/>
  <c r="H188" i="2"/>
  <c r="E28" i="24"/>
  <c r="E29" i="24"/>
  <c r="H810" i="2"/>
  <c r="G30" i="24"/>
  <c r="M1105" i="2"/>
  <c r="M15" i="2"/>
  <c r="M188" i="2"/>
  <c r="O188" i="2"/>
  <c r="E28" i="28"/>
  <c r="E30" i="28"/>
  <c r="O1105" i="2"/>
  <c r="O15" i="2"/>
  <c r="U1105" i="2"/>
  <c r="U15" i="2"/>
  <c r="G320" i="2"/>
  <c r="J320" i="2"/>
  <c r="J322" i="2" s="1"/>
  <c r="H320" i="2"/>
  <c r="N320" i="2"/>
  <c r="M320" i="2"/>
  <c r="Q320" i="2"/>
  <c r="Q322" i="2" s="1"/>
  <c r="V320" i="2"/>
  <c r="V322" i="2" s="1"/>
  <c r="S320" i="2"/>
  <c r="S322" i="2" s="1"/>
  <c r="W320" i="2"/>
  <c r="W322" i="2" s="1"/>
  <c r="Y320" i="2"/>
  <c r="Y322" i="2" s="1"/>
  <c r="I320" i="2"/>
  <c r="K320" i="2"/>
  <c r="L320" i="2"/>
  <c r="O320" i="2"/>
  <c r="P320" i="2"/>
  <c r="T320" i="2"/>
  <c r="T322" i="2" s="1"/>
  <c r="R320" i="2"/>
  <c r="U320" i="2"/>
  <c r="U322" i="2" s="1"/>
  <c r="X320" i="2"/>
  <c r="Z320" i="2"/>
  <c r="Z322" i="2" s="1"/>
  <c r="L138" i="1"/>
  <c r="AA436" i="2"/>
  <c r="AB436" i="2" s="1"/>
  <c r="G437" i="2"/>
  <c r="AA437" i="2" s="1"/>
  <c r="AB437" i="2" s="1"/>
  <c r="Y484" i="1"/>
  <c r="Y486" i="1" s="1"/>
  <c r="Y488" i="1" s="1"/>
  <c r="Y663" i="1"/>
  <c r="Y261" i="1"/>
  <c r="Y271" i="1" s="1"/>
  <c r="Y649" i="1"/>
  <c r="Y75" i="1"/>
  <c r="Y77" i="1" s="1"/>
  <c r="Y94" i="1" s="1"/>
  <c r="Y9" i="1"/>
  <c r="Y134" i="1"/>
  <c r="Y10" i="1"/>
  <c r="Y58" i="1"/>
  <c r="Y12" i="1"/>
  <c r="Y103" i="1"/>
  <c r="Y102" i="1"/>
  <c r="Y60" i="1"/>
  <c r="Y61" i="1"/>
  <c r="Y13" i="1"/>
  <c r="Y11" i="1"/>
  <c r="AA90" i="2"/>
  <c r="AB90" i="2" s="1"/>
  <c r="AA605" i="2"/>
  <c r="AB605" i="2" s="1"/>
  <c r="AA604" i="2"/>
  <c r="AB604" i="2" s="1"/>
  <c r="I127" i="2"/>
  <c r="V127" i="2"/>
  <c r="Y221" i="1"/>
  <c r="F35" i="2"/>
  <c r="AA257" i="2"/>
  <c r="AB257" i="2" s="1"/>
  <c r="Z635" i="1"/>
  <c r="Z472" i="1" s="1"/>
  <c r="Z482" i="1" s="1"/>
  <c r="G35" i="2"/>
  <c r="AA662" i="2"/>
  <c r="AB662" i="2" s="1"/>
  <c r="AA547" i="2"/>
  <c r="AB547" i="2" s="1"/>
  <c r="M127" i="2"/>
  <c r="O127" i="2"/>
  <c r="U127" i="2"/>
  <c r="X127" i="2"/>
  <c r="AA413" i="1"/>
  <c r="AA229" i="1"/>
  <c r="AA446" i="1"/>
  <c r="AA445" i="1"/>
  <c r="AA512" i="1"/>
  <c r="AA497" i="1"/>
  <c r="AA632" i="1"/>
  <c r="AA384" i="1" s="1"/>
  <c r="AA391" i="1" s="1"/>
  <c r="Y136" i="1"/>
  <c r="G379" i="2"/>
  <c r="AA379" i="2" s="1"/>
  <c r="AB379" i="2" s="1"/>
  <c r="R251" i="2" l="1"/>
  <c r="Z15" i="2"/>
  <c r="Z80" i="2"/>
  <c r="Z537" i="2"/>
  <c r="Z365" i="2"/>
  <c r="D33" i="24"/>
  <c r="E33" i="24" s="1"/>
  <c r="K33" i="24" s="1"/>
  <c r="L33" i="24" s="1"/>
  <c r="H64" i="33"/>
  <c r="D33" i="31"/>
  <c r="E33" i="31" s="1"/>
  <c r="P64" i="33"/>
  <c r="D33" i="26"/>
  <c r="E33" i="26" s="1"/>
  <c r="K64" i="33"/>
  <c r="D33" i="28"/>
  <c r="E33" i="28" s="1"/>
  <c r="O64" i="33"/>
  <c r="M811" i="2"/>
  <c r="M65" i="33" s="1"/>
  <c r="M808" i="2"/>
  <c r="M62" i="33" s="1"/>
  <c r="Z652" i="2"/>
  <c r="X322" i="2"/>
  <c r="Z423" i="2"/>
  <c r="H35" i="2"/>
  <c r="Z480" i="2"/>
  <c r="N251" i="2"/>
  <c r="Y35" i="2"/>
  <c r="Z595" i="2"/>
  <c r="Z308" i="2"/>
  <c r="R322" i="2"/>
  <c r="AB263" i="1"/>
  <c r="AB249" i="1"/>
  <c r="Z646" i="2"/>
  <c r="AB631" i="1"/>
  <c r="AB373" i="1" s="1"/>
  <c r="AB379" i="1" s="1"/>
  <c r="AB657" i="1" s="1"/>
  <c r="Z15" i="1"/>
  <c r="G322" i="2"/>
  <c r="Z417" i="2"/>
  <c r="Y105" i="1"/>
  <c r="W35" i="2"/>
  <c r="Z35" i="2"/>
  <c r="Z245" i="2"/>
  <c r="Z21" i="2"/>
  <c r="Z531" i="2"/>
  <c r="Z188" i="2"/>
  <c r="Z474" i="2"/>
  <c r="Z589" i="2"/>
  <c r="Z302" i="2"/>
  <c r="Z810" i="2" s="1"/>
  <c r="Z64" i="33" s="1"/>
  <c r="AA211" i="1"/>
  <c r="AA214" i="1"/>
  <c r="AA212" i="1"/>
  <c r="AB571" i="1"/>
  <c r="AB245" i="1"/>
  <c r="AB474" i="1"/>
  <c r="AB641" i="1"/>
  <c r="Z634" i="1"/>
  <c r="Z451" i="1" s="1"/>
  <c r="Z463" i="1" s="1"/>
  <c r="Z484" i="1" s="1"/>
  <c r="Z486" i="1" s="1"/>
  <c r="AA448" i="1"/>
  <c r="AA661" i="1" s="1"/>
  <c r="T251" i="2"/>
  <c r="AB262" i="1"/>
  <c r="AB473" i="1"/>
  <c r="AB452" i="1"/>
  <c r="AB477" i="1"/>
  <c r="AB443" i="1"/>
  <c r="AB132" i="1"/>
  <c r="AB456" i="1"/>
  <c r="AA226" i="1"/>
  <c r="AA227" i="1"/>
  <c r="AA224" i="1"/>
  <c r="AA225" i="1"/>
  <c r="AA237" i="1"/>
  <c r="AA233" i="1"/>
  <c r="AA232" i="1"/>
  <c r="AA234" i="1"/>
  <c r="AA231" i="1"/>
  <c r="Z244" i="1"/>
  <c r="Z257" i="1" s="1"/>
  <c r="AA402" i="1"/>
  <c r="AA658" i="1"/>
  <c r="AA167" i="1"/>
  <c r="AA174" i="1" s="1"/>
  <c r="E14" i="28"/>
  <c r="Z663" i="1"/>
  <c r="Z261" i="1"/>
  <c r="Z271" i="1" s="1"/>
  <c r="U773" i="2"/>
  <c r="U27" i="33" s="1"/>
  <c r="U813" i="2"/>
  <c r="U67" i="33" s="1"/>
  <c r="U817" i="2"/>
  <c r="U71" i="33" s="1"/>
  <c r="U840" i="2"/>
  <c r="U94" i="33" s="1"/>
  <c r="U812" i="2"/>
  <c r="U66" i="33" s="1"/>
  <c r="O840" i="2"/>
  <c r="O94" i="33" s="1"/>
  <c r="O817" i="2"/>
  <c r="O71" i="33" s="1"/>
  <c r="O813" i="2"/>
  <c r="O67" i="33" s="1"/>
  <c r="O812" i="2"/>
  <c r="O66" i="33" s="1"/>
  <c r="O773" i="2"/>
  <c r="O27" i="33" s="1"/>
  <c r="M817" i="2"/>
  <c r="M71" i="33" s="1"/>
  <c r="M813" i="2"/>
  <c r="M67" i="33" s="1"/>
  <c r="M773" i="2"/>
  <c r="M27" i="33" s="1"/>
  <c r="M840" i="2"/>
  <c r="M94" i="33" s="1"/>
  <c r="M812" i="2"/>
  <c r="M66" i="33" s="1"/>
  <c r="Y810" i="2"/>
  <c r="Y64" i="33" s="1"/>
  <c r="R1105" i="2"/>
  <c r="R15" i="2"/>
  <c r="R811" i="2"/>
  <c r="R65" i="33" s="1"/>
  <c r="R816" i="2"/>
  <c r="R70" i="33" s="1"/>
  <c r="R808" i="2"/>
  <c r="R62" i="33" s="1"/>
  <c r="X655" i="1"/>
  <c r="X118" i="1"/>
  <c r="T540" i="1"/>
  <c r="T654" i="1"/>
  <c r="F261" i="2"/>
  <c r="T117" i="1"/>
  <c r="V794" i="2"/>
  <c r="V48" i="33" s="1"/>
  <c r="V723" i="2"/>
  <c r="S794" i="2"/>
  <c r="S48" i="33" s="1"/>
  <c r="S723" i="2"/>
  <c r="K33" i="26"/>
  <c r="L33" i="26" s="1"/>
  <c r="AA191" i="2"/>
  <c r="AB191" i="2" s="1"/>
  <c r="J194" i="2"/>
  <c r="O194" i="2"/>
  <c r="G28" i="28" s="1"/>
  <c r="P194" i="2"/>
  <c r="M194" i="2"/>
  <c r="T194" i="2"/>
  <c r="Q194" i="2"/>
  <c r="T816" i="2"/>
  <c r="T70" i="33" s="1"/>
  <c r="T811" i="2"/>
  <c r="T65" i="33" s="1"/>
  <c r="T808" i="2"/>
  <c r="T62" i="33" s="1"/>
  <c r="G262" i="2"/>
  <c r="O262" i="2"/>
  <c r="P262" i="2"/>
  <c r="S262" i="2"/>
  <c r="Y262" i="2"/>
  <c r="X262" i="2"/>
  <c r="I262" i="2"/>
  <c r="L262" i="2"/>
  <c r="M262" i="2"/>
  <c r="T262" i="2"/>
  <c r="R262" i="2"/>
  <c r="V262" i="2"/>
  <c r="W262" i="2"/>
  <c r="Z262" i="2"/>
  <c r="Q262" i="2"/>
  <c r="H262" i="2"/>
  <c r="K262" i="2"/>
  <c r="U262" i="2"/>
  <c r="N262" i="2"/>
  <c r="J262" i="2"/>
  <c r="AA650" i="1"/>
  <c r="AA480" i="1"/>
  <c r="AA635" i="1" s="1"/>
  <c r="AA472" i="1" s="1"/>
  <c r="AA482" i="1" s="1"/>
  <c r="AA62" i="1"/>
  <c r="AA74" i="1"/>
  <c r="AA65" i="1"/>
  <c r="AA254" i="1"/>
  <c r="AA101" i="1"/>
  <c r="AA583" i="1"/>
  <c r="AA255" i="1"/>
  <c r="AA574" i="1"/>
  <c r="AA460" i="1"/>
  <c r="AA253" i="1"/>
  <c r="AA133" i="1"/>
  <c r="AA269" i="1"/>
  <c r="AA461" i="1"/>
  <c r="AA591" i="1"/>
  <c r="AA252" i="1"/>
  <c r="AA659" i="1"/>
  <c r="AA177" i="1"/>
  <c r="AA183" i="1" s="1"/>
  <c r="V654" i="1"/>
  <c r="V540" i="1"/>
  <c r="V117" i="1"/>
  <c r="V120" i="1" s="1"/>
  <c r="F263" i="2"/>
  <c r="X723" i="2"/>
  <c r="X794" i="2"/>
  <c r="X48" i="33" s="1"/>
  <c r="D35" i="24"/>
  <c r="G35" i="24" s="1"/>
  <c r="K35" i="24" s="1"/>
  <c r="L35" i="24" s="1"/>
  <c r="H794" i="2"/>
  <c r="H48" i="33" s="1"/>
  <c r="H723" i="2"/>
  <c r="Q810" i="2"/>
  <c r="Q64" i="33" s="1"/>
  <c r="N810" i="2"/>
  <c r="N64" i="33" s="1"/>
  <c r="N1105" i="2"/>
  <c r="N15" i="2"/>
  <c r="N194" i="2"/>
  <c r="L550" i="2"/>
  <c r="J550" i="2"/>
  <c r="X550" i="2"/>
  <c r="V550" i="2"/>
  <c r="S550" i="2"/>
  <c r="Z550" i="2"/>
  <c r="G550" i="2"/>
  <c r="I550" i="2"/>
  <c r="W550" i="2"/>
  <c r="T550" i="2"/>
  <c r="P550" i="2"/>
  <c r="M550" i="2"/>
  <c r="K550" i="2"/>
  <c r="Y550" i="2"/>
  <c r="Q550" i="2"/>
  <c r="N550" i="2"/>
  <c r="R550" i="2"/>
  <c r="O550" i="2"/>
  <c r="H550" i="2"/>
  <c r="U550" i="2"/>
  <c r="J608" i="2"/>
  <c r="Z608" i="2"/>
  <c r="W608" i="2"/>
  <c r="N608" i="2"/>
  <c r="L608" i="2"/>
  <c r="G608" i="2"/>
  <c r="Y608" i="2"/>
  <c r="S608" i="2"/>
  <c r="X608" i="2"/>
  <c r="P608" i="2"/>
  <c r="O608" i="2"/>
  <c r="I608" i="2"/>
  <c r="V608" i="2"/>
  <c r="T608" i="2"/>
  <c r="M608" i="2"/>
  <c r="R608" i="2"/>
  <c r="K608" i="2"/>
  <c r="Q608" i="2"/>
  <c r="H608" i="2"/>
  <c r="U608" i="2"/>
  <c r="P665" i="2"/>
  <c r="T665" i="2"/>
  <c r="J665" i="2"/>
  <c r="Z665" i="2"/>
  <c r="X665" i="2"/>
  <c r="M665" i="2"/>
  <c r="W665" i="2"/>
  <c r="Q665" i="2"/>
  <c r="V665" i="2"/>
  <c r="G665" i="2"/>
  <c r="K665" i="2"/>
  <c r="Y665" i="2"/>
  <c r="N665" i="2"/>
  <c r="S665" i="2"/>
  <c r="I665" i="2"/>
  <c r="R665" i="2"/>
  <c r="L665" i="2"/>
  <c r="O665" i="2"/>
  <c r="H665" i="2"/>
  <c r="U665" i="2"/>
  <c r="I382" i="2"/>
  <c r="O382" i="2"/>
  <c r="R382" i="2"/>
  <c r="G382" i="2"/>
  <c r="K382" i="2"/>
  <c r="M382" i="2"/>
  <c r="S382" i="2"/>
  <c r="U382" i="2"/>
  <c r="W382" i="2"/>
  <c r="Z382" i="2"/>
  <c r="H382" i="2"/>
  <c r="N382" i="2"/>
  <c r="P382" i="2"/>
  <c r="Y382" i="2"/>
  <c r="J382" i="2"/>
  <c r="L382" i="2"/>
  <c r="Q382" i="2"/>
  <c r="T382" i="2"/>
  <c r="V382" i="2"/>
  <c r="X382" i="2"/>
  <c r="G440" i="2"/>
  <c r="K440" i="2"/>
  <c r="M440" i="2"/>
  <c r="Q440" i="2"/>
  <c r="S440" i="2"/>
  <c r="X440" i="2"/>
  <c r="I440" i="2"/>
  <c r="P440" i="2"/>
  <c r="V440" i="2"/>
  <c r="Y440" i="2"/>
  <c r="J440" i="2"/>
  <c r="L440" i="2"/>
  <c r="O440" i="2"/>
  <c r="R440" i="2"/>
  <c r="U440" i="2"/>
  <c r="H440" i="2"/>
  <c r="N440" i="2"/>
  <c r="T440" i="2"/>
  <c r="W440" i="2"/>
  <c r="Z440" i="2"/>
  <c r="Z817" i="2"/>
  <c r="Z71" i="33" s="1"/>
  <c r="Z812" i="2"/>
  <c r="Z66" i="33" s="1"/>
  <c r="Z840" i="2"/>
  <c r="Z94" i="33" s="1"/>
  <c r="Z773" i="2"/>
  <c r="Z27" i="33" s="1"/>
  <c r="Z813" i="2"/>
  <c r="Z67" i="33" s="1"/>
  <c r="P723" i="2"/>
  <c r="D32" i="31" s="1"/>
  <c r="P794" i="2"/>
  <c r="P48" i="33" s="1"/>
  <c r="I723" i="2"/>
  <c r="I794" i="2"/>
  <c r="I48" i="33" s="1"/>
  <c r="K723" i="2"/>
  <c r="K794" i="2"/>
  <c r="K48" i="33" s="1"/>
  <c r="N114" i="1"/>
  <c r="W1105" i="2"/>
  <c r="W15" i="2"/>
  <c r="L188" i="2"/>
  <c r="L816" i="2"/>
  <c r="L70" i="33" s="1"/>
  <c r="L811" i="2"/>
  <c r="L65" i="33" s="1"/>
  <c r="L808" i="2"/>
  <c r="L62" i="33" s="1"/>
  <c r="L1105" i="2"/>
  <c r="L15" i="2"/>
  <c r="L810" i="2"/>
  <c r="L64" i="33" s="1"/>
  <c r="H607" i="2"/>
  <c r="H609" i="2" s="1"/>
  <c r="J607" i="2"/>
  <c r="L607" i="2"/>
  <c r="R607" i="2"/>
  <c r="U607" i="2"/>
  <c r="U609" i="2" s="1"/>
  <c r="Y607" i="2"/>
  <c r="M607" i="2"/>
  <c r="O607" i="2"/>
  <c r="S607" i="2"/>
  <c r="W607" i="2"/>
  <c r="G607" i="2"/>
  <c r="I607" i="2"/>
  <c r="K607" i="2"/>
  <c r="P607" i="2"/>
  <c r="T607" i="2"/>
  <c r="X607" i="2"/>
  <c r="Z607" i="2"/>
  <c r="N607" i="2"/>
  <c r="Q607" i="2"/>
  <c r="V607" i="2"/>
  <c r="F609" i="2"/>
  <c r="E28" i="27"/>
  <c r="J188" i="2"/>
  <c r="J811" i="2"/>
  <c r="J65" i="33" s="1"/>
  <c r="J808" i="2"/>
  <c r="J62" i="33" s="1"/>
  <c r="J816" i="2"/>
  <c r="J70" i="33" s="1"/>
  <c r="J1105" i="2"/>
  <c r="J15" i="2"/>
  <c r="E29" i="27"/>
  <c r="J810" i="2"/>
  <c r="U652" i="1"/>
  <c r="U110" i="1"/>
  <c r="U114" i="1" s="1"/>
  <c r="U138" i="1" s="1"/>
  <c r="F148" i="2" s="1"/>
  <c r="Z67" i="1"/>
  <c r="Z667" i="1"/>
  <c r="Z576" i="1"/>
  <c r="Z665" i="1"/>
  <c r="Z533" i="1"/>
  <c r="Z575" i="1"/>
  <c r="Z534" i="1"/>
  <c r="Z592" i="1"/>
  <c r="Z594" i="1" s="1"/>
  <c r="F445" i="2" s="1"/>
  <c r="Z327" i="1"/>
  <c r="Z584" i="1"/>
  <c r="Z326" i="1"/>
  <c r="AA35" i="2"/>
  <c r="AB35" i="2" s="1"/>
  <c r="Y15" i="1"/>
  <c r="Z239" i="1"/>
  <c r="AA34" i="2"/>
  <c r="AB34" i="2" s="1"/>
  <c r="AA248" i="2"/>
  <c r="AB248" i="2" s="1"/>
  <c r="AB156" i="1"/>
  <c r="AB162" i="1" s="1"/>
  <c r="AB569" i="1"/>
  <c r="AB248" i="1"/>
  <c r="AB46" i="1"/>
  <c r="AB633" i="1"/>
  <c r="AB394" i="1" s="1"/>
  <c r="AB400" i="1" s="1"/>
  <c r="AB204" i="1"/>
  <c r="AB638" i="1"/>
  <c r="AB121" i="1" s="1"/>
  <c r="AB421" i="1"/>
  <c r="AB497" i="1"/>
  <c r="AB632" i="1"/>
  <c r="AB384" i="1" s="1"/>
  <c r="AB391" i="1" s="1"/>
  <c r="AA48" i="1"/>
  <c r="D35" i="28"/>
  <c r="G35" i="28" s="1"/>
  <c r="K35" i="28" s="1"/>
  <c r="L35" i="28" s="1"/>
  <c r="I322" i="2"/>
  <c r="K322" i="2"/>
  <c r="Q251" i="2"/>
  <c r="AA91" i="2"/>
  <c r="AB91" i="2" s="1"/>
  <c r="F666" i="2"/>
  <c r="AA663" i="2"/>
  <c r="AB663" i="2" s="1"/>
  <c r="Q609" i="2"/>
  <c r="AA490" i="2"/>
  <c r="AB490" i="2" s="1"/>
  <c r="AA660" i="1"/>
  <c r="AA423" i="1"/>
  <c r="AA188" i="1"/>
  <c r="AA194" i="1" s="1"/>
  <c r="AA206" i="1" s="1"/>
  <c r="Y665" i="1"/>
  <c r="Y533" i="1"/>
  <c r="Y584" i="1"/>
  <c r="Y586" i="1" s="1"/>
  <c r="F383" i="2" s="1"/>
  <c r="Y534" i="1"/>
  <c r="Y327" i="1"/>
  <c r="Y575" i="1"/>
  <c r="Y592" i="1"/>
  <c r="Y594" i="1" s="1"/>
  <c r="F441" i="2" s="1"/>
  <c r="F442" i="2" s="1"/>
  <c r="Y326" i="1"/>
  <c r="Y514" i="1"/>
  <c r="F129" i="2"/>
  <c r="AA320" i="2"/>
  <c r="AB320" i="2" s="1"/>
  <c r="U794" i="2"/>
  <c r="U48" i="33" s="1"/>
  <c r="U723" i="2"/>
  <c r="O794" i="2"/>
  <c r="O48" i="33" s="1"/>
  <c r="O723" i="2"/>
  <c r="D32" i="28" s="1"/>
  <c r="E32" i="28" s="1"/>
  <c r="K32" i="28" s="1"/>
  <c r="L32" i="28" s="1"/>
  <c r="M723" i="2"/>
  <c r="M794" i="2"/>
  <c r="M48" i="33" s="1"/>
  <c r="Y811" i="2"/>
  <c r="Y65" i="33" s="1"/>
  <c r="Y816" i="2"/>
  <c r="Y70" i="33" s="1"/>
  <c r="Y808" i="2"/>
  <c r="Y62" i="33" s="1"/>
  <c r="Y1105" i="2"/>
  <c r="Y15" i="2"/>
  <c r="R810" i="2"/>
  <c r="R64" i="33" s="1"/>
  <c r="R188" i="2"/>
  <c r="J204" i="2"/>
  <c r="M204" i="2"/>
  <c r="V204" i="2"/>
  <c r="T204" i="2"/>
  <c r="Y204" i="2"/>
  <c r="I204" i="2"/>
  <c r="N204" i="2"/>
  <c r="P204" i="2"/>
  <c r="U204" i="2"/>
  <c r="Z204" i="2"/>
  <c r="G204" i="2"/>
  <c r="K204" i="2"/>
  <c r="O204" i="2"/>
  <c r="Q204" i="2"/>
  <c r="W204" i="2"/>
  <c r="H204" i="2"/>
  <c r="L204" i="2"/>
  <c r="S204" i="2"/>
  <c r="R204" i="2"/>
  <c r="X204" i="2"/>
  <c r="T652" i="1"/>
  <c r="T110" i="1"/>
  <c r="T114" i="1" s="1"/>
  <c r="V812" i="2"/>
  <c r="V66" i="33" s="1"/>
  <c r="V813" i="2"/>
  <c r="V67" i="33" s="1"/>
  <c r="V840" i="2"/>
  <c r="V94" i="33" s="1"/>
  <c r="V817" i="2"/>
  <c r="V71" i="33" s="1"/>
  <c r="V773" i="2"/>
  <c r="V27" i="33" s="1"/>
  <c r="S773" i="2"/>
  <c r="S27" i="33" s="1"/>
  <c r="S817" i="2"/>
  <c r="S71" i="33" s="1"/>
  <c r="S813" i="2"/>
  <c r="S67" i="33" s="1"/>
  <c r="S840" i="2"/>
  <c r="S94" i="33" s="1"/>
  <c r="S812" i="2"/>
  <c r="S66" i="33" s="1"/>
  <c r="D35" i="31"/>
  <c r="G35" i="31" s="1"/>
  <c r="K35" i="31" s="1"/>
  <c r="L35" i="31" s="1"/>
  <c r="D35" i="26"/>
  <c r="G35" i="26" s="1"/>
  <c r="K35" i="26" s="1"/>
  <c r="L35" i="26" s="1"/>
  <c r="G355" i="2"/>
  <c r="G20" i="2"/>
  <c r="G136" i="2"/>
  <c r="G298" i="2"/>
  <c r="G527" i="2"/>
  <c r="G479" i="2"/>
  <c r="G241" i="2"/>
  <c r="G127" i="2"/>
  <c r="AA127" i="2" s="1"/>
  <c r="AB127" i="2" s="1"/>
  <c r="G536" i="2"/>
  <c r="G364" i="2"/>
  <c r="G470" i="2"/>
  <c r="G79" i="2"/>
  <c r="G642" i="2"/>
  <c r="G307" i="2"/>
  <c r="G651" i="2"/>
  <c r="G594" i="2"/>
  <c r="G193" i="2"/>
  <c r="G194" i="2" s="1"/>
  <c r="G422" i="2"/>
  <c r="G184" i="2"/>
  <c r="G11" i="2"/>
  <c r="G250" i="2"/>
  <c r="G585" i="2"/>
  <c r="G70" i="2"/>
  <c r="G413" i="2"/>
  <c r="AA1064" i="2"/>
  <c r="AB1064" i="2" s="1"/>
  <c r="S194" i="2"/>
  <c r="I194" i="2"/>
  <c r="K194" i="2"/>
  <c r="H194" i="2"/>
  <c r="R194" i="2"/>
  <c r="U194" i="2"/>
  <c r="T810" i="2"/>
  <c r="T64" i="33" s="1"/>
  <c r="T1105" i="2"/>
  <c r="T15" i="2"/>
  <c r="T188" i="2"/>
  <c r="AA656" i="1"/>
  <c r="AA381" i="1"/>
  <c r="AA425" i="1" s="1"/>
  <c r="AA144" i="1"/>
  <c r="AA153" i="1" s="1"/>
  <c r="AA164" i="1" s="1"/>
  <c r="X67" i="1"/>
  <c r="X667" i="1"/>
  <c r="X576" i="1"/>
  <c r="X578" i="1" s="1"/>
  <c r="E14" i="31"/>
  <c r="E14" i="26"/>
  <c r="V333" i="1"/>
  <c r="F206" i="2"/>
  <c r="X664" i="1"/>
  <c r="X524" i="1"/>
  <c r="X315" i="1"/>
  <c r="X318" i="1"/>
  <c r="X529" i="1"/>
  <c r="X324" i="1"/>
  <c r="X325" i="1"/>
  <c r="X317" i="1"/>
  <c r="X525" i="1"/>
  <c r="X523" i="1"/>
  <c r="X321" i="1"/>
  <c r="X531" i="1"/>
  <c r="X532" i="1"/>
  <c r="X528" i="1"/>
  <c r="X526" i="1"/>
  <c r="X320" i="1"/>
  <c r="X316" i="1"/>
  <c r="AB48" i="1"/>
  <c r="AB666" i="1"/>
  <c r="AC367" i="1"/>
  <c r="AC458" i="1"/>
  <c r="AC506" i="1"/>
  <c r="AC300" i="1"/>
  <c r="AC375" i="1"/>
  <c r="AC364" i="1"/>
  <c r="AC408" i="1"/>
  <c r="AC296" i="1"/>
  <c r="AC374" i="1"/>
  <c r="AC411" i="1"/>
  <c r="AC190" i="1"/>
  <c r="AC386" i="1"/>
  <c r="AC493" i="1"/>
  <c r="AC19" i="1"/>
  <c r="AC172" i="1"/>
  <c r="AC419" i="1"/>
  <c r="AC500" i="1"/>
  <c r="AC39" i="1"/>
  <c r="AC158" i="1"/>
  <c r="AC42" i="1"/>
  <c r="AC502" i="1"/>
  <c r="AD2" i="1"/>
  <c r="AC151" i="1"/>
  <c r="AC180" i="1"/>
  <c r="AC23" i="1"/>
  <c r="AC507" i="1"/>
  <c r="AC37" i="1"/>
  <c r="AC264" i="1" s="1"/>
  <c r="AC409" i="1"/>
  <c r="AC38" i="1"/>
  <c r="AC265" i="1" s="1"/>
  <c r="AC366" i="1"/>
  <c r="AC202" i="1"/>
  <c r="AC40" i="1"/>
  <c r="AC160" i="1"/>
  <c r="AC509" i="1"/>
  <c r="AC492" i="1"/>
  <c r="AC504" i="1"/>
  <c r="AC508" i="1"/>
  <c r="AC168" i="1"/>
  <c r="AC292" i="1"/>
  <c r="AC145" i="1"/>
  <c r="AC494" i="1"/>
  <c r="AC149" i="1"/>
  <c r="AC417" i="1"/>
  <c r="AC377" i="1"/>
  <c r="AC285" i="1"/>
  <c r="AC298" i="1"/>
  <c r="AC189" i="1"/>
  <c r="AC43" i="1"/>
  <c r="AC249" i="1" s="1"/>
  <c r="AC150" i="1"/>
  <c r="AC192" i="1"/>
  <c r="AC510" i="1"/>
  <c r="AC640" i="1"/>
  <c r="AC503" i="1"/>
  <c r="AC505" i="1"/>
  <c r="AC398" i="1"/>
  <c r="AC388" i="1"/>
  <c r="AC389" i="1"/>
  <c r="AC368" i="1"/>
  <c r="AC581" i="1"/>
  <c r="AC476" i="1"/>
  <c r="AC27" i="1"/>
  <c r="AC131" i="1"/>
  <c r="AC171" i="1"/>
  <c r="AC396" i="1"/>
  <c r="AC146" i="1"/>
  <c r="AC113" i="1"/>
  <c r="AC157" i="1"/>
  <c r="AC215" i="1"/>
  <c r="AC639" i="1"/>
  <c r="AC41" i="1"/>
  <c r="AC479" i="1" s="1"/>
  <c r="AC148" i="1"/>
  <c r="AC407" i="1"/>
  <c r="AC147" i="1"/>
  <c r="AC33" i="1"/>
  <c r="AC651" i="1" s="1"/>
  <c r="AC178" i="1"/>
  <c r="AC301" i="1"/>
  <c r="AC387" i="1"/>
  <c r="AC36" i="1"/>
  <c r="AC263" i="1" s="1"/>
  <c r="AC73" i="1"/>
  <c r="AC216" i="1"/>
  <c r="AC501" i="1"/>
  <c r="AC266" i="1"/>
  <c r="AC191" i="1"/>
  <c r="AC459" i="1"/>
  <c r="AC170" i="1"/>
  <c r="AC385" i="1"/>
  <c r="AC410" i="1"/>
  <c r="AC376" i="1"/>
  <c r="AC295" i="1"/>
  <c r="AC284" i="1"/>
  <c r="AC159" i="1"/>
  <c r="AC251" i="1"/>
  <c r="AC99" i="1"/>
  <c r="AC201" i="1"/>
  <c r="AC169" i="1"/>
  <c r="AC363" i="1"/>
  <c r="AC395" i="1"/>
  <c r="AC181" i="1"/>
  <c r="AC199" i="1"/>
  <c r="AC179" i="1"/>
  <c r="AC302" i="1"/>
  <c r="AC429" i="1"/>
  <c r="AC293" i="1"/>
  <c r="AC416" i="1"/>
  <c r="AC286" i="1"/>
  <c r="AC397" i="1"/>
  <c r="AC294" i="1"/>
  <c r="AC44" i="1"/>
  <c r="AC64" i="1"/>
  <c r="AC491" i="1"/>
  <c r="AC418" i="1"/>
  <c r="AC478" i="1"/>
  <c r="AC430" i="1"/>
  <c r="AC297" i="1"/>
  <c r="AC495" i="1"/>
  <c r="AC283" i="1"/>
  <c r="AC589" i="1"/>
  <c r="AC200" i="1"/>
  <c r="AC217" i="1"/>
  <c r="AC72" i="1"/>
  <c r="AC365" i="1"/>
  <c r="AC63" i="1"/>
  <c r="AC287" i="1"/>
  <c r="AC299" i="1"/>
  <c r="AC475" i="1"/>
  <c r="AC247" i="1"/>
  <c r="AC248" i="1"/>
  <c r="AC445" i="1"/>
  <c r="AC573" i="1"/>
  <c r="AC441" i="1"/>
  <c r="AC443" i="1"/>
  <c r="AC572" i="1"/>
  <c r="AC446" i="1"/>
  <c r="AC438" i="1"/>
  <c r="AC442" i="1"/>
  <c r="AC439" i="1"/>
  <c r="AC267" i="1"/>
  <c r="AC229" i="1"/>
  <c r="AC262" i="1"/>
  <c r="AC473" i="1"/>
  <c r="AC456" i="1"/>
  <c r="AC477" i="1"/>
  <c r="AC245" i="1"/>
  <c r="X817" i="2"/>
  <c r="X71" i="33" s="1"/>
  <c r="X773" i="2"/>
  <c r="X27" i="33" s="1"/>
  <c r="X840" i="2"/>
  <c r="X94" i="33" s="1"/>
  <c r="X813" i="2"/>
  <c r="X67" i="33" s="1"/>
  <c r="X812" i="2"/>
  <c r="X66" i="33" s="1"/>
  <c r="K33" i="28"/>
  <c r="L33" i="28" s="1"/>
  <c r="H817" i="2"/>
  <c r="H71" i="33" s="1"/>
  <c r="H812" i="2"/>
  <c r="H66" i="33" s="1"/>
  <c r="H813" i="2"/>
  <c r="H67" i="33" s="1"/>
  <c r="H840" i="2"/>
  <c r="H94" i="33" s="1"/>
  <c r="H773" i="2"/>
  <c r="H27" i="33" s="1"/>
  <c r="W655" i="1"/>
  <c r="W118" i="1"/>
  <c r="Q15" i="2"/>
  <c r="Q1105" i="2"/>
  <c r="Q811" i="2"/>
  <c r="Q65" i="33" s="1"/>
  <c r="Q808" i="2"/>
  <c r="Q62" i="33" s="1"/>
  <c r="Q816" i="2"/>
  <c r="Q70" i="33" s="1"/>
  <c r="Q188" i="2"/>
  <c r="N811" i="2"/>
  <c r="N65" i="33" s="1"/>
  <c r="N816" i="2"/>
  <c r="N70" i="33" s="1"/>
  <c r="N808" i="2"/>
  <c r="N62" i="33" s="1"/>
  <c r="N188" i="2"/>
  <c r="F493" i="2"/>
  <c r="W606" i="1"/>
  <c r="O93" i="2"/>
  <c r="V93" i="2"/>
  <c r="Q93" i="2"/>
  <c r="S93" i="2"/>
  <c r="R93" i="2"/>
  <c r="T93" i="2"/>
  <c r="N93" i="2"/>
  <c r="M93" i="2"/>
  <c r="J93" i="2"/>
  <c r="P93" i="2"/>
  <c r="K93" i="2"/>
  <c r="I93" i="2"/>
  <c r="W93" i="2"/>
  <c r="L93" i="2"/>
  <c r="G93" i="2"/>
  <c r="X93" i="2"/>
  <c r="Y93" i="2"/>
  <c r="Z93" i="2"/>
  <c r="H93" i="2"/>
  <c r="U93" i="2"/>
  <c r="I491" i="2"/>
  <c r="P491" i="2"/>
  <c r="R491" i="2"/>
  <c r="T491" i="2"/>
  <c r="W491" i="2"/>
  <c r="Y491" i="2"/>
  <c r="G491" i="2"/>
  <c r="M491" i="2"/>
  <c r="O491" i="2"/>
  <c r="L491" i="2"/>
  <c r="S491" i="2"/>
  <c r="V491" i="2"/>
  <c r="X491" i="2"/>
  <c r="Z491" i="2"/>
  <c r="Q491" i="2"/>
  <c r="H491" i="2"/>
  <c r="U491" i="2"/>
  <c r="K491" i="2"/>
  <c r="N491" i="2"/>
  <c r="J491" i="2"/>
  <c r="AA146" i="2"/>
  <c r="AB146" i="2" s="1"/>
  <c r="Z794" i="2"/>
  <c r="Z48" i="33" s="1"/>
  <c r="Z723" i="2"/>
  <c r="K33" i="31"/>
  <c r="L33" i="31" s="1"/>
  <c r="P773" i="2"/>
  <c r="P27" i="33" s="1"/>
  <c r="P840" i="2"/>
  <c r="P94" i="33" s="1"/>
  <c r="P817" i="2"/>
  <c r="P71" i="33" s="1"/>
  <c r="P812" i="2"/>
  <c r="P66" i="33" s="1"/>
  <c r="P813" i="2"/>
  <c r="P67" i="33" s="1"/>
  <c r="I812" i="2"/>
  <c r="I66" i="33" s="1"/>
  <c r="I813" i="2"/>
  <c r="I67" i="33" s="1"/>
  <c r="I817" i="2"/>
  <c r="I71" i="33" s="1"/>
  <c r="I840" i="2"/>
  <c r="I94" i="33" s="1"/>
  <c r="I773" i="2"/>
  <c r="I27" i="33" s="1"/>
  <c r="K813" i="2"/>
  <c r="K67" i="33" s="1"/>
  <c r="K812" i="2"/>
  <c r="K66" i="33" s="1"/>
  <c r="K773" i="2"/>
  <c r="K27" i="33" s="1"/>
  <c r="K817" i="2"/>
  <c r="K71" i="33" s="1"/>
  <c r="K840" i="2"/>
  <c r="K94" i="33" s="1"/>
  <c r="W810" i="2"/>
  <c r="W64" i="33" s="1"/>
  <c r="W808" i="2"/>
  <c r="W62" i="33" s="1"/>
  <c r="W811" i="2"/>
  <c r="W65" i="33" s="1"/>
  <c r="W816" i="2"/>
  <c r="W70" i="33" s="1"/>
  <c r="L194" i="2"/>
  <c r="F492" i="2"/>
  <c r="V606" i="1"/>
  <c r="V608" i="1" s="1"/>
  <c r="I664" i="2"/>
  <c r="N664" i="2"/>
  <c r="Q664" i="2"/>
  <c r="Q666" i="2" s="1"/>
  <c r="U664" i="2"/>
  <c r="U666" i="2" s="1"/>
  <c r="G664" i="2"/>
  <c r="K664" i="2"/>
  <c r="K666" i="2" s="1"/>
  <c r="P664" i="2"/>
  <c r="T664" i="2"/>
  <c r="W664" i="2"/>
  <c r="Z664" i="2"/>
  <c r="H664" i="2"/>
  <c r="H666" i="2" s="1"/>
  <c r="M664" i="2"/>
  <c r="O664" i="2"/>
  <c r="S664" i="2"/>
  <c r="Y664" i="2"/>
  <c r="J664" i="2"/>
  <c r="L664" i="2"/>
  <c r="R664" i="2"/>
  <c r="V664" i="2"/>
  <c r="X664" i="2"/>
  <c r="J549" i="2"/>
  <c r="N549" i="2"/>
  <c r="U549" i="2"/>
  <c r="U551" i="2" s="1"/>
  <c r="X549" i="2"/>
  <c r="I549" i="2"/>
  <c r="M549" i="2"/>
  <c r="P549" i="2"/>
  <c r="S549" i="2"/>
  <c r="V549" i="2"/>
  <c r="Z549" i="2"/>
  <c r="G549" i="2"/>
  <c r="L549" i="2"/>
  <c r="Q549" i="2"/>
  <c r="Q551" i="2" s="1"/>
  <c r="W549" i="2"/>
  <c r="H549" i="2"/>
  <c r="H551" i="2" s="1"/>
  <c r="K549" i="2"/>
  <c r="O549" i="2"/>
  <c r="R549" i="2"/>
  <c r="R551" i="2" s="1"/>
  <c r="T549" i="2"/>
  <c r="Y549" i="2"/>
  <c r="L92" i="2"/>
  <c r="O92" i="2"/>
  <c r="R92" i="2"/>
  <c r="T92" i="2"/>
  <c r="X92" i="2"/>
  <c r="I92" i="2"/>
  <c r="K92" i="2"/>
  <c r="P92" i="2"/>
  <c r="W92" i="2"/>
  <c r="Z92" i="2"/>
  <c r="G92" i="2"/>
  <c r="N92" i="2"/>
  <c r="Q92" i="2"/>
  <c r="S92" i="2"/>
  <c r="V92" i="2"/>
  <c r="H92" i="2"/>
  <c r="J92" i="2"/>
  <c r="M92" i="2"/>
  <c r="U92" i="2"/>
  <c r="U94" i="2" s="1"/>
  <c r="Y92" i="2"/>
  <c r="G30" i="27"/>
  <c r="E30" i="27"/>
  <c r="E14" i="27"/>
  <c r="G29" i="27"/>
  <c r="L205" i="2"/>
  <c r="O205" i="2"/>
  <c r="T205" i="2"/>
  <c r="S205" i="2"/>
  <c r="X205" i="2"/>
  <c r="Z205" i="2"/>
  <c r="I205" i="2"/>
  <c r="G205" i="2"/>
  <c r="P205" i="2"/>
  <c r="M205" i="2"/>
  <c r="R205" i="2"/>
  <c r="V205" i="2"/>
  <c r="W205" i="2"/>
  <c r="Y205" i="2"/>
  <c r="Q205" i="2"/>
  <c r="H205" i="2"/>
  <c r="U205" i="2"/>
  <c r="K205" i="2"/>
  <c r="N205" i="2"/>
  <c r="J205" i="2"/>
  <c r="L322" i="2"/>
  <c r="M322" i="2"/>
  <c r="Y194" i="2"/>
  <c r="Y251" i="2"/>
  <c r="Z586" i="1"/>
  <c r="F387" i="2" s="1"/>
  <c r="Z578" i="1"/>
  <c r="W536" i="1"/>
  <c r="W538" i="1" s="1"/>
  <c r="W329" i="1"/>
  <c r="W331" i="1" s="1"/>
  <c r="Y273" i="1"/>
  <c r="Y275" i="1" s="1"/>
  <c r="AB448" i="1"/>
  <c r="AB289" i="1"/>
  <c r="AB413" i="1"/>
  <c r="AB453" i="1"/>
  <c r="AB629" i="1"/>
  <c r="AB362" i="1" s="1"/>
  <c r="AB370" i="1" s="1"/>
  <c r="AB304" i="1"/>
  <c r="AB512" i="1"/>
  <c r="P322" i="2"/>
  <c r="O322" i="2"/>
  <c r="H322" i="2"/>
  <c r="N322" i="2"/>
  <c r="Z208" i="1"/>
  <c r="Z221" i="1" s="1"/>
  <c r="Z425" i="1"/>
  <c r="AA321" i="2"/>
  <c r="AB321" i="2" s="1"/>
  <c r="F551" i="2"/>
  <c r="AA548" i="2"/>
  <c r="AB548" i="2" s="1"/>
  <c r="R666" i="2"/>
  <c r="AA606" i="2"/>
  <c r="AB606" i="2" s="1"/>
  <c r="AA33" i="2"/>
  <c r="AB33" i="2" s="1"/>
  <c r="AA143" i="2"/>
  <c r="AB143" i="2" s="1"/>
  <c r="K551" i="2" l="1"/>
  <c r="K609" i="2"/>
  <c r="Q94" i="2"/>
  <c r="D33" i="27"/>
  <c r="E33" i="27" s="1"/>
  <c r="J64" i="33"/>
  <c r="R609" i="2"/>
  <c r="AC246" i="1"/>
  <c r="AC457" i="1"/>
  <c r="Z662" i="1"/>
  <c r="AA228" i="1"/>
  <c r="AA235" i="1"/>
  <c r="AC453" i="1"/>
  <c r="Z816" i="2"/>
  <c r="Z70" i="33" s="1"/>
  <c r="Z808" i="2"/>
  <c r="Z62" i="33" s="1"/>
  <c r="Z811" i="2"/>
  <c r="Z65" i="33" s="1"/>
  <c r="AB211" i="1"/>
  <c r="AB428" i="1"/>
  <c r="AB432" i="1" s="1"/>
  <c r="AB213" i="1"/>
  <c r="AB214" i="1"/>
  <c r="AB212" i="1"/>
  <c r="AA219" i="1"/>
  <c r="AC455" i="1"/>
  <c r="AC454" i="1"/>
  <c r="AC289" i="1"/>
  <c r="AC497" i="1"/>
  <c r="AC421" i="1"/>
  <c r="AC629" i="1"/>
  <c r="AC362" i="1" s="1"/>
  <c r="AC370" i="1" s="1"/>
  <c r="AC144" i="1" s="1"/>
  <c r="AC153" i="1" s="1"/>
  <c r="AC632" i="1"/>
  <c r="AC384" i="1" s="1"/>
  <c r="AC391" i="1" s="1"/>
  <c r="AC167" i="1" s="1"/>
  <c r="AC174" i="1" s="1"/>
  <c r="AC413" i="1"/>
  <c r="AC188" i="1" s="1"/>
  <c r="AC194" i="1" s="1"/>
  <c r="H94" i="2"/>
  <c r="K94" i="2"/>
  <c r="F325" i="2"/>
  <c r="G28" i="14"/>
  <c r="AA194" i="2"/>
  <c r="AB194" i="2" s="1"/>
  <c r="I445" i="2"/>
  <c r="V445" i="2"/>
  <c r="W445" i="2"/>
  <c r="Y445" i="2"/>
  <c r="L445" i="2"/>
  <c r="Z445" i="2"/>
  <c r="X445" i="2"/>
  <c r="S445" i="2"/>
  <c r="R445" i="2"/>
  <c r="J445" i="2"/>
  <c r="Q445" i="2"/>
  <c r="P445" i="2"/>
  <c r="T445" i="2"/>
  <c r="M445" i="2"/>
  <c r="K445" i="2"/>
  <c r="U445" i="2"/>
  <c r="O445" i="2"/>
  <c r="G445" i="2"/>
  <c r="H445" i="2"/>
  <c r="N445" i="2"/>
  <c r="AB656" i="1"/>
  <c r="AB381" i="1"/>
  <c r="AB144" i="1"/>
  <c r="AB153" i="1" s="1"/>
  <c r="AB164" i="1" s="1"/>
  <c r="W333" i="1"/>
  <c r="W608" i="1"/>
  <c r="F207" i="2"/>
  <c r="I387" i="2"/>
  <c r="V387" i="2"/>
  <c r="X387" i="2"/>
  <c r="Z387" i="2"/>
  <c r="L387" i="2"/>
  <c r="W387" i="2"/>
  <c r="Y387" i="2"/>
  <c r="T387" i="2"/>
  <c r="M387" i="2"/>
  <c r="K387" i="2"/>
  <c r="Q387" i="2"/>
  <c r="O387" i="2"/>
  <c r="S387" i="2"/>
  <c r="U387" i="2"/>
  <c r="R387" i="2"/>
  <c r="J387" i="2"/>
  <c r="P387" i="2"/>
  <c r="G387" i="2"/>
  <c r="H387" i="2"/>
  <c r="N387" i="2"/>
  <c r="AB660" i="1"/>
  <c r="AB423" i="1"/>
  <c r="AB188" i="1"/>
  <c r="AB194" i="1" s="1"/>
  <c r="AB206" i="1" s="1"/>
  <c r="AB661" i="1"/>
  <c r="AB224" i="1"/>
  <c r="AB233" i="1"/>
  <c r="AB228" i="1"/>
  <c r="AB231" i="1"/>
  <c r="AB237" i="1"/>
  <c r="AB235" i="1"/>
  <c r="AB226" i="1"/>
  <c r="AB225" i="1"/>
  <c r="AB232" i="1"/>
  <c r="AB234" i="1"/>
  <c r="AB227" i="1"/>
  <c r="W654" i="1"/>
  <c r="W540" i="1"/>
  <c r="W117" i="1"/>
  <c r="W120" i="1" s="1"/>
  <c r="F264" i="2"/>
  <c r="F330" i="2"/>
  <c r="AA205" i="2"/>
  <c r="AB205" i="2" s="1"/>
  <c r="AA664" i="2"/>
  <c r="AB664" i="2" s="1"/>
  <c r="G666" i="2"/>
  <c r="H492" i="2"/>
  <c r="N492" i="2"/>
  <c r="T492" i="2"/>
  <c r="X492" i="2"/>
  <c r="I492" i="2"/>
  <c r="L492" i="2"/>
  <c r="O492" i="2"/>
  <c r="R492" i="2"/>
  <c r="U492" i="2"/>
  <c r="Y492" i="2"/>
  <c r="G492" i="2"/>
  <c r="K492" i="2"/>
  <c r="P492" i="2"/>
  <c r="W492" i="2"/>
  <c r="Z492" i="2"/>
  <c r="J492" i="2"/>
  <c r="M492" i="2"/>
  <c r="M494" i="2" s="1"/>
  <c r="Q492" i="2"/>
  <c r="S492" i="2"/>
  <c r="V492" i="2"/>
  <c r="F494" i="2"/>
  <c r="G94" i="2"/>
  <c r="AA93" i="2"/>
  <c r="AB93" i="2" s="1"/>
  <c r="R493" i="2"/>
  <c r="R494" i="2" s="1"/>
  <c r="S493" i="2"/>
  <c r="Q493" i="2"/>
  <c r="K493" i="2"/>
  <c r="W493" i="2"/>
  <c r="M493" i="2"/>
  <c r="J493" i="2"/>
  <c r="V493" i="2"/>
  <c r="I493" i="2"/>
  <c r="T493" i="2"/>
  <c r="L493" i="2"/>
  <c r="Z493" i="2"/>
  <c r="Y493" i="2"/>
  <c r="P493" i="2"/>
  <c r="X493" i="2"/>
  <c r="O493" i="2"/>
  <c r="G493" i="2"/>
  <c r="N493" i="2"/>
  <c r="N494" i="2" s="1"/>
  <c r="H493" i="2"/>
  <c r="U493" i="2"/>
  <c r="Q723" i="2"/>
  <c r="Q794" i="2"/>
  <c r="Q48" i="33" s="1"/>
  <c r="AC656" i="1"/>
  <c r="AB649" i="1"/>
  <c r="AB12" i="1"/>
  <c r="AB134" i="1"/>
  <c r="AB9" i="1"/>
  <c r="AB103" i="1"/>
  <c r="AB13" i="1"/>
  <c r="AB58" i="1"/>
  <c r="AB11" i="1"/>
  <c r="AB10" i="1"/>
  <c r="AB61" i="1"/>
  <c r="AB60" i="1"/>
  <c r="AB102" i="1"/>
  <c r="AB75" i="1"/>
  <c r="G206" i="2"/>
  <c r="H206" i="2"/>
  <c r="K206" i="2"/>
  <c r="L206" i="2"/>
  <c r="N206" i="2"/>
  <c r="P206" i="2"/>
  <c r="S206" i="2"/>
  <c r="U206" i="2"/>
  <c r="Y206" i="2"/>
  <c r="W206" i="2"/>
  <c r="I206" i="2"/>
  <c r="J206" i="2"/>
  <c r="O206" i="2"/>
  <c r="M206" i="2"/>
  <c r="R206" i="2"/>
  <c r="Q206" i="2"/>
  <c r="T206" i="2"/>
  <c r="V206" i="2"/>
  <c r="Z206" i="2"/>
  <c r="X206" i="2"/>
  <c r="V652" i="1"/>
  <c r="V110" i="1"/>
  <c r="V114" i="1" s="1"/>
  <c r="V138" i="1" s="1"/>
  <c r="F149" i="2" s="1"/>
  <c r="X93" i="1"/>
  <c r="X96" i="1" s="1"/>
  <c r="X653" i="1"/>
  <c r="X79" i="1"/>
  <c r="X111" i="1"/>
  <c r="X126" i="1"/>
  <c r="X123" i="1"/>
  <c r="F38" i="2"/>
  <c r="X112" i="1"/>
  <c r="X124" i="1"/>
  <c r="X125" i="1"/>
  <c r="T794" i="2"/>
  <c r="T48" i="33" s="1"/>
  <c r="T723" i="2"/>
  <c r="G28" i="26"/>
  <c r="AA413" i="2"/>
  <c r="AB413" i="2" s="1"/>
  <c r="G417" i="2"/>
  <c r="AA585" i="2"/>
  <c r="AB585" i="2" s="1"/>
  <c r="G589" i="2"/>
  <c r="AA11" i="2"/>
  <c r="AB11" i="2" s="1"/>
  <c r="G1105" i="2"/>
  <c r="G15" i="2"/>
  <c r="AA422" i="2"/>
  <c r="AB422" i="2" s="1"/>
  <c r="G423" i="2"/>
  <c r="AA423" i="2" s="1"/>
  <c r="AB423" i="2" s="1"/>
  <c r="AA594" i="2"/>
  <c r="AB594" i="2" s="1"/>
  <c r="G595" i="2"/>
  <c r="AA595" i="2" s="1"/>
  <c r="AB595" i="2" s="1"/>
  <c r="AA307" i="2"/>
  <c r="AB307" i="2" s="1"/>
  <c r="G308" i="2"/>
  <c r="G80" i="2"/>
  <c r="AA80" i="2" s="1"/>
  <c r="AB80" i="2" s="1"/>
  <c r="AA79" i="2"/>
  <c r="AB79" i="2" s="1"/>
  <c r="AA364" i="2"/>
  <c r="AB364" i="2" s="1"/>
  <c r="G365" i="2"/>
  <c r="E14" i="14"/>
  <c r="AA479" i="2"/>
  <c r="AB479" i="2" s="1"/>
  <c r="G480" i="2"/>
  <c r="AA480" i="2" s="1"/>
  <c r="AB480" i="2" s="1"/>
  <c r="AA298" i="2"/>
  <c r="AB298" i="2" s="1"/>
  <c r="G302" i="2"/>
  <c r="G21" i="2"/>
  <c r="AA20" i="2"/>
  <c r="AB20" i="2" s="1"/>
  <c r="Y723" i="2"/>
  <c r="Y794" i="2"/>
  <c r="Y48" i="33" s="1"/>
  <c r="AB402" i="1"/>
  <c r="AB658" i="1"/>
  <c r="AB167" i="1"/>
  <c r="AB174" i="1" s="1"/>
  <c r="AB659" i="1"/>
  <c r="AB177" i="1"/>
  <c r="AB183" i="1" s="1"/>
  <c r="Y67" i="1"/>
  <c r="Y667" i="1"/>
  <c r="Y576" i="1"/>
  <c r="Z79" i="1"/>
  <c r="Z653" i="1"/>
  <c r="Z93" i="1"/>
  <c r="Z96" i="1" s="1"/>
  <c r="Z111" i="1"/>
  <c r="F43" i="2"/>
  <c r="Z124" i="1"/>
  <c r="Z126" i="1"/>
  <c r="Z125" i="1"/>
  <c r="Z123" i="1"/>
  <c r="Z112" i="1"/>
  <c r="J723" i="2"/>
  <c r="J794" i="2"/>
  <c r="J48" i="33" s="1"/>
  <c r="D35" i="27"/>
  <c r="G35" i="27" s="1"/>
  <c r="K35" i="27" s="1"/>
  <c r="L35" i="27" s="1"/>
  <c r="L773" i="2"/>
  <c r="L27" i="33" s="1"/>
  <c r="L812" i="2"/>
  <c r="L66" i="33" s="1"/>
  <c r="L817" i="2"/>
  <c r="L71" i="33" s="1"/>
  <c r="L813" i="2"/>
  <c r="L67" i="33" s="1"/>
  <c r="L840" i="2"/>
  <c r="L94" i="33" s="1"/>
  <c r="W812" i="2"/>
  <c r="W66" i="33" s="1"/>
  <c r="W773" i="2"/>
  <c r="W27" i="33" s="1"/>
  <c r="W840" i="2"/>
  <c r="W94" i="33" s="1"/>
  <c r="W813" i="2"/>
  <c r="W67" i="33" s="1"/>
  <c r="W817" i="2"/>
  <c r="W71" i="33" s="1"/>
  <c r="AA440" i="2"/>
  <c r="AB440" i="2" s="1"/>
  <c r="AA382" i="2"/>
  <c r="AB382" i="2" s="1"/>
  <c r="G609" i="2"/>
  <c r="AA608" i="2"/>
  <c r="AB608" i="2" s="1"/>
  <c r="N773" i="2"/>
  <c r="N27" i="33" s="1"/>
  <c r="N817" i="2"/>
  <c r="N71" i="33" s="1"/>
  <c r="N813" i="2"/>
  <c r="N67" i="33" s="1"/>
  <c r="N840" i="2"/>
  <c r="N94" i="33" s="1"/>
  <c r="N812" i="2"/>
  <c r="N66" i="33" s="1"/>
  <c r="D32" i="24"/>
  <c r="E32" i="24" s="1"/>
  <c r="K32" i="24" s="1"/>
  <c r="L32" i="24" s="1"/>
  <c r="G263" i="2"/>
  <c r="I263" i="2"/>
  <c r="L263" i="2"/>
  <c r="O263" i="2"/>
  <c r="Q263" i="2"/>
  <c r="T263" i="2"/>
  <c r="R263" i="2"/>
  <c r="V263" i="2"/>
  <c r="J263" i="2"/>
  <c r="K263" i="2"/>
  <c r="N263" i="2"/>
  <c r="P263" i="2"/>
  <c r="W263" i="2"/>
  <c r="Y263" i="2"/>
  <c r="H263" i="2"/>
  <c r="M263" i="2"/>
  <c r="S263" i="2"/>
  <c r="U263" i="2"/>
  <c r="X263" i="2"/>
  <c r="Z263" i="2"/>
  <c r="T120" i="1"/>
  <c r="R794" i="2"/>
  <c r="R48" i="33" s="1"/>
  <c r="R723" i="2"/>
  <c r="AA92" i="2"/>
  <c r="AB92" i="2" s="1"/>
  <c r="AA549" i="2"/>
  <c r="AB549" i="2" s="1"/>
  <c r="Q494" i="2"/>
  <c r="X494" i="2"/>
  <c r="O494" i="2"/>
  <c r="AA491" i="2"/>
  <c r="AB491" i="2" s="1"/>
  <c r="I494" i="2"/>
  <c r="Y94" i="2"/>
  <c r="W94" i="2"/>
  <c r="J94" i="2"/>
  <c r="N94" i="2"/>
  <c r="R94" i="2"/>
  <c r="O94" i="2"/>
  <c r="AC204" i="1"/>
  <c r="AC206" i="1" s="1"/>
  <c r="AC633" i="1"/>
  <c r="AC394" i="1" s="1"/>
  <c r="AC400" i="1" s="1"/>
  <c r="AC402" i="1" s="1"/>
  <c r="AC641" i="1"/>
  <c r="AC452" i="1"/>
  <c r="AC230" i="1"/>
  <c r="AC236" i="1"/>
  <c r="AC590" i="1"/>
  <c r="AC250" i="1"/>
  <c r="AC444" i="1"/>
  <c r="AC304" i="1"/>
  <c r="AC638" i="1"/>
  <c r="AC121" i="1" s="1"/>
  <c r="AC512" i="1"/>
  <c r="AC29" i="1"/>
  <c r="AC631" i="1"/>
  <c r="AC373" i="1" s="1"/>
  <c r="AC379" i="1" s="1"/>
  <c r="Y578" i="1"/>
  <c r="AA607" i="2"/>
  <c r="AB607" i="2" s="1"/>
  <c r="O666" i="2"/>
  <c r="S666" i="2"/>
  <c r="Y666" i="2"/>
  <c r="AA665" i="2"/>
  <c r="AB665" i="2" s="1"/>
  <c r="M666" i="2"/>
  <c r="Z666" i="2"/>
  <c r="T666" i="2"/>
  <c r="T609" i="2"/>
  <c r="I609" i="2"/>
  <c r="P609" i="2"/>
  <c r="S609" i="2"/>
  <c r="N609" i="2"/>
  <c r="Z609" i="2"/>
  <c r="O551" i="2"/>
  <c r="N551" i="2"/>
  <c r="Y551" i="2"/>
  <c r="M551" i="2"/>
  <c r="T551" i="2"/>
  <c r="I551" i="2"/>
  <c r="Z551" i="2"/>
  <c r="V551" i="2"/>
  <c r="J551" i="2"/>
  <c r="AA634" i="1"/>
  <c r="AA451" i="1" s="1"/>
  <c r="AA463" i="1" s="1"/>
  <c r="AA262" i="2"/>
  <c r="AB262" i="2" s="1"/>
  <c r="AA185" i="1"/>
  <c r="Z273" i="1"/>
  <c r="Z275" i="1" s="1"/>
  <c r="Q812" i="2"/>
  <c r="Q66" i="33" s="1"/>
  <c r="Q817" i="2"/>
  <c r="Q71" i="33" s="1"/>
  <c r="Q773" i="2"/>
  <c r="Q27" i="33" s="1"/>
  <c r="Q813" i="2"/>
  <c r="Q67" i="33" s="1"/>
  <c r="Q840" i="2"/>
  <c r="Q94" i="33" s="1"/>
  <c r="AC658" i="1"/>
  <c r="AC423" i="1"/>
  <c r="AC660" i="1"/>
  <c r="AD215" i="1"/>
  <c r="AD251" i="1"/>
  <c r="AD294" i="1"/>
  <c r="AD640" i="1"/>
  <c r="AD417" i="1"/>
  <c r="AD419" i="1"/>
  <c r="AD301" i="1"/>
  <c r="AD178" i="1"/>
  <c r="AD192" i="1"/>
  <c r="AD283" i="1"/>
  <c r="AE2" i="1"/>
  <c r="AD503" i="1"/>
  <c r="AD410" i="1"/>
  <c r="AD285" i="1"/>
  <c r="AD169" i="1"/>
  <c r="AD201" i="1"/>
  <c r="AD168" i="1"/>
  <c r="AD363" i="1"/>
  <c r="AD385" i="1"/>
  <c r="AD387" i="1"/>
  <c r="AD502" i="1"/>
  <c r="AD158" i="1"/>
  <c r="AD99" i="1"/>
  <c r="AD202" i="1"/>
  <c r="AD42" i="1"/>
  <c r="AD131" i="1"/>
  <c r="AD43" i="1"/>
  <c r="AD249" i="1" s="1"/>
  <c r="AD148" i="1"/>
  <c r="AD181" i="1"/>
  <c r="AD508" i="1"/>
  <c r="AD145" i="1"/>
  <c r="AD113" i="1"/>
  <c r="AD73" i="1"/>
  <c r="AD151" i="1"/>
  <c r="AD284" i="1"/>
  <c r="AD286" i="1"/>
  <c r="AD494" i="1"/>
  <c r="AD63" i="1"/>
  <c r="AD40" i="1"/>
  <c r="AD157" i="1"/>
  <c r="AD39" i="1"/>
  <c r="AD409" i="1"/>
  <c r="AD296" i="1"/>
  <c r="AD298" i="1"/>
  <c r="AD189" i="1"/>
  <c r="AD376" i="1"/>
  <c r="AD300" i="1"/>
  <c r="AD302" i="1"/>
  <c r="AD295" i="1"/>
  <c r="AD386" i="1"/>
  <c r="AD199" i="1"/>
  <c r="AD180" i="1"/>
  <c r="AD492" i="1"/>
  <c r="AD375" i="1"/>
  <c r="AD293" i="1"/>
  <c r="AD407" i="1"/>
  <c r="AD459" i="1"/>
  <c r="AD287" i="1"/>
  <c r="AD478" i="1"/>
  <c r="AD505" i="1"/>
  <c r="AD504" i="1"/>
  <c r="AD589" i="1"/>
  <c r="AD509" i="1"/>
  <c r="AD146" i="1"/>
  <c r="AD150" i="1"/>
  <c r="AD160" i="1"/>
  <c r="AD396" i="1"/>
  <c r="AD200" i="1"/>
  <c r="AD491" i="1"/>
  <c r="AD501" i="1"/>
  <c r="AD506" i="1"/>
  <c r="AD190" i="1"/>
  <c r="AD171" i="1"/>
  <c r="AD374" i="1"/>
  <c r="AD64" i="1"/>
  <c r="AD507" i="1"/>
  <c r="AD411" i="1"/>
  <c r="AD36" i="1"/>
  <c r="AD246" i="1" s="1"/>
  <c r="AD500" i="1"/>
  <c r="AD147" i="1"/>
  <c r="AD37" i="1"/>
  <c r="AD72" i="1"/>
  <c r="AD149" i="1"/>
  <c r="AD418" i="1"/>
  <c r="AD430" i="1"/>
  <c r="AD364" i="1"/>
  <c r="AD429" i="1"/>
  <c r="AD292" i="1"/>
  <c r="AD367" i="1"/>
  <c r="AD456" i="1"/>
  <c r="AD395" i="1"/>
  <c r="AD191" i="1"/>
  <c r="AD397" i="1"/>
  <c r="AD408" i="1"/>
  <c r="AD366" i="1"/>
  <c r="AD368" i="1"/>
  <c r="AD639" i="1"/>
  <c r="AD641" i="1" s="1"/>
  <c r="AD212" i="1" s="1"/>
  <c r="AD172" i="1"/>
  <c r="AD170" i="1"/>
  <c r="AD389" i="1"/>
  <c r="AD377" i="1"/>
  <c r="AD416" i="1"/>
  <c r="AD477" i="1"/>
  <c r="AD458" i="1"/>
  <c r="AD27" i="1"/>
  <c r="AD38" i="1"/>
  <c r="AD248" i="1" s="1"/>
  <c r="AD510" i="1"/>
  <c r="AD19" i="1"/>
  <c r="AD44" i="1"/>
  <c r="AD365" i="1"/>
  <c r="AD159" i="1"/>
  <c r="AD581" i="1"/>
  <c r="AD33" i="1"/>
  <c r="AD651" i="1" s="1"/>
  <c r="AD41" i="1"/>
  <c r="AD479" i="1" s="1"/>
  <c r="AD299" i="1"/>
  <c r="AD179" i="1"/>
  <c r="AD23" i="1"/>
  <c r="AD493" i="1"/>
  <c r="AD398" i="1"/>
  <c r="AD216" i="1"/>
  <c r="AD495" i="1"/>
  <c r="AD217" i="1"/>
  <c r="AD388" i="1"/>
  <c r="AD297" i="1"/>
  <c r="AD454" i="1"/>
  <c r="AD475" i="1"/>
  <c r="AD132" i="1"/>
  <c r="AD440" i="1"/>
  <c r="AD453" i="1"/>
  <c r="AD263" i="1"/>
  <c r="AD245" i="1"/>
  <c r="AD264" i="1"/>
  <c r="AD266" i="1"/>
  <c r="AD582" i="1"/>
  <c r="AD452" i="1"/>
  <c r="AD455" i="1"/>
  <c r="AD213" i="1"/>
  <c r="T812" i="2"/>
  <c r="T66" i="33" s="1"/>
  <c r="T817" i="2"/>
  <c r="T71" i="33" s="1"/>
  <c r="T840" i="2"/>
  <c r="T94" i="33" s="1"/>
  <c r="T813" i="2"/>
  <c r="T67" i="33" s="1"/>
  <c r="T773" i="2"/>
  <c r="T27" i="33" s="1"/>
  <c r="G28" i="24"/>
  <c r="G74" i="2"/>
  <c r="AA70" i="2"/>
  <c r="AB70" i="2" s="1"/>
  <c r="G251" i="2"/>
  <c r="AA251" i="2" s="1"/>
  <c r="AB251" i="2" s="1"/>
  <c r="AA250" i="2"/>
  <c r="AB250" i="2" s="1"/>
  <c r="AA184" i="2"/>
  <c r="AB184" i="2" s="1"/>
  <c r="E28" i="14"/>
  <c r="G188" i="2"/>
  <c r="AA193" i="2"/>
  <c r="AB193" i="2" s="1"/>
  <c r="AA651" i="2"/>
  <c r="AB651" i="2" s="1"/>
  <c r="G652" i="2"/>
  <c r="AA652" i="2" s="1"/>
  <c r="AB652" i="2" s="1"/>
  <c r="G646" i="2"/>
  <c r="AA642" i="2"/>
  <c r="AB642" i="2" s="1"/>
  <c r="AA470" i="2"/>
  <c r="AB470" i="2" s="1"/>
  <c r="G474" i="2"/>
  <c r="AA536" i="2"/>
  <c r="AB536" i="2" s="1"/>
  <c r="G537" i="2"/>
  <c r="AA537" i="2" s="1"/>
  <c r="AB537" i="2" s="1"/>
  <c r="AA241" i="2"/>
  <c r="AB241" i="2" s="1"/>
  <c r="G245" i="2"/>
  <c r="AA527" i="2"/>
  <c r="AB527" i="2" s="1"/>
  <c r="G531" i="2"/>
  <c r="AA136" i="2"/>
  <c r="AB136" i="2" s="1"/>
  <c r="AA355" i="2"/>
  <c r="AB355" i="2" s="1"/>
  <c r="G359" i="2"/>
  <c r="AA204" i="2"/>
  <c r="AB204" i="2" s="1"/>
  <c r="Y813" i="2"/>
  <c r="Y67" i="33" s="1"/>
  <c r="Y773" i="2"/>
  <c r="Y27" i="33" s="1"/>
  <c r="Y812" i="2"/>
  <c r="Y66" i="33" s="1"/>
  <c r="Y817" i="2"/>
  <c r="Y71" i="33" s="1"/>
  <c r="Y840" i="2"/>
  <c r="Y94" i="33" s="1"/>
  <c r="H129" i="2"/>
  <c r="G129" i="2"/>
  <c r="M129" i="2"/>
  <c r="Q129" i="2"/>
  <c r="T129" i="2"/>
  <c r="W129" i="2"/>
  <c r="W131" i="2" s="1"/>
  <c r="Z129" i="2"/>
  <c r="Z131" i="2" s="1"/>
  <c r="X129" i="2"/>
  <c r="X131" i="2" s="1"/>
  <c r="I129" i="2"/>
  <c r="L129" i="2"/>
  <c r="N129" i="2"/>
  <c r="R129" i="2"/>
  <c r="S129" i="2"/>
  <c r="U129" i="2"/>
  <c r="Y129" i="2"/>
  <c r="Y131" i="2" s="1"/>
  <c r="V129" i="2"/>
  <c r="V131" i="2" s="1"/>
  <c r="K129" i="2"/>
  <c r="O129" i="2"/>
  <c r="O131" i="2" s="1"/>
  <c r="J129" i="2"/>
  <c r="P129" i="2"/>
  <c r="F131" i="2"/>
  <c r="Y664" i="1"/>
  <c r="Y316" i="1"/>
  <c r="Y526" i="1"/>
  <c r="Y523" i="1"/>
  <c r="Y324" i="1"/>
  <c r="Y531" i="1"/>
  <c r="Y318" i="1"/>
  <c r="Y320" i="1"/>
  <c r="Y528" i="1"/>
  <c r="Y524" i="1"/>
  <c r="Y532" i="1"/>
  <c r="Y325" i="1"/>
  <c r="Y525" i="1"/>
  <c r="Y317" i="1"/>
  <c r="Y315" i="1"/>
  <c r="Y321" i="1"/>
  <c r="Y529" i="1"/>
  <c r="O441" i="2"/>
  <c r="Z441" i="2"/>
  <c r="Z442" i="2" s="1"/>
  <c r="Q441" i="2"/>
  <c r="V441" i="2"/>
  <c r="V442" i="2" s="1"/>
  <c r="M441" i="2"/>
  <c r="M442" i="2" s="1"/>
  <c r="X441" i="2"/>
  <c r="N441" i="2"/>
  <c r="W441" i="2"/>
  <c r="W442" i="2" s="1"/>
  <c r="G441" i="2"/>
  <c r="T441" i="2"/>
  <c r="T442" i="2" s="1"/>
  <c r="L441" i="2"/>
  <c r="L442" i="2" s="1"/>
  <c r="S441" i="2"/>
  <c r="S442" i="2" s="1"/>
  <c r="Y441" i="2"/>
  <c r="Y442" i="2" s="1"/>
  <c r="P441" i="2"/>
  <c r="P442" i="2" s="1"/>
  <c r="J441" i="2"/>
  <c r="J442" i="2" s="1"/>
  <c r="R441" i="2"/>
  <c r="R442" i="2" s="1"/>
  <c r="I441" i="2"/>
  <c r="I442" i="2" s="1"/>
  <c r="H441" i="2"/>
  <c r="H442" i="2" s="1"/>
  <c r="K441" i="2"/>
  <c r="U441" i="2"/>
  <c r="U442" i="2" s="1"/>
  <c r="N383" i="2"/>
  <c r="N384" i="2" s="1"/>
  <c r="O383" i="2"/>
  <c r="O384" i="2" s="1"/>
  <c r="S383" i="2"/>
  <c r="S384" i="2" s="1"/>
  <c r="Y383" i="2"/>
  <c r="Y384" i="2" s="1"/>
  <c r="J383" i="2"/>
  <c r="P383" i="2"/>
  <c r="P384" i="2" s="1"/>
  <c r="Q383" i="2"/>
  <c r="X383" i="2"/>
  <c r="G383" i="2"/>
  <c r="R383" i="2"/>
  <c r="V383" i="2"/>
  <c r="V384" i="2" s="1"/>
  <c r="W383" i="2"/>
  <c r="M383" i="2"/>
  <c r="L383" i="2"/>
  <c r="L384" i="2" s="1"/>
  <c r="T383" i="2"/>
  <c r="Z383" i="2"/>
  <c r="Z384" i="2" s="1"/>
  <c r="I383" i="2"/>
  <c r="I384" i="2" s="1"/>
  <c r="H383" i="2"/>
  <c r="K383" i="2"/>
  <c r="K384" i="2" s="1"/>
  <c r="U383" i="2"/>
  <c r="AA649" i="1"/>
  <c r="AA12" i="1"/>
  <c r="AA13" i="1"/>
  <c r="AA102" i="1"/>
  <c r="AA10" i="1"/>
  <c r="AA61" i="1"/>
  <c r="AA58" i="1"/>
  <c r="AA60" i="1"/>
  <c r="AA134" i="1"/>
  <c r="AA136" i="1" s="1"/>
  <c r="AA103" i="1"/>
  <c r="AA75" i="1"/>
  <c r="AA11" i="1"/>
  <c r="AA9" i="1"/>
  <c r="AB650" i="1"/>
  <c r="AB480" i="1"/>
  <c r="AB635" i="1" s="1"/>
  <c r="AB472" i="1" s="1"/>
  <c r="AB482" i="1" s="1"/>
  <c r="AB255" i="1"/>
  <c r="AB74" i="1"/>
  <c r="AB77" i="1" s="1"/>
  <c r="AB94" i="1" s="1"/>
  <c r="AB269" i="1"/>
  <c r="AB574" i="1"/>
  <c r="AB62" i="1"/>
  <c r="AB583" i="1"/>
  <c r="AB101" i="1"/>
  <c r="AB105" i="1" s="1"/>
  <c r="AB254" i="1"/>
  <c r="AB461" i="1"/>
  <c r="AB252" i="1"/>
  <c r="AB591" i="1"/>
  <c r="AB460" i="1"/>
  <c r="AB65" i="1"/>
  <c r="AB133" i="1"/>
  <c r="AB136" i="1" s="1"/>
  <c r="AB253" i="1"/>
  <c r="I148" i="2"/>
  <c r="L148" i="2"/>
  <c r="S148" i="2"/>
  <c r="P148" i="2"/>
  <c r="T148" i="2"/>
  <c r="Z148" i="2"/>
  <c r="Y148" i="2"/>
  <c r="G148" i="2"/>
  <c r="M148" i="2"/>
  <c r="O148" i="2"/>
  <c r="V148" i="2"/>
  <c r="R148" i="2"/>
  <c r="W148" i="2"/>
  <c r="X148" i="2"/>
  <c r="H148" i="2"/>
  <c r="Q148" i="2"/>
  <c r="U148" i="2"/>
  <c r="K148" i="2"/>
  <c r="N148" i="2"/>
  <c r="J148" i="2"/>
  <c r="K33" i="27"/>
  <c r="L33" i="27" s="1"/>
  <c r="J813" i="2"/>
  <c r="J67" i="33" s="1"/>
  <c r="J817" i="2"/>
  <c r="J71" i="33" s="1"/>
  <c r="J773" i="2"/>
  <c r="J27" i="33" s="1"/>
  <c r="J812" i="2"/>
  <c r="J66" i="33" s="1"/>
  <c r="J840" i="2"/>
  <c r="J94" i="33" s="1"/>
  <c r="L723" i="2"/>
  <c r="L794" i="2"/>
  <c r="L48" i="33" s="1"/>
  <c r="W794" i="2"/>
  <c r="W48" i="33" s="1"/>
  <c r="W723" i="2"/>
  <c r="N138" i="1"/>
  <c r="D32" i="26"/>
  <c r="E32" i="26" s="1"/>
  <c r="K32" i="26" s="1"/>
  <c r="L32" i="26" s="1"/>
  <c r="E32" i="31"/>
  <c r="K32" i="31" s="1"/>
  <c r="L32" i="31" s="1"/>
  <c r="G551" i="2"/>
  <c r="AA550" i="2"/>
  <c r="AB550" i="2" s="1"/>
  <c r="N794" i="2"/>
  <c r="N48" i="33" s="1"/>
  <c r="N723" i="2"/>
  <c r="AA484" i="1"/>
  <c r="AA486" i="1" s="1"/>
  <c r="AA488" i="1" s="1"/>
  <c r="AA663" i="1"/>
  <c r="AA261" i="1"/>
  <c r="AA271" i="1" s="1"/>
  <c r="G28" i="31"/>
  <c r="G28" i="27"/>
  <c r="H261" i="2"/>
  <c r="L261" i="2"/>
  <c r="V261" i="2"/>
  <c r="S261" i="2"/>
  <c r="X261" i="2"/>
  <c r="G261" i="2"/>
  <c r="J261" i="2"/>
  <c r="O261" i="2"/>
  <c r="R261" i="2"/>
  <c r="W261" i="2"/>
  <c r="I261" i="2"/>
  <c r="N261" i="2"/>
  <c r="Q261" i="2"/>
  <c r="U261" i="2"/>
  <c r="Z261" i="2"/>
  <c r="K261" i="2"/>
  <c r="M261" i="2"/>
  <c r="P261" i="2"/>
  <c r="T261" i="2"/>
  <c r="Y261" i="2"/>
  <c r="F265" i="2"/>
  <c r="R773" i="2"/>
  <c r="R27" i="33" s="1"/>
  <c r="R817" i="2"/>
  <c r="R71" i="33" s="1"/>
  <c r="R840" i="2"/>
  <c r="R94" i="33" s="1"/>
  <c r="R813" i="2"/>
  <c r="R67" i="33" s="1"/>
  <c r="R812" i="2"/>
  <c r="R66" i="33" s="1"/>
  <c r="Z277" i="1"/>
  <c r="J494" i="2"/>
  <c r="K494" i="2"/>
  <c r="L494" i="2"/>
  <c r="Y494" i="2"/>
  <c r="P494" i="2"/>
  <c r="Z94" i="2"/>
  <c r="X94" i="2"/>
  <c r="L94" i="2"/>
  <c r="I94" i="2"/>
  <c r="P94" i="2"/>
  <c r="M94" i="2"/>
  <c r="T94" i="2"/>
  <c r="S94" i="2"/>
  <c r="V94" i="2"/>
  <c r="AC46" i="1"/>
  <c r="AC582" i="1"/>
  <c r="AC440" i="1"/>
  <c r="AC448" i="1" s="1"/>
  <c r="AC132" i="1"/>
  <c r="AC474" i="1"/>
  <c r="AC100" i="1"/>
  <c r="AC268" i="1"/>
  <c r="AA208" i="1"/>
  <c r="AA221" i="1" s="1"/>
  <c r="T138" i="1"/>
  <c r="F147" i="2" s="1"/>
  <c r="F208" i="2"/>
  <c r="Y277" i="1"/>
  <c r="N442" i="2"/>
  <c r="O442" i="2"/>
  <c r="X442" i="2"/>
  <c r="Q442" i="2"/>
  <c r="K442" i="2"/>
  <c r="X384" i="2"/>
  <c r="T384" i="2"/>
  <c r="F384" i="2"/>
  <c r="W384" i="2"/>
  <c r="R384" i="2"/>
  <c r="L666" i="2"/>
  <c r="I666" i="2"/>
  <c r="N666" i="2"/>
  <c r="V666" i="2"/>
  <c r="W666" i="2"/>
  <c r="X666" i="2"/>
  <c r="J666" i="2"/>
  <c r="P666" i="2"/>
  <c r="M609" i="2"/>
  <c r="V609" i="2"/>
  <c r="O609" i="2"/>
  <c r="X609" i="2"/>
  <c r="Y609" i="2"/>
  <c r="L609" i="2"/>
  <c r="W609" i="2"/>
  <c r="J609" i="2"/>
  <c r="P551" i="2"/>
  <c r="W551" i="2"/>
  <c r="S551" i="2"/>
  <c r="X551" i="2"/>
  <c r="L551" i="2"/>
  <c r="AA77" i="1"/>
  <c r="AA94" i="1" s="1"/>
  <c r="Z488" i="1"/>
  <c r="AA322" i="2"/>
  <c r="AB322" i="2" s="1"/>
  <c r="AA239" i="1"/>
  <c r="H494" i="2" l="1"/>
  <c r="U494" i="2"/>
  <c r="Z494" i="2"/>
  <c r="V494" i="2"/>
  <c r="T494" i="2"/>
  <c r="W494" i="2"/>
  <c r="AD443" i="1"/>
  <c r="AD446" i="1"/>
  <c r="AD229" i="1"/>
  <c r="AD267" i="1"/>
  <c r="AD100" i="1"/>
  <c r="AD442" i="1"/>
  <c r="AD214" i="1"/>
  <c r="AD265" i="1"/>
  <c r="AD572" i="1"/>
  <c r="AD474" i="1"/>
  <c r="AD236" i="1"/>
  <c r="AD473" i="1"/>
  <c r="AD230" i="1"/>
  <c r="AD476" i="1"/>
  <c r="AD262" i="1"/>
  <c r="AD438" i="1"/>
  <c r="AD445" i="1"/>
  <c r="AD590" i="1"/>
  <c r="AD573" i="1"/>
  <c r="AD441" i="1"/>
  <c r="AB219" i="1"/>
  <c r="AD211" i="1"/>
  <c r="AD428" i="1"/>
  <c r="AD432" i="1" s="1"/>
  <c r="AB634" i="1"/>
  <c r="AB451" i="1" s="1"/>
  <c r="AB463" i="1" s="1"/>
  <c r="AB244" i="1" s="1"/>
  <c r="AB257" i="1" s="1"/>
  <c r="AD250" i="1"/>
  <c r="AA105" i="1"/>
  <c r="Z128" i="1"/>
  <c r="AC661" i="1"/>
  <c r="AC234" i="1"/>
  <c r="AC235" i="1"/>
  <c r="AC225" i="1"/>
  <c r="AC231" i="1"/>
  <c r="AC227" i="1"/>
  <c r="AC232" i="1"/>
  <c r="AC233" i="1"/>
  <c r="AC226" i="1"/>
  <c r="AC228" i="1"/>
  <c r="AC224" i="1"/>
  <c r="AC237" i="1"/>
  <c r="Z514" i="1"/>
  <c r="Y306" i="1"/>
  <c r="AB663" i="1"/>
  <c r="AB261" i="1"/>
  <c r="AB271" i="1" s="1"/>
  <c r="AA665" i="1"/>
  <c r="AA533" i="1"/>
  <c r="AA327" i="1"/>
  <c r="AA575" i="1"/>
  <c r="AA592" i="1"/>
  <c r="AA594" i="1" s="1"/>
  <c r="F448" i="2" s="1"/>
  <c r="AA326" i="1"/>
  <c r="AA584" i="1"/>
  <c r="AA586" i="1" s="1"/>
  <c r="F391" i="2" s="1"/>
  <c r="AA534" i="1"/>
  <c r="AA383" i="2"/>
  <c r="AB383" i="2" s="1"/>
  <c r="Y1094" i="2"/>
  <c r="Y1098" i="2"/>
  <c r="Y1099" i="2" s="1"/>
  <c r="W1098" i="2"/>
  <c r="W1099" i="2" s="1"/>
  <c r="V1094" i="2"/>
  <c r="W1094" i="2"/>
  <c r="V1098" i="2"/>
  <c r="V1099" i="2" s="1"/>
  <c r="X1094" i="2"/>
  <c r="X1098" i="2"/>
  <c r="X1099" i="2" s="1"/>
  <c r="Z1098" i="2"/>
  <c r="Z1099" i="2" s="1"/>
  <c r="Z1094" i="2"/>
  <c r="O1094" i="2"/>
  <c r="O1098" i="2"/>
  <c r="O1099" i="2" s="1"/>
  <c r="P131" i="2"/>
  <c r="P1098" i="2" s="1"/>
  <c r="P1099" i="2" s="1"/>
  <c r="U131" i="2"/>
  <c r="U1094" i="2" s="1"/>
  <c r="R131" i="2"/>
  <c r="R1098" i="2" s="1"/>
  <c r="R1099" i="2" s="1"/>
  <c r="L131" i="2"/>
  <c r="Q131" i="2"/>
  <c r="AA129" i="2"/>
  <c r="AB129" i="2" s="1"/>
  <c r="AA359" i="2"/>
  <c r="AB359" i="2" s="1"/>
  <c r="AA531" i="2"/>
  <c r="AB531" i="2" s="1"/>
  <c r="AA245" i="2"/>
  <c r="AB245" i="2" s="1"/>
  <c r="AA474" i="2"/>
  <c r="AB474" i="2" s="1"/>
  <c r="AA662" i="1"/>
  <c r="AA244" i="1"/>
  <c r="AA257" i="1" s="1"/>
  <c r="AA273" i="1" s="1"/>
  <c r="AA275" i="1" s="1"/>
  <c r="AC48" i="1"/>
  <c r="AC666" i="1"/>
  <c r="AC569" i="1"/>
  <c r="AC571" i="1"/>
  <c r="AC570" i="1"/>
  <c r="Y653" i="1"/>
  <c r="Y93" i="1"/>
  <c r="Y96" i="1" s="1"/>
  <c r="Y79" i="1"/>
  <c r="Y112" i="1"/>
  <c r="Y123" i="1"/>
  <c r="Y124" i="1"/>
  <c r="F39" i="2"/>
  <c r="F40" i="2" s="1"/>
  <c r="Y126" i="1"/>
  <c r="Y125" i="1"/>
  <c r="Y111" i="1"/>
  <c r="AA21" i="2"/>
  <c r="AB21" i="2" s="1"/>
  <c r="G811" i="2"/>
  <c r="G816" i="2"/>
  <c r="G808" i="2"/>
  <c r="G62" i="33" s="1"/>
  <c r="AA62" i="33" s="1"/>
  <c r="AB62" i="33" s="1"/>
  <c r="G30" i="14"/>
  <c r="AA365" i="2"/>
  <c r="AB365" i="2" s="1"/>
  <c r="G29" i="14"/>
  <c r="AA308" i="2"/>
  <c r="AB308" i="2" s="1"/>
  <c r="AA15" i="2"/>
  <c r="AB15" i="2" s="1"/>
  <c r="G840" i="2"/>
  <c r="G94" i="33" s="1"/>
  <c r="AA94" i="33" s="1"/>
  <c r="AB94" i="33" s="1"/>
  <c r="G817" i="2"/>
  <c r="G812" i="2"/>
  <c r="G813" i="2"/>
  <c r="G773" i="2"/>
  <c r="J38" i="2"/>
  <c r="S38" i="2"/>
  <c r="Y38" i="2"/>
  <c r="N38" i="2"/>
  <c r="X38" i="2"/>
  <c r="L38" i="2"/>
  <c r="V38" i="2"/>
  <c r="H38" i="2"/>
  <c r="Q38" i="2"/>
  <c r="W38" i="2"/>
  <c r="G38" i="2"/>
  <c r="M38" i="2"/>
  <c r="U38" i="2"/>
  <c r="K38" i="2"/>
  <c r="T38" i="2"/>
  <c r="I38" i="2"/>
  <c r="P38" i="2"/>
  <c r="Z38" i="2"/>
  <c r="O38" i="2"/>
  <c r="R38" i="2"/>
  <c r="X107" i="1"/>
  <c r="F97" i="2" s="1"/>
  <c r="X322" i="1"/>
  <c r="X319" i="1"/>
  <c r="X527" i="1"/>
  <c r="X323" i="1"/>
  <c r="X598" i="1"/>
  <c r="F554" i="2" s="1"/>
  <c r="X600" i="1"/>
  <c r="F612" i="2" s="1"/>
  <c r="X602" i="1"/>
  <c r="F669" i="2" s="1"/>
  <c r="X530" i="1"/>
  <c r="X604" i="1"/>
  <c r="X596" i="1"/>
  <c r="I149" i="2"/>
  <c r="G149" i="2"/>
  <c r="K149" i="2"/>
  <c r="N149" i="2"/>
  <c r="O149" i="2"/>
  <c r="Q149" i="2"/>
  <c r="U149" i="2"/>
  <c r="T149" i="2"/>
  <c r="W149" i="2"/>
  <c r="Y149" i="2"/>
  <c r="J149" i="2"/>
  <c r="H149" i="2"/>
  <c r="M149" i="2"/>
  <c r="L149" i="2"/>
  <c r="P149" i="2"/>
  <c r="S149" i="2"/>
  <c r="R149" i="2"/>
  <c r="V149" i="2"/>
  <c r="X149" i="2"/>
  <c r="Z149" i="2"/>
  <c r="AB665" i="1"/>
  <c r="AB575" i="1"/>
  <c r="AB533" i="1"/>
  <c r="AB584" i="1"/>
  <c r="AB326" i="1"/>
  <c r="AB534" i="1"/>
  <c r="AB592" i="1"/>
  <c r="AB327" i="1"/>
  <c r="M207" i="2"/>
  <c r="R207" i="2"/>
  <c r="Q207" i="2"/>
  <c r="W207" i="2"/>
  <c r="W208" i="2" s="1"/>
  <c r="I207" i="2"/>
  <c r="G207" i="2"/>
  <c r="O207" i="2"/>
  <c r="S207" i="2"/>
  <c r="X207" i="2"/>
  <c r="X208" i="2" s="1"/>
  <c r="J207" i="2"/>
  <c r="L207" i="2"/>
  <c r="V207" i="2"/>
  <c r="V208" i="2" s="1"/>
  <c r="T207" i="2"/>
  <c r="Y207" i="2"/>
  <c r="Y208" i="2" s="1"/>
  <c r="K207" i="2"/>
  <c r="N207" i="2"/>
  <c r="P207" i="2"/>
  <c r="Z207" i="2"/>
  <c r="Z208" i="2" s="1"/>
  <c r="H207" i="2"/>
  <c r="U207" i="2"/>
  <c r="W652" i="1"/>
  <c r="W110" i="1"/>
  <c r="W114" i="1" s="1"/>
  <c r="AB586" i="1"/>
  <c r="F394" i="2" s="1"/>
  <c r="AA15" i="1"/>
  <c r="AA441" i="2"/>
  <c r="AB441" i="2" s="1"/>
  <c r="AD457" i="1"/>
  <c r="AD219" i="1"/>
  <c r="AD29" i="1"/>
  <c r="AD421" i="1"/>
  <c r="AD633" i="1"/>
  <c r="AD394" i="1" s="1"/>
  <c r="AD400" i="1" s="1"/>
  <c r="AD638" i="1"/>
  <c r="AD121" i="1" s="1"/>
  <c r="AD512" i="1"/>
  <c r="AD497" i="1"/>
  <c r="AD268" i="1"/>
  <c r="AD444" i="1"/>
  <c r="AD413" i="1"/>
  <c r="AD632" i="1"/>
  <c r="AD384" i="1" s="1"/>
  <c r="AD391" i="1" s="1"/>
  <c r="AD289" i="1"/>
  <c r="AA263" i="2"/>
  <c r="AB263" i="2" s="1"/>
  <c r="AA609" i="2"/>
  <c r="AB609" i="2" s="1"/>
  <c r="G384" i="2"/>
  <c r="M384" i="2"/>
  <c r="G131" i="2"/>
  <c r="G1094" i="2" s="1"/>
  <c r="S494" i="2"/>
  <c r="AA666" i="2"/>
  <c r="AB666" i="2" s="1"/>
  <c r="AA387" i="2"/>
  <c r="AB387" i="2" s="1"/>
  <c r="AB425" i="1"/>
  <c r="AA445" i="2"/>
  <c r="AB445" i="2" s="1"/>
  <c r="J147" i="2"/>
  <c r="P147" i="2"/>
  <c r="R147" i="2"/>
  <c r="T147" i="2"/>
  <c r="Z147" i="2"/>
  <c r="I147" i="2"/>
  <c r="N147" i="2"/>
  <c r="Q147" i="2"/>
  <c r="S147" i="2"/>
  <c r="Y147" i="2"/>
  <c r="H147" i="2"/>
  <c r="L147" i="2"/>
  <c r="O147" i="2"/>
  <c r="V147" i="2"/>
  <c r="X147" i="2"/>
  <c r="G147" i="2"/>
  <c r="K147" i="2"/>
  <c r="M147" i="2"/>
  <c r="U147" i="2"/>
  <c r="W147" i="2"/>
  <c r="AC650" i="1"/>
  <c r="AC480" i="1"/>
  <c r="AC635" i="1" s="1"/>
  <c r="AC472" i="1" s="1"/>
  <c r="AC482" i="1" s="1"/>
  <c r="AC252" i="1"/>
  <c r="AC253" i="1"/>
  <c r="AC133" i="1"/>
  <c r="AC574" i="1"/>
  <c r="AC62" i="1"/>
  <c r="AC255" i="1"/>
  <c r="AC583" i="1"/>
  <c r="AC461" i="1"/>
  <c r="AC591" i="1"/>
  <c r="AC254" i="1"/>
  <c r="AC460" i="1"/>
  <c r="AC65" i="1"/>
  <c r="AC74" i="1"/>
  <c r="AC101" i="1"/>
  <c r="AC269" i="1"/>
  <c r="Z306" i="1"/>
  <c r="AA261" i="2"/>
  <c r="AB261" i="2" s="1"/>
  <c r="AA514" i="1"/>
  <c r="F134" i="2"/>
  <c r="AA148" i="2"/>
  <c r="AB148" i="2" s="1"/>
  <c r="U384" i="2"/>
  <c r="J131" i="2"/>
  <c r="J1098" i="2" s="1"/>
  <c r="J1099" i="2" s="1"/>
  <c r="K131" i="2"/>
  <c r="K1094" i="2" s="1"/>
  <c r="S131" i="2"/>
  <c r="S1094" i="2" s="1"/>
  <c r="N131" i="2"/>
  <c r="N1098" i="2" s="1"/>
  <c r="N1099" i="2" s="1"/>
  <c r="I131" i="2"/>
  <c r="I1094" i="2" s="1"/>
  <c r="T131" i="2"/>
  <c r="T1094" i="2" s="1"/>
  <c r="M131" i="2"/>
  <c r="M1098" i="2" s="1"/>
  <c r="M1099" i="2" s="1"/>
  <c r="H131" i="2"/>
  <c r="H1094" i="2" s="1"/>
  <c r="AA646" i="2"/>
  <c r="AB646" i="2" s="1"/>
  <c r="AA188" i="2"/>
  <c r="AB188" i="2" s="1"/>
  <c r="AA74" i="2"/>
  <c r="AB74" i="2" s="1"/>
  <c r="AE366" i="1"/>
  <c r="AF366" i="1" s="1"/>
  <c r="AG366" i="1" s="1"/>
  <c r="AE286" i="1"/>
  <c r="AF286" i="1" s="1"/>
  <c r="AG286" i="1" s="1"/>
  <c r="AE416" i="1"/>
  <c r="AE385" i="1"/>
  <c r="AE251" i="1"/>
  <c r="AF251" i="1" s="1"/>
  <c r="AG251" i="1" s="1"/>
  <c r="AE160" i="1"/>
  <c r="AF160" i="1" s="1"/>
  <c r="AG160" i="1" s="1"/>
  <c r="AE407" i="1"/>
  <c r="AE287" i="1"/>
  <c r="AF287" i="1" s="1"/>
  <c r="AG287" i="1" s="1"/>
  <c r="AE217" i="1"/>
  <c r="AF217" i="1" s="1"/>
  <c r="AG217" i="1" s="1"/>
  <c r="AE285" i="1"/>
  <c r="AF285" i="1" s="1"/>
  <c r="AG285" i="1" s="1"/>
  <c r="AE589" i="1"/>
  <c r="AE418" i="1"/>
  <c r="AF418" i="1" s="1"/>
  <c r="AG418" i="1" s="1"/>
  <c r="AE501" i="1"/>
  <c r="AF501" i="1" s="1"/>
  <c r="AG501" i="1" s="1"/>
  <c r="AE43" i="1"/>
  <c r="AF43" i="1" s="1"/>
  <c r="AG43" i="1" s="1"/>
  <c r="AE510" i="1"/>
  <c r="AF510" i="1" s="1"/>
  <c r="AG510" i="1" s="1"/>
  <c r="AE503" i="1"/>
  <c r="AF503" i="1" s="1"/>
  <c r="AG503" i="1" s="1"/>
  <c r="AF2" i="1"/>
  <c r="AG2" i="1" s="1"/>
  <c r="AE64" i="1"/>
  <c r="AF64" i="1" s="1"/>
  <c r="AG64" i="1" s="1"/>
  <c r="AE40" i="1"/>
  <c r="AF40" i="1" s="1"/>
  <c r="AG40" i="1" s="1"/>
  <c r="AE293" i="1"/>
  <c r="AF293" i="1" s="1"/>
  <c r="AG293" i="1" s="1"/>
  <c r="AE509" i="1"/>
  <c r="AF509" i="1" s="1"/>
  <c r="AG509" i="1" s="1"/>
  <c r="AE374" i="1"/>
  <c r="AE72" i="1"/>
  <c r="AE495" i="1"/>
  <c r="AF495" i="1" s="1"/>
  <c r="AG495" i="1" s="1"/>
  <c r="AE505" i="1"/>
  <c r="AF505" i="1" s="1"/>
  <c r="AG505" i="1" s="1"/>
  <c r="AE493" i="1"/>
  <c r="AF493" i="1" s="1"/>
  <c r="AG493" i="1" s="1"/>
  <c r="AE131" i="1"/>
  <c r="AE284" i="1"/>
  <c r="AF284" i="1" s="1"/>
  <c r="AG284" i="1" s="1"/>
  <c r="AE458" i="1"/>
  <c r="AF458" i="1" s="1"/>
  <c r="AG458" i="1" s="1"/>
  <c r="AE145" i="1"/>
  <c r="AF145" i="1" s="1"/>
  <c r="AG145" i="1" s="1"/>
  <c r="AE169" i="1"/>
  <c r="AF169" i="1" s="1"/>
  <c r="AG169" i="1" s="1"/>
  <c r="AE146" i="1"/>
  <c r="AF146" i="1" s="1"/>
  <c r="AG146" i="1" s="1"/>
  <c r="AE37" i="1"/>
  <c r="AE36" i="1"/>
  <c r="AE365" i="1"/>
  <c r="AF365" i="1" s="1"/>
  <c r="AG365" i="1" s="1"/>
  <c r="AE157" i="1"/>
  <c r="AF157" i="1" s="1"/>
  <c r="AG157" i="1" s="1"/>
  <c r="AE502" i="1"/>
  <c r="AF502" i="1" s="1"/>
  <c r="AG502" i="1" s="1"/>
  <c r="AE296" i="1"/>
  <c r="AF296" i="1" s="1"/>
  <c r="AG296" i="1" s="1"/>
  <c r="AE42" i="1"/>
  <c r="AF42" i="1" s="1"/>
  <c r="AG42" i="1" s="1"/>
  <c r="AE147" i="1"/>
  <c r="AF147" i="1" s="1"/>
  <c r="AG147" i="1" s="1"/>
  <c r="AE411" i="1"/>
  <c r="AF411" i="1" s="1"/>
  <c r="AG411" i="1" s="1"/>
  <c r="AE581" i="1"/>
  <c r="AE417" i="1"/>
  <c r="AF417" i="1" s="1"/>
  <c r="AG417" i="1" s="1"/>
  <c r="AE299" i="1"/>
  <c r="AF299" i="1" s="1"/>
  <c r="AG299" i="1" s="1"/>
  <c r="AE396" i="1"/>
  <c r="AF396" i="1" s="1"/>
  <c r="AG396" i="1" s="1"/>
  <c r="AE149" i="1"/>
  <c r="AF149" i="1" s="1"/>
  <c r="AG149" i="1" s="1"/>
  <c r="AE492" i="1"/>
  <c r="AF492" i="1" s="1"/>
  <c r="AG492" i="1" s="1"/>
  <c r="AE386" i="1"/>
  <c r="AF386" i="1" s="1"/>
  <c r="AG386" i="1" s="1"/>
  <c r="AE215" i="1"/>
  <c r="AF215" i="1" s="1"/>
  <c r="AG215" i="1" s="1"/>
  <c r="AE171" i="1"/>
  <c r="AF171" i="1" s="1"/>
  <c r="AG171" i="1" s="1"/>
  <c r="AE294" i="1"/>
  <c r="AF294" i="1" s="1"/>
  <c r="AG294" i="1" s="1"/>
  <c r="AE395" i="1"/>
  <c r="AE191" i="1"/>
  <c r="AF191" i="1" s="1"/>
  <c r="AG191" i="1" s="1"/>
  <c r="AE429" i="1"/>
  <c r="AF429" i="1" s="1"/>
  <c r="AG429" i="1" s="1"/>
  <c r="AE504" i="1"/>
  <c r="AF504" i="1" s="1"/>
  <c r="AG504" i="1" s="1"/>
  <c r="AE375" i="1"/>
  <c r="AF375" i="1" s="1"/>
  <c r="AG375" i="1" s="1"/>
  <c r="AE363" i="1"/>
  <c r="AE297" i="1"/>
  <c r="AF297" i="1" s="1"/>
  <c r="AG297" i="1" s="1"/>
  <c r="AE283" i="1"/>
  <c r="AE494" i="1"/>
  <c r="AF494" i="1" s="1"/>
  <c r="AG494" i="1" s="1"/>
  <c r="AE159" i="1"/>
  <c r="AF159" i="1" s="1"/>
  <c r="AG159" i="1" s="1"/>
  <c r="AE302" i="1"/>
  <c r="AF302" i="1" s="1"/>
  <c r="AG302" i="1" s="1"/>
  <c r="AE39" i="1"/>
  <c r="AF39" i="1" s="1"/>
  <c r="AG39" i="1" s="1"/>
  <c r="AE408" i="1"/>
  <c r="AF408" i="1" s="1"/>
  <c r="AG408" i="1" s="1"/>
  <c r="AE430" i="1"/>
  <c r="AF430" i="1" s="1"/>
  <c r="AG430" i="1" s="1"/>
  <c r="AE247" i="1"/>
  <c r="AE245" i="1"/>
  <c r="AF245" i="1" s="1"/>
  <c r="AG245" i="1" s="1"/>
  <c r="AE491" i="1"/>
  <c r="AE189" i="1"/>
  <c r="AF189" i="1" s="1"/>
  <c r="AG189" i="1" s="1"/>
  <c r="AE409" i="1"/>
  <c r="AF409" i="1" s="1"/>
  <c r="AG409" i="1" s="1"/>
  <c r="AE388" i="1"/>
  <c r="AF388" i="1" s="1"/>
  <c r="AG388" i="1" s="1"/>
  <c r="AE99" i="1"/>
  <c r="AE63" i="1"/>
  <c r="AF63" i="1" s="1"/>
  <c r="AG63" i="1" s="1"/>
  <c r="AE38" i="1"/>
  <c r="AF38" i="1" s="1"/>
  <c r="AG38" i="1" s="1"/>
  <c r="AE190" i="1"/>
  <c r="AF190" i="1" s="1"/>
  <c r="AG190" i="1" s="1"/>
  <c r="AE158" i="1"/>
  <c r="AF158" i="1" s="1"/>
  <c r="AG158" i="1" s="1"/>
  <c r="AE200" i="1"/>
  <c r="AF200" i="1" s="1"/>
  <c r="AG200" i="1" s="1"/>
  <c r="AE292" i="1"/>
  <c r="AE168" i="1"/>
  <c r="AF168" i="1" s="1"/>
  <c r="AG168" i="1" s="1"/>
  <c r="AE19" i="1"/>
  <c r="AE113" i="1"/>
  <c r="AF113" i="1" s="1"/>
  <c r="AG113" i="1" s="1"/>
  <c r="AE181" i="1"/>
  <c r="AF181" i="1" s="1"/>
  <c r="AG181" i="1" s="1"/>
  <c r="AE367" i="1"/>
  <c r="AF367" i="1" s="1"/>
  <c r="AG367" i="1" s="1"/>
  <c r="AE640" i="1"/>
  <c r="AF640" i="1" s="1"/>
  <c r="AG640" i="1" s="1"/>
  <c r="AE202" i="1"/>
  <c r="AF202" i="1" s="1"/>
  <c r="AG202" i="1" s="1"/>
  <c r="AE23" i="1"/>
  <c r="AF23" i="1" s="1"/>
  <c r="AG23" i="1" s="1"/>
  <c r="AE178" i="1"/>
  <c r="AF178" i="1" s="1"/>
  <c r="AG178" i="1" s="1"/>
  <c r="AE180" i="1"/>
  <c r="AF180" i="1" s="1"/>
  <c r="AG180" i="1" s="1"/>
  <c r="AE172" i="1"/>
  <c r="AF172" i="1" s="1"/>
  <c r="AG172" i="1" s="1"/>
  <c r="AE301" i="1"/>
  <c r="AF301" i="1" s="1"/>
  <c r="AG301" i="1" s="1"/>
  <c r="AE368" i="1"/>
  <c r="AF368" i="1" s="1"/>
  <c r="AG368" i="1" s="1"/>
  <c r="AE41" i="1"/>
  <c r="AF41" i="1" s="1"/>
  <c r="AG41" i="1" s="1"/>
  <c r="AE419" i="1"/>
  <c r="AF419" i="1" s="1"/>
  <c r="AG419" i="1" s="1"/>
  <c r="AE216" i="1"/>
  <c r="AF216" i="1" s="1"/>
  <c r="AG216" i="1" s="1"/>
  <c r="AE262" i="1"/>
  <c r="AE263" i="1"/>
  <c r="AF263" i="1" s="1"/>
  <c r="AG263" i="1" s="1"/>
  <c r="AE475" i="1"/>
  <c r="AF475" i="1" s="1"/>
  <c r="AG475" i="1" s="1"/>
  <c r="AE265" i="1"/>
  <c r="AF265" i="1" s="1"/>
  <c r="AG265" i="1" s="1"/>
  <c r="AE179" i="1"/>
  <c r="AF179" i="1" s="1"/>
  <c r="AG179" i="1" s="1"/>
  <c r="AE150" i="1"/>
  <c r="AF150" i="1" s="1"/>
  <c r="AG150" i="1" s="1"/>
  <c r="AE508" i="1"/>
  <c r="AF508" i="1" s="1"/>
  <c r="AG508" i="1" s="1"/>
  <c r="AE73" i="1"/>
  <c r="AF73" i="1" s="1"/>
  <c r="AG73" i="1" s="1"/>
  <c r="AE389" i="1"/>
  <c r="AF389" i="1" s="1"/>
  <c r="AG389" i="1" s="1"/>
  <c r="AE170" i="1"/>
  <c r="AF170" i="1" s="1"/>
  <c r="AG170" i="1" s="1"/>
  <c r="AE507" i="1"/>
  <c r="AF507" i="1" s="1"/>
  <c r="AG507" i="1" s="1"/>
  <c r="AE33" i="1"/>
  <c r="AE236" i="1" s="1"/>
  <c r="AF236" i="1" s="1"/>
  <c r="AG236" i="1" s="1"/>
  <c r="AE376" i="1"/>
  <c r="AF376" i="1" s="1"/>
  <c r="AG376" i="1" s="1"/>
  <c r="AE300" i="1"/>
  <c r="AF300" i="1" s="1"/>
  <c r="AG300" i="1" s="1"/>
  <c r="AE500" i="1"/>
  <c r="AE27" i="1"/>
  <c r="AF27" i="1" s="1"/>
  <c r="AG27" i="1" s="1"/>
  <c r="AE639" i="1"/>
  <c r="AE410" i="1"/>
  <c r="AF410" i="1" s="1"/>
  <c r="AG410" i="1" s="1"/>
  <c r="AE364" i="1"/>
  <c r="AF364" i="1" s="1"/>
  <c r="AG364" i="1" s="1"/>
  <c r="AE151" i="1"/>
  <c r="AF151" i="1" s="1"/>
  <c r="AG151" i="1" s="1"/>
  <c r="AE473" i="1"/>
  <c r="AE572" i="1"/>
  <c r="AF572" i="1" s="1"/>
  <c r="AG572" i="1" s="1"/>
  <c r="AE453" i="1"/>
  <c r="AF453" i="1" s="1"/>
  <c r="AG453" i="1" s="1"/>
  <c r="AE246" i="1"/>
  <c r="AF246" i="1" s="1"/>
  <c r="AG246" i="1" s="1"/>
  <c r="AE266" i="1"/>
  <c r="AF266" i="1" s="1"/>
  <c r="AG266" i="1" s="1"/>
  <c r="AE264" i="1"/>
  <c r="AF264" i="1" s="1"/>
  <c r="AG264" i="1" s="1"/>
  <c r="AE248" i="1"/>
  <c r="AF248" i="1" s="1"/>
  <c r="AG248" i="1" s="1"/>
  <c r="AE459" i="1"/>
  <c r="AF459" i="1" s="1"/>
  <c r="AG459" i="1" s="1"/>
  <c r="AE478" i="1"/>
  <c r="AF478" i="1" s="1"/>
  <c r="AG478" i="1" s="1"/>
  <c r="AE457" i="1"/>
  <c r="AF457" i="1" s="1"/>
  <c r="AG457" i="1" s="1"/>
  <c r="AE479" i="1"/>
  <c r="AF479" i="1" s="1"/>
  <c r="AG479" i="1" s="1"/>
  <c r="AE582" i="1"/>
  <c r="AF582" i="1" s="1"/>
  <c r="AG582" i="1" s="1"/>
  <c r="AE44" i="1"/>
  <c r="AF44" i="1" s="1"/>
  <c r="AG44" i="1" s="1"/>
  <c r="AE398" i="1"/>
  <c r="AF398" i="1" s="1"/>
  <c r="AG398" i="1" s="1"/>
  <c r="AE148" i="1"/>
  <c r="AF148" i="1" s="1"/>
  <c r="AG148" i="1" s="1"/>
  <c r="AE201" i="1"/>
  <c r="AF201" i="1" s="1"/>
  <c r="AG201" i="1" s="1"/>
  <c r="AE192" i="1"/>
  <c r="AF192" i="1" s="1"/>
  <c r="AG192" i="1" s="1"/>
  <c r="AE298" i="1"/>
  <c r="AF298" i="1" s="1"/>
  <c r="AG298" i="1" s="1"/>
  <c r="AE377" i="1"/>
  <c r="AF377" i="1" s="1"/>
  <c r="AG377" i="1" s="1"/>
  <c r="AE295" i="1"/>
  <c r="AF295" i="1" s="1"/>
  <c r="AG295" i="1" s="1"/>
  <c r="AE387" i="1"/>
  <c r="AF387" i="1" s="1"/>
  <c r="AG387" i="1" s="1"/>
  <c r="AE199" i="1"/>
  <c r="AE506" i="1"/>
  <c r="AF506" i="1" s="1"/>
  <c r="AG506" i="1" s="1"/>
  <c r="AE397" i="1"/>
  <c r="AF397" i="1" s="1"/>
  <c r="AG397" i="1" s="1"/>
  <c r="AE452" i="1"/>
  <c r="AE446" i="1"/>
  <c r="AF446" i="1" s="1"/>
  <c r="AG446" i="1" s="1"/>
  <c r="AE444" i="1"/>
  <c r="AF444" i="1" s="1"/>
  <c r="AG444" i="1" s="1"/>
  <c r="AE439" i="1"/>
  <c r="AE249" i="1"/>
  <c r="AF249" i="1" s="1"/>
  <c r="AG249" i="1" s="1"/>
  <c r="AE474" i="1"/>
  <c r="AF474" i="1" s="1"/>
  <c r="AG474" i="1" s="1"/>
  <c r="AE455" i="1"/>
  <c r="AF455" i="1" s="1"/>
  <c r="AG455" i="1" s="1"/>
  <c r="AE476" i="1"/>
  <c r="AF476" i="1" s="1"/>
  <c r="AG476" i="1" s="1"/>
  <c r="AE477" i="1"/>
  <c r="AF477" i="1" s="1"/>
  <c r="AG477" i="1" s="1"/>
  <c r="AE268" i="1"/>
  <c r="AF268" i="1" s="1"/>
  <c r="AG268" i="1" s="1"/>
  <c r="AE454" i="1"/>
  <c r="AF454" i="1" s="1"/>
  <c r="AG454" i="1" s="1"/>
  <c r="AE250" i="1"/>
  <c r="AF250" i="1" s="1"/>
  <c r="AG250" i="1" s="1"/>
  <c r="AE267" i="1"/>
  <c r="AF267" i="1" s="1"/>
  <c r="AG267" i="1" s="1"/>
  <c r="AE100" i="1"/>
  <c r="AF100" i="1" s="1"/>
  <c r="AG100" i="1" s="1"/>
  <c r="AE230" i="1"/>
  <c r="AF230" i="1" s="1"/>
  <c r="AG230" i="1" s="1"/>
  <c r="AE573" i="1"/>
  <c r="AF573" i="1" s="1"/>
  <c r="AG573" i="1" s="1"/>
  <c r="AE456" i="1"/>
  <c r="AF456" i="1" s="1"/>
  <c r="AG456" i="1" s="1"/>
  <c r="F326" i="2"/>
  <c r="AC657" i="1"/>
  <c r="AC156" i="1"/>
  <c r="AC162" i="1" s="1"/>
  <c r="AC164" i="1" s="1"/>
  <c r="AC211" i="1"/>
  <c r="AC213" i="1"/>
  <c r="AC212" i="1"/>
  <c r="AC428" i="1"/>
  <c r="AC432" i="1" s="1"/>
  <c r="AC214" i="1"/>
  <c r="AC659" i="1"/>
  <c r="AC177" i="1"/>
  <c r="AC183" i="1" s="1"/>
  <c r="AC185" i="1" s="1"/>
  <c r="D32" i="27"/>
  <c r="E32" i="27" s="1"/>
  <c r="K32" i="27" s="1"/>
  <c r="L32" i="27" s="1"/>
  <c r="I43" i="2"/>
  <c r="V43" i="2"/>
  <c r="X43" i="2"/>
  <c r="Z43" i="2"/>
  <c r="L43" i="2"/>
  <c r="W43" i="2"/>
  <c r="Y43" i="2"/>
  <c r="T43" i="2"/>
  <c r="M43" i="2"/>
  <c r="U43" i="2"/>
  <c r="R43" i="2"/>
  <c r="J43" i="2"/>
  <c r="S43" i="2"/>
  <c r="K43" i="2"/>
  <c r="Q43" i="2"/>
  <c r="P43" i="2"/>
  <c r="O43" i="2"/>
  <c r="H43" i="2"/>
  <c r="G43" i="2"/>
  <c r="N43" i="2"/>
  <c r="Z107" i="1"/>
  <c r="F102" i="2" s="1"/>
  <c r="Z319" i="1"/>
  <c r="Z530" i="1"/>
  <c r="Z602" i="1"/>
  <c r="F674" i="2" s="1"/>
  <c r="Z323" i="1"/>
  <c r="Z527" i="1"/>
  <c r="Z604" i="1"/>
  <c r="Z322" i="1"/>
  <c r="Z598" i="1"/>
  <c r="F559" i="2" s="1"/>
  <c r="Z596" i="1"/>
  <c r="Z600" i="1"/>
  <c r="F617" i="2" s="1"/>
  <c r="E29" i="14"/>
  <c r="AA302" i="2"/>
  <c r="AB302" i="2" s="1"/>
  <c r="G810" i="2"/>
  <c r="G64" i="33" s="1"/>
  <c r="AA64" i="33" s="1"/>
  <c r="AB64" i="33" s="1"/>
  <c r="AA1105" i="2"/>
  <c r="AB1105" i="2" s="1"/>
  <c r="G794" i="2"/>
  <c r="G723" i="2"/>
  <c r="AA589" i="2"/>
  <c r="AB589" i="2" s="1"/>
  <c r="E30" i="14"/>
  <c r="AA417" i="2"/>
  <c r="AB417" i="2" s="1"/>
  <c r="G494" i="2"/>
  <c r="AA494" i="2" s="1"/>
  <c r="AB494" i="2" s="1"/>
  <c r="AA493" i="2"/>
  <c r="AB493" i="2" s="1"/>
  <c r="I330" i="2"/>
  <c r="V330" i="2"/>
  <c r="W330" i="2"/>
  <c r="Y330" i="2"/>
  <c r="L330" i="2"/>
  <c r="Z330" i="2"/>
  <c r="X330" i="2"/>
  <c r="S330" i="2"/>
  <c r="K330" i="2"/>
  <c r="R330" i="2"/>
  <c r="P330" i="2"/>
  <c r="O330" i="2"/>
  <c r="T330" i="2"/>
  <c r="M330" i="2"/>
  <c r="U330" i="2"/>
  <c r="J330" i="2"/>
  <c r="Q330" i="2"/>
  <c r="H330" i="2"/>
  <c r="G330" i="2"/>
  <c r="N330" i="2"/>
  <c r="J264" i="2"/>
  <c r="J265" i="2" s="1"/>
  <c r="M264" i="2"/>
  <c r="M265" i="2" s="1"/>
  <c r="T264" i="2"/>
  <c r="T265" i="2" s="1"/>
  <c r="R264" i="2"/>
  <c r="R265" i="2" s="1"/>
  <c r="W264" i="2"/>
  <c r="W265" i="2" s="1"/>
  <c r="I264" i="2"/>
  <c r="I265" i="2" s="1"/>
  <c r="N264" i="2"/>
  <c r="N265" i="2" s="1"/>
  <c r="Q264" i="2"/>
  <c r="Q265" i="2" s="1"/>
  <c r="Y264" i="2"/>
  <c r="Y265" i="2" s="1"/>
  <c r="G264" i="2"/>
  <c r="O264" i="2"/>
  <c r="O265" i="2" s="1"/>
  <c r="P264" i="2"/>
  <c r="P265" i="2" s="1"/>
  <c r="X264" i="2"/>
  <c r="X265" i="2" s="1"/>
  <c r="K264" i="2"/>
  <c r="K265" i="2" s="1"/>
  <c r="L264" i="2"/>
  <c r="L265" i="2" s="1"/>
  <c r="S264" i="2"/>
  <c r="S265" i="2" s="1"/>
  <c r="V264" i="2"/>
  <c r="V265" i="2" s="1"/>
  <c r="Z264" i="2"/>
  <c r="Z265" i="2" s="1"/>
  <c r="H264" i="2"/>
  <c r="H265" i="2" s="1"/>
  <c r="U264" i="2"/>
  <c r="U265" i="2" s="1"/>
  <c r="H325" i="2"/>
  <c r="O325" i="2"/>
  <c r="V325" i="2"/>
  <c r="I325" i="2"/>
  <c r="R325" i="2"/>
  <c r="J325" i="2"/>
  <c r="Q325" i="2"/>
  <c r="X325" i="2"/>
  <c r="K325" i="2"/>
  <c r="U325" i="2"/>
  <c r="F327" i="2"/>
  <c r="L325" i="2"/>
  <c r="S325" i="2"/>
  <c r="Y325" i="2"/>
  <c r="M325" i="2"/>
  <c r="W325" i="2"/>
  <c r="N325" i="2"/>
  <c r="T325" i="2"/>
  <c r="G325" i="2"/>
  <c r="P325" i="2"/>
  <c r="Z325" i="2"/>
  <c r="AA277" i="1"/>
  <c r="AA551" i="2"/>
  <c r="AB551" i="2" s="1"/>
  <c r="AB594" i="1"/>
  <c r="F451" i="2" s="1"/>
  <c r="AD304" i="1"/>
  <c r="AD46" i="1"/>
  <c r="AD631" i="1"/>
  <c r="AD373" i="1" s="1"/>
  <c r="AD379" i="1" s="1"/>
  <c r="AD439" i="1"/>
  <c r="AD448" i="1" s="1"/>
  <c r="AD204" i="1"/>
  <c r="AD247" i="1"/>
  <c r="AD629" i="1"/>
  <c r="AD362" i="1" s="1"/>
  <c r="AD370" i="1" s="1"/>
  <c r="H384" i="2"/>
  <c r="J384" i="2"/>
  <c r="Q384" i="2"/>
  <c r="G442" i="2"/>
  <c r="AA442" i="2" s="1"/>
  <c r="AB442" i="2" s="1"/>
  <c r="AB185" i="1"/>
  <c r="X128" i="1"/>
  <c r="AA206" i="2"/>
  <c r="AB206" i="2" s="1"/>
  <c r="AB15" i="1"/>
  <c r="AC381" i="1"/>
  <c r="AC425" i="1" s="1"/>
  <c r="AA94" i="2"/>
  <c r="AB94" i="2" s="1"/>
  <c r="AA492" i="2"/>
  <c r="AB492" i="2" s="1"/>
  <c r="AB239" i="1"/>
  <c r="AB208" i="1"/>
  <c r="AB221" i="1" s="1"/>
  <c r="AA812" i="2" l="1"/>
  <c r="AB812" i="2" s="1"/>
  <c r="G66" i="33"/>
  <c r="AA66" i="33" s="1"/>
  <c r="AB66" i="33" s="1"/>
  <c r="AA817" i="2"/>
  <c r="AB817" i="2" s="1"/>
  <c r="G71" i="33"/>
  <c r="AA71" i="33" s="1"/>
  <c r="AB71" i="33" s="1"/>
  <c r="AA816" i="2"/>
  <c r="AB816" i="2" s="1"/>
  <c r="G70" i="33"/>
  <c r="AA70" i="33" s="1"/>
  <c r="AB70" i="33" s="1"/>
  <c r="AA811" i="2"/>
  <c r="AB811" i="2" s="1"/>
  <c r="G65" i="33"/>
  <c r="AA65" i="33" s="1"/>
  <c r="AB65" i="33" s="1"/>
  <c r="AA794" i="2"/>
  <c r="AB794" i="2" s="1"/>
  <c r="G48" i="33"/>
  <c r="AA48" i="33" s="1"/>
  <c r="AB48" i="33" s="1"/>
  <c r="AA773" i="2"/>
  <c r="AB773" i="2" s="1"/>
  <c r="G27" i="33"/>
  <c r="AA27" i="33" s="1"/>
  <c r="AB27" i="33" s="1"/>
  <c r="AA813" i="2"/>
  <c r="AB813" i="2" s="1"/>
  <c r="G67" i="33"/>
  <c r="AA67" i="33" s="1"/>
  <c r="AB67" i="33" s="1"/>
  <c r="AB662" i="1"/>
  <c r="AE438" i="1"/>
  <c r="W1101" i="2"/>
  <c r="AC239" i="1"/>
  <c r="AC634" i="1"/>
  <c r="AC451" i="1" s="1"/>
  <c r="AC463" i="1" s="1"/>
  <c r="AC244" i="1" s="1"/>
  <c r="AC257" i="1" s="1"/>
  <c r="X536" i="1"/>
  <c r="X538" i="1" s="1"/>
  <c r="AB484" i="1"/>
  <c r="AB486" i="1" s="1"/>
  <c r="AA384" i="2"/>
  <c r="AB384" i="2" s="1"/>
  <c r="AA330" i="2"/>
  <c r="AB330" i="2" s="1"/>
  <c r="O1101" i="2"/>
  <c r="Y1101" i="2"/>
  <c r="V1101" i="2"/>
  <c r="AC662" i="1"/>
  <c r="AC663" i="1"/>
  <c r="AC261" i="1"/>
  <c r="AC271" i="1" s="1"/>
  <c r="AD381" i="1"/>
  <c r="AD656" i="1"/>
  <c r="AD144" i="1"/>
  <c r="AD153" i="1" s="1"/>
  <c r="AD657" i="1"/>
  <c r="AD156" i="1"/>
  <c r="AD162" i="1" s="1"/>
  <c r="G451" i="2"/>
  <c r="I451" i="2"/>
  <c r="K451" i="2"/>
  <c r="O451" i="2"/>
  <c r="N451" i="2"/>
  <c r="S451" i="2"/>
  <c r="Q451" i="2"/>
  <c r="T451" i="2"/>
  <c r="Y451" i="2"/>
  <c r="X451" i="2"/>
  <c r="H451" i="2"/>
  <c r="J451" i="2"/>
  <c r="L451" i="2"/>
  <c r="M451" i="2"/>
  <c r="P451" i="2"/>
  <c r="V451" i="2"/>
  <c r="R451" i="2"/>
  <c r="U451" i="2"/>
  <c r="W451" i="2"/>
  <c r="Z451" i="2"/>
  <c r="H29" i="31"/>
  <c r="H29" i="27"/>
  <c r="H29" i="28"/>
  <c r="F502" i="2"/>
  <c r="Z606" i="1"/>
  <c r="I674" i="2"/>
  <c r="V674" i="2"/>
  <c r="Z674" i="2"/>
  <c r="X674" i="2"/>
  <c r="L674" i="2"/>
  <c r="Y674" i="2"/>
  <c r="W674" i="2"/>
  <c r="M674" i="2"/>
  <c r="K674" i="2"/>
  <c r="U674" i="2"/>
  <c r="Q674" i="2"/>
  <c r="T674" i="2"/>
  <c r="S674" i="2"/>
  <c r="R674" i="2"/>
  <c r="J674" i="2"/>
  <c r="P674" i="2"/>
  <c r="O674" i="2"/>
  <c r="G674" i="2"/>
  <c r="H674" i="2"/>
  <c r="N674" i="2"/>
  <c r="L102" i="2"/>
  <c r="W102" i="2"/>
  <c r="Y102" i="2"/>
  <c r="I102" i="2"/>
  <c r="V102" i="2"/>
  <c r="X102" i="2"/>
  <c r="Z102" i="2"/>
  <c r="S102" i="2"/>
  <c r="M102" i="2"/>
  <c r="J102" i="2"/>
  <c r="Q102" i="2"/>
  <c r="P102" i="2"/>
  <c r="O102" i="2"/>
  <c r="T102" i="2"/>
  <c r="K102" i="2"/>
  <c r="U102" i="2"/>
  <c r="R102" i="2"/>
  <c r="H102" i="2"/>
  <c r="G102" i="2"/>
  <c r="N102" i="2"/>
  <c r="L326" i="2"/>
  <c r="X326" i="2"/>
  <c r="G326" i="2"/>
  <c r="Q326" i="2"/>
  <c r="Q327" i="2" s="1"/>
  <c r="P326" i="2"/>
  <c r="P327" i="2" s="1"/>
  <c r="W326" i="2"/>
  <c r="J326" i="2"/>
  <c r="O326" i="2"/>
  <c r="S326" i="2"/>
  <c r="S327" i="2" s="1"/>
  <c r="Z326" i="2"/>
  <c r="N326" i="2"/>
  <c r="V326" i="2"/>
  <c r="V327" i="2" s="1"/>
  <c r="T326" i="2"/>
  <c r="Y326" i="2"/>
  <c r="Y327" i="2" s="1"/>
  <c r="M326" i="2"/>
  <c r="R326" i="2"/>
  <c r="I326" i="2"/>
  <c r="I327" i="2" s="1"/>
  <c r="H326" i="2"/>
  <c r="K326" i="2"/>
  <c r="U326" i="2"/>
  <c r="AF438" i="1"/>
  <c r="AG438" i="1" s="1"/>
  <c r="AE204" i="1"/>
  <c r="AF204" i="1" s="1"/>
  <c r="AG204" i="1" s="1"/>
  <c r="AF199" i="1"/>
  <c r="AG199" i="1" s="1"/>
  <c r="AF473" i="1"/>
  <c r="AG473" i="1" s="1"/>
  <c r="AE641" i="1"/>
  <c r="AF639" i="1"/>
  <c r="AG639" i="1" s="1"/>
  <c r="AE512" i="1"/>
  <c r="AF512" i="1" s="1"/>
  <c r="AG512" i="1" s="1"/>
  <c r="AF500" i="1"/>
  <c r="AG500" i="1" s="1"/>
  <c r="AE29" i="1"/>
  <c r="AF19" i="1"/>
  <c r="AG19" i="1" s="1"/>
  <c r="AE289" i="1"/>
  <c r="AF289" i="1" s="1"/>
  <c r="AG289" i="1" s="1"/>
  <c r="AF283" i="1"/>
  <c r="AG283" i="1" s="1"/>
  <c r="AE629" i="1"/>
  <c r="AF363" i="1"/>
  <c r="AG363" i="1" s="1"/>
  <c r="AE638" i="1"/>
  <c r="AF37" i="1"/>
  <c r="AG37" i="1" s="1"/>
  <c r="AF131" i="1"/>
  <c r="AG131" i="1" s="1"/>
  <c r="AF72" i="1"/>
  <c r="AG72" i="1" s="1"/>
  <c r="AF589" i="1"/>
  <c r="AG589" i="1" s="1"/>
  <c r="AE413" i="1"/>
  <c r="AF407" i="1"/>
  <c r="AG407" i="1" s="1"/>
  <c r="AE421" i="1"/>
  <c r="AF421" i="1" s="1"/>
  <c r="AG421" i="1" s="1"/>
  <c r="AF416" i="1"/>
  <c r="AG416" i="1" s="1"/>
  <c r="F137" i="2"/>
  <c r="R134" i="2"/>
  <c r="Q134" i="2"/>
  <c r="N134" i="2"/>
  <c r="V134" i="2"/>
  <c r="V137" i="2" s="1"/>
  <c r="L134" i="2"/>
  <c r="Y134" i="2"/>
  <c r="Y137" i="2" s="1"/>
  <c r="W134" i="2"/>
  <c r="W137" i="2" s="1"/>
  <c r="U134" i="2"/>
  <c r="P134" i="2"/>
  <c r="O134" i="2"/>
  <c r="O137" i="2" s="1"/>
  <c r="H134" i="2"/>
  <c r="T134" i="2"/>
  <c r="Z134" i="2"/>
  <c r="Z137" i="2" s="1"/>
  <c r="K134" i="2"/>
  <c r="I134" i="2"/>
  <c r="S134" i="2"/>
  <c r="J134" i="2"/>
  <c r="M134" i="2"/>
  <c r="X134" i="2"/>
  <c r="X137" i="2" s="1"/>
  <c r="G134" i="2"/>
  <c r="AA664" i="1"/>
  <c r="AA325" i="1"/>
  <c r="AA528" i="1"/>
  <c r="AA525" i="1"/>
  <c r="AA524" i="1"/>
  <c r="AA531" i="1"/>
  <c r="AA316" i="1"/>
  <c r="AA317" i="1"/>
  <c r="AA320" i="1"/>
  <c r="AA529" i="1"/>
  <c r="AA532" i="1"/>
  <c r="AA318" i="1"/>
  <c r="AA315" i="1"/>
  <c r="AA321" i="1"/>
  <c r="AA523" i="1"/>
  <c r="AA526" i="1"/>
  <c r="AA324" i="1"/>
  <c r="AD658" i="1"/>
  <c r="AD402" i="1"/>
  <c r="AD167" i="1"/>
  <c r="AD174" i="1" s="1"/>
  <c r="AD660" i="1"/>
  <c r="AD423" i="1"/>
  <c r="AD188" i="1"/>
  <c r="AD194" i="1" s="1"/>
  <c r="AD206" i="1" s="1"/>
  <c r="AD659" i="1"/>
  <c r="AD177" i="1"/>
  <c r="AD183" i="1" s="1"/>
  <c r="AD48" i="1"/>
  <c r="AD666" i="1"/>
  <c r="AD571" i="1"/>
  <c r="AD569" i="1"/>
  <c r="AD570" i="1"/>
  <c r="AA667" i="1"/>
  <c r="AA67" i="1"/>
  <c r="AA576" i="1"/>
  <c r="W138" i="1"/>
  <c r="U208" i="2"/>
  <c r="N208" i="2"/>
  <c r="J208" i="2"/>
  <c r="S208" i="2"/>
  <c r="AA207" i="2"/>
  <c r="AB207" i="2" s="1"/>
  <c r="G208" i="2"/>
  <c r="R208" i="2"/>
  <c r="F497" i="2"/>
  <c r="X606" i="1"/>
  <c r="L612" i="2"/>
  <c r="V612" i="2"/>
  <c r="G612" i="2"/>
  <c r="O612" i="2"/>
  <c r="W612" i="2"/>
  <c r="N612" i="2"/>
  <c r="R612" i="2"/>
  <c r="I612" i="2"/>
  <c r="S612" i="2"/>
  <c r="X612" i="2"/>
  <c r="H612" i="2"/>
  <c r="P612" i="2"/>
  <c r="Z612" i="2"/>
  <c r="K612" i="2"/>
  <c r="U612" i="2"/>
  <c r="J612" i="2"/>
  <c r="T612" i="2"/>
  <c r="Y612" i="2"/>
  <c r="M612" i="2"/>
  <c r="Q612" i="2"/>
  <c r="D35" i="14"/>
  <c r="G35" i="14" s="1"/>
  <c r="K35" i="14" s="1"/>
  <c r="L35" i="14" s="1"/>
  <c r="AA808" i="2"/>
  <c r="AB808" i="2" s="1"/>
  <c r="Y107" i="1"/>
  <c r="F98" i="2" s="1"/>
  <c r="Y598" i="1"/>
  <c r="F555" i="2" s="1"/>
  <c r="Y319" i="1"/>
  <c r="Y527" i="1"/>
  <c r="Y602" i="1"/>
  <c r="F670" i="2" s="1"/>
  <c r="Y596" i="1"/>
  <c r="Y530" i="1"/>
  <c r="Y604" i="1"/>
  <c r="Y600" i="1"/>
  <c r="F613" i="2" s="1"/>
  <c r="Y322" i="1"/>
  <c r="Y323" i="1"/>
  <c r="AC649" i="1"/>
  <c r="AC75" i="1"/>
  <c r="AC10" i="1"/>
  <c r="AC11" i="1"/>
  <c r="AC134" i="1"/>
  <c r="AC136" i="1" s="1"/>
  <c r="AC58" i="1"/>
  <c r="AC103" i="1"/>
  <c r="AC102" i="1"/>
  <c r="AC61" i="1"/>
  <c r="AC12" i="1"/>
  <c r="AC60" i="1"/>
  <c r="AC13" i="1"/>
  <c r="AC9" i="1"/>
  <c r="W391" i="2"/>
  <c r="V391" i="2"/>
  <c r="Z391" i="2"/>
  <c r="X391" i="2"/>
  <c r="I391" i="2"/>
  <c r="Y391" i="2"/>
  <c r="M391" i="2"/>
  <c r="L391" i="2"/>
  <c r="S391" i="2"/>
  <c r="H391" i="2"/>
  <c r="Q391" i="2"/>
  <c r="K391" i="2"/>
  <c r="U391" i="2"/>
  <c r="J391" i="2"/>
  <c r="P391" i="2"/>
  <c r="O391" i="2"/>
  <c r="T391" i="2"/>
  <c r="R391" i="2"/>
  <c r="G391" i="2"/>
  <c r="N391" i="2"/>
  <c r="M448" i="2"/>
  <c r="W448" i="2"/>
  <c r="L448" i="2"/>
  <c r="X448" i="2"/>
  <c r="I448" i="2"/>
  <c r="Z448" i="2"/>
  <c r="V448" i="2"/>
  <c r="Y448" i="2"/>
  <c r="S448" i="2"/>
  <c r="P448" i="2"/>
  <c r="O448" i="2"/>
  <c r="T448" i="2"/>
  <c r="J448" i="2"/>
  <c r="H448" i="2"/>
  <c r="Q448" i="2"/>
  <c r="K448" i="2"/>
  <c r="U448" i="2"/>
  <c r="R448" i="2"/>
  <c r="N448" i="2"/>
  <c r="G448" i="2"/>
  <c r="Y655" i="1"/>
  <c r="Y118" i="1"/>
  <c r="Z327" i="2"/>
  <c r="T327" i="2"/>
  <c r="W327" i="2"/>
  <c r="X327" i="2"/>
  <c r="AA264" i="2"/>
  <c r="AB264" i="2" s="1"/>
  <c r="AA43" i="2"/>
  <c r="AB43" i="2" s="1"/>
  <c r="AC208" i="1"/>
  <c r="AF439" i="1"/>
  <c r="AG439" i="1" s="1"/>
  <c r="AE229" i="1"/>
  <c r="AF229" i="1" s="1"/>
  <c r="AG229" i="1" s="1"/>
  <c r="AE132" i="1"/>
  <c r="AF132" i="1" s="1"/>
  <c r="AG132" i="1" s="1"/>
  <c r="AE590" i="1"/>
  <c r="AF590" i="1" s="1"/>
  <c r="AG590" i="1" s="1"/>
  <c r="AE443" i="1"/>
  <c r="AF443" i="1" s="1"/>
  <c r="AG443" i="1" s="1"/>
  <c r="AE445" i="1"/>
  <c r="AF445" i="1" s="1"/>
  <c r="AG445" i="1" s="1"/>
  <c r="AC77" i="1"/>
  <c r="AC94" i="1" s="1"/>
  <c r="AA149" i="2"/>
  <c r="AB149" i="2" s="1"/>
  <c r="X329" i="1"/>
  <c r="X331" i="1" s="1"/>
  <c r="P1094" i="2"/>
  <c r="P1101" i="2" s="1"/>
  <c r="M1094" i="2"/>
  <c r="M1101" i="2" s="1"/>
  <c r="U1098" i="2"/>
  <c r="U1099" i="2" s="1"/>
  <c r="Z1101" i="2"/>
  <c r="S1098" i="2"/>
  <c r="S1099" i="2" s="1"/>
  <c r="S1101" i="2" s="1"/>
  <c r="X1101" i="2"/>
  <c r="Q1094" i="2"/>
  <c r="N1094" i="2"/>
  <c r="N1101" i="2" s="1"/>
  <c r="AB488" i="1"/>
  <c r="AB67" i="1"/>
  <c r="AB667" i="1"/>
  <c r="AB576" i="1"/>
  <c r="AB578" i="1" s="1"/>
  <c r="AD650" i="1"/>
  <c r="AD254" i="1"/>
  <c r="AD62" i="1"/>
  <c r="AD255" i="1"/>
  <c r="AD253" i="1"/>
  <c r="AD461" i="1"/>
  <c r="AD480" i="1"/>
  <c r="AD635" i="1" s="1"/>
  <c r="AD472" i="1" s="1"/>
  <c r="AD482" i="1" s="1"/>
  <c r="AD269" i="1"/>
  <c r="AD74" i="1"/>
  <c r="AD133" i="1"/>
  <c r="AD65" i="1"/>
  <c r="AD252" i="1"/>
  <c r="AD574" i="1"/>
  <c r="AD591" i="1"/>
  <c r="AD583" i="1"/>
  <c r="AD101" i="1"/>
  <c r="AD460" i="1"/>
  <c r="AD661" i="1"/>
  <c r="AD226" i="1"/>
  <c r="AD225" i="1"/>
  <c r="AD234" i="1"/>
  <c r="AD224" i="1"/>
  <c r="AD232" i="1"/>
  <c r="AD237" i="1"/>
  <c r="AD227" i="1"/>
  <c r="AD231" i="1"/>
  <c r="AD233" i="1"/>
  <c r="AD235" i="1"/>
  <c r="AD228" i="1"/>
  <c r="AA306" i="1"/>
  <c r="AA325" i="2"/>
  <c r="AB325" i="2" s="1"/>
  <c r="G327" i="2"/>
  <c r="H29" i="14"/>
  <c r="M327" i="2"/>
  <c r="K327" i="2"/>
  <c r="H29" i="26"/>
  <c r="H327" i="2"/>
  <c r="H29" i="24"/>
  <c r="D32" i="14"/>
  <c r="E32" i="14" s="1"/>
  <c r="K32" i="14" s="1"/>
  <c r="L32" i="14" s="1"/>
  <c r="AA723" i="2"/>
  <c r="AB723" i="2" s="1"/>
  <c r="D33" i="14"/>
  <c r="E33" i="14" s="1"/>
  <c r="AA810" i="2"/>
  <c r="AB810" i="2" s="1"/>
  <c r="L617" i="2"/>
  <c r="W617" i="2"/>
  <c r="X617" i="2"/>
  <c r="I617" i="2"/>
  <c r="V617" i="2"/>
  <c r="Y617" i="2"/>
  <c r="Z617" i="2"/>
  <c r="T617" i="2"/>
  <c r="S617" i="2"/>
  <c r="U617" i="2"/>
  <c r="J617" i="2"/>
  <c r="P617" i="2"/>
  <c r="O617" i="2"/>
  <c r="M617" i="2"/>
  <c r="K617" i="2"/>
  <c r="R617" i="2"/>
  <c r="Q617" i="2"/>
  <c r="H617" i="2"/>
  <c r="G617" i="2"/>
  <c r="N617" i="2"/>
  <c r="I559" i="2"/>
  <c r="V559" i="2"/>
  <c r="Y559" i="2"/>
  <c r="Z559" i="2"/>
  <c r="L559" i="2"/>
  <c r="X559" i="2"/>
  <c r="W559" i="2"/>
  <c r="T559" i="2"/>
  <c r="S559" i="2"/>
  <c r="K559" i="2"/>
  <c r="U559" i="2"/>
  <c r="R559" i="2"/>
  <c r="Q559" i="2"/>
  <c r="P559" i="2"/>
  <c r="M559" i="2"/>
  <c r="J559" i="2"/>
  <c r="O559" i="2"/>
  <c r="H559" i="2"/>
  <c r="G559" i="2"/>
  <c r="N559" i="2"/>
  <c r="AF452" i="1"/>
  <c r="AG452" i="1" s="1"/>
  <c r="AE651" i="1"/>
  <c r="AF651" i="1" s="1"/>
  <c r="AG651" i="1" s="1"/>
  <c r="AF33" i="1"/>
  <c r="AG33" i="1" s="1"/>
  <c r="AE304" i="1"/>
  <c r="AF304" i="1" s="1"/>
  <c r="AG304" i="1" s="1"/>
  <c r="AF292" i="1"/>
  <c r="AG292" i="1" s="1"/>
  <c r="AF99" i="1"/>
  <c r="AG99" i="1" s="1"/>
  <c r="AE497" i="1"/>
  <c r="AF497" i="1" s="1"/>
  <c r="AG497" i="1" s="1"/>
  <c r="AF491" i="1"/>
  <c r="AG491" i="1" s="1"/>
  <c r="AE633" i="1"/>
  <c r="AF395" i="1"/>
  <c r="AG395" i="1" s="1"/>
  <c r="AF581" i="1"/>
  <c r="AG581" i="1" s="1"/>
  <c r="AE46" i="1"/>
  <c r="AF36" i="1"/>
  <c r="AG36" i="1" s="1"/>
  <c r="AE631" i="1"/>
  <c r="AF374" i="1"/>
  <c r="AG374" i="1" s="1"/>
  <c r="AE632" i="1"/>
  <c r="AF385" i="1"/>
  <c r="AG385" i="1" s="1"/>
  <c r="Z655" i="1"/>
  <c r="Z118" i="1"/>
  <c r="AA147" i="2"/>
  <c r="AB147" i="2" s="1"/>
  <c r="AA131" i="2"/>
  <c r="AB131" i="2" s="1"/>
  <c r="G394" i="2"/>
  <c r="J394" i="2"/>
  <c r="I394" i="2"/>
  <c r="M394" i="2"/>
  <c r="P394" i="2"/>
  <c r="R394" i="2"/>
  <c r="T394" i="2"/>
  <c r="W394" i="2"/>
  <c r="Y394" i="2"/>
  <c r="Z394" i="2"/>
  <c r="H394" i="2"/>
  <c r="K394" i="2"/>
  <c r="L394" i="2"/>
  <c r="N394" i="2"/>
  <c r="Q394" i="2"/>
  <c r="S394" i="2"/>
  <c r="U394" i="2"/>
  <c r="X394" i="2"/>
  <c r="V394" i="2"/>
  <c r="O394" i="2"/>
  <c r="H208" i="2"/>
  <c r="P208" i="2"/>
  <c r="K208" i="2"/>
  <c r="T208" i="2"/>
  <c r="L208" i="2"/>
  <c r="O208" i="2"/>
  <c r="I208" i="2"/>
  <c r="Q208" i="2"/>
  <c r="M208" i="2"/>
  <c r="J669" i="2"/>
  <c r="R669" i="2"/>
  <c r="K669" i="2"/>
  <c r="Q669" i="2"/>
  <c r="X669" i="2"/>
  <c r="L669" i="2"/>
  <c r="T669" i="2"/>
  <c r="I669" i="2"/>
  <c r="P669" i="2"/>
  <c r="Z669" i="2"/>
  <c r="F671" i="2"/>
  <c r="H669" i="2"/>
  <c r="N669" i="2"/>
  <c r="W669" i="2"/>
  <c r="O669" i="2"/>
  <c r="S669" i="2"/>
  <c r="G669" i="2"/>
  <c r="U669" i="2"/>
  <c r="Y669" i="2"/>
  <c r="M669" i="2"/>
  <c r="V669" i="2"/>
  <c r="L554" i="2"/>
  <c r="T554" i="2"/>
  <c r="J554" i="2"/>
  <c r="S554" i="2"/>
  <c r="Y554" i="2"/>
  <c r="K554" i="2"/>
  <c r="U554" i="2"/>
  <c r="G554" i="2"/>
  <c r="P554" i="2"/>
  <c r="Z554" i="2"/>
  <c r="F556" i="2"/>
  <c r="H554" i="2"/>
  <c r="R554" i="2"/>
  <c r="W554" i="2"/>
  <c r="M554" i="2"/>
  <c r="V554" i="2"/>
  <c r="I554" i="2"/>
  <c r="O554" i="2"/>
  <c r="X554" i="2"/>
  <c r="N554" i="2"/>
  <c r="Q554" i="2"/>
  <c r="X654" i="1"/>
  <c r="X540" i="1"/>
  <c r="X117" i="1"/>
  <c r="X120" i="1" s="1"/>
  <c r="F268" i="2"/>
  <c r="N97" i="2"/>
  <c r="V97" i="2"/>
  <c r="I97" i="2"/>
  <c r="S97" i="2"/>
  <c r="Z97" i="2"/>
  <c r="J97" i="2"/>
  <c r="T97" i="2"/>
  <c r="W97" i="2"/>
  <c r="O97" i="2"/>
  <c r="X97" i="2"/>
  <c r="F99" i="2"/>
  <c r="H97" i="2"/>
  <c r="Q97" i="2"/>
  <c r="Y97" i="2"/>
  <c r="L97" i="2"/>
  <c r="P97" i="2"/>
  <c r="G97" i="2"/>
  <c r="M97" i="2"/>
  <c r="R97" i="2"/>
  <c r="K97" i="2"/>
  <c r="U97" i="2"/>
  <c r="AA38" i="2"/>
  <c r="AB38" i="2" s="1"/>
  <c r="AA840" i="2"/>
  <c r="AB840" i="2" s="1"/>
  <c r="O39" i="2"/>
  <c r="O40" i="2" s="1"/>
  <c r="Q39" i="2"/>
  <c r="Q40" i="2" s="1"/>
  <c r="V39" i="2"/>
  <c r="V40" i="2" s="1"/>
  <c r="G39" i="2"/>
  <c r="M39" i="2"/>
  <c r="M40" i="2" s="1"/>
  <c r="T39" i="2"/>
  <c r="T40" i="2" s="1"/>
  <c r="X39" i="2"/>
  <c r="X40" i="2" s="1"/>
  <c r="Z39" i="2"/>
  <c r="Z40" i="2" s="1"/>
  <c r="N39" i="2"/>
  <c r="N40" i="2" s="1"/>
  <c r="P39" i="2"/>
  <c r="P40" i="2" s="1"/>
  <c r="S39" i="2"/>
  <c r="S40" i="2" s="1"/>
  <c r="J39" i="2"/>
  <c r="J40" i="2" s="1"/>
  <c r="L39" i="2"/>
  <c r="L40" i="2" s="1"/>
  <c r="R39" i="2"/>
  <c r="R40" i="2" s="1"/>
  <c r="W39" i="2"/>
  <c r="W40" i="2" s="1"/>
  <c r="Y39" i="2"/>
  <c r="Y40" i="2" s="1"/>
  <c r="I39" i="2"/>
  <c r="I40" i="2" s="1"/>
  <c r="H39" i="2"/>
  <c r="H40" i="2" s="1"/>
  <c r="K39" i="2"/>
  <c r="K40" i="2" s="1"/>
  <c r="U39" i="2"/>
  <c r="U40" i="2" s="1"/>
  <c r="O767" i="2"/>
  <c r="O21" i="33" s="1"/>
  <c r="O699" i="2"/>
  <c r="W767" i="2"/>
  <c r="W21" i="33" s="1"/>
  <c r="W699" i="2"/>
  <c r="V699" i="2"/>
  <c r="V767" i="2"/>
  <c r="V21" i="33" s="1"/>
  <c r="Y767" i="2"/>
  <c r="Y21" i="33" s="1"/>
  <c r="Y699" i="2"/>
  <c r="Z664" i="1"/>
  <c r="Z525" i="1"/>
  <c r="Z531" i="1"/>
  <c r="Z325" i="1"/>
  <c r="Z523" i="1"/>
  <c r="Z316" i="1"/>
  <c r="Z321" i="1"/>
  <c r="Z315" i="1"/>
  <c r="Z529" i="1"/>
  <c r="Z526" i="1"/>
  <c r="Z324" i="1"/>
  <c r="Z532" i="1"/>
  <c r="Z317" i="1"/>
  <c r="Z528" i="1"/>
  <c r="Z320" i="1"/>
  <c r="Z318" i="1"/>
  <c r="Z524" i="1"/>
  <c r="R327" i="2"/>
  <c r="AC219" i="1"/>
  <c r="AE440" i="1"/>
  <c r="AF440" i="1" s="1"/>
  <c r="AG440" i="1" s="1"/>
  <c r="AE441" i="1"/>
  <c r="AF441" i="1" s="1"/>
  <c r="AG441" i="1" s="1"/>
  <c r="AE442" i="1"/>
  <c r="AF442" i="1" s="1"/>
  <c r="AG442" i="1" s="1"/>
  <c r="AF247" i="1"/>
  <c r="AG247" i="1" s="1"/>
  <c r="G265" i="2"/>
  <c r="Y128" i="1"/>
  <c r="I1098" i="2"/>
  <c r="I1099" i="2" s="1"/>
  <c r="I1101" i="2" s="1"/>
  <c r="K1098" i="2"/>
  <c r="K1099" i="2" s="1"/>
  <c r="K1101" i="2" s="1"/>
  <c r="H1098" i="2"/>
  <c r="H1099" i="2" s="1"/>
  <c r="H1101" i="2" s="1"/>
  <c r="J1094" i="2"/>
  <c r="J1101" i="2" s="1"/>
  <c r="U1101" i="2"/>
  <c r="L1098" i="2"/>
  <c r="L1099" i="2" s="1"/>
  <c r="G1098" i="2"/>
  <c r="L1094" i="2"/>
  <c r="T1098" i="2"/>
  <c r="T1099" i="2" s="1"/>
  <c r="T1101" i="2" s="1"/>
  <c r="Q1098" i="2"/>
  <c r="Q1099" i="2" s="1"/>
  <c r="R1094" i="2"/>
  <c r="R1101" i="2" s="1"/>
  <c r="AA578" i="1"/>
  <c r="AB273" i="1"/>
  <c r="AB275" i="1" s="1"/>
  <c r="AA448" i="2" l="1"/>
  <c r="AB448" i="2" s="1"/>
  <c r="AC15" i="1"/>
  <c r="AC105" i="1"/>
  <c r="Y536" i="1"/>
  <c r="Y538" i="1" s="1"/>
  <c r="AA102" i="2"/>
  <c r="AB102" i="2" s="1"/>
  <c r="AC484" i="1"/>
  <c r="AC486" i="1" s="1"/>
  <c r="AC488" i="1" s="1"/>
  <c r="T699" i="2"/>
  <c r="T767" i="2"/>
  <c r="T21" i="33" s="1"/>
  <c r="S767" i="2"/>
  <c r="S21" i="33" s="1"/>
  <c r="S699" i="2"/>
  <c r="H699" i="2"/>
  <c r="H767" i="2"/>
  <c r="H21" i="33" s="1"/>
  <c r="K699" i="2"/>
  <c r="K767" i="2"/>
  <c r="K21" i="33" s="1"/>
  <c r="F336" i="2"/>
  <c r="R767" i="2"/>
  <c r="R21" i="33" s="1"/>
  <c r="R699" i="2"/>
  <c r="G1099" i="2"/>
  <c r="G1101" i="2" s="1"/>
  <c r="AA1098" i="2"/>
  <c r="AB1098" i="2" s="1"/>
  <c r="U699" i="2"/>
  <c r="U767" i="2"/>
  <c r="U21" i="33" s="1"/>
  <c r="I699" i="2"/>
  <c r="I767" i="2"/>
  <c r="I21" i="33" s="1"/>
  <c r="F333" i="2"/>
  <c r="J767" i="2"/>
  <c r="J21" i="33" s="1"/>
  <c r="J699" i="2"/>
  <c r="AA265" i="2"/>
  <c r="AB265" i="2" s="1"/>
  <c r="AA97" i="2"/>
  <c r="AB97" i="2" s="1"/>
  <c r="AA554" i="2"/>
  <c r="AB554" i="2" s="1"/>
  <c r="AA669" i="2"/>
  <c r="AB669" i="2" s="1"/>
  <c r="AF632" i="1"/>
  <c r="AG632" i="1" s="1"/>
  <c r="AE384" i="1"/>
  <c r="AF631" i="1"/>
  <c r="AG631" i="1" s="1"/>
  <c r="AE373" i="1"/>
  <c r="AE650" i="1"/>
  <c r="AF650" i="1" s="1"/>
  <c r="AG650" i="1" s="1"/>
  <c r="AF46" i="1"/>
  <c r="AG46" i="1" s="1"/>
  <c r="AE74" i="1"/>
  <c r="AE574" i="1"/>
  <c r="AF574" i="1" s="1"/>
  <c r="AG574" i="1" s="1"/>
  <c r="AE583" i="1"/>
  <c r="AE253" i="1"/>
  <c r="AF253" i="1" s="1"/>
  <c r="AG253" i="1" s="1"/>
  <c r="AE591" i="1"/>
  <c r="AF591" i="1" s="1"/>
  <c r="AG591" i="1" s="1"/>
  <c r="AE62" i="1"/>
  <c r="AF62" i="1" s="1"/>
  <c r="AG62" i="1" s="1"/>
  <c r="AE252" i="1"/>
  <c r="AF252" i="1" s="1"/>
  <c r="AG252" i="1" s="1"/>
  <c r="AE461" i="1"/>
  <c r="AF461" i="1" s="1"/>
  <c r="AG461" i="1" s="1"/>
  <c r="AE101" i="1"/>
  <c r="AE133" i="1"/>
  <c r="AF133" i="1" s="1"/>
  <c r="AG133" i="1" s="1"/>
  <c r="AE460" i="1"/>
  <c r="AE254" i="1"/>
  <c r="AF254" i="1" s="1"/>
  <c r="AG254" i="1" s="1"/>
  <c r="AE480" i="1"/>
  <c r="AE269" i="1"/>
  <c r="AF269" i="1" s="1"/>
  <c r="AG269" i="1" s="1"/>
  <c r="AE65" i="1"/>
  <c r="AF65" i="1" s="1"/>
  <c r="AG65" i="1" s="1"/>
  <c r="AE255" i="1"/>
  <c r="AF255" i="1" s="1"/>
  <c r="AG255" i="1" s="1"/>
  <c r="AF633" i="1"/>
  <c r="AG633" i="1" s="1"/>
  <c r="AE394" i="1"/>
  <c r="K33" i="14"/>
  <c r="L33" i="14" s="1"/>
  <c r="AA655" i="1"/>
  <c r="AA118" i="1"/>
  <c r="AD663" i="1"/>
  <c r="AD261" i="1"/>
  <c r="AD271" i="1" s="1"/>
  <c r="AB514" i="1"/>
  <c r="P767" i="2"/>
  <c r="P21" i="33" s="1"/>
  <c r="P699" i="2"/>
  <c r="X608" i="1"/>
  <c r="X333" i="1"/>
  <c r="F211" i="2"/>
  <c r="AA391" i="2"/>
  <c r="AB391" i="2" s="1"/>
  <c r="AC665" i="1"/>
  <c r="AC327" i="1"/>
  <c r="AC592" i="1"/>
  <c r="AC594" i="1" s="1"/>
  <c r="F454" i="2" s="1"/>
  <c r="AC575" i="1"/>
  <c r="AC584" i="1"/>
  <c r="AC586" i="1" s="1"/>
  <c r="F397" i="2" s="1"/>
  <c r="AC326" i="1"/>
  <c r="AC534" i="1"/>
  <c r="AC533" i="1"/>
  <c r="N613" i="2"/>
  <c r="Q613" i="2"/>
  <c r="R613" i="2"/>
  <c r="Z613" i="2"/>
  <c r="Z614" i="2" s="1"/>
  <c r="G613" i="2"/>
  <c r="O613" i="2"/>
  <c r="O614" i="2" s="1"/>
  <c r="P613" i="2"/>
  <c r="P614" i="2" s="1"/>
  <c r="X613" i="2"/>
  <c r="X614" i="2" s="1"/>
  <c r="M613" i="2"/>
  <c r="M614" i="2" s="1"/>
  <c r="V613" i="2"/>
  <c r="W613" i="2"/>
  <c r="W614" i="2" s="1"/>
  <c r="J613" i="2"/>
  <c r="J614" i="2" s="1"/>
  <c r="L613" i="2"/>
  <c r="L614" i="2" s="1"/>
  <c r="T613" i="2"/>
  <c r="S613" i="2"/>
  <c r="S614" i="2" s="1"/>
  <c r="Y613" i="2"/>
  <c r="Y614" i="2" s="1"/>
  <c r="I613" i="2"/>
  <c r="I614" i="2" s="1"/>
  <c r="H613" i="2"/>
  <c r="K613" i="2"/>
  <c r="U613" i="2"/>
  <c r="U614" i="2" s="1"/>
  <c r="N670" i="2"/>
  <c r="N671" i="2" s="1"/>
  <c r="T670" i="2"/>
  <c r="T671" i="2" s="1"/>
  <c r="V670" i="2"/>
  <c r="V671" i="2" s="1"/>
  <c r="Z670" i="2"/>
  <c r="Z671" i="2" s="1"/>
  <c r="G670" i="2"/>
  <c r="O670" i="2"/>
  <c r="Q670" i="2"/>
  <c r="W670" i="2"/>
  <c r="L670" i="2"/>
  <c r="L671" i="2" s="1"/>
  <c r="P670" i="2"/>
  <c r="P671" i="2" s="1"/>
  <c r="S670" i="2"/>
  <c r="S671" i="2" s="1"/>
  <c r="Y670" i="2"/>
  <c r="Y671" i="2" s="1"/>
  <c r="J670" i="2"/>
  <c r="M670" i="2"/>
  <c r="R670" i="2"/>
  <c r="R671" i="2" s="1"/>
  <c r="X670" i="2"/>
  <c r="X671" i="2" s="1"/>
  <c r="I670" i="2"/>
  <c r="I671" i="2" s="1"/>
  <c r="H670" i="2"/>
  <c r="H671" i="2" s="1"/>
  <c r="K670" i="2"/>
  <c r="K671" i="2" s="1"/>
  <c r="U670" i="2"/>
  <c r="U671" i="2" s="1"/>
  <c r="L497" i="2"/>
  <c r="V497" i="2"/>
  <c r="G497" i="2"/>
  <c r="O497" i="2"/>
  <c r="X497" i="2"/>
  <c r="M497" i="2"/>
  <c r="S497" i="2"/>
  <c r="H497" i="2"/>
  <c r="R497" i="2"/>
  <c r="Z497" i="2"/>
  <c r="I497" i="2"/>
  <c r="Q497" i="2"/>
  <c r="Y497" i="2"/>
  <c r="K497" i="2"/>
  <c r="U497" i="2"/>
  <c r="J497" i="2"/>
  <c r="T497" i="2"/>
  <c r="W497" i="2"/>
  <c r="N497" i="2"/>
  <c r="P497" i="2"/>
  <c r="AA208" i="2"/>
  <c r="AB208" i="2" s="1"/>
  <c r="F150" i="2"/>
  <c r="AA653" i="1"/>
  <c r="AA93" i="1"/>
  <c r="AA96" i="1" s="1"/>
  <c r="AA79" i="1"/>
  <c r="AA81" i="1" s="1"/>
  <c r="F46" i="2"/>
  <c r="AA112" i="1"/>
  <c r="AA123" i="1"/>
  <c r="AA111" i="1"/>
  <c r="AA125" i="1"/>
  <c r="AA124" i="1"/>
  <c r="AA126" i="1"/>
  <c r="AD649" i="1"/>
  <c r="AD9" i="1"/>
  <c r="AD75" i="1"/>
  <c r="AD77" i="1" s="1"/>
  <c r="AD94" i="1" s="1"/>
  <c r="AD60" i="1"/>
  <c r="AD102" i="1"/>
  <c r="AD103" i="1"/>
  <c r="AD13" i="1"/>
  <c r="AD10" i="1"/>
  <c r="AD11" i="1"/>
  <c r="AD61" i="1"/>
  <c r="AD58" i="1"/>
  <c r="AD134" i="1"/>
  <c r="AD12" i="1"/>
  <c r="G137" i="2"/>
  <c r="AA134" i="2"/>
  <c r="AB134" i="2" s="1"/>
  <c r="M137" i="2"/>
  <c r="S137" i="2"/>
  <c r="K137" i="2"/>
  <c r="T137" i="2"/>
  <c r="G14" i="28"/>
  <c r="U137" i="2"/>
  <c r="Q137" i="2"/>
  <c r="U327" i="2"/>
  <c r="AB277" i="1"/>
  <c r="L1101" i="2"/>
  <c r="Z536" i="1"/>
  <c r="Z538" i="1" s="1"/>
  <c r="O671" i="2"/>
  <c r="J671" i="2"/>
  <c r="AA394" i="2"/>
  <c r="AB394" i="2" s="1"/>
  <c r="AA559" i="2"/>
  <c r="AB559" i="2" s="1"/>
  <c r="AA617" i="2"/>
  <c r="AB617" i="2" s="1"/>
  <c r="AD634" i="1"/>
  <c r="AD451" i="1" s="1"/>
  <c r="AD463" i="1" s="1"/>
  <c r="AD484" i="1" s="1"/>
  <c r="AD486" i="1" s="1"/>
  <c r="Q1101" i="2"/>
  <c r="AC221" i="1"/>
  <c r="Y329" i="1"/>
  <c r="Y331" i="1" s="1"/>
  <c r="Q614" i="2"/>
  <c r="K614" i="2"/>
  <c r="N614" i="2"/>
  <c r="V614" i="2"/>
  <c r="F614" i="2"/>
  <c r="AD185" i="1"/>
  <c r="AA674" i="2"/>
  <c r="AB674" i="2" s="1"/>
  <c r="AA451" i="2"/>
  <c r="AB451" i="2" s="1"/>
  <c r="K268" i="2"/>
  <c r="Q268" i="2"/>
  <c r="I268" i="2"/>
  <c r="P268" i="2"/>
  <c r="X268" i="2"/>
  <c r="L268" i="2"/>
  <c r="U268" i="2"/>
  <c r="G268" i="2"/>
  <c r="T268" i="2"/>
  <c r="Z268" i="2"/>
  <c r="H268" i="2"/>
  <c r="O268" i="2"/>
  <c r="W268" i="2"/>
  <c r="N268" i="2"/>
  <c r="S268" i="2"/>
  <c r="J268" i="2"/>
  <c r="R268" i="2"/>
  <c r="Y268" i="2"/>
  <c r="M268" i="2"/>
  <c r="V268" i="2"/>
  <c r="AB79" i="1"/>
  <c r="AB93" i="1"/>
  <c r="AB96" i="1" s="1"/>
  <c r="AB653" i="1"/>
  <c r="AB123" i="1"/>
  <c r="F49" i="2"/>
  <c r="AB112" i="1"/>
  <c r="AB126" i="1"/>
  <c r="AB125" i="1"/>
  <c r="AB111" i="1"/>
  <c r="AB124" i="1"/>
  <c r="N699" i="2"/>
  <c r="N767" i="2"/>
  <c r="N21" i="33" s="1"/>
  <c r="X699" i="2"/>
  <c r="X767" i="2"/>
  <c r="X21" i="33" s="1"/>
  <c r="Z767" i="2"/>
  <c r="Z21" i="33" s="1"/>
  <c r="Z699" i="2"/>
  <c r="M699" i="2"/>
  <c r="M767" i="2"/>
  <c r="M21" i="33" s="1"/>
  <c r="AC67" i="1"/>
  <c r="AC667" i="1"/>
  <c r="AC576" i="1"/>
  <c r="F498" i="2"/>
  <c r="Y606" i="1"/>
  <c r="Y654" i="1"/>
  <c r="Y540" i="1"/>
  <c r="Y117" i="1"/>
  <c r="Y120" i="1" s="1"/>
  <c r="F269" i="2"/>
  <c r="M555" i="2"/>
  <c r="M556" i="2" s="1"/>
  <c r="P555" i="2"/>
  <c r="S555" i="2"/>
  <c r="S556" i="2" s="1"/>
  <c r="Z555" i="2"/>
  <c r="Z556" i="2" s="1"/>
  <c r="L555" i="2"/>
  <c r="L556" i="2" s="1"/>
  <c r="Q555" i="2"/>
  <c r="Q556" i="2" s="1"/>
  <c r="V555" i="2"/>
  <c r="V556" i="2" s="1"/>
  <c r="Y555" i="2"/>
  <c r="J555" i="2"/>
  <c r="J556" i="2" s="1"/>
  <c r="N555" i="2"/>
  <c r="N556" i="2" s="1"/>
  <c r="R555" i="2"/>
  <c r="R556" i="2" s="1"/>
  <c r="X555" i="2"/>
  <c r="X556" i="2" s="1"/>
  <c r="G555" i="2"/>
  <c r="O555" i="2"/>
  <c r="O556" i="2" s="1"/>
  <c r="T555" i="2"/>
  <c r="T556" i="2" s="1"/>
  <c r="W555" i="2"/>
  <c r="W556" i="2" s="1"/>
  <c r="I555" i="2"/>
  <c r="I556" i="2" s="1"/>
  <c r="H555" i="2"/>
  <c r="H556" i="2" s="1"/>
  <c r="U555" i="2"/>
  <c r="U556" i="2" s="1"/>
  <c r="K555" i="2"/>
  <c r="K556" i="2" s="1"/>
  <c r="M98" i="2"/>
  <c r="M99" i="2" s="1"/>
  <c r="P98" i="2"/>
  <c r="P99" i="2" s="1"/>
  <c r="V98" i="2"/>
  <c r="V99" i="2" s="1"/>
  <c r="Z98" i="2"/>
  <c r="Z99" i="2" s="1"/>
  <c r="G98" i="2"/>
  <c r="O98" i="2"/>
  <c r="O99" i="2" s="1"/>
  <c r="S98" i="2"/>
  <c r="S99" i="2" s="1"/>
  <c r="W98" i="2"/>
  <c r="W99" i="2" s="1"/>
  <c r="N98" i="2"/>
  <c r="N99" i="2" s="1"/>
  <c r="T98" i="2"/>
  <c r="T99" i="2" s="1"/>
  <c r="R98" i="2"/>
  <c r="R99" i="2" s="1"/>
  <c r="Y98" i="2"/>
  <c r="J98" i="2"/>
  <c r="J99" i="2" s="1"/>
  <c r="L98" i="2"/>
  <c r="L99" i="2" s="1"/>
  <c r="Q98" i="2"/>
  <c r="Q99" i="2" s="1"/>
  <c r="X98" i="2"/>
  <c r="X99" i="2" s="1"/>
  <c r="I98" i="2"/>
  <c r="I99" i="2" s="1"/>
  <c r="H98" i="2"/>
  <c r="H99" i="2" s="1"/>
  <c r="K98" i="2"/>
  <c r="K99" i="2" s="1"/>
  <c r="U98" i="2"/>
  <c r="U99" i="2" s="1"/>
  <c r="G614" i="2"/>
  <c r="AA612" i="2"/>
  <c r="AB612" i="2" s="1"/>
  <c r="J137" i="2"/>
  <c r="I137" i="2"/>
  <c r="H137" i="2"/>
  <c r="P137" i="2"/>
  <c r="L137" i="2"/>
  <c r="N137" i="2"/>
  <c r="R137" i="2"/>
  <c r="AE423" i="1"/>
  <c r="AF423" i="1" s="1"/>
  <c r="AG423" i="1" s="1"/>
  <c r="AE660" i="1"/>
  <c r="AF660" i="1" s="1"/>
  <c r="AG660" i="1" s="1"/>
  <c r="AF413" i="1"/>
  <c r="AG413" i="1" s="1"/>
  <c r="AE188" i="1"/>
  <c r="AF638" i="1"/>
  <c r="AG638" i="1" s="1"/>
  <c r="AE121" i="1"/>
  <c r="AF121" i="1" s="1"/>
  <c r="AG121" i="1" s="1"/>
  <c r="AF629" i="1"/>
  <c r="AG629" i="1" s="1"/>
  <c r="AE362" i="1"/>
  <c r="AE666" i="1"/>
  <c r="AF666" i="1" s="1"/>
  <c r="AG666" i="1" s="1"/>
  <c r="AE48" i="1"/>
  <c r="AF29" i="1"/>
  <c r="AG29" i="1" s="1"/>
  <c r="AE569" i="1"/>
  <c r="AE571" i="1"/>
  <c r="AF571" i="1" s="1"/>
  <c r="AG571" i="1" s="1"/>
  <c r="AE570" i="1"/>
  <c r="AF570" i="1" s="1"/>
  <c r="AG570" i="1" s="1"/>
  <c r="AF641" i="1"/>
  <c r="AG641" i="1" s="1"/>
  <c r="AE212" i="1"/>
  <c r="AF212" i="1" s="1"/>
  <c r="AG212" i="1" s="1"/>
  <c r="AE214" i="1"/>
  <c r="AF214" i="1" s="1"/>
  <c r="AG214" i="1" s="1"/>
  <c r="AE213" i="1"/>
  <c r="AF213" i="1" s="1"/>
  <c r="AG213" i="1" s="1"/>
  <c r="AE428" i="1"/>
  <c r="AE211" i="1"/>
  <c r="N327" i="2"/>
  <c r="AA326" i="2"/>
  <c r="AB326" i="2" s="1"/>
  <c r="I502" i="2"/>
  <c r="V502" i="2"/>
  <c r="Y502" i="2"/>
  <c r="Z502" i="2"/>
  <c r="L502" i="2"/>
  <c r="W502" i="2"/>
  <c r="X502" i="2"/>
  <c r="T502" i="2"/>
  <c r="K502" i="2"/>
  <c r="R502" i="2"/>
  <c r="J502" i="2"/>
  <c r="S502" i="2"/>
  <c r="M502" i="2"/>
  <c r="U502" i="2"/>
  <c r="Q502" i="2"/>
  <c r="P502" i="2"/>
  <c r="O502" i="2"/>
  <c r="H502" i="2"/>
  <c r="G502" i="2"/>
  <c r="N502" i="2"/>
  <c r="AC514" i="1"/>
  <c r="Z329" i="1"/>
  <c r="Z331" i="1" s="1"/>
  <c r="AA39" i="2"/>
  <c r="AB39" i="2" s="1"/>
  <c r="G40" i="2"/>
  <c r="Y99" i="2"/>
  <c r="P556" i="2"/>
  <c r="Y556" i="2"/>
  <c r="M671" i="2"/>
  <c r="W671" i="2"/>
  <c r="Q671" i="2"/>
  <c r="AD239" i="1"/>
  <c r="AD136" i="1"/>
  <c r="T614" i="2"/>
  <c r="H614" i="2"/>
  <c r="R614" i="2"/>
  <c r="AE448" i="1"/>
  <c r="O327" i="2"/>
  <c r="J327" i="2"/>
  <c r="L327" i="2"/>
  <c r="AD164" i="1"/>
  <c r="AD425" i="1"/>
  <c r="AA1094" i="2"/>
  <c r="AB1094" i="2" s="1"/>
  <c r="AC273" i="1"/>
  <c r="AC275" i="1" s="1"/>
  <c r="AD105" i="1" l="1"/>
  <c r="AD488" i="1"/>
  <c r="AD208" i="1"/>
  <c r="AD221" i="1" s="1"/>
  <c r="AD514" i="1"/>
  <c r="AE661" i="1"/>
  <c r="AF661" i="1" s="1"/>
  <c r="AG661" i="1" s="1"/>
  <c r="AF448" i="1"/>
  <c r="AG448" i="1" s="1"/>
  <c r="AE226" i="1"/>
  <c r="AF226" i="1" s="1"/>
  <c r="AG226" i="1" s="1"/>
  <c r="AE228" i="1"/>
  <c r="AF228" i="1" s="1"/>
  <c r="AG228" i="1" s="1"/>
  <c r="AE224" i="1"/>
  <c r="AE227" i="1"/>
  <c r="AF227" i="1" s="1"/>
  <c r="AG227" i="1" s="1"/>
  <c r="AE237" i="1"/>
  <c r="AF237" i="1" s="1"/>
  <c r="AG237" i="1" s="1"/>
  <c r="AE233" i="1"/>
  <c r="AF233" i="1" s="1"/>
  <c r="AG233" i="1" s="1"/>
  <c r="AE225" i="1"/>
  <c r="AF225" i="1" s="1"/>
  <c r="AG225" i="1" s="1"/>
  <c r="AE232" i="1"/>
  <c r="AF232" i="1" s="1"/>
  <c r="AG232" i="1" s="1"/>
  <c r="AE234" i="1"/>
  <c r="AF234" i="1" s="1"/>
  <c r="AG234" i="1" s="1"/>
  <c r="AE235" i="1"/>
  <c r="AF235" i="1" s="1"/>
  <c r="AG235" i="1" s="1"/>
  <c r="AE231" i="1"/>
  <c r="AF231" i="1" s="1"/>
  <c r="AG231" i="1" s="1"/>
  <c r="Z608" i="1"/>
  <c r="Z333" i="1"/>
  <c r="F216" i="2"/>
  <c r="AC664" i="1"/>
  <c r="AC526" i="1"/>
  <c r="AC316" i="1"/>
  <c r="AC532" i="1"/>
  <c r="AC324" i="1"/>
  <c r="AC525" i="1"/>
  <c r="AC320" i="1"/>
  <c r="AC317" i="1"/>
  <c r="AC523" i="1"/>
  <c r="AC325" i="1"/>
  <c r="AC321" i="1"/>
  <c r="AC528" i="1"/>
  <c r="AC529" i="1"/>
  <c r="AC524" i="1"/>
  <c r="AC315" i="1"/>
  <c r="AC318" i="1"/>
  <c r="AC531" i="1"/>
  <c r="AE432" i="1"/>
  <c r="AF432" i="1" s="1"/>
  <c r="AG432" i="1" s="1"/>
  <c r="AF428" i="1"/>
  <c r="AG428" i="1" s="1"/>
  <c r="G14" i="31"/>
  <c r="G14" i="24"/>
  <c r="G14" i="27"/>
  <c r="J498" i="2"/>
  <c r="N498" i="2"/>
  <c r="T498" i="2"/>
  <c r="Y498" i="2"/>
  <c r="Y499" i="2" s="1"/>
  <c r="G498" i="2"/>
  <c r="G499" i="2" s="1"/>
  <c r="O498" i="2"/>
  <c r="O499" i="2" s="1"/>
  <c r="V498" i="2"/>
  <c r="X498" i="2"/>
  <c r="L498" i="2"/>
  <c r="P498" i="2"/>
  <c r="R498" i="2"/>
  <c r="W498" i="2"/>
  <c r="M498" i="2"/>
  <c r="M499" i="2" s="1"/>
  <c r="Q498" i="2"/>
  <c r="Q499" i="2" s="1"/>
  <c r="S498" i="2"/>
  <c r="Z498" i="2"/>
  <c r="I498" i="2"/>
  <c r="H498" i="2"/>
  <c r="K498" i="2"/>
  <c r="U498" i="2"/>
  <c r="J49" i="2"/>
  <c r="H49" i="2"/>
  <c r="K49" i="2"/>
  <c r="N49" i="2"/>
  <c r="L49" i="2"/>
  <c r="Q49" i="2"/>
  <c r="U49" i="2"/>
  <c r="S49" i="2"/>
  <c r="W49" i="2"/>
  <c r="Y49" i="2"/>
  <c r="G49" i="2"/>
  <c r="I49" i="2"/>
  <c r="M49" i="2"/>
  <c r="O49" i="2"/>
  <c r="P49" i="2"/>
  <c r="R49" i="2"/>
  <c r="V49" i="2"/>
  <c r="T49" i="2"/>
  <c r="X49" i="2"/>
  <c r="Z49" i="2"/>
  <c r="AA268" i="2"/>
  <c r="AB268" i="2" s="1"/>
  <c r="Q767" i="2"/>
  <c r="Q21" i="33" s="1"/>
  <c r="Q699" i="2"/>
  <c r="AB306" i="1"/>
  <c r="G14" i="26"/>
  <c r="AD665" i="1"/>
  <c r="AD326" i="1"/>
  <c r="AD327" i="1"/>
  <c r="AD575" i="1"/>
  <c r="AD592" i="1"/>
  <c r="AD594" i="1" s="1"/>
  <c r="F457" i="2" s="1"/>
  <c r="AD584" i="1"/>
  <c r="AD586" i="1" s="1"/>
  <c r="F400" i="2" s="1"/>
  <c r="AD533" i="1"/>
  <c r="AD534" i="1"/>
  <c r="K150" i="2"/>
  <c r="N150" i="2"/>
  <c r="S150" i="2"/>
  <c r="Q150" i="2"/>
  <c r="X150" i="2"/>
  <c r="X151" i="2" s="1"/>
  <c r="L150" i="2"/>
  <c r="R150" i="2"/>
  <c r="T150" i="2"/>
  <c r="Y150" i="2"/>
  <c r="Y151" i="2" s="1"/>
  <c r="J150" i="2"/>
  <c r="I150" i="2"/>
  <c r="O150" i="2"/>
  <c r="O151" i="2" s="1"/>
  <c r="V150" i="2"/>
  <c r="V151" i="2" s="1"/>
  <c r="Z150" i="2"/>
  <c r="Z151" i="2" s="1"/>
  <c r="G150" i="2"/>
  <c r="M150" i="2"/>
  <c r="P150" i="2"/>
  <c r="W150" i="2"/>
  <c r="W151" i="2" s="1"/>
  <c r="H150" i="2"/>
  <c r="U150" i="2"/>
  <c r="F151" i="2"/>
  <c r="N499" i="2"/>
  <c r="H30" i="14"/>
  <c r="AA497" i="2"/>
  <c r="AB497" i="2" s="1"/>
  <c r="L499" i="2"/>
  <c r="J211" i="2"/>
  <c r="S211" i="2"/>
  <c r="Z211" i="2"/>
  <c r="M211" i="2"/>
  <c r="T211" i="2"/>
  <c r="H211" i="2"/>
  <c r="P211" i="2"/>
  <c r="Y211" i="2"/>
  <c r="K211" i="2"/>
  <c r="U211" i="2"/>
  <c r="N211" i="2"/>
  <c r="V211" i="2"/>
  <c r="I211" i="2"/>
  <c r="Q211" i="2"/>
  <c r="W211" i="2"/>
  <c r="L211" i="2"/>
  <c r="R211" i="2"/>
  <c r="G211" i="2"/>
  <c r="O211" i="2"/>
  <c r="X211" i="2"/>
  <c r="AB664" i="1"/>
  <c r="AB525" i="1"/>
  <c r="AB320" i="1"/>
  <c r="AB528" i="1"/>
  <c r="AB531" i="1"/>
  <c r="AB316" i="1"/>
  <c r="AB526" i="1"/>
  <c r="AB325" i="1"/>
  <c r="AB318" i="1"/>
  <c r="AB315" i="1"/>
  <c r="AB324" i="1"/>
  <c r="AB523" i="1"/>
  <c r="AB317" i="1"/>
  <c r="AB532" i="1"/>
  <c r="AB524" i="1"/>
  <c r="AB529" i="1"/>
  <c r="AB321" i="1"/>
  <c r="AE400" i="1"/>
  <c r="AF394" i="1"/>
  <c r="AG394" i="1" s="1"/>
  <c r="AE379" i="1"/>
  <c r="AF373" i="1"/>
  <c r="AG373" i="1" s="1"/>
  <c r="AE391" i="1"/>
  <c r="AF384" i="1"/>
  <c r="AG384" i="1" s="1"/>
  <c r="L333" i="2"/>
  <c r="V333" i="2"/>
  <c r="X333" i="2"/>
  <c r="Z333" i="2"/>
  <c r="I333" i="2"/>
  <c r="M333" i="2"/>
  <c r="W333" i="2"/>
  <c r="Y333" i="2"/>
  <c r="P333" i="2"/>
  <c r="O333" i="2"/>
  <c r="I29" i="28" s="1"/>
  <c r="K29" i="28" s="1"/>
  <c r="K333" i="2"/>
  <c r="U333" i="2"/>
  <c r="T333" i="2"/>
  <c r="S333" i="2"/>
  <c r="H333" i="2"/>
  <c r="Q333" i="2"/>
  <c r="J333" i="2"/>
  <c r="R333" i="2"/>
  <c r="G333" i="2"/>
  <c r="N333" i="2"/>
  <c r="I336" i="2"/>
  <c r="K336" i="2"/>
  <c r="L336" i="2"/>
  <c r="N336" i="2"/>
  <c r="S336" i="2"/>
  <c r="U336" i="2"/>
  <c r="P336" i="2"/>
  <c r="R336" i="2"/>
  <c r="Y336" i="2"/>
  <c r="X336" i="2"/>
  <c r="G336" i="2"/>
  <c r="J336" i="2"/>
  <c r="H336" i="2"/>
  <c r="M336" i="2"/>
  <c r="O336" i="2"/>
  <c r="T336" i="2"/>
  <c r="V336" i="2"/>
  <c r="Q336" i="2"/>
  <c r="W336" i="2"/>
  <c r="Z336" i="2"/>
  <c r="AA502" i="2"/>
  <c r="AB502" i="2" s="1"/>
  <c r="AA98" i="2"/>
  <c r="AB98" i="2" s="1"/>
  <c r="AA555" i="2"/>
  <c r="AB555" i="2" s="1"/>
  <c r="T499" i="2"/>
  <c r="R499" i="2"/>
  <c r="S499" i="2"/>
  <c r="X499" i="2"/>
  <c r="AC578" i="1"/>
  <c r="AA40" i="2"/>
  <c r="AB40" i="2" s="1"/>
  <c r="AE219" i="1"/>
  <c r="AF219" i="1" s="1"/>
  <c r="AG219" i="1" s="1"/>
  <c r="AF211" i="1"/>
  <c r="AG211" i="1" s="1"/>
  <c r="AF569" i="1"/>
  <c r="AG569" i="1" s="1"/>
  <c r="AE649" i="1"/>
  <c r="AF649" i="1" s="1"/>
  <c r="AG649" i="1" s="1"/>
  <c r="AF48" i="1"/>
  <c r="AG48" i="1" s="1"/>
  <c r="AE75" i="1"/>
  <c r="AF75" i="1" s="1"/>
  <c r="AG75" i="1" s="1"/>
  <c r="AE13" i="1"/>
  <c r="AF13" i="1" s="1"/>
  <c r="AG13" i="1" s="1"/>
  <c r="AE12" i="1"/>
  <c r="AF12" i="1" s="1"/>
  <c r="AG12" i="1" s="1"/>
  <c r="AE9" i="1"/>
  <c r="AE11" i="1"/>
  <c r="AF11" i="1" s="1"/>
  <c r="AG11" i="1" s="1"/>
  <c r="AE10" i="1"/>
  <c r="AF10" i="1" s="1"/>
  <c r="AG10" i="1" s="1"/>
  <c r="AE134" i="1"/>
  <c r="AE60" i="1"/>
  <c r="AF60" i="1" s="1"/>
  <c r="AG60" i="1" s="1"/>
  <c r="AE103" i="1"/>
  <c r="AF103" i="1" s="1"/>
  <c r="AG103" i="1" s="1"/>
  <c r="AE102" i="1"/>
  <c r="AF102" i="1" s="1"/>
  <c r="AG102" i="1" s="1"/>
  <c r="AE61" i="1"/>
  <c r="AF61" i="1" s="1"/>
  <c r="AG61" i="1" s="1"/>
  <c r="AE58" i="1"/>
  <c r="AE370" i="1"/>
  <c r="AF362" i="1"/>
  <c r="AG362" i="1" s="1"/>
  <c r="AE194" i="1"/>
  <c r="AF188" i="1"/>
  <c r="AG188" i="1" s="1"/>
  <c r="J269" i="2"/>
  <c r="O269" i="2"/>
  <c r="R269" i="2"/>
  <c r="R270" i="2" s="1"/>
  <c r="W269" i="2"/>
  <c r="W270" i="2" s="1"/>
  <c r="N269" i="2"/>
  <c r="N270" i="2" s="1"/>
  <c r="Q269" i="2"/>
  <c r="Q270" i="2" s="1"/>
  <c r="S269" i="2"/>
  <c r="S270" i="2" s="1"/>
  <c r="Y269" i="2"/>
  <c r="G269" i="2"/>
  <c r="M269" i="2"/>
  <c r="M270" i="2" s="1"/>
  <c r="P269" i="2"/>
  <c r="P270" i="2" s="1"/>
  <c r="V269" i="2"/>
  <c r="V270" i="2" s="1"/>
  <c r="Z269" i="2"/>
  <c r="Z270" i="2" s="1"/>
  <c r="L269" i="2"/>
  <c r="L270" i="2" s="1"/>
  <c r="T269" i="2"/>
  <c r="T270" i="2" s="1"/>
  <c r="X269" i="2"/>
  <c r="I269" i="2"/>
  <c r="H269" i="2"/>
  <c r="H270" i="2" s="1"/>
  <c r="K269" i="2"/>
  <c r="U269" i="2"/>
  <c r="U270" i="2" s="1"/>
  <c r="AC653" i="1"/>
  <c r="AC93" i="1"/>
  <c r="AC96" i="1" s="1"/>
  <c r="AC79" i="1"/>
  <c r="AC112" i="1"/>
  <c r="AC124" i="1"/>
  <c r="AC111" i="1"/>
  <c r="AC125" i="1"/>
  <c r="AC126" i="1"/>
  <c r="F52" i="2"/>
  <c r="AC123" i="1"/>
  <c r="AB107" i="1"/>
  <c r="F108" i="2" s="1"/>
  <c r="AB322" i="1"/>
  <c r="AB596" i="1"/>
  <c r="AB323" i="1"/>
  <c r="AB602" i="1"/>
  <c r="F680" i="2" s="1"/>
  <c r="AB527" i="1"/>
  <c r="AB604" i="1"/>
  <c r="AB530" i="1"/>
  <c r="AB598" i="1"/>
  <c r="F565" i="2" s="1"/>
  <c r="AB600" i="1"/>
  <c r="F623" i="2" s="1"/>
  <c r="AB319" i="1"/>
  <c r="AA614" i="2"/>
  <c r="AB614" i="2" s="1"/>
  <c r="Y608" i="1"/>
  <c r="Y333" i="1"/>
  <c r="F212" i="2"/>
  <c r="AD662" i="1"/>
  <c r="AD244" i="1"/>
  <c r="AD257" i="1" s="1"/>
  <c r="AD273" i="1" s="1"/>
  <c r="AD275" i="1" s="1"/>
  <c r="Z540" i="1"/>
  <c r="Z654" i="1"/>
  <c r="F273" i="2"/>
  <c r="Z117" i="1"/>
  <c r="Z120" i="1" s="1"/>
  <c r="L767" i="2"/>
  <c r="L21" i="33" s="1"/>
  <c r="L699" i="2"/>
  <c r="G14" i="14"/>
  <c r="AA137" i="2"/>
  <c r="AB137" i="2" s="1"/>
  <c r="M46" i="2"/>
  <c r="V46" i="2"/>
  <c r="Z46" i="2"/>
  <c r="Y46" i="2"/>
  <c r="I46" i="2"/>
  <c r="L46" i="2"/>
  <c r="X46" i="2"/>
  <c r="W46" i="2"/>
  <c r="H46" i="2"/>
  <c r="Q46" i="2"/>
  <c r="S46" i="2"/>
  <c r="P46" i="2"/>
  <c r="O46" i="2"/>
  <c r="K46" i="2"/>
  <c r="U46" i="2"/>
  <c r="T46" i="2"/>
  <c r="J46" i="2"/>
  <c r="G46" i="2"/>
  <c r="N46" i="2"/>
  <c r="R46" i="2"/>
  <c r="AA107" i="1"/>
  <c r="F105" i="2" s="1"/>
  <c r="AA530" i="1"/>
  <c r="AA527" i="1"/>
  <c r="AA319" i="1"/>
  <c r="AA596" i="1"/>
  <c r="AA604" i="1"/>
  <c r="AA322" i="1"/>
  <c r="AA600" i="1"/>
  <c r="F620" i="2" s="1"/>
  <c r="AA602" i="1"/>
  <c r="F677" i="2" s="1"/>
  <c r="AA598" i="1"/>
  <c r="F562" i="2" s="1"/>
  <c r="AA323" i="1"/>
  <c r="P499" i="2"/>
  <c r="H30" i="31"/>
  <c r="J499" i="2"/>
  <c r="H30" i="27"/>
  <c r="K499" i="2"/>
  <c r="H30" i="26"/>
  <c r="H499" i="2"/>
  <c r="H30" i="24"/>
  <c r="H30" i="28"/>
  <c r="I397" i="2"/>
  <c r="M397" i="2"/>
  <c r="R397" i="2"/>
  <c r="V397" i="2"/>
  <c r="S397" i="2"/>
  <c r="Y397" i="2"/>
  <c r="Z397" i="2"/>
  <c r="G397" i="2"/>
  <c r="L397" i="2"/>
  <c r="O397" i="2"/>
  <c r="T397" i="2"/>
  <c r="P397" i="2"/>
  <c r="X397" i="2"/>
  <c r="W397" i="2"/>
  <c r="Q397" i="2"/>
  <c r="U397" i="2"/>
  <c r="K397" i="2"/>
  <c r="H397" i="2"/>
  <c r="N397" i="2"/>
  <c r="J397" i="2"/>
  <c r="I454" i="2"/>
  <c r="M454" i="2"/>
  <c r="L454" i="2"/>
  <c r="P454" i="2"/>
  <c r="V454" i="2"/>
  <c r="S454" i="2"/>
  <c r="Z454" i="2"/>
  <c r="Y454" i="2"/>
  <c r="G454" i="2"/>
  <c r="O454" i="2"/>
  <c r="T454" i="2"/>
  <c r="R454" i="2"/>
  <c r="X454" i="2"/>
  <c r="W454" i="2"/>
  <c r="Q454" i="2"/>
  <c r="H454" i="2"/>
  <c r="U454" i="2"/>
  <c r="K454" i="2"/>
  <c r="N454" i="2"/>
  <c r="J454" i="2"/>
  <c r="X652" i="1"/>
  <c r="X110" i="1"/>
  <c r="X114" i="1" s="1"/>
  <c r="X138" i="1" s="1"/>
  <c r="F154" i="2" s="1"/>
  <c r="AF480" i="1"/>
  <c r="AG480" i="1" s="1"/>
  <c r="AE635" i="1"/>
  <c r="AF460" i="1"/>
  <c r="AG460" i="1" s="1"/>
  <c r="AE634" i="1"/>
  <c r="AF101" i="1"/>
  <c r="AG101" i="1" s="1"/>
  <c r="AE105" i="1"/>
  <c r="AF105" i="1" s="1"/>
  <c r="AG105" i="1" s="1"/>
  <c r="AF583" i="1"/>
  <c r="AG583" i="1" s="1"/>
  <c r="AF74" i="1"/>
  <c r="AG74" i="1" s="1"/>
  <c r="AE77" i="1"/>
  <c r="G699" i="2"/>
  <c r="G767" i="2"/>
  <c r="G21" i="33" s="1"/>
  <c r="AA1101" i="2"/>
  <c r="AB1101" i="2" s="1"/>
  <c r="AB128" i="1"/>
  <c r="Y270" i="2"/>
  <c r="J270" i="2"/>
  <c r="O270" i="2"/>
  <c r="F270" i="2"/>
  <c r="X270" i="2"/>
  <c r="I270" i="2"/>
  <c r="K270" i="2"/>
  <c r="AC277" i="1"/>
  <c r="AD15" i="1"/>
  <c r="AA128" i="1"/>
  <c r="W499" i="2"/>
  <c r="Z499" i="2"/>
  <c r="V499" i="2"/>
  <c r="F499" i="2"/>
  <c r="AA670" i="2"/>
  <c r="AB670" i="2" s="1"/>
  <c r="AA613" i="2"/>
  <c r="AB613" i="2" s="1"/>
  <c r="AA327" i="2"/>
  <c r="AB327" i="2" s="1"/>
  <c r="G671" i="2"/>
  <c r="G556" i="2"/>
  <c r="G99" i="2"/>
  <c r="AA21" i="33" l="1"/>
  <c r="AB21" i="33" s="1"/>
  <c r="AA329" i="1"/>
  <c r="AA331" i="1" s="1"/>
  <c r="AC128" i="1"/>
  <c r="AD67" i="1"/>
  <c r="AD667" i="1"/>
  <c r="AD576" i="1"/>
  <c r="AC306" i="1"/>
  <c r="AA767" i="2"/>
  <c r="AB767" i="2" s="1"/>
  <c r="H154" i="2"/>
  <c r="O154" i="2"/>
  <c r="X154" i="2"/>
  <c r="L154" i="2"/>
  <c r="S154" i="2"/>
  <c r="I154" i="2"/>
  <c r="P154" i="2"/>
  <c r="W154" i="2"/>
  <c r="N154" i="2"/>
  <c r="V154" i="2"/>
  <c r="K154" i="2"/>
  <c r="R154" i="2"/>
  <c r="G154" i="2"/>
  <c r="T154" i="2"/>
  <c r="Y154" i="2"/>
  <c r="M154" i="2"/>
  <c r="U154" i="2"/>
  <c r="J154" i="2"/>
  <c r="Q154" i="2"/>
  <c r="Z154" i="2"/>
  <c r="AA397" i="2"/>
  <c r="AB397" i="2" s="1"/>
  <c r="W677" i="2"/>
  <c r="L677" i="2"/>
  <c r="Y677" i="2"/>
  <c r="M677" i="2"/>
  <c r="X677" i="2"/>
  <c r="I677" i="2"/>
  <c r="V677" i="2"/>
  <c r="Z677" i="2"/>
  <c r="P677" i="2"/>
  <c r="O677" i="2"/>
  <c r="H677" i="2"/>
  <c r="U677" i="2"/>
  <c r="T677" i="2"/>
  <c r="J677" i="2"/>
  <c r="S677" i="2"/>
  <c r="Q677" i="2"/>
  <c r="K677" i="2"/>
  <c r="R677" i="2"/>
  <c r="G677" i="2"/>
  <c r="N677" i="2"/>
  <c r="F505" i="2"/>
  <c r="AA606" i="1"/>
  <c r="M212" i="2"/>
  <c r="O212" i="2"/>
  <c r="L212" i="2"/>
  <c r="L213" i="2" s="1"/>
  <c r="Q212" i="2"/>
  <c r="Q213" i="2" s="1"/>
  <c r="S212" i="2"/>
  <c r="S213" i="2" s="1"/>
  <c r="W212" i="2"/>
  <c r="V212" i="2"/>
  <c r="V213" i="2" s="1"/>
  <c r="Z212" i="2"/>
  <c r="J212" i="2"/>
  <c r="N212" i="2"/>
  <c r="G212" i="2"/>
  <c r="G213" i="2" s="1"/>
  <c r="P212" i="2"/>
  <c r="P213" i="2" s="1"/>
  <c r="R212" i="2"/>
  <c r="R213" i="2" s="1"/>
  <c r="T212" i="2"/>
  <c r="Y212" i="2"/>
  <c r="X212" i="2"/>
  <c r="I212" i="2"/>
  <c r="H212" i="2"/>
  <c r="K212" i="2"/>
  <c r="U212" i="2"/>
  <c r="J623" i="2"/>
  <c r="I623" i="2"/>
  <c r="L623" i="2"/>
  <c r="O623" i="2"/>
  <c r="S623" i="2"/>
  <c r="U623" i="2"/>
  <c r="Q623" i="2"/>
  <c r="V623" i="2"/>
  <c r="X623" i="2"/>
  <c r="Z623" i="2"/>
  <c r="H623" i="2"/>
  <c r="G623" i="2"/>
  <c r="K623" i="2"/>
  <c r="N623" i="2"/>
  <c r="M623" i="2"/>
  <c r="T623" i="2"/>
  <c r="P623" i="2"/>
  <c r="R623" i="2"/>
  <c r="W623" i="2"/>
  <c r="Y623" i="2"/>
  <c r="G52" i="2"/>
  <c r="L52" i="2"/>
  <c r="M52" i="2"/>
  <c r="P52" i="2"/>
  <c r="T52" i="2"/>
  <c r="S52" i="2"/>
  <c r="W52" i="2"/>
  <c r="Z52" i="2"/>
  <c r="I52" i="2"/>
  <c r="O52" i="2"/>
  <c r="R52" i="2"/>
  <c r="V52" i="2"/>
  <c r="X52" i="2"/>
  <c r="Y52" i="2"/>
  <c r="Q52" i="2"/>
  <c r="U52" i="2"/>
  <c r="K52" i="2"/>
  <c r="H52" i="2"/>
  <c r="N52" i="2"/>
  <c r="J52" i="2"/>
  <c r="AE665" i="1"/>
  <c r="AF665" i="1" s="1"/>
  <c r="AG665" i="1" s="1"/>
  <c r="AF58" i="1"/>
  <c r="AG58" i="1" s="1"/>
  <c r="AE534" i="1"/>
  <c r="AF534" i="1" s="1"/>
  <c r="AG534" i="1" s="1"/>
  <c r="AE575" i="1"/>
  <c r="AE327" i="1"/>
  <c r="AE326" i="1"/>
  <c r="AF326" i="1" s="1"/>
  <c r="AG326" i="1" s="1"/>
  <c r="AE584" i="1"/>
  <c r="AE592" i="1"/>
  <c r="AE533" i="1"/>
  <c r="AF533" i="1" s="1"/>
  <c r="AG533" i="1" s="1"/>
  <c r="AE15" i="1"/>
  <c r="AF9" i="1"/>
  <c r="AG9" i="1" s="1"/>
  <c r="F339" i="2"/>
  <c r="AA333" i="2"/>
  <c r="AB333" i="2" s="1"/>
  <c r="I29" i="14"/>
  <c r="K29" i="14" s="1"/>
  <c r="I29" i="27"/>
  <c r="K29" i="27" s="1"/>
  <c r="I29" i="24"/>
  <c r="K29" i="24" s="1"/>
  <c r="I29" i="26"/>
  <c r="K29" i="26" s="1"/>
  <c r="I29" i="31"/>
  <c r="K29" i="31" s="1"/>
  <c r="AE658" i="1"/>
  <c r="AF658" i="1" s="1"/>
  <c r="AG658" i="1" s="1"/>
  <c r="AE402" i="1"/>
  <c r="AF402" i="1" s="1"/>
  <c r="AG402" i="1" s="1"/>
  <c r="AF391" i="1"/>
  <c r="AG391" i="1" s="1"/>
  <c r="AE167" i="1"/>
  <c r="AE657" i="1"/>
  <c r="AF657" i="1" s="1"/>
  <c r="AG657" i="1" s="1"/>
  <c r="AF379" i="1"/>
  <c r="AG379" i="1" s="1"/>
  <c r="AE156" i="1"/>
  <c r="AE659" i="1"/>
  <c r="AF659" i="1" s="1"/>
  <c r="AG659" i="1" s="1"/>
  <c r="AF400" i="1"/>
  <c r="AG400" i="1" s="1"/>
  <c r="AE177" i="1"/>
  <c r="AA211" i="2"/>
  <c r="AB211" i="2" s="1"/>
  <c r="H28" i="14"/>
  <c r="K213" i="2"/>
  <c r="H28" i="26"/>
  <c r="H28" i="31"/>
  <c r="T213" i="2"/>
  <c r="J213" i="2"/>
  <c r="H28" i="27"/>
  <c r="U151" i="2"/>
  <c r="M151" i="2"/>
  <c r="J151" i="2"/>
  <c r="T151" i="2"/>
  <c r="L151" i="2"/>
  <c r="Q151" i="2"/>
  <c r="N151" i="2"/>
  <c r="G400" i="2"/>
  <c r="L400" i="2"/>
  <c r="Y400" i="2"/>
  <c r="W400" i="2"/>
  <c r="P400" i="2"/>
  <c r="R400" i="2"/>
  <c r="V400" i="2"/>
  <c r="I400" i="2"/>
  <c r="O400" i="2"/>
  <c r="S400" i="2"/>
  <c r="M400" i="2"/>
  <c r="Z400" i="2"/>
  <c r="T400" i="2"/>
  <c r="X400" i="2"/>
  <c r="Q400" i="2"/>
  <c r="U400" i="2"/>
  <c r="K400" i="2"/>
  <c r="H400" i="2"/>
  <c r="N400" i="2"/>
  <c r="J400" i="2"/>
  <c r="U499" i="2"/>
  <c r="Z652" i="1"/>
  <c r="Z110" i="1"/>
  <c r="Z114" i="1" s="1"/>
  <c r="Z138" i="1" s="1"/>
  <c r="F159" i="2" s="1"/>
  <c r="AE239" i="1"/>
  <c r="AF239" i="1" s="1"/>
  <c r="AG239" i="1" s="1"/>
  <c r="AF224" i="1"/>
  <c r="AG224" i="1" s="1"/>
  <c r="AA536" i="1"/>
  <c r="AA538" i="1" s="1"/>
  <c r="AA269" i="2"/>
  <c r="AB269" i="2" s="1"/>
  <c r="AB536" i="1"/>
  <c r="AB538" i="1" s="1"/>
  <c r="AB329" i="1"/>
  <c r="AB331" i="1" s="1"/>
  <c r="X213" i="2"/>
  <c r="F213" i="2"/>
  <c r="Z213" i="2"/>
  <c r="AD578" i="1"/>
  <c r="AA556" i="2"/>
  <c r="AB556" i="2" s="1"/>
  <c r="AA699" i="2"/>
  <c r="AB699" i="2" s="1"/>
  <c r="AE94" i="1"/>
  <c r="AF94" i="1" s="1"/>
  <c r="AG94" i="1" s="1"/>
  <c r="AF77" i="1"/>
  <c r="AG77" i="1" s="1"/>
  <c r="AF634" i="1"/>
  <c r="AG634" i="1" s="1"/>
  <c r="AE451" i="1"/>
  <c r="AF635" i="1"/>
  <c r="AG635" i="1" s="1"/>
  <c r="AE472" i="1"/>
  <c r="AA454" i="2"/>
  <c r="AB454" i="2" s="1"/>
  <c r="I562" i="2"/>
  <c r="X562" i="2"/>
  <c r="L562" i="2"/>
  <c r="V562" i="2"/>
  <c r="Z562" i="2"/>
  <c r="M562" i="2"/>
  <c r="Y562" i="2"/>
  <c r="W562" i="2"/>
  <c r="O562" i="2"/>
  <c r="H562" i="2"/>
  <c r="K562" i="2"/>
  <c r="U562" i="2"/>
  <c r="T562" i="2"/>
  <c r="S562" i="2"/>
  <c r="P562" i="2"/>
  <c r="Q562" i="2"/>
  <c r="J562" i="2"/>
  <c r="R562" i="2"/>
  <c r="G562" i="2"/>
  <c r="N562" i="2"/>
  <c r="Y620" i="2"/>
  <c r="M620" i="2"/>
  <c r="V620" i="2"/>
  <c r="Z620" i="2"/>
  <c r="W620" i="2"/>
  <c r="I620" i="2"/>
  <c r="L620" i="2"/>
  <c r="X620" i="2"/>
  <c r="S620" i="2"/>
  <c r="Q620" i="2"/>
  <c r="J620" i="2"/>
  <c r="P620" i="2"/>
  <c r="O620" i="2"/>
  <c r="H620" i="2"/>
  <c r="K620" i="2"/>
  <c r="U620" i="2"/>
  <c r="T620" i="2"/>
  <c r="G620" i="2"/>
  <c r="N620" i="2"/>
  <c r="R620" i="2"/>
  <c r="AA608" i="1"/>
  <c r="AA333" i="1"/>
  <c r="F219" i="2"/>
  <c r="M105" i="2"/>
  <c r="W105" i="2"/>
  <c r="L105" i="2"/>
  <c r="X105" i="2"/>
  <c r="I105" i="2"/>
  <c r="Y105" i="2"/>
  <c r="V105" i="2"/>
  <c r="Z105" i="2"/>
  <c r="S105" i="2"/>
  <c r="P105" i="2"/>
  <c r="Q105" i="2"/>
  <c r="K105" i="2"/>
  <c r="U105" i="2"/>
  <c r="J105" i="2"/>
  <c r="O105" i="2"/>
  <c r="H105" i="2"/>
  <c r="T105" i="2"/>
  <c r="G105" i="2"/>
  <c r="N105" i="2"/>
  <c r="R105" i="2"/>
  <c r="L273" i="2"/>
  <c r="W273" i="2"/>
  <c r="Z273" i="2"/>
  <c r="I273" i="2"/>
  <c r="V273" i="2"/>
  <c r="X273" i="2"/>
  <c r="Y273" i="2"/>
  <c r="T273" i="2"/>
  <c r="S273" i="2"/>
  <c r="M273" i="2"/>
  <c r="K273" i="2"/>
  <c r="U273" i="2"/>
  <c r="O273" i="2"/>
  <c r="R273" i="2"/>
  <c r="J273" i="2"/>
  <c r="Q273" i="2"/>
  <c r="P273" i="2"/>
  <c r="H273" i="2"/>
  <c r="G273" i="2"/>
  <c r="N273" i="2"/>
  <c r="Y652" i="1"/>
  <c r="Y110" i="1"/>
  <c r="Y114" i="1" s="1"/>
  <c r="Y138" i="1" s="1"/>
  <c r="F155" i="2" s="1"/>
  <c r="I565" i="2"/>
  <c r="G565" i="2"/>
  <c r="J565" i="2"/>
  <c r="M565" i="2"/>
  <c r="N565" i="2"/>
  <c r="V565" i="2"/>
  <c r="Q565" i="2"/>
  <c r="S565" i="2"/>
  <c r="W565" i="2"/>
  <c r="Z565" i="2"/>
  <c r="K565" i="2"/>
  <c r="H565" i="2"/>
  <c r="L565" i="2"/>
  <c r="O565" i="2"/>
  <c r="T565" i="2"/>
  <c r="P565" i="2"/>
  <c r="R565" i="2"/>
  <c r="U565" i="2"/>
  <c r="Y565" i="2"/>
  <c r="X565" i="2"/>
  <c r="J680" i="2"/>
  <c r="H680" i="2"/>
  <c r="L680" i="2"/>
  <c r="O680" i="2"/>
  <c r="P680" i="2"/>
  <c r="Q680" i="2"/>
  <c r="T680" i="2"/>
  <c r="X680" i="2"/>
  <c r="V680" i="2"/>
  <c r="Y680" i="2"/>
  <c r="G680" i="2"/>
  <c r="K680" i="2"/>
  <c r="I680" i="2"/>
  <c r="M680" i="2"/>
  <c r="N680" i="2"/>
  <c r="R680" i="2"/>
  <c r="S680" i="2"/>
  <c r="U680" i="2"/>
  <c r="Z680" i="2"/>
  <c r="W680" i="2"/>
  <c r="F508" i="2"/>
  <c r="AB606" i="1"/>
  <c r="G108" i="2"/>
  <c r="I108" i="2"/>
  <c r="K108" i="2"/>
  <c r="M108" i="2"/>
  <c r="O108" i="2"/>
  <c r="Q108" i="2"/>
  <c r="U108" i="2"/>
  <c r="S108" i="2"/>
  <c r="W108" i="2"/>
  <c r="X108" i="2"/>
  <c r="H108" i="2"/>
  <c r="J108" i="2"/>
  <c r="L108" i="2"/>
  <c r="N108" i="2"/>
  <c r="P108" i="2"/>
  <c r="R108" i="2"/>
  <c r="V108" i="2"/>
  <c r="T108" i="2"/>
  <c r="Z108" i="2"/>
  <c r="Y108" i="2"/>
  <c r="AC107" i="1"/>
  <c r="F111" i="2" s="1"/>
  <c r="AC322" i="1"/>
  <c r="AC530" i="1"/>
  <c r="AC319" i="1"/>
  <c r="AC600" i="1"/>
  <c r="F626" i="2" s="1"/>
  <c r="AC604" i="1"/>
  <c r="AC527" i="1"/>
  <c r="AC536" i="1" s="1"/>
  <c r="AC538" i="1" s="1"/>
  <c r="AC596" i="1"/>
  <c r="F511" i="2" s="1"/>
  <c r="AC602" i="1"/>
  <c r="F683" i="2" s="1"/>
  <c r="AC323" i="1"/>
  <c r="AC598" i="1"/>
  <c r="F568" i="2" s="1"/>
  <c r="AE206" i="1"/>
  <c r="AF206" i="1" s="1"/>
  <c r="AG206" i="1" s="1"/>
  <c r="AF194" i="1"/>
  <c r="AG194" i="1" s="1"/>
  <c r="AE656" i="1"/>
  <c r="AF656" i="1" s="1"/>
  <c r="AG656" i="1" s="1"/>
  <c r="AE381" i="1"/>
  <c r="AF370" i="1"/>
  <c r="AG370" i="1" s="1"/>
  <c r="AE144" i="1"/>
  <c r="AF134" i="1"/>
  <c r="AG134" i="1" s="1"/>
  <c r="AE136" i="1"/>
  <c r="AF136" i="1" s="1"/>
  <c r="AG136" i="1" s="1"/>
  <c r="O213" i="2"/>
  <c r="H28" i="28"/>
  <c r="I213" i="2"/>
  <c r="N213" i="2"/>
  <c r="H213" i="2"/>
  <c r="H28" i="24"/>
  <c r="M213" i="2"/>
  <c r="H151" i="2"/>
  <c r="P151" i="2"/>
  <c r="AA150" i="2"/>
  <c r="AB150" i="2" s="1"/>
  <c r="G151" i="2"/>
  <c r="I151" i="2"/>
  <c r="R151" i="2"/>
  <c r="S151" i="2"/>
  <c r="K151" i="2"/>
  <c r="V457" i="2"/>
  <c r="L457" i="2"/>
  <c r="M457" i="2"/>
  <c r="T457" i="2"/>
  <c r="W457" i="2"/>
  <c r="S457" i="2"/>
  <c r="I457" i="2"/>
  <c r="O457" i="2"/>
  <c r="R457" i="2"/>
  <c r="Y457" i="2"/>
  <c r="G457" i="2"/>
  <c r="P457" i="2"/>
  <c r="X457" i="2"/>
  <c r="Z457" i="2"/>
  <c r="Q457" i="2"/>
  <c r="U457" i="2"/>
  <c r="K457" i="2"/>
  <c r="H457" i="2"/>
  <c r="N457" i="2"/>
  <c r="J457" i="2"/>
  <c r="AB655" i="1"/>
  <c r="AB118" i="1"/>
  <c r="I499" i="2"/>
  <c r="AA498" i="2"/>
  <c r="AB498" i="2" s="1"/>
  <c r="L216" i="2"/>
  <c r="W216" i="2"/>
  <c r="Z216" i="2"/>
  <c r="I216" i="2"/>
  <c r="V216" i="2"/>
  <c r="X216" i="2"/>
  <c r="Y216" i="2"/>
  <c r="R216" i="2"/>
  <c r="Q216" i="2"/>
  <c r="P216" i="2"/>
  <c r="O216" i="2"/>
  <c r="T216" i="2"/>
  <c r="S216" i="2"/>
  <c r="M216" i="2"/>
  <c r="K216" i="2"/>
  <c r="U216" i="2"/>
  <c r="J216" i="2"/>
  <c r="H216" i="2"/>
  <c r="G216" i="2"/>
  <c r="N216" i="2"/>
  <c r="AD664" i="1"/>
  <c r="AD526" i="1"/>
  <c r="AD316" i="1"/>
  <c r="AD523" i="1"/>
  <c r="AD320" i="1"/>
  <c r="AD317" i="1"/>
  <c r="AD315" i="1"/>
  <c r="AD324" i="1"/>
  <c r="AD318" i="1"/>
  <c r="AD325" i="1"/>
  <c r="AD532" i="1"/>
  <c r="AD524" i="1"/>
  <c r="AD529" i="1"/>
  <c r="AD528" i="1"/>
  <c r="AD531" i="1"/>
  <c r="AD525" i="1"/>
  <c r="AD321" i="1"/>
  <c r="AA46" i="2"/>
  <c r="AB46" i="2" s="1"/>
  <c r="AD277" i="1"/>
  <c r="AA336" i="2"/>
  <c r="AB336" i="2" s="1"/>
  <c r="W213" i="2"/>
  <c r="Y213" i="2"/>
  <c r="AA671" i="2"/>
  <c r="AB671" i="2" s="1"/>
  <c r="G270" i="2"/>
  <c r="AA49" i="2"/>
  <c r="AB49" i="2" s="1"/>
  <c r="AA99" i="2"/>
  <c r="AB99" i="2" s="1"/>
  <c r="AC329" i="1" l="1"/>
  <c r="AC331" i="1" s="1"/>
  <c r="AA216" i="2"/>
  <c r="AB216" i="2" s="1"/>
  <c r="AA273" i="2"/>
  <c r="AB273" i="2" s="1"/>
  <c r="AC540" i="1"/>
  <c r="AC654" i="1"/>
  <c r="AC117" i="1"/>
  <c r="F282" i="2"/>
  <c r="AC333" i="1"/>
  <c r="F225" i="2"/>
  <c r="AD306" i="1"/>
  <c r="AA151" i="2"/>
  <c r="AB151" i="2" s="1"/>
  <c r="AE153" i="1"/>
  <c r="AF144" i="1"/>
  <c r="AE425" i="1"/>
  <c r="AF425" i="1" s="1"/>
  <c r="AG425" i="1" s="1"/>
  <c r="AF381" i="1"/>
  <c r="AG381" i="1" s="1"/>
  <c r="I568" i="2"/>
  <c r="M568" i="2"/>
  <c r="O568" i="2"/>
  <c r="R568" i="2"/>
  <c r="V568" i="2"/>
  <c r="Y568" i="2"/>
  <c r="X568" i="2"/>
  <c r="G568" i="2"/>
  <c r="L568" i="2"/>
  <c r="P568" i="2"/>
  <c r="T568" i="2"/>
  <c r="S568" i="2"/>
  <c r="W568" i="2"/>
  <c r="Z568" i="2"/>
  <c r="Q568" i="2"/>
  <c r="K568" i="2"/>
  <c r="H568" i="2"/>
  <c r="U568" i="2"/>
  <c r="N568" i="2"/>
  <c r="J568" i="2"/>
  <c r="G683" i="2"/>
  <c r="M683" i="2"/>
  <c r="R683" i="2"/>
  <c r="V683" i="2"/>
  <c r="W683" i="2"/>
  <c r="Z683" i="2"/>
  <c r="T683" i="2"/>
  <c r="I683" i="2"/>
  <c r="O683" i="2"/>
  <c r="S683" i="2"/>
  <c r="P683" i="2"/>
  <c r="X683" i="2"/>
  <c r="Y683" i="2"/>
  <c r="L683" i="2"/>
  <c r="Q683" i="2"/>
  <c r="U683" i="2"/>
  <c r="K683" i="2"/>
  <c r="H683" i="2"/>
  <c r="N683" i="2"/>
  <c r="J683" i="2"/>
  <c r="G626" i="2"/>
  <c r="M626" i="2"/>
  <c r="V626" i="2"/>
  <c r="T626" i="2"/>
  <c r="Z626" i="2"/>
  <c r="Y626" i="2"/>
  <c r="I626" i="2"/>
  <c r="L626" i="2"/>
  <c r="O626" i="2"/>
  <c r="R626" i="2"/>
  <c r="S626" i="2"/>
  <c r="X626" i="2"/>
  <c r="W626" i="2"/>
  <c r="P626" i="2"/>
  <c r="Q626" i="2"/>
  <c r="U626" i="2"/>
  <c r="K626" i="2"/>
  <c r="H626" i="2"/>
  <c r="N626" i="2"/>
  <c r="J626" i="2"/>
  <c r="J155" i="2"/>
  <c r="O155" i="2"/>
  <c r="M155" i="2"/>
  <c r="R155" i="2"/>
  <c r="R156" i="2" s="1"/>
  <c r="P155" i="2"/>
  <c r="P156" i="2" s="1"/>
  <c r="S155" i="2"/>
  <c r="V155" i="2"/>
  <c r="X155" i="2"/>
  <c r="G155" i="2"/>
  <c r="L155" i="2"/>
  <c r="N155" i="2"/>
  <c r="T155" i="2"/>
  <c r="T156" i="2" s="1"/>
  <c r="Q155" i="2"/>
  <c r="Q156" i="2" s="1"/>
  <c r="Z155" i="2"/>
  <c r="W155" i="2"/>
  <c r="Y155" i="2"/>
  <c r="I155" i="2"/>
  <c r="H155" i="2"/>
  <c r="K155" i="2"/>
  <c r="U155" i="2"/>
  <c r="U156" i="2" s="1"/>
  <c r="AA652" i="1"/>
  <c r="AA110" i="1"/>
  <c r="AA114" i="1" s="1"/>
  <c r="AA335" i="1"/>
  <c r="AA620" i="2"/>
  <c r="AB620" i="2" s="1"/>
  <c r="AB654" i="1"/>
  <c r="AB540" i="1"/>
  <c r="AB117" i="1"/>
  <c r="AB120" i="1" s="1"/>
  <c r="F279" i="2"/>
  <c r="I159" i="2"/>
  <c r="V159" i="2"/>
  <c r="Z159" i="2"/>
  <c r="Y159" i="2"/>
  <c r="L159" i="2"/>
  <c r="W159" i="2"/>
  <c r="X159" i="2"/>
  <c r="M159" i="2"/>
  <c r="U159" i="2"/>
  <c r="J159" i="2"/>
  <c r="T159" i="2"/>
  <c r="S159" i="2"/>
  <c r="K159" i="2"/>
  <c r="R159" i="2"/>
  <c r="Q159" i="2"/>
  <c r="P159" i="2"/>
  <c r="O159" i="2"/>
  <c r="H159" i="2"/>
  <c r="G159" i="2"/>
  <c r="N159" i="2"/>
  <c r="AE162" i="1"/>
  <c r="AF162" i="1" s="1"/>
  <c r="AG162" i="1" s="1"/>
  <c r="AF156" i="1"/>
  <c r="AG156" i="1" s="1"/>
  <c r="G339" i="2"/>
  <c r="L339" i="2"/>
  <c r="P339" i="2"/>
  <c r="R339" i="2"/>
  <c r="T339" i="2"/>
  <c r="Y339" i="2"/>
  <c r="W339" i="2"/>
  <c r="I339" i="2"/>
  <c r="M339" i="2"/>
  <c r="O339" i="2"/>
  <c r="V339" i="2"/>
  <c r="S339" i="2"/>
  <c r="X339" i="2"/>
  <c r="Z339" i="2"/>
  <c r="Q339" i="2"/>
  <c r="U339" i="2"/>
  <c r="K339" i="2"/>
  <c r="H339" i="2"/>
  <c r="N339" i="2"/>
  <c r="J339" i="2"/>
  <c r="AF584" i="1"/>
  <c r="AG584" i="1" s="1"/>
  <c r="AE586" i="1"/>
  <c r="U213" i="2"/>
  <c r="J156" i="2"/>
  <c r="H14" i="27"/>
  <c r="M156" i="2"/>
  <c r="N156" i="2"/>
  <c r="H14" i="31"/>
  <c r="S156" i="2"/>
  <c r="H156" i="2"/>
  <c r="H14" i="24"/>
  <c r="AD93" i="1"/>
  <c r="AD96" i="1" s="1"/>
  <c r="AD653" i="1"/>
  <c r="AD79" i="1"/>
  <c r="F55" i="2"/>
  <c r="AD125" i="1"/>
  <c r="AD111" i="1"/>
  <c r="AD123" i="1"/>
  <c r="AD126" i="1"/>
  <c r="AD112" i="1"/>
  <c r="AD124" i="1"/>
  <c r="AA457" i="2"/>
  <c r="AB457" i="2" s="1"/>
  <c r="AA565" i="2"/>
  <c r="AB565" i="2" s="1"/>
  <c r="AA562" i="2"/>
  <c r="AB562" i="2" s="1"/>
  <c r="AA499" i="2"/>
  <c r="AB499" i="2" s="1"/>
  <c r="AA52" i="2"/>
  <c r="AB52" i="2" s="1"/>
  <c r="AA623" i="2"/>
  <c r="AB623" i="2" s="1"/>
  <c r="AA677" i="2"/>
  <c r="AB677" i="2" s="1"/>
  <c r="Z156" i="2"/>
  <c r="F156" i="2"/>
  <c r="X156" i="2"/>
  <c r="I511" i="2"/>
  <c r="L511" i="2"/>
  <c r="S511" i="2"/>
  <c r="R511" i="2"/>
  <c r="V511" i="2"/>
  <c r="Z511" i="2"/>
  <c r="Y511" i="2"/>
  <c r="G511" i="2"/>
  <c r="M511" i="2"/>
  <c r="O511" i="2"/>
  <c r="P511" i="2"/>
  <c r="T511" i="2"/>
  <c r="W511" i="2"/>
  <c r="X511" i="2"/>
  <c r="Q511" i="2"/>
  <c r="U511" i="2"/>
  <c r="K511" i="2"/>
  <c r="H511" i="2"/>
  <c r="N511" i="2"/>
  <c r="J511" i="2"/>
  <c r="G111" i="2"/>
  <c r="L111" i="2"/>
  <c r="O111" i="2"/>
  <c r="S111" i="2"/>
  <c r="T111" i="2"/>
  <c r="Y111" i="2"/>
  <c r="W111" i="2"/>
  <c r="I111" i="2"/>
  <c r="M111" i="2"/>
  <c r="P111" i="2"/>
  <c r="R111" i="2"/>
  <c r="V111" i="2"/>
  <c r="Z111" i="2"/>
  <c r="X111" i="2"/>
  <c r="Q111" i="2"/>
  <c r="H111" i="2"/>
  <c r="U111" i="2"/>
  <c r="K111" i="2"/>
  <c r="N111" i="2"/>
  <c r="J111" i="2"/>
  <c r="I508" i="2"/>
  <c r="G508" i="2"/>
  <c r="M508" i="2"/>
  <c r="N508" i="2"/>
  <c r="Q508" i="2"/>
  <c r="S508" i="2"/>
  <c r="V508" i="2"/>
  <c r="T508" i="2"/>
  <c r="X508" i="2"/>
  <c r="Z508" i="2"/>
  <c r="H508" i="2"/>
  <c r="K508" i="2"/>
  <c r="J508" i="2"/>
  <c r="L508" i="2"/>
  <c r="O508" i="2"/>
  <c r="R508" i="2"/>
  <c r="U508" i="2"/>
  <c r="P508" i="2"/>
  <c r="W508" i="2"/>
  <c r="Y508" i="2"/>
  <c r="M219" i="2"/>
  <c r="W219" i="2"/>
  <c r="Y219" i="2"/>
  <c r="I219" i="2"/>
  <c r="L219" i="2"/>
  <c r="V219" i="2"/>
  <c r="X219" i="2"/>
  <c r="Z219" i="2"/>
  <c r="S219" i="2"/>
  <c r="P219" i="2"/>
  <c r="I28" i="31" s="1"/>
  <c r="O219" i="2"/>
  <c r="I28" i="28" s="1"/>
  <c r="K219" i="2"/>
  <c r="I28" i="26" s="1"/>
  <c r="U219" i="2"/>
  <c r="T219" i="2"/>
  <c r="H219" i="2"/>
  <c r="Q219" i="2"/>
  <c r="J219" i="2"/>
  <c r="I28" i="27" s="1"/>
  <c r="G219" i="2"/>
  <c r="I28" i="14" s="1"/>
  <c r="R219" i="2"/>
  <c r="N219" i="2"/>
  <c r="AE482" i="1"/>
  <c r="AF472" i="1"/>
  <c r="AG472" i="1" s="1"/>
  <c r="AE463" i="1"/>
  <c r="AF451" i="1"/>
  <c r="AG451" i="1" s="1"/>
  <c r="F342" i="2"/>
  <c r="AB608" i="1"/>
  <c r="AB333" i="1"/>
  <c r="F222" i="2"/>
  <c r="AA654" i="1"/>
  <c r="AA540" i="1"/>
  <c r="F276" i="2"/>
  <c r="AA117" i="1"/>
  <c r="AA120" i="1" s="1"/>
  <c r="AA213" i="2"/>
  <c r="AB213" i="2" s="1"/>
  <c r="AE183" i="1"/>
  <c r="AF183" i="1" s="1"/>
  <c r="AG183" i="1" s="1"/>
  <c r="AF177" i="1"/>
  <c r="AG177" i="1" s="1"/>
  <c r="AE174" i="1"/>
  <c r="AF167" i="1"/>
  <c r="AG167" i="1" s="1"/>
  <c r="AE67" i="1"/>
  <c r="AE667" i="1"/>
  <c r="AF667" i="1" s="1"/>
  <c r="AG667" i="1" s="1"/>
  <c r="AF15" i="1"/>
  <c r="AG15" i="1" s="1"/>
  <c r="AE576" i="1"/>
  <c r="AF576" i="1" s="1"/>
  <c r="AG576" i="1" s="1"/>
  <c r="AF592" i="1"/>
  <c r="AG592" i="1" s="1"/>
  <c r="AE594" i="1"/>
  <c r="AF575" i="1"/>
  <c r="AG575" i="1" s="1"/>
  <c r="AA212" i="2"/>
  <c r="AB212" i="2" s="1"/>
  <c r="M505" i="2"/>
  <c r="X505" i="2"/>
  <c r="L505" i="2"/>
  <c r="V505" i="2"/>
  <c r="Z505" i="2"/>
  <c r="W505" i="2"/>
  <c r="I505" i="2"/>
  <c r="Y505" i="2"/>
  <c r="P505" i="2"/>
  <c r="Q505" i="2"/>
  <c r="K505" i="2"/>
  <c r="S505" i="2"/>
  <c r="O505" i="2"/>
  <c r="H505" i="2"/>
  <c r="U505" i="2"/>
  <c r="T505" i="2"/>
  <c r="J505" i="2"/>
  <c r="N505" i="2"/>
  <c r="R505" i="2"/>
  <c r="G505" i="2"/>
  <c r="AA154" i="2"/>
  <c r="AB154" i="2" s="1"/>
  <c r="G156" i="2"/>
  <c r="H14" i="14"/>
  <c r="K156" i="2"/>
  <c r="H14" i="26"/>
  <c r="L156" i="2"/>
  <c r="O156" i="2"/>
  <c r="H14" i="28"/>
  <c r="AC655" i="1"/>
  <c r="AC118" i="1"/>
  <c r="AA108" i="2"/>
  <c r="AB108" i="2" s="1"/>
  <c r="AA680" i="2"/>
  <c r="AB680" i="2" s="1"/>
  <c r="AA105" i="2"/>
  <c r="AB105" i="2" s="1"/>
  <c r="AA400" i="2"/>
  <c r="AB400" i="2" s="1"/>
  <c r="AC606" i="1"/>
  <c r="AC608" i="1" s="1"/>
  <c r="Y156" i="2"/>
  <c r="V156" i="2"/>
  <c r="W156" i="2"/>
  <c r="AA270" i="2"/>
  <c r="AB270" i="2" s="1"/>
  <c r="AE578" i="1" l="1"/>
  <c r="AD128" i="1"/>
  <c r="I30" i="27"/>
  <c r="K30" i="27" s="1"/>
  <c r="I30" i="28"/>
  <c r="K30" i="28" s="1"/>
  <c r="I30" i="26"/>
  <c r="K30" i="26" s="1"/>
  <c r="I30" i="31"/>
  <c r="K30" i="31" s="1"/>
  <c r="AE653" i="1"/>
  <c r="AF653" i="1" s="1"/>
  <c r="AG653" i="1" s="1"/>
  <c r="AE93" i="1"/>
  <c r="AE79" i="1"/>
  <c r="AF79" i="1" s="1"/>
  <c r="AG79" i="1" s="1"/>
  <c r="AF67" i="1"/>
  <c r="AG67" i="1" s="1"/>
  <c r="AE123" i="1"/>
  <c r="AE111" i="1"/>
  <c r="AF111" i="1" s="1"/>
  <c r="AG111" i="1" s="1"/>
  <c r="AE126" i="1"/>
  <c r="AF126" i="1" s="1"/>
  <c r="AG126" i="1" s="1"/>
  <c r="AE124" i="1"/>
  <c r="AF124" i="1" s="1"/>
  <c r="AG124" i="1" s="1"/>
  <c r="F58" i="2"/>
  <c r="F60" i="2" s="1"/>
  <c r="AE125" i="1"/>
  <c r="AF125" i="1" s="1"/>
  <c r="AG125" i="1" s="1"/>
  <c r="AE112" i="1"/>
  <c r="AF112" i="1" s="1"/>
  <c r="AG112" i="1" s="1"/>
  <c r="AE185" i="1"/>
  <c r="AF185" i="1" s="1"/>
  <c r="AG185" i="1" s="1"/>
  <c r="AF174" i="1"/>
  <c r="AG174" i="1" s="1"/>
  <c r="I276" i="2"/>
  <c r="M276" i="2"/>
  <c r="V276" i="2"/>
  <c r="X276" i="2"/>
  <c r="Z276" i="2"/>
  <c r="L276" i="2"/>
  <c r="W276" i="2"/>
  <c r="Y276" i="2"/>
  <c r="S276" i="2"/>
  <c r="O276" i="2"/>
  <c r="H276" i="2"/>
  <c r="Q276" i="2"/>
  <c r="T276" i="2"/>
  <c r="J276" i="2"/>
  <c r="P276" i="2"/>
  <c r="K276" i="2"/>
  <c r="U276" i="2"/>
  <c r="R276" i="2"/>
  <c r="G276" i="2"/>
  <c r="N276" i="2"/>
  <c r="AB652" i="1"/>
  <c r="AB110" i="1"/>
  <c r="AB114" i="1" s="1"/>
  <c r="AB138" i="1" s="1"/>
  <c r="F165" i="2" s="1"/>
  <c r="L342" i="2"/>
  <c r="V342" i="2"/>
  <c r="T342" i="2"/>
  <c r="X342" i="2"/>
  <c r="S342" i="2"/>
  <c r="Y342" i="2"/>
  <c r="I342" i="2"/>
  <c r="O342" i="2"/>
  <c r="R342" i="2"/>
  <c r="Z342" i="2"/>
  <c r="G342" i="2"/>
  <c r="M342" i="2"/>
  <c r="P342" i="2"/>
  <c r="W342" i="2"/>
  <c r="Q342" i="2"/>
  <c r="U342" i="2"/>
  <c r="K342" i="2"/>
  <c r="H342" i="2"/>
  <c r="N342" i="2"/>
  <c r="J342" i="2"/>
  <c r="I55" i="2"/>
  <c r="R55" i="2"/>
  <c r="V55" i="2"/>
  <c r="L55" i="2"/>
  <c r="S55" i="2"/>
  <c r="M55" i="2"/>
  <c r="O55" i="2"/>
  <c r="G55" i="2"/>
  <c r="P55" i="2"/>
  <c r="Z55" i="2"/>
  <c r="Y55" i="2"/>
  <c r="X55" i="2"/>
  <c r="T55" i="2"/>
  <c r="W55" i="2"/>
  <c r="Q55" i="2"/>
  <c r="K55" i="2"/>
  <c r="H55" i="2"/>
  <c r="N55" i="2"/>
  <c r="J55" i="2"/>
  <c r="U55" i="2"/>
  <c r="AF586" i="1"/>
  <c r="AG586" i="1" s="1"/>
  <c r="F403" i="2"/>
  <c r="I156" i="2"/>
  <c r="AA156" i="2" s="1"/>
  <c r="AB156" i="2" s="1"/>
  <c r="AA155" i="2"/>
  <c r="AB155" i="2" s="1"/>
  <c r="AD655" i="1"/>
  <c r="AD118" i="1"/>
  <c r="AA219" i="2"/>
  <c r="AB219" i="2" s="1"/>
  <c r="AA508" i="2"/>
  <c r="AB508" i="2" s="1"/>
  <c r="AA111" i="2"/>
  <c r="AB111" i="2" s="1"/>
  <c r="AA511" i="2"/>
  <c r="AB511" i="2" s="1"/>
  <c r="AA159" i="2"/>
  <c r="AB159" i="2" s="1"/>
  <c r="AA138" i="1"/>
  <c r="F162" i="2" s="1"/>
  <c r="AA568" i="2"/>
  <c r="AB568" i="2" s="1"/>
  <c r="AE164" i="1"/>
  <c r="AC120" i="1"/>
  <c r="AA505" i="2"/>
  <c r="AB505" i="2" s="1"/>
  <c r="I30" i="14"/>
  <c r="K30" i="14" s="1"/>
  <c r="I30" i="24"/>
  <c r="K30" i="24" s="1"/>
  <c r="AF578" i="1"/>
  <c r="AG578" i="1" s="1"/>
  <c r="F345" i="2"/>
  <c r="AF594" i="1"/>
  <c r="AG594" i="1" s="1"/>
  <c r="F460" i="2"/>
  <c r="G222" i="2"/>
  <c r="H222" i="2"/>
  <c r="J222" i="2"/>
  <c r="N222" i="2"/>
  <c r="O222" i="2"/>
  <c r="R222" i="2"/>
  <c r="V222" i="2"/>
  <c r="T222" i="2"/>
  <c r="X222" i="2"/>
  <c r="Z222" i="2"/>
  <c r="K222" i="2"/>
  <c r="I222" i="2"/>
  <c r="L222" i="2"/>
  <c r="M222" i="2"/>
  <c r="Q222" i="2"/>
  <c r="S222" i="2"/>
  <c r="P222" i="2"/>
  <c r="U222" i="2"/>
  <c r="Y222" i="2"/>
  <c r="W222" i="2"/>
  <c r="AE662" i="1"/>
  <c r="AF662" i="1" s="1"/>
  <c r="AG662" i="1" s="1"/>
  <c r="AF463" i="1"/>
  <c r="AG463" i="1" s="1"/>
  <c r="AE244" i="1"/>
  <c r="AE663" i="1"/>
  <c r="AF663" i="1" s="1"/>
  <c r="AG663" i="1" s="1"/>
  <c r="AE484" i="1"/>
  <c r="AF482" i="1"/>
  <c r="AG482" i="1" s="1"/>
  <c r="AE261" i="1"/>
  <c r="AD107" i="1"/>
  <c r="F114" i="2" s="1"/>
  <c r="AD323" i="1"/>
  <c r="AD604" i="1"/>
  <c r="AD322" i="1"/>
  <c r="AD527" i="1"/>
  <c r="AD598" i="1"/>
  <c r="F571" i="2" s="1"/>
  <c r="AD530" i="1"/>
  <c r="AD602" i="1"/>
  <c r="F686" i="2" s="1"/>
  <c r="AD600" i="1"/>
  <c r="F629" i="2" s="1"/>
  <c r="AD319" i="1"/>
  <c r="AD329" i="1" s="1"/>
  <c r="AD331" i="1" s="1"/>
  <c r="AD596" i="1"/>
  <c r="AA339" i="2"/>
  <c r="AB339" i="2" s="1"/>
  <c r="H279" i="2"/>
  <c r="G279" i="2"/>
  <c r="J279" i="2"/>
  <c r="N279" i="2"/>
  <c r="L279" i="2"/>
  <c r="R279" i="2"/>
  <c r="U279" i="2"/>
  <c r="T279" i="2"/>
  <c r="X279" i="2"/>
  <c r="W279" i="2"/>
  <c r="K279" i="2"/>
  <c r="I279" i="2"/>
  <c r="M279" i="2"/>
  <c r="O279" i="2"/>
  <c r="Q279" i="2"/>
  <c r="S279" i="2"/>
  <c r="P279" i="2"/>
  <c r="V279" i="2"/>
  <c r="Z279" i="2"/>
  <c r="Y279" i="2"/>
  <c r="AF153" i="1"/>
  <c r="AG153" i="1" s="1"/>
  <c r="AG144" i="1"/>
  <c r="I225" i="2"/>
  <c r="L225" i="2"/>
  <c r="P225" i="2"/>
  <c r="V225" i="2"/>
  <c r="T225" i="2"/>
  <c r="Z225" i="2"/>
  <c r="Y225" i="2"/>
  <c r="G225" i="2"/>
  <c r="M225" i="2"/>
  <c r="O225" i="2"/>
  <c r="S225" i="2"/>
  <c r="R225" i="2"/>
  <c r="W225" i="2"/>
  <c r="X225" i="2"/>
  <c r="Q225" i="2"/>
  <c r="K225" i="2"/>
  <c r="U225" i="2"/>
  <c r="H225" i="2"/>
  <c r="N225" i="2"/>
  <c r="J225" i="2"/>
  <c r="AC652" i="1"/>
  <c r="AC110" i="1"/>
  <c r="AC114" i="1" s="1"/>
  <c r="AC138" i="1" s="1"/>
  <c r="F168" i="2" s="1"/>
  <c r="G282" i="2"/>
  <c r="L282" i="2"/>
  <c r="P282" i="2"/>
  <c r="S282" i="2"/>
  <c r="V282" i="2"/>
  <c r="X282" i="2"/>
  <c r="Z282" i="2"/>
  <c r="I282" i="2"/>
  <c r="O282" i="2"/>
  <c r="M282" i="2"/>
  <c r="R282" i="2"/>
  <c r="T282" i="2"/>
  <c r="W282" i="2"/>
  <c r="Y282" i="2"/>
  <c r="Q282" i="2"/>
  <c r="U282" i="2"/>
  <c r="K282" i="2"/>
  <c r="H282" i="2"/>
  <c r="N282" i="2"/>
  <c r="J282" i="2"/>
  <c r="I28" i="24"/>
  <c r="AA626" i="2"/>
  <c r="AB626" i="2" s="1"/>
  <c r="AA683" i="2"/>
  <c r="AB683" i="2" s="1"/>
  <c r="F514" i="2" l="1"/>
  <c r="AD606" i="1"/>
  <c r="L629" i="2"/>
  <c r="Y629" i="2"/>
  <c r="M629" i="2"/>
  <c r="S629" i="2"/>
  <c r="W629" i="2"/>
  <c r="P629" i="2"/>
  <c r="X629" i="2"/>
  <c r="I629" i="2"/>
  <c r="R629" i="2"/>
  <c r="T629" i="2"/>
  <c r="Z629" i="2"/>
  <c r="O629" i="2"/>
  <c r="G629" i="2"/>
  <c r="V629" i="2"/>
  <c r="Q629" i="2"/>
  <c r="K629" i="2"/>
  <c r="H629" i="2"/>
  <c r="U629" i="2"/>
  <c r="N629" i="2"/>
  <c r="J629" i="2"/>
  <c r="AE271" i="1"/>
  <c r="AF271" i="1" s="1"/>
  <c r="AG271" i="1" s="1"/>
  <c r="AF261" i="1"/>
  <c r="AG261" i="1" s="1"/>
  <c r="AE486" i="1"/>
  <c r="AF484" i="1"/>
  <c r="AG484" i="1" s="1"/>
  <c r="AE257" i="1"/>
  <c r="AF244" i="1"/>
  <c r="AG244" i="1" s="1"/>
  <c r="AA222" i="2"/>
  <c r="AB222" i="2" s="1"/>
  <c r="I162" i="2"/>
  <c r="W162" i="2"/>
  <c r="Y162" i="2"/>
  <c r="M162" i="2"/>
  <c r="V162" i="2"/>
  <c r="X162" i="2"/>
  <c r="Z162" i="2"/>
  <c r="L162" i="2"/>
  <c r="H162" i="2"/>
  <c r="S162" i="2"/>
  <c r="P162" i="2"/>
  <c r="O162" i="2"/>
  <c r="Q162" i="2"/>
  <c r="K162" i="2"/>
  <c r="U162" i="2"/>
  <c r="T162" i="2"/>
  <c r="J162" i="2"/>
  <c r="R162" i="2"/>
  <c r="N162" i="2"/>
  <c r="G162" i="2"/>
  <c r="I403" i="2"/>
  <c r="I405" i="2" s="1"/>
  <c r="I714" i="2" s="1"/>
  <c r="O403" i="2"/>
  <c r="O405" i="2" s="1"/>
  <c r="O714" i="2" s="1"/>
  <c r="M403" i="2"/>
  <c r="M405" i="2" s="1"/>
  <c r="M714" i="2" s="1"/>
  <c r="V403" i="2"/>
  <c r="V405" i="2" s="1"/>
  <c r="V714" i="2" s="1"/>
  <c r="V785" i="2" s="1"/>
  <c r="V39" i="33" s="1"/>
  <c r="R403" i="2"/>
  <c r="R405" i="2" s="1"/>
  <c r="R714" i="2" s="1"/>
  <c r="R785" i="2" s="1"/>
  <c r="R39" i="33" s="1"/>
  <c r="W403" i="2"/>
  <c r="W405" i="2" s="1"/>
  <c r="W714" i="2" s="1"/>
  <c r="W785" i="2" s="1"/>
  <c r="W39" i="33" s="1"/>
  <c r="Y403" i="2"/>
  <c r="Y405" i="2" s="1"/>
  <c r="Y714" i="2" s="1"/>
  <c r="Y785" i="2" s="1"/>
  <c r="Y39" i="33" s="1"/>
  <c r="G403" i="2"/>
  <c r="G405" i="2" s="1"/>
  <c r="L403" i="2"/>
  <c r="L405" i="2" s="1"/>
  <c r="L714" i="2" s="1"/>
  <c r="T403" i="2"/>
  <c r="T405" i="2" s="1"/>
  <c r="T714" i="2" s="1"/>
  <c r="T785" i="2" s="1"/>
  <c r="T39" i="33" s="1"/>
  <c r="P403" i="2"/>
  <c r="P405" i="2" s="1"/>
  <c r="P714" i="2" s="1"/>
  <c r="S403" i="2"/>
  <c r="S405" i="2" s="1"/>
  <c r="S714" i="2" s="1"/>
  <c r="S785" i="2" s="1"/>
  <c r="S39" i="33" s="1"/>
  <c r="X403" i="2"/>
  <c r="X405" i="2" s="1"/>
  <c r="X714" i="2" s="1"/>
  <c r="X785" i="2" s="1"/>
  <c r="X39" i="33" s="1"/>
  <c r="Z403" i="2"/>
  <c r="Z405" i="2" s="1"/>
  <c r="Z714" i="2" s="1"/>
  <c r="Z785" i="2" s="1"/>
  <c r="Z39" i="33" s="1"/>
  <c r="Q403" i="2"/>
  <c r="Q405" i="2" s="1"/>
  <c r="Q714" i="2" s="1"/>
  <c r="K403" i="2"/>
  <c r="K405" i="2" s="1"/>
  <c r="K714" i="2" s="1"/>
  <c r="H403" i="2"/>
  <c r="H405" i="2" s="1"/>
  <c r="H714" i="2" s="1"/>
  <c r="N403" i="2"/>
  <c r="N405" i="2" s="1"/>
  <c r="N714" i="2" s="1"/>
  <c r="N785" i="2" s="1"/>
  <c r="N39" i="33" s="1"/>
  <c r="J403" i="2"/>
  <c r="J405" i="2" s="1"/>
  <c r="J714" i="2" s="1"/>
  <c r="U403" i="2"/>
  <c r="F405" i="2"/>
  <c r="F714" i="2" s="1"/>
  <c r="F785" i="2" s="1"/>
  <c r="F39" i="33" s="1"/>
  <c r="M58" i="2"/>
  <c r="M60" i="2" s="1"/>
  <c r="P58" i="2"/>
  <c r="P60" i="2" s="1"/>
  <c r="T58" i="2"/>
  <c r="T60" i="2" s="1"/>
  <c r="S58" i="2"/>
  <c r="S60" i="2" s="1"/>
  <c r="Z58" i="2"/>
  <c r="Y58" i="2"/>
  <c r="I58" i="2"/>
  <c r="I60" i="2" s="1"/>
  <c r="G58" i="2"/>
  <c r="L58" i="2"/>
  <c r="L60" i="2" s="1"/>
  <c r="O58" i="2"/>
  <c r="O60" i="2" s="1"/>
  <c r="R58" i="2"/>
  <c r="V58" i="2"/>
  <c r="V60" i="2" s="1"/>
  <c r="W58" i="2"/>
  <c r="X58" i="2"/>
  <c r="Q58" i="2"/>
  <c r="Q60" i="2" s="1"/>
  <c r="K58" i="2"/>
  <c r="H58" i="2"/>
  <c r="H60" i="2" s="1"/>
  <c r="N58" i="2"/>
  <c r="U58" i="2"/>
  <c r="J58" i="2"/>
  <c r="J60" i="2" s="1"/>
  <c r="AE128" i="1"/>
  <c r="AF128" i="1" s="1"/>
  <c r="AG128" i="1" s="1"/>
  <c r="AF123" i="1"/>
  <c r="AG123" i="1" s="1"/>
  <c r="AA282" i="2"/>
  <c r="AB282" i="2" s="1"/>
  <c r="AA279" i="2"/>
  <c r="AB279" i="2" s="1"/>
  <c r="AD536" i="1"/>
  <c r="AD538" i="1" s="1"/>
  <c r="Y60" i="2"/>
  <c r="G168" i="2"/>
  <c r="I168" i="2"/>
  <c r="O168" i="2"/>
  <c r="S168" i="2"/>
  <c r="T168" i="2"/>
  <c r="Y168" i="2"/>
  <c r="X168" i="2"/>
  <c r="M168" i="2"/>
  <c r="L168" i="2"/>
  <c r="P168" i="2"/>
  <c r="R168" i="2"/>
  <c r="V168" i="2"/>
  <c r="W168" i="2"/>
  <c r="Z168" i="2"/>
  <c r="Q168" i="2"/>
  <c r="U168" i="2"/>
  <c r="K168" i="2"/>
  <c r="H168" i="2"/>
  <c r="N168" i="2"/>
  <c r="J168" i="2"/>
  <c r="AA225" i="2"/>
  <c r="AB225" i="2" s="1"/>
  <c r="AD333" i="1"/>
  <c r="AD608" i="1"/>
  <c r="F228" i="2"/>
  <c r="M686" i="2"/>
  <c r="P686" i="2"/>
  <c r="G686" i="2"/>
  <c r="T686" i="2"/>
  <c r="Y686" i="2"/>
  <c r="W686" i="2"/>
  <c r="L686" i="2"/>
  <c r="Z686" i="2"/>
  <c r="I686" i="2"/>
  <c r="S686" i="2"/>
  <c r="X686" i="2"/>
  <c r="R686" i="2"/>
  <c r="O686" i="2"/>
  <c r="V686" i="2"/>
  <c r="Q686" i="2"/>
  <c r="U686" i="2"/>
  <c r="K686" i="2"/>
  <c r="H686" i="2"/>
  <c r="N686" i="2"/>
  <c r="J686" i="2"/>
  <c r="X571" i="2"/>
  <c r="L571" i="2"/>
  <c r="W571" i="2"/>
  <c r="P571" i="2"/>
  <c r="Z571" i="2"/>
  <c r="O571" i="2"/>
  <c r="Y571" i="2"/>
  <c r="G571" i="2"/>
  <c r="V571" i="2"/>
  <c r="I571" i="2"/>
  <c r="T571" i="2"/>
  <c r="M571" i="2"/>
  <c r="S571" i="2"/>
  <c r="R571" i="2"/>
  <c r="Q571" i="2"/>
  <c r="U571" i="2"/>
  <c r="K571" i="2"/>
  <c r="H571" i="2"/>
  <c r="N571" i="2"/>
  <c r="J571" i="2"/>
  <c r="G114" i="2"/>
  <c r="L114" i="2"/>
  <c r="X114" i="2"/>
  <c r="I114" i="2"/>
  <c r="O114" i="2"/>
  <c r="S114" i="2"/>
  <c r="T114" i="2"/>
  <c r="Z114" i="2"/>
  <c r="R114" i="2"/>
  <c r="W114" i="2"/>
  <c r="M114" i="2"/>
  <c r="P114" i="2"/>
  <c r="V114" i="2"/>
  <c r="Y114" i="2"/>
  <c r="Q114" i="2"/>
  <c r="H114" i="2"/>
  <c r="K114" i="2"/>
  <c r="N114" i="2"/>
  <c r="J114" i="2"/>
  <c r="U114" i="2"/>
  <c r="G460" i="2"/>
  <c r="G462" i="2" s="1"/>
  <c r="O460" i="2"/>
  <c r="O462" i="2" s="1"/>
  <c r="O715" i="2" s="1"/>
  <c r="O786" i="2" s="1"/>
  <c r="O40" i="33" s="1"/>
  <c r="T460" i="2"/>
  <c r="T462" i="2" s="1"/>
  <c r="T715" i="2" s="1"/>
  <c r="T786" i="2" s="1"/>
  <c r="T40" i="33" s="1"/>
  <c r="P460" i="2"/>
  <c r="P462" i="2" s="1"/>
  <c r="P715" i="2" s="1"/>
  <c r="P786" i="2" s="1"/>
  <c r="P40" i="33" s="1"/>
  <c r="X460" i="2"/>
  <c r="X462" i="2" s="1"/>
  <c r="X715" i="2" s="1"/>
  <c r="X786" i="2" s="1"/>
  <c r="X40" i="33" s="1"/>
  <c r="W460" i="2"/>
  <c r="W462" i="2" s="1"/>
  <c r="W715" i="2" s="1"/>
  <c r="W786" i="2" s="1"/>
  <c r="W40" i="33" s="1"/>
  <c r="I460" i="2"/>
  <c r="I462" i="2" s="1"/>
  <c r="I715" i="2" s="1"/>
  <c r="I786" i="2" s="1"/>
  <c r="I40" i="33" s="1"/>
  <c r="M460" i="2"/>
  <c r="M462" i="2" s="1"/>
  <c r="M715" i="2" s="1"/>
  <c r="M786" i="2" s="1"/>
  <c r="M40" i="33" s="1"/>
  <c r="L460" i="2"/>
  <c r="L462" i="2" s="1"/>
  <c r="L715" i="2" s="1"/>
  <c r="L786" i="2" s="1"/>
  <c r="L40" i="33" s="1"/>
  <c r="R460" i="2"/>
  <c r="R462" i="2" s="1"/>
  <c r="R715" i="2" s="1"/>
  <c r="R786" i="2" s="1"/>
  <c r="R40" i="33" s="1"/>
  <c r="V460" i="2"/>
  <c r="V462" i="2" s="1"/>
  <c r="V715" i="2" s="1"/>
  <c r="V786" i="2" s="1"/>
  <c r="V40" i="33" s="1"/>
  <c r="S460" i="2"/>
  <c r="S462" i="2" s="1"/>
  <c r="S715" i="2" s="1"/>
  <c r="S786" i="2" s="1"/>
  <c r="S40" i="33" s="1"/>
  <c r="Y460" i="2"/>
  <c r="Y462" i="2" s="1"/>
  <c r="Y715" i="2" s="1"/>
  <c r="Y786" i="2" s="1"/>
  <c r="Y40" i="33" s="1"/>
  <c r="Z460" i="2"/>
  <c r="Z462" i="2" s="1"/>
  <c r="Z715" i="2" s="1"/>
  <c r="Z786" i="2" s="1"/>
  <c r="Z40" i="33" s="1"/>
  <c r="Q460" i="2"/>
  <c r="Q462" i="2" s="1"/>
  <c r="Q715" i="2" s="1"/>
  <c r="Q786" i="2" s="1"/>
  <c r="Q40" i="33" s="1"/>
  <c r="K460" i="2"/>
  <c r="K462" i="2" s="1"/>
  <c r="K715" i="2" s="1"/>
  <c r="K786" i="2" s="1"/>
  <c r="K40" i="33" s="1"/>
  <c r="H460" i="2"/>
  <c r="H462" i="2" s="1"/>
  <c r="H715" i="2" s="1"/>
  <c r="H786" i="2" s="1"/>
  <c r="H40" i="33" s="1"/>
  <c r="N460" i="2"/>
  <c r="N462" i="2" s="1"/>
  <c r="N715" i="2" s="1"/>
  <c r="N786" i="2" s="1"/>
  <c r="N40" i="33" s="1"/>
  <c r="J460" i="2"/>
  <c r="J462" i="2" s="1"/>
  <c r="J715" i="2" s="1"/>
  <c r="J786" i="2" s="1"/>
  <c r="J40" i="33" s="1"/>
  <c r="U460" i="2"/>
  <c r="F462" i="2"/>
  <c r="F715" i="2" s="1"/>
  <c r="F786" i="2" s="1"/>
  <c r="F40" i="33" s="1"/>
  <c r="I345" i="2"/>
  <c r="I347" i="2" s="1"/>
  <c r="G345" i="2"/>
  <c r="G347" i="2" s="1"/>
  <c r="L345" i="2"/>
  <c r="L347" i="2" s="1"/>
  <c r="O345" i="2"/>
  <c r="O347" i="2" s="1"/>
  <c r="R345" i="2"/>
  <c r="R347" i="2" s="1"/>
  <c r="T345" i="2"/>
  <c r="T347" i="2" s="1"/>
  <c r="Z345" i="2"/>
  <c r="Z347" i="2" s="1"/>
  <c r="X345" i="2"/>
  <c r="X347" i="2" s="1"/>
  <c r="M345" i="2"/>
  <c r="M347" i="2" s="1"/>
  <c r="P345" i="2"/>
  <c r="P347" i="2" s="1"/>
  <c r="S345" i="2"/>
  <c r="S347" i="2" s="1"/>
  <c r="V345" i="2"/>
  <c r="V347" i="2" s="1"/>
  <c r="W345" i="2"/>
  <c r="W347" i="2" s="1"/>
  <c r="Y345" i="2"/>
  <c r="Y347" i="2" s="1"/>
  <c r="Q345" i="2"/>
  <c r="Q347" i="2" s="1"/>
  <c r="K345" i="2"/>
  <c r="K347" i="2" s="1"/>
  <c r="H345" i="2"/>
  <c r="H347" i="2" s="1"/>
  <c r="N345" i="2"/>
  <c r="N347" i="2" s="1"/>
  <c r="J345" i="2"/>
  <c r="J347" i="2" s="1"/>
  <c r="U345" i="2"/>
  <c r="AE208" i="1"/>
  <c r="AF164" i="1"/>
  <c r="AG164" i="1" s="1"/>
  <c r="AA55" i="2"/>
  <c r="AB55" i="2" s="1"/>
  <c r="U60" i="2"/>
  <c r="I165" i="2"/>
  <c r="H165" i="2"/>
  <c r="K165" i="2"/>
  <c r="N165" i="2"/>
  <c r="L165" i="2"/>
  <c r="R165" i="2"/>
  <c r="U165" i="2"/>
  <c r="P165" i="2"/>
  <c r="X165" i="2"/>
  <c r="Y165" i="2"/>
  <c r="G165" i="2"/>
  <c r="J165" i="2"/>
  <c r="M165" i="2"/>
  <c r="O165" i="2"/>
  <c r="Q165" i="2"/>
  <c r="S165" i="2"/>
  <c r="V165" i="2"/>
  <c r="T165" i="2"/>
  <c r="W165" i="2"/>
  <c r="Z165" i="2"/>
  <c r="AA276" i="2"/>
  <c r="AB276" i="2" s="1"/>
  <c r="AE96" i="1"/>
  <c r="AF93" i="1"/>
  <c r="AG93" i="1" s="1"/>
  <c r="F347" i="2"/>
  <c r="N60" i="2"/>
  <c r="K60" i="2"/>
  <c r="W60" i="2"/>
  <c r="X60" i="2"/>
  <c r="Z60" i="2"/>
  <c r="G60" i="2"/>
  <c r="R60" i="2"/>
  <c r="AA342" i="2"/>
  <c r="AB342" i="2" s="1"/>
  <c r="F713" i="2" l="1"/>
  <c r="F784" i="2"/>
  <c r="F38" i="33" s="1"/>
  <c r="V841" i="2"/>
  <c r="V95" i="33" s="1"/>
  <c r="V717" i="2"/>
  <c r="V788" i="2" s="1"/>
  <c r="V42" i="33" s="1"/>
  <c r="V716" i="2"/>
  <c r="V787" i="2" s="1"/>
  <c r="V41" i="33" s="1"/>
  <c r="L804" i="2"/>
  <c r="L58" i="33" s="1"/>
  <c r="L841" i="2"/>
  <c r="L95" i="33" s="1"/>
  <c r="R716" i="2"/>
  <c r="R787" i="2" s="1"/>
  <c r="R41" i="33" s="1"/>
  <c r="S841" i="2"/>
  <c r="S95" i="33" s="1"/>
  <c r="S717" i="2"/>
  <c r="S788" i="2" s="1"/>
  <c r="S42" i="33" s="1"/>
  <c r="S804" i="2"/>
  <c r="S58" i="33" s="1"/>
  <c r="V804" i="2"/>
  <c r="V58" i="33" s="1"/>
  <c r="L717" i="2"/>
  <c r="L788" i="2" s="1"/>
  <c r="L42" i="33" s="1"/>
  <c r="L716" i="2"/>
  <c r="R841" i="2"/>
  <c r="R95" i="33" s="1"/>
  <c r="S716" i="2"/>
  <c r="S787" i="2" s="1"/>
  <c r="S41" i="33" s="1"/>
  <c r="R804" i="2"/>
  <c r="R58" i="33" s="1"/>
  <c r="Q717" i="2"/>
  <c r="Q788" i="2" s="1"/>
  <c r="Q42" i="33" s="1"/>
  <c r="Q841" i="2"/>
  <c r="Q95" i="33" s="1"/>
  <c r="Q716" i="2"/>
  <c r="J716" i="2"/>
  <c r="W804" i="2"/>
  <c r="W58" i="33" s="1"/>
  <c r="R717" i="2"/>
  <c r="R788" i="2" s="1"/>
  <c r="R42" i="33" s="1"/>
  <c r="Q804" i="2"/>
  <c r="Q58" i="33" s="1"/>
  <c r="J717" i="2"/>
  <c r="J788" i="2" s="1"/>
  <c r="J42" i="33" s="1"/>
  <c r="J841" i="2"/>
  <c r="J95" i="33" s="1"/>
  <c r="J804" i="2"/>
  <c r="J58" i="33" s="1"/>
  <c r="W841" i="2"/>
  <c r="W95" i="33" s="1"/>
  <c r="W717" i="2"/>
  <c r="W788" i="2" s="1"/>
  <c r="W42" i="33" s="1"/>
  <c r="W716" i="2"/>
  <c r="W787" i="2" s="1"/>
  <c r="W41" i="33" s="1"/>
  <c r="N841" i="2"/>
  <c r="N95" i="33" s="1"/>
  <c r="N804" i="2"/>
  <c r="N58" i="33" s="1"/>
  <c r="X804" i="2"/>
  <c r="X58" i="33" s="1"/>
  <c r="X716" i="2"/>
  <c r="X787" i="2" s="1"/>
  <c r="X41" i="33" s="1"/>
  <c r="O717" i="2"/>
  <c r="O788" i="2" s="1"/>
  <c r="O42" i="33" s="1"/>
  <c r="O716" i="2"/>
  <c r="Z717" i="2"/>
  <c r="Z804" i="2"/>
  <c r="Z58" i="33" s="1"/>
  <c r="Z841" i="2"/>
  <c r="Z95" i="33" s="1"/>
  <c r="T841" i="2"/>
  <c r="T95" i="33" s="1"/>
  <c r="T717" i="2"/>
  <c r="T788" i="2" s="1"/>
  <c r="T42" i="33" s="1"/>
  <c r="M716" i="2"/>
  <c r="M841" i="2"/>
  <c r="M95" i="33" s="1"/>
  <c r="P841" i="2"/>
  <c r="P95" i="33" s="1"/>
  <c r="N717" i="2"/>
  <c r="N788" i="2" s="1"/>
  <c r="N42" i="33" s="1"/>
  <c r="N716" i="2"/>
  <c r="X841" i="2"/>
  <c r="X95" i="33" s="1"/>
  <c r="X717" i="2"/>
  <c r="O841" i="2"/>
  <c r="O95" i="33" s="1"/>
  <c r="O804" i="2"/>
  <c r="O58" i="33" s="1"/>
  <c r="Z716" i="2"/>
  <c r="Z787" i="2" s="1"/>
  <c r="Z41" i="33" s="1"/>
  <c r="T716" i="2"/>
  <c r="T787" i="2" s="1"/>
  <c r="T41" i="33" s="1"/>
  <c r="T804" i="2"/>
  <c r="T58" i="33" s="1"/>
  <c r="M804" i="2"/>
  <c r="M58" i="33" s="1"/>
  <c r="M717" i="2"/>
  <c r="M788" i="2" s="1"/>
  <c r="M42" i="33" s="1"/>
  <c r="P716" i="2"/>
  <c r="P717" i="2"/>
  <c r="P788" i="2" s="1"/>
  <c r="P42" i="33" s="1"/>
  <c r="P804" i="2"/>
  <c r="P58" i="33" s="1"/>
  <c r="Y841" i="2"/>
  <c r="Y95" i="33" s="1"/>
  <c r="Y717" i="2"/>
  <c r="Y716" i="2"/>
  <c r="Y787" i="2" s="1"/>
  <c r="Y41" i="33" s="1"/>
  <c r="Y804" i="2"/>
  <c r="Y58" i="33" s="1"/>
  <c r="G717" i="2"/>
  <c r="G804" i="2"/>
  <c r="G58" i="33" s="1"/>
  <c r="G716" i="2"/>
  <c r="G841" i="2"/>
  <c r="G95" i="33" s="1"/>
  <c r="H841" i="2"/>
  <c r="H95" i="33" s="1"/>
  <c r="H804" i="2"/>
  <c r="H58" i="33" s="1"/>
  <c r="H716" i="2"/>
  <c r="H717" i="2"/>
  <c r="H788" i="2" s="1"/>
  <c r="H42" i="33" s="1"/>
  <c r="K717" i="2"/>
  <c r="K788" i="2" s="1"/>
  <c r="K42" i="33" s="1"/>
  <c r="K804" i="2"/>
  <c r="K58" i="33" s="1"/>
  <c r="I716" i="2"/>
  <c r="I804" i="2"/>
  <c r="I58" i="33" s="1"/>
  <c r="K841" i="2"/>
  <c r="K95" i="33" s="1"/>
  <c r="K716" i="2"/>
  <c r="I717" i="2"/>
  <c r="I788" i="2" s="1"/>
  <c r="I42" i="33" s="1"/>
  <c r="I841" i="2"/>
  <c r="I95" i="33" s="1"/>
  <c r="AA345" i="2"/>
  <c r="AB345" i="2" s="1"/>
  <c r="U347" i="2"/>
  <c r="U716" i="2" s="1"/>
  <c r="N784" i="2"/>
  <c r="N38" i="33" s="1"/>
  <c r="N713" i="2"/>
  <c r="K784" i="2"/>
  <c r="K38" i="33" s="1"/>
  <c r="K713" i="2"/>
  <c r="Y784" i="2"/>
  <c r="Y38" i="33" s="1"/>
  <c r="Y713" i="2"/>
  <c r="V784" i="2"/>
  <c r="V38" i="33" s="1"/>
  <c r="V713" i="2"/>
  <c r="P713" i="2"/>
  <c r="P784" i="2"/>
  <c r="P38" i="33" s="1"/>
  <c r="X784" i="2"/>
  <c r="X38" i="33" s="1"/>
  <c r="X713" i="2"/>
  <c r="T713" i="2"/>
  <c r="T784" i="2"/>
  <c r="T38" i="33" s="1"/>
  <c r="O713" i="2"/>
  <c r="O784" i="2"/>
  <c r="O38" i="33" s="1"/>
  <c r="G713" i="2"/>
  <c r="G784" i="2"/>
  <c r="G38" i="33" s="1"/>
  <c r="G715" i="2"/>
  <c r="AA571" i="2"/>
  <c r="AB571" i="2" s="1"/>
  <c r="AD654" i="1"/>
  <c r="AD540" i="1"/>
  <c r="AD117" i="1"/>
  <c r="AD120" i="1" s="1"/>
  <c r="F285" i="2"/>
  <c r="AA403" i="2"/>
  <c r="AB403" i="2" s="1"/>
  <c r="U405" i="2"/>
  <c r="U714" i="2" s="1"/>
  <c r="K785" i="2"/>
  <c r="K39" i="33" s="1"/>
  <c r="G714" i="2"/>
  <c r="O785" i="2"/>
  <c r="O39" i="33" s="1"/>
  <c r="I14" i="27"/>
  <c r="I14" i="31"/>
  <c r="I14" i="24"/>
  <c r="AA629" i="2"/>
  <c r="AB629" i="2" s="1"/>
  <c r="G514" i="2"/>
  <c r="S514" i="2"/>
  <c r="V514" i="2"/>
  <c r="L514" i="2"/>
  <c r="O514" i="2"/>
  <c r="W514" i="2"/>
  <c r="T514" i="2"/>
  <c r="M514" i="2"/>
  <c r="R514" i="2"/>
  <c r="I514" i="2"/>
  <c r="X514" i="2"/>
  <c r="P514" i="2"/>
  <c r="Z514" i="2"/>
  <c r="Y514" i="2"/>
  <c r="Q514" i="2"/>
  <c r="U514" i="2"/>
  <c r="K514" i="2"/>
  <c r="H514" i="2"/>
  <c r="N514" i="2"/>
  <c r="J514" i="2"/>
  <c r="AA60" i="2"/>
  <c r="AB60" i="2" s="1"/>
  <c r="AA58" i="2"/>
  <c r="AB58" i="2" s="1"/>
  <c r="AE107" i="1"/>
  <c r="AF96" i="1"/>
  <c r="AG96" i="1" s="1"/>
  <c r="AE319" i="1"/>
  <c r="AF319" i="1" s="1"/>
  <c r="AG319" i="1" s="1"/>
  <c r="AE602" i="1"/>
  <c r="AE600" i="1"/>
  <c r="AE322" i="1"/>
  <c r="AF322" i="1" s="1"/>
  <c r="AG322" i="1" s="1"/>
  <c r="AE530" i="1"/>
  <c r="AF530" i="1" s="1"/>
  <c r="AG530" i="1" s="1"/>
  <c r="AE604" i="1"/>
  <c r="AF604" i="1" s="1"/>
  <c r="AG604" i="1" s="1"/>
  <c r="AE596" i="1"/>
  <c r="AE527" i="1"/>
  <c r="AF527" i="1" s="1"/>
  <c r="AG527" i="1" s="1"/>
  <c r="AE323" i="1"/>
  <c r="AF323" i="1" s="1"/>
  <c r="AG323" i="1" s="1"/>
  <c r="AE598" i="1"/>
  <c r="AE221" i="1"/>
  <c r="AF208" i="1"/>
  <c r="AG208" i="1" s="1"/>
  <c r="J784" i="2"/>
  <c r="J38" i="33" s="1"/>
  <c r="J713" i="2"/>
  <c r="H713" i="2"/>
  <c r="H784" i="2"/>
  <c r="H38" i="33" s="1"/>
  <c r="Q713" i="2"/>
  <c r="Q784" i="2"/>
  <c r="Q38" i="33" s="1"/>
  <c r="W713" i="2"/>
  <c r="W784" i="2"/>
  <c r="W38" i="33" s="1"/>
  <c r="S784" i="2"/>
  <c r="S38" i="33" s="1"/>
  <c r="S713" i="2"/>
  <c r="M784" i="2"/>
  <c r="M38" i="33" s="1"/>
  <c r="M713" i="2"/>
  <c r="Z713" i="2"/>
  <c r="Z784" i="2"/>
  <c r="Z38" i="33" s="1"/>
  <c r="R713" i="2"/>
  <c r="R784" i="2"/>
  <c r="R38" i="33" s="1"/>
  <c r="L713" i="2"/>
  <c r="L784" i="2"/>
  <c r="L38" i="33" s="1"/>
  <c r="I713" i="2"/>
  <c r="I784" i="2"/>
  <c r="I38" i="33" s="1"/>
  <c r="AA460" i="2"/>
  <c r="AB460" i="2" s="1"/>
  <c r="U462" i="2"/>
  <c r="U715" i="2" s="1"/>
  <c r="U786" i="2" s="1"/>
  <c r="U40" i="33" s="1"/>
  <c r="AA114" i="2"/>
  <c r="AB114" i="2" s="1"/>
  <c r="AA686" i="2"/>
  <c r="AB686" i="2" s="1"/>
  <c r="M228" i="2"/>
  <c r="P228" i="2"/>
  <c r="S228" i="2"/>
  <c r="V228" i="2"/>
  <c r="X228" i="2"/>
  <c r="Z228" i="2"/>
  <c r="G228" i="2"/>
  <c r="I228" i="2"/>
  <c r="L228" i="2"/>
  <c r="O228" i="2"/>
  <c r="R228" i="2"/>
  <c r="T228" i="2"/>
  <c r="W228" i="2"/>
  <c r="Y228" i="2"/>
  <c r="Q228" i="2"/>
  <c r="U228" i="2"/>
  <c r="H228" i="2"/>
  <c r="K228" i="2"/>
  <c r="N228" i="2"/>
  <c r="J228" i="2"/>
  <c r="AD652" i="1"/>
  <c r="AD110" i="1"/>
  <c r="AD114" i="1" s="1"/>
  <c r="AD138" i="1" s="1"/>
  <c r="F171" i="2" s="1"/>
  <c r="AA168" i="2"/>
  <c r="AB168" i="2" s="1"/>
  <c r="J785" i="2"/>
  <c r="J39" i="33" s="1"/>
  <c r="H785" i="2"/>
  <c r="H39" i="33" s="1"/>
  <c r="Q785" i="2"/>
  <c r="Q39" i="33" s="1"/>
  <c r="P785" i="2"/>
  <c r="P39" i="33" s="1"/>
  <c r="L785" i="2"/>
  <c r="L39" i="33" s="1"/>
  <c r="M785" i="2"/>
  <c r="M39" i="33" s="1"/>
  <c r="I785" i="2"/>
  <c r="I39" i="33" s="1"/>
  <c r="AA162" i="2"/>
  <c r="AB162" i="2" s="1"/>
  <c r="I14" i="14"/>
  <c r="I14" i="26"/>
  <c r="I14" i="28"/>
  <c r="AE273" i="1"/>
  <c r="AF257" i="1"/>
  <c r="AG257" i="1" s="1"/>
  <c r="AE488" i="1"/>
  <c r="AF486" i="1"/>
  <c r="AG486" i="1" s="1"/>
  <c r="AA165" i="2"/>
  <c r="AB165" i="2" s="1"/>
  <c r="AA405" i="2" l="1"/>
  <c r="AB405" i="2" s="1"/>
  <c r="U787" i="2"/>
  <c r="U41" i="33" s="1"/>
  <c r="AE514" i="1"/>
  <c r="AF488" i="1"/>
  <c r="AG488" i="1" s="1"/>
  <c r="AE275" i="1"/>
  <c r="AF275" i="1" s="1"/>
  <c r="AG275" i="1" s="1"/>
  <c r="AF273" i="1"/>
  <c r="AG273" i="1" s="1"/>
  <c r="I36" i="28"/>
  <c r="H36" i="28"/>
  <c r="I36" i="26"/>
  <c r="H36" i="26"/>
  <c r="I36" i="14"/>
  <c r="H36" i="14"/>
  <c r="I171" i="2"/>
  <c r="O171" i="2"/>
  <c r="P171" i="2"/>
  <c r="T171" i="2"/>
  <c r="Y171" i="2"/>
  <c r="W171" i="2"/>
  <c r="G171" i="2"/>
  <c r="L171" i="2"/>
  <c r="M171" i="2"/>
  <c r="R171" i="2"/>
  <c r="S171" i="2"/>
  <c r="V171" i="2"/>
  <c r="Z171" i="2"/>
  <c r="X171" i="2"/>
  <c r="Q171" i="2"/>
  <c r="H171" i="2"/>
  <c r="K171" i="2"/>
  <c r="N171" i="2"/>
  <c r="J171" i="2"/>
  <c r="U171" i="2"/>
  <c r="AA228" i="2"/>
  <c r="AB228" i="2" s="1"/>
  <c r="J28" i="24"/>
  <c r="K28" i="24" s="1"/>
  <c r="J28" i="14"/>
  <c r="K28" i="14" s="1"/>
  <c r="D29" i="24"/>
  <c r="L29" i="24" s="1"/>
  <c r="AE277" i="1"/>
  <c r="AF221" i="1"/>
  <c r="AG221" i="1" s="1"/>
  <c r="AF596" i="1"/>
  <c r="AG596" i="1" s="1"/>
  <c r="F517" i="2"/>
  <c r="AE606" i="1"/>
  <c r="AF606" i="1" s="1"/>
  <c r="AG606" i="1" s="1"/>
  <c r="AF600" i="1"/>
  <c r="AG600" i="1" s="1"/>
  <c r="F632" i="2"/>
  <c r="AA514" i="2"/>
  <c r="AB514" i="2" s="1"/>
  <c r="I36" i="27"/>
  <c r="H36" i="27"/>
  <c r="U785" i="2"/>
  <c r="U39" i="33" s="1"/>
  <c r="G285" i="2"/>
  <c r="M285" i="2"/>
  <c r="P285" i="2"/>
  <c r="V285" i="2"/>
  <c r="T285" i="2"/>
  <c r="X285" i="2"/>
  <c r="Z285" i="2"/>
  <c r="I285" i="2"/>
  <c r="L285" i="2"/>
  <c r="O285" i="2"/>
  <c r="S285" i="2"/>
  <c r="R285" i="2"/>
  <c r="W285" i="2"/>
  <c r="Y285" i="2"/>
  <c r="Q285" i="2"/>
  <c r="U285" i="2"/>
  <c r="K285" i="2"/>
  <c r="H285" i="2"/>
  <c r="N285" i="2"/>
  <c r="J285" i="2"/>
  <c r="D29" i="14"/>
  <c r="L29" i="14" s="1"/>
  <c r="D29" i="28"/>
  <c r="L29" i="28" s="1"/>
  <c r="D29" i="31"/>
  <c r="L29" i="31" s="1"/>
  <c r="K787" i="2"/>
  <c r="K41" i="33" s="1"/>
  <c r="D31" i="26"/>
  <c r="P787" i="2"/>
  <c r="P41" i="33" s="1"/>
  <c r="D31" i="31"/>
  <c r="N787" i="2"/>
  <c r="N41" i="33" s="1"/>
  <c r="M787" i="2"/>
  <c r="M41" i="33" s="1"/>
  <c r="O787" i="2"/>
  <c r="O41" i="33" s="1"/>
  <c r="D31" i="28"/>
  <c r="Q787" i="2"/>
  <c r="Q41" i="33" s="1"/>
  <c r="L787" i="2"/>
  <c r="L41" i="33" s="1"/>
  <c r="AA462" i="2"/>
  <c r="AB462" i="2" s="1"/>
  <c r="AA347" i="2"/>
  <c r="U841" i="2"/>
  <c r="J28" i="27"/>
  <c r="K28" i="27" s="1"/>
  <c r="J28" i="26"/>
  <c r="K28" i="26" s="1"/>
  <c r="J28" i="28"/>
  <c r="K28" i="28" s="1"/>
  <c r="J28" i="31"/>
  <c r="K28" i="31" s="1"/>
  <c r="D29" i="27"/>
  <c r="L29" i="27" s="1"/>
  <c r="AF598" i="1"/>
  <c r="AG598" i="1" s="1"/>
  <c r="F574" i="2"/>
  <c r="AF602" i="1"/>
  <c r="AG602" i="1" s="1"/>
  <c r="F689" i="2"/>
  <c r="AF107" i="1"/>
  <c r="AG107" i="1" s="1"/>
  <c r="F117" i="2"/>
  <c r="I36" i="24"/>
  <c r="H36" i="24"/>
  <c r="I36" i="31"/>
  <c r="H36" i="31"/>
  <c r="G785" i="2"/>
  <c r="AA714" i="2"/>
  <c r="AB714" i="2" s="1"/>
  <c r="G786" i="2"/>
  <c r="AA715" i="2"/>
  <c r="AB715" i="2" s="1"/>
  <c r="D29" i="26"/>
  <c r="L29" i="26" s="1"/>
  <c r="U784" i="2"/>
  <c r="U38" i="33" s="1"/>
  <c r="U713" i="2"/>
  <c r="I787" i="2"/>
  <c r="I41" i="33" s="1"/>
  <c r="D31" i="24"/>
  <c r="H787" i="2"/>
  <c r="H41" i="33" s="1"/>
  <c r="D31" i="14"/>
  <c r="G787" i="2"/>
  <c r="G41" i="33" s="1"/>
  <c r="AA716" i="2"/>
  <c r="AB716" i="2" s="1"/>
  <c r="G788" i="2"/>
  <c r="G42" i="33" s="1"/>
  <c r="J787" i="2"/>
  <c r="J41" i="33" s="1"/>
  <c r="D31" i="27"/>
  <c r="U804" i="2"/>
  <c r="U58" i="33" s="1"/>
  <c r="U717" i="2"/>
  <c r="U788" i="2" s="1"/>
  <c r="U42" i="33" s="1"/>
  <c r="AA42" i="33" l="1"/>
  <c r="AB42" i="33" s="1"/>
  <c r="AA785" i="2"/>
  <c r="AB785" i="2" s="1"/>
  <c r="G39" i="33"/>
  <c r="AA39" i="33" s="1"/>
  <c r="AB39" i="33" s="1"/>
  <c r="AA841" i="2"/>
  <c r="AB841" i="2" s="1"/>
  <c r="U95" i="33"/>
  <c r="AA95" i="33" s="1"/>
  <c r="AB95" i="33" s="1"/>
  <c r="AA58" i="33"/>
  <c r="AB58" i="33" s="1"/>
  <c r="AA41" i="33"/>
  <c r="AB41" i="33" s="1"/>
  <c r="AA786" i="2"/>
  <c r="AB786" i="2" s="1"/>
  <c r="G40" i="33"/>
  <c r="AA40" i="33" s="1"/>
  <c r="AB40" i="33" s="1"/>
  <c r="K36" i="27"/>
  <c r="L36" i="27" s="1"/>
  <c r="K36" i="26"/>
  <c r="L36" i="26" s="1"/>
  <c r="K36" i="28"/>
  <c r="L36" i="28" s="1"/>
  <c r="F119" i="2"/>
  <c r="M117" i="2"/>
  <c r="M119" i="2" s="1"/>
  <c r="L117" i="2"/>
  <c r="L119" i="2" s="1"/>
  <c r="P117" i="2"/>
  <c r="P119" i="2" s="1"/>
  <c r="S117" i="2"/>
  <c r="S119" i="2" s="1"/>
  <c r="V117" i="2"/>
  <c r="V119" i="2" s="1"/>
  <c r="V826" i="2" s="1"/>
  <c r="V80" i="33" s="1"/>
  <c r="Y117" i="2"/>
  <c r="Y119" i="2" s="1"/>
  <c r="X117" i="2"/>
  <c r="X119" i="2" s="1"/>
  <c r="I117" i="2"/>
  <c r="I119" i="2" s="1"/>
  <c r="G117" i="2"/>
  <c r="G119" i="2" s="1"/>
  <c r="O117" i="2"/>
  <c r="O119" i="2" s="1"/>
  <c r="R117" i="2"/>
  <c r="R119" i="2" s="1"/>
  <c r="T117" i="2"/>
  <c r="T119" i="2" s="1"/>
  <c r="W117" i="2"/>
  <c r="W119" i="2" s="1"/>
  <c r="Z117" i="2"/>
  <c r="Z119" i="2" s="1"/>
  <c r="Q117" i="2"/>
  <c r="Q119" i="2" s="1"/>
  <c r="K117" i="2"/>
  <c r="K119" i="2" s="1"/>
  <c r="H117" i="2"/>
  <c r="H119" i="2" s="1"/>
  <c r="N117" i="2"/>
  <c r="N119" i="2" s="1"/>
  <c r="J117" i="2"/>
  <c r="J119" i="2" s="1"/>
  <c r="U117" i="2"/>
  <c r="G689" i="2"/>
  <c r="G691" i="2" s="1"/>
  <c r="I689" i="2"/>
  <c r="I691" i="2" s="1"/>
  <c r="L689" i="2"/>
  <c r="L691" i="2" s="1"/>
  <c r="R689" i="2"/>
  <c r="R691" i="2" s="1"/>
  <c r="T689" i="2"/>
  <c r="T691" i="2" s="1"/>
  <c r="X689" i="2"/>
  <c r="X691" i="2" s="1"/>
  <c r="Z689" i="2"/>
  <c r="Z691" i="2" s="1"/>
  <c r="M689" i="2"/>
  <c r="M691" i="2" s="1"/>
  <c r="O689" i="2"/>
  <c r="O691" i="2" s="1"/>
  <c r="P689" i="2"/>
  <c r="P691" i="2" s="1"/>
  <c r="S689" i="2"/>
  <c r="S691" i="2" s="1"/>
  <c r="W689" i="2"/>
  <c r="W691" i="2" s="1"/>
  <c r="Y689" i="2"/>
  <c r="Y691" i="2" s="1"/>
  <c r="V689" i="2"/>
  <c r="V691" i="2" s="1"/>
  <c r="Q689" i="2"/>
  <c r="Q691" i="2" s="1"/>
  <c r="K689" i="2"/>
  <c r="K691" i="2" s="1"/>
  <c r="H689" i="2"/>
  <c r="H691" i="2" s="1"/>
  <c r="N689" i="2"/>
  <c r="N691" i="2" s="1"/>
  <c r="U689" i="2"/>
  <c r="J689" i="2"/>
  <c r="J691" i="2" s="1"/>
  <c r="F691" i="2"/>
  <c r="AA784" i="2"/>
  <c r="AB347" i="2"/>
  <c r="F519" i="2"/>
  <c r="F718" i="2" s="1"/>
  <c r="F789" i="2" s="1"/>
  <c r="F43" i="33" s="1"/>
  <c r="G517" i="2"/>
  <c r="G519" i="2" s="1"/>
  <c r="L517" i="2"/>
  <c r="L519" i="2" s="1"/>
  <c r="L718" i="2" s="1"/>
  <c r="T517" i="2"/>
  <c r="T519" i="2" s="1"/>
  <c r="T718" i="2" s="1"/>
  <c r="T789" i="2" s="1"/>
  <c r="T43" i="33" s="1"/>
  <c r="R517" i="2"/>
  <c r="R519" i="2" s="1"/>
  <c r="R718" i="2" s="1"/>
  <c r="R789" i="2" s="1"/>
  <c r="R43" i="33" s="1"/>
  <c r="W517" i="2"/>
  <c r="W519" i="2" s="1"/>
  <c r="W718" i="2" s="1"/>
  <c r="W789" i="2" s="1"/>
  <c r="W43" i="33" s="1"/>
  <c r="Y517" i="2"/>
  <c r="Y519" i="2" s="1"/>
  <c r="Y718" i="2" s="1"/>
  <c r="Y789" i="2" s="1"/>
  <c r="Y43" i="33" s="1"/>
  <c r="I517" i="2"/>
  <c r="I519" i="2" s="1"/>
  <c r="I718" i="2" s="1"/>
  <c r="M517" i="2"/>
  <c r="M519" i="2" s="1"/>
  <c r="M718" i="2" s="1"/>
  <c r="O517" i="2"/>
  <c r="O519" i="2" s="1"/>
  <c r="O718" i="2" s="1"/>
  <c r="S517" i="2"/>
  <c r="S519" i="2" s="1"/>
  <c r="S718" i="2" s="1"/>
  <c r="S789" i="2" s="1"/>
  <c r="S43" i="33" s="1"/>
  <c r="P517" i="2"/>
  <c r="P519" i="2" s="1"/>
  <c r="P718" i="2" s="1"/>
  <c r="V517" i="2"/>
  <c r="V519" i="2" s="1"/>
  <c r="V718" i="2" s="1"/>
  <c r="V789" i="2" s="1"/>
  <c r="V43" i="33" s="1"/>
  <c r="X517" i="2"/>
  <c r="X519" i="2" s="1"/>
  <c r="X718" i="2" s="1"/>
  <c r="X789" i="2" s="1"/>
  <c r="X43" i="33" s="1"/>
  <c r="Z517" i="2"/>
  <c r="Z519" i="2" s="1"/>
  <c r="Z718" i="2" s="1"/>
  <c r="Z789" i="2" s="1"/>
  <c r="Z43" i="33" s="1"/>
  <c r="Q517" i="2"/>
  <c r="Q519" i="2" s="1"/>
  <c r="Q718" i="2" s="1"/>
  <c r="K517" i="2"/>
  <c r="K519" i="2" s="1"/>
  <c r="K718" i="2" s="1"/>
  <c r="H517" i="2"/>
  <c r="H519" i="2" s="1"/>
  <c r="H718" i="2" s="1"/>
  <c r="N517" i="2"/>
  <c r="N519" i="2" s="1"/>
  <c r="N718" i="2" s="1"/>
  <c r="N789" i="2" s="1"/>
  <c r="N43" i="33" s="1"/>
  <c r="J517" i="2"/>
  <c r="J519" i="2" s="1"/>
  <c r="J718" i="2" s="1"/>
  <c r="U517" i="2"/>
  <c r="J14" i="24"/>
  <c r="J14" i="28"/>
  <c r="AE664" i="1"/>
  <c r="AF664" i="1" s="1"/>
  <c r="AG664" i="1" s="1"/>
  <c r="AF514" i="1"/>
  <c r="AG514" i="1" s="1"/>
  <c r="AE529" i="1"/>
  <c r="AF529" i="1" s="1"/>
  <c r="AG529" i="1" s="1"/>
  <c r="AE318" i="1"/>
  <c r="AF318" i="1" s="1"/>
  <c r="AG318" i="1" s="1"/>
  <c r="AE526" i="1"/>
  <c r="AF526" i="1" s="1"/>
  <c r="AG526" i="1" s="1"/>
  <c r="AE316" i="1"/>
  <c r="AF316" i="1" s="1"/>
  <c r="AG316" i="1" s="1"/>
  <c r="AE531" i="1"/>
  <c r="AF531" i="1" s="1"/>
  <c r="AG531" i="1" s="1"/>
  <c r="AE532" i="1"/>
  <c r="AF532" i="1" s="1"/>
  <c r="AG532" i="1" s="1"/>
  <c r="AE321" i="1"/>
  <c r="AF321" i="1" s="1"/>
  <c r="AG321" i="1" s="1"/>
  <c r="AE528" i="1"/>
  <c r="AF528" i="1" s="1"/>
  <c r="AG528" i="1" s="1"/>
  <c r="AE525" i="1"/>
  <c r="AF525" i="1" s="1"/>
  <c r="AG525" i="1" s="1"/>
  <c r="AE524" i="1"/>
  <c r="AF524" i="1" s="1"/>
  <c r="AG524" i="1" s="1"/>
  <c r="AE315" i="1"/>
  <c r="AE320" i="1"/>
  <c r="AF320" i="1" s="1"/>
  <c r="AG320" i="1" s="1"/>
  <c r="AE317" i="1"/>
  <c r="AF317" i="1" s="1"/>
  <c r="AG317" i="1" s="1"/>
  <c r="AE325" i="1"/>
  <c r="AF325" i="1" s="1"/>
  <c r="AG325" i="1" s="1"/>
  <c r="AE324" i="1"/>
  <c r="AF324" i="1" s="1"/>
  <c r="AG324" i="1" s="1"/>
  <c r="AE523" i="1"/>
  <c r="AA788" i="2"/>
  <c r="AB788" i="2" s="1"/>
  <c r="K36" i="31"/>
  <c r="L36" i="31" s="1"/>
  <c r="K36" i="24"/>
  <c r="L36" i="24" s="1"/>
  <c r="AA804" i="2"/>
  <c r="AB804" i="2" s="1"/>
  <c r="K36" i="14"/>
  <c r="L36" i="14" s="1"/>
  <c r="G574" i="2"/>
  <c r="G576" i="2" s="1"/>
  <c r="L574" i="2"/>
  <c r="L576" i="2" s="1"/>
  <c r="R574" i="2"/>
  <c r="R576" i="2" s="1"/>
  <c r="V574" i="2"/>
  <c r="V576" i="2" s="1"/>
  <c r="S574" i="2"/>
  <c r="S576" i="2" s="1"/>
  <c r="Y574" i="2"/>
  <c r="Y576" i="2" s="1"/>
  <c r="X574" i="2"/>
  <c r="X576" i="2" s="1"/>
  <c r="I574" i="2"/>
  <c r="I576" i="2" s="1"/>
  <c r="O574" i="2"/>
  <c r="O576" i="2" s="1"/>
  <c r="M574" i="2"/>
  <c r="M576" i="2" s="1"/>
  <c r="T574" i="2"/>
  <c r="T576" i="2" s="1"/>
  <c r="P574" i="2"/>
  <c r="P576" i="2" s="1"/>
  <c r="W574" i="2"/>
  <c r="W576" i="2" s="1"/>
  <c r="Z574" i="2"/>
  <c r="Z576" i="2" s="1"/>
  <c r="Q574" i="2"/>
  <c r="Q576" i="2" s="1"/>
  <c r="K574" i="2"/>
  <c r="K576" i="2" s="1"/>
  <c r="H574" i="2"/>
  <c r="H576" i="2" s="1"/>
  <c r="N574" i="2"/>
  <c r="N576" i="2" s="1"/>
  <c r="J574" i="2"/>
  <c r="J576" i="2" s="1"/>
  <c r="U574" i="2"/>
  <c r="F576" i="2"/>
  <c r="AA285" i="2"/>
  <c r="AB285" i="2" s="1"/>
  <c r="G632" i="2"/>
  <c r="G634" i="2" s="1"/>
  <c r="O632" i="2"/>
  <c r="O634" i="2" s="1"/>
  <c r="O720" i="2" s="1"/>
  <c r="O791" i="2" s="1"/>
  <c r="O45" i="33" s="1"/>
  <c r="L632" i="2"/>
  <c r="L634" i="2" s="1"/>
  <c r="L720" i="2" s="1"/>
  <c r="L791" i="2" s="1"/>
  <c r="L45" i="33" s="1"/>
  <c r="T632" i="2"/>
  <c r="T634" i="2" s="1"/>
  <c r="T720" i="2" s="1"/>
  <c r="T791" i="2" s="1"/>
  <c r="T45" i="33" s="1"/>
  <c r="R632" i="2"/>
  <c r="R634" i="2" s="1"/>
  <c r="R720" i="2" s="1"/>
  <c r="R791" i="2" s="1"/>
  <c r="R45" i="33" s="1"/>
  <c r="X632" i="2"/>
  <c r="X634" i="2" s="1"/>
  <c r="X720" i="2" s="1"/>
  <c r="X791" i="2" s="1"/>
  <c r="X45" i="33" s="1"/>
  <c r="Y632" i="2"/>
  <c r="Y634" i="2" s="1"/>
  <c r="Y720" i="2" s="1"/>
  <c r="Y791" i="2" s="1"/>
  <c r="Y45" i="33" s="1"/>
  <c r="I632" i="2"/>
  <c r="I634" i="2" s="1"/>
  <c r="I720" i="2" s="1"/>
  <c r="I791" i="2" s="1"/>
  <c r="I45" i="33" s="1"/>
  <c r="M632" i="2"/>
  <c r="M634" i="2" s="1"/>
  <c r="M720" i="2" s="1"/>
  <c r="M791" i="2" s="1"/>
  <c r="M45" i="33" s="1"/>
  <c r="S632" i="2"/>
  <c r="S634" i="2" s="1"/>
  <c r="S720" i="2" s="1"/>
  <c r="S791" i="2" s="1"/>
  <c r="S45" i="33" s="1"/>
  <c r="P632" i="2"/>
  <c r="P634" i="2" s="1"/>
  <c r="P720" i="2" s="1"/>
  <c r="P791" i="2" s="1"/>
  <c r="P45" i="33" s="1"/>
  <c r="V632" i="2"/>
  <c r="V634" i="2" s="1"/>
  <c r="V720" i="2" s="1"/>
  <c r="V791" i="2" s="1"/>
  <c r="V45" i="33" s="1"/>
  <c r="W632" i="2"/>
  <c r="W634" i="2" s="1"/>
  <c r="W720" i="2" s="1"/>
  <c r="W791" i="2" s="1"/>
  <c r="W45" i="33" s="1"/>
  <c r="Z632" i="2"/>
  <c r="Z634" i="2" s="1"/>
  <c r="Z720" i="2" s="1"/>
  <c r="Z791" i="2" s="1"/>
  <c r="Z45" i="33" s="1"/>
  <c r="Q632" i="2"/>
  <c r="Q634" i="2" s="1"/>
  <c r="Q720" i="2" s="1"/>
  <c r="Q791" i="2" s="1"/>
  <c r="Q45" i="33" s="1"/>
  <c r="H632" i="2"/>
  <c r="H634" i="2" s="1"/>
  <c r="H720" i="2" s="1"/>
  <c r="H791" i="2" s="1"/>
  <c r="H45" i="33" s="1"/>
  <c r="K632" i="2"/>
  <c r="K634" i="2" s="1"/>
  <c r="K720" i="2" s="1"/>
  <c r="K791" i="2" s="1"/>
  <c r="K45" i="33" s="1"/>
  <c r="N632" i="2"/>
  <c r="N634" i="2" s="1"/>
  <c r="N720" i="2" s="1"/>
  <c r="N791" i="2" s="1"/>
  <c r="N45" i="33" s="1"/>
  <c r="J632" i="2"/>
  <c r="J634" i="2" s="1"/>
  <c r="J720" i="2" s="1"/>
  <c r="J791" i="2" s="1"/>
  <c r="J45" i="33" s="1"/>
  <c r="U632" i="2"/>
  <c r="F634" i="2"/>
  <c r="F720" i="2" s="1"/>
  <c r="AE306" i="1"/>
  <c r="AF277" i="1"/>
  <c r="J14" i="27"/>
  <c r="J14" i="26"/>
  <c r="AA171" i="2"/>
  <c r="AB171" i="2" s="1"/>
  <c r="J14" i="14"/>
  <c r="J14" i="31"/>
  <c r="AA717" i="2"/>
  <c r="AB717" i="2" s="1"/>
  <c r="AA787" i="2"/>
  <c r="AB787" i="2" s="1"/>
  <c r="AA713" i="2"/>
  <c r="AB713" i="2" s="1"/>
  <c r="AB784" i="2" l="1"/>
  <c r="AA38" i="33"/>
  <c r="AB38" i="33" s="1"/>
  <c r="K14" i="26"/>
  <c r="AF306" i="1"/>
  <c r="AG306" i="1" s="1"/>
  <c r="AG277" i="1"/>
  <c r="AA632" i="2"/>
  <c r="AB632" i="2" s="1"/>
  <c r="U634" i="2"/>
  <c r="U720" i="2" s="1"/>
  <c r="U791" i="2" s="1"/>
  <c r="U45" i="33" s="1"/>
  <c r="AA574" i="2"/>
  <c r="AB574" i="2" s="1"/>
  <c r="U576" i="2"/>
  <c r="AA576" i="2" s="1"/>
  <c r="AB576" i="2" s="1"/>
  <c r="N719" i="2"/>
  <c r="N790" i="2"/>
  <c r="N44" i="33" s="1"/>
  <c r="K719" i="2"/>
  <c r="K790" i="2"/>
  <c r="K44" i="33" s="1"/>
  <c r="Z790" i="2"/>
  <c r="Z44" i="33" s="1"/>
  <c r="Z719" i="2"/>
  <c r="P790" i="2"/>
  <c r="P44" i="33" s="1"/>
  <c r="P719" i="2"/>
  <c r="D30" i="31" s="1"/>
  <c r="L30" i="31" s="1"/>
  <c r="M790" i="2"/>
  <c r="M44" i="33" s="1"/>
  <c r="M719" i="2"/>
  <c r="I719" i="2"/>
  <c r="I790" i="2"/>
  <c r="I44" i="33" s="1"/>
  <c r="Y719" i="2"/>
  <c r="Y790" i="2"/>
  <c r="Y44" i="33" s="1"/>
  <c r="V719" i="2"/>
  <c r="V790" i="2"/>
  <c r="V44" i="33" s="1"/>
  <c r="L790" i="2"/>
  <c r="L44" i="33" s="1"/>
  <c r="L719" i="2"/>
  <c r="AE536" i="1"/>
  <c r="AF523" i="1"/>
  <c r="AG523" i="1" s="1"/>
  <c r="K14" i="28"/>
  <c r="J789" i="2"/>
  <c r="J43" i="33" s="1"/>
  <c r="H789" i="2"/>
  <c r="H43" i="33" s="1"/>
  <c r="Q789" i="2"/>
  <c r="Q43" i="33" s="1"/>
  <c r="P789" i="2"/>
  <c r="P43" i="33" s="1"/>
  <c r="O789" i="2"/>
  <c r="O43" i="33" s="1"/>
  <c r="I789" i="2"/>
  <c r="I43" i="33" s="1"/>
  <c r="G718" i="2"/>
  <c r="J853" i="2"/>
  <c r="J742" i="2"/>
  <c r="N742" i="2"/>
  <c r="N853" i="2"/>
  <c r="K853" i="2"/>
  <c r="K742" i="2"/>
  <c r="V742" i="2"/>
  <c r="V853" i="2"/>
  <c r="W853" i="2"/>
  <c r="W742" i="2"/>
  <c r="P853" i="2"/>
  <c r="P742" i="2"/>
  <c r="M742" i="2"/>
  <c r="M853" i="2"/>
  <c r="X853" i="2"/>
  <c r="X742" i="2"/>
  <c r="R853" i="2"/>
  <c r="R742" i="2"/>
  <c r="I742" i="2"/>
  <c r="I853" i="2"/>
  <c r="AA117" i="2"/>
  <c r="AB117" i="2" s="1"/>
  <c r="U119" i="2"/>
  <c r="L827" i="2"/>
  <c r="L81" i="33" s="1"/>
  <c r="W807" i="2"/>
  <c r="W61" i="33" s="1"/>
  <c r="L826" i="2"/>
  <c r="L80" i="33" s="1"/>
  <c r="L807" i="2"/>
  <c r="L61" i="33" s="1"/>
  <c r="W827" i="2"/>
  <c r="W81" i="33" s="1"/>
  <c r="L819" i="2"/>
  <c r="L73" i="33" s="1"/>
  <c r="L815" i="2"/>
  <c r="L69" i="33" s="1"/>
  <c r="L820" i="2"/>
  <c r="L74" i="33" s="1"/>
  <c r="L821" i="2"/>
  <c r="L75" i="33" s="1"/>
  <c r="W821" i="2"/>
  <c r="W75" i="33" s="1"/>
  <c r="W819" i="2"/>
  <c r="W73" i="33" s="1"/>
  <c r="V821" i="2"/>
  <c r="V75" i="33" s="1"/>
  <c r="R820" i="2"/>
  <c r="R74" i="33" s="1"/>
  <c r="R826" i="2"/>
  <c r="R80" i="33" s="1"/>
  <c r="R827" i="2"/>
  <c r="R81" i="33" s="1"/>
  <c r="R821" i="2"/>
  <c r="R75" i="33" s="1"/>
  <c r="V807" i="2"/>
  <c r="V61" i="33" s="1"/>
  <c r="S807" i="2"/>
  <c r="S61" i="33" s="1"/>
  <c r="S827" i="2"/>
  <c r="S81" i="33" s="1"/>
  <c r="S826" i="2"/>
  <c r="S80" i="33" s="1"/>
  <c r="M820" i="2"/>
  <c r="M74" i="33" s="1"/>
  <c r="M819" i="2"/>
  <c r="M73" i="33" s="1"/>
  <c r="M815" i="2"/>
  <c r="M69" i="33" s="1"/>
  <c r="M826" i="2"/>
  <c r="M80" i="33" s="1"/>
  <c r="W820" i="2"/>
  <c r="W74" i="33" s="1"/>
  <c r="W815" i="2"/>
  <c r="W69" i="33" s="1"/>
  <c r="Y819" i="2"/>
  <c r="Y73" i="33" s="1"/>
  <c r="Z826" i="2"/>
  <c r="Z80" i="33" s="1"/>
  <c r="Z819" i="2"/>
  <c r="Z73" i="33" s="1"/>
  <c r="V827" i="2"/>
  <c r="V81" i="33" s="1"/>
  <c r="V815" i="2"/>
  <c r="V69" i="33" s="1"/>
  <c r="R819" i="2"/>
  <c r="R73" i="33" s="1"/>
  <c r="R815" i="2"/>
  <c r="R69" i="33" s="1"/>
  <c r="R807" i="2"/>
  <c r="R61" i="33" s="1"/>
  <c r="V820" i="2"/>
  <c r="V74" i="33" s="1"/>
  <c r="V819" i="2"/>
  <c r="V73" i="33" s="1"/>
  <c r="S820" i="2"/>
  <c r="S74" i="33" s="1"/>
  <c r="S819" i="2"/>
  <c r="S73" i="33" s="1"/>
  <c r="S815" i="2"/>
  <c r="S69" i="33" s="1"/>
  <c r="S821" i="2"/>
  <c r="S75" i="33" s="1"/>
  <c r="M807" i="2"/>
  <c r="M61" i="33" s="1"/>
  <c r="M821" i="2"/>
  <c r="M75" i="33" s="1"/>
  <c r="M827" i="2"/>
  <c r="M81" i="33" s="1"/>
  <c r="W826" i="2"/>
  <c r="W80" i="33" s="1"/>
  <c r="Y827" i="2"/>
  <c r="Y81" i="33" s="1"/>
  <c r="Y807" i="2"/>
  <c r="Y61" i="33" s="1"/>
  <c r="Y821" i="2"/>
  <c r="Y75" i="33" s="1"/>
  <c r="Y820" i="2"/>
  <c r="Y74" i="33" s="1"/>
  <c r="Z820" i="2"/>
  <c r="Z74" i="33" s="1"/>
  <c r="Z827" i="2"/>
  <c r="Z81" i="33" s="1"/>
  <c r="Z815" i="2"/>
  <c r="Z69" i="33" s="1"/>
  <c r="Y815" i="2"/>
  <c r="Y69" i="33" s="1"/>
  <c r="Y826" i="2"/>
  <c r="Y80" i="33" s="1"/>
  <c r="Z807" i="2"/>
  <c r="Z61" i="33" s="1"/>
  <c r="Z821" i="2"/>
  <c r="Z75" i="33" s="1"/>
  <c r="Q819" i="2"/>
  <c r="Q73" i="33" s="1"/>
  <c r="Q820" i="2"/>
  <c r="Q74" i="33" s="1"/>
  <c r="Q827" i="2"/>
  <c r="Q81" i="33" s="1"/>
  <c r="O827" i="2"/>
  <c r="O81" i="33" s="1"/>
  <c r="O815" i="2"/>
  <c r="O69" i="33" s="1"/>
  <c r="O819" i="2"/>
  <c r="O73" i="33" s="1"/>
  <c r="O820" i="2"/>
  <c r="O74" i="33" s="1"/>
  <c r="J819" i="2"/>
  <c r="J73" i="33" s="1"/>
  <c r="Q821" i="2"/>
  <c r="Q75" i="33" s="1"/>
  <c r="Q815" i="2"/>
  <c r="Q69" i="33" s="1"/>
  <c r="Q807" i="2"/>
  <c r="Q61" i="33" s="1"/>
  <c r="Q826" i="2"/>
  <c r="Q80" i="33" s="1"/>
  <c r="O807" i="2"/>
  <c r="O61" i="33" s="1"/>
  <c r="O826" i="2"/>
  <c r="O80" i="33" s="1"/>
  <c r="O821" i="2"/>
  <c r="O75" i="33" s="1"/>
  <c r="J815" i="2"/>
  <c r="J69" i="33" s="1"/>
  <c r="J821" i="2"/>
  <c r="J75" i="33" s="1"/>
  <c r="J827" i="2"/>
  <c r="J81" i="33" s="1"/>
  <c r="J826" i="2"/>
  <c r="J80" i="33" s="1"/>
  <c r="J807" i="2"/>
  <c r="J61" i="33" s="1"/>
  <c r="J820" i="2"/>
  <c r="J74" i="33" s="1"/>
  <c r="N821" i="2"/>
  <c r="N75" i="33" s="1"/>
  <c r="N820" i="2"/>
  <c r="N74" i="33" s="1"/>
  <c r="N827" i="2"/>
  <c r="N81" i="33" s="1"/>
  <c r="T820" i="2"/>
  <c r="T74" i="33" s="1"/>
  <c r="T827" i="2"/>
  <c r="T81" i="33" s="1"/>
  <c r="T821" i="2"/>
  <c r="T75" i="33" s="1"/>
  <c r="P826" i="2"/>
  <c r="P80" i="33" s="1"/>
  <c r="P815" i="2"/>
  <c r="P69" i="33" s="1"/>
  <c r="P820" i="2"/>
  <c r="P74" i="33" s="1"/>
  <c r="P807" i="2"/>
  <c r="P61" i="33" s="1"/>
  <c r="X826" i="2"/>
  <c r="X80" i="33" s="1"/>
  <c r="X821" i="2"/>
  <c r="X75" i="33" s="1"/>
  <c r="N819" i="2"/>
  <c r="N73" i="33" s="1"/>
  <c r="N807" i="2"/>
  <c r="N61" i="33" s="1"/>
  <c r="N826" i="2"/>
  <c r="N80" i="33" s="1"/>
  <c r="N815" i="2"/>
  <c r="N69" i="33" s="1"/>
  <c r="T815" i="2"/>
  <c r="T69" i="33" s="1"/>
  <c r="T807" i="2"/>
  <c r="T61" i="33" s="1"/>
  <c r="T826" i="2"/>
  <c r="T80" i="33" s="1"/>
  <c r="T819" i="2"/>
  <c r="T73" i="33" s="1"/>
  <c r="P821" i="2"/>
  <c r="P75" i="33" s="1"/>
  <c r="P827" i="2"/>
  <c r="P81" i="33" s="1"/>
  <c r="P819" i="2"/>
  <c r="P73" i="33" s="1"/>
  <c r="X820" i="2"/>
  <c r="X74" i="33" s="1"/>
  <c r="X819" i="2"/>
  <c r="X73" i="33" s="1"/>
  <c r="X827" i="2"/>
  <c r="X81" i="33" s="1"/>
  <c r="X807" i="2"/>
  <c r="X61" i="33" s="1"/>
  <c r="X815" i="2"/>
  <c r="X69" i="33" s="1"/>
  <c r="G826" i="2"/>
  <c r="G80" i="33" s="1"/>
  <c r="G827" i="2"/>
  <c r="G81" i="33" s="1"/>
  <c r="G821" i="2"/>
  <c r="G75" i="33" s="1"/>
  <c r="G807" i="2"/>
  <c r="G61" i="33" s="1"/>
  <c r="G819" i="2"/>
  <c r="G73" i="33" s="1"/>
  <c r="G820" i="2"/>
  <c r="G74" i="33" s="1"/>
  <c r="G815" i="2"/>
  <c r="G69" i="33" s="1"/>
  <c r="H826" i="2"/>
  <c r="H80" i="33" s="1"/>
  <c r="H819" i="2"/>
  <c r="H73" i="33" s="1"/>
  <c r="H827" i="2"/>
  <c r="H81" i="33" s="1"/>
  <c r="H820" i="2"/>
  <c r="H74" i="33" s="1"/>
  <c r="H807" i="2"/>
  <c r="H61" i="33" s="1"/>
  <c r="H815" i="2"/>
  <c r="H69" i="33" s="1"/>
  <c r="H821" i="2"/>
  <c r="H75" i="33" s="1"/>
  <c r="U821" i="2"/>
  <c r="U75" i="33" s="1"/>
  <c r="U815" i="2"/>
  <c r="U69" i="33" s="1"/>
  <c r="U826" i="2"/>
  <c r="U80" i="33" s="1"/>
  <c r="U807" i="2"/>
  <c r="U61" i="33" s="1"/>
  <c r="K807" i="2"/>
  <c r="K61" i="33" s="1"/>
  <c r="K826" i="2"/>
  <c r="K80" i="33" s="1"/>
  <c r="K815" i="2"/>
  <c r="K69" i="33" s="1"/>
  <c r="I807" i="2"/>
  <c r="I61" i="33" s="1"/>
  <c r="I826" i="2"/>
  <c r="I80" i="33" s="1"/>
  <c r="I820" i="2"/>
  <c r="I74" i="33" s="1"/>
  <c r="I821" i="2"/>
  <c r="I75" i="33" s="1"/>
  <c r="U819" i="2"/>
  <c r="U73" i="33" s="1"/>
  <c r="U827" i="2"/>
  <c r="U81" i="33" s="1"/>
  <c r="U820" i="2"/>
  <c r="U74" i="33" s="1"/>
  <c r="K820" i="2"/>
  <c r="K74" i="33" s="1"/>
  <c r="K821" i="2"/>
  <c r="K75" i="33" s="1"/>
  <c r="K827" i="2"/>
  <c r="K81" i="33" s="1"/>
  <c r="K819" i="2"/>
  <c r="K73" i="33" s="1"/>
  <c r="I819" i="2"/>
  <c r="I73" i="33" s="1"/>
  <c r="I827" i="2"/>
  <c r="I81" i="33" s="1"/>
  <c r="I815" i="2"/>
  <c r="I69" i="33" s="1"/>
  <c r="J31" i="28"/>
  <c r="K14" i="31"/>
  <c r="J31" i="31" s="1"/>
  <c r="K14" i="14"/>
  <c r="J31" i="14" s="1"/>
  <c r="K14" i="27"/>
  <c r="J31" i="27" s="1"/>
  <c r="AE655" i="1"/>
  <c r="AF655" i="1" s="1"/>
  <c r="AG655" i="1" s="1"/>
  <c r="AE118" i="1"/>
  <c r="AF118" i="1" s="1"/>
  <c r="AG118" i="1" s="1"/>
  <c r="F791" i="2"/>
  <c r="F45" i="33" s="1"/>
  <c r="G720" i="2"/>
  <c r="AA634" i="2"/>
  <c r="AB634" i="2" s="1"/>
  <c r="F719" i="2"/>
  <c r="F790" i="2"/>
  <c r="F44" i="33" s="1"/>
  <c r="J719" i="2"/>
  <c r="D30" i="27" s="1"/>
  <c r="L30" i="27" s="1"/>
  <c r="J790" i="2"/>
  <c r="J44" i="33" s="1"/>
  <c r="H790" i="2"/>
  <c r="H44" i="33" s="1"/>
  <c r="H719" i="2"/>
  <c r="D30" i="24" s="1"/>
  <c r="L30" i="24" s="1"/>
  <c r="Q719" i="2"/>
  <c r="Q790" i="2"/>
  <c r="Q44" i="33" s="1"/>
  <c r="W719" i="2"/>
  <c r="W790" i="2"/>
  <c r="W44" i="33" s="1"/>
  <c r="T719" i="2"/>
  <c r="T790" i="2"/>
  <c r="T44" i="33" s="1"/>
  <c r="O790" i="2"/>
  <c r="O44" i="33" s="1"/>
  <c r="O719" i="2"/>
  <c r="D30" i="28" s="1"/>
  <c r="L30" i="28" s="1"/>
  <c r="X790" i="2"/>
  <c r="X44" i="33" s="1"/>
  <c r="X719" i="2"/>
  <c r="S790" i="2"/>
  <c r="S44" i="33" s="1"/>
  <c r="S719" i="2"/>
  <c r="R790" i="2"/>
  <c r="R44" i="33" s="1"/>
  <c r="R719" i="2"/>
  <c r="G790" i="2"/>
  <c r="G44" i="33" s="1"/>
  <c r="G719" i="2"/>
  <c r="AE329" i="1"/>
  <c r="AF315" i="1"/>
  <c r="AG315" i="1" s="1"/>
  <c r="K14" i="24"/>
  <c r="AA517" i="2"/>
  <c r="AB517" i="2" s="1"/>
  <c r="U519" i="2"/>
  <c r="U718" i="2" s="1"/>
  <c r="K789" i="2"/>
  <c r="K43" i="33" s="1"/>
  <c r="D30" i="26"/>
  <c r="L30" i="26" s="1"/>
  <c r="M789" i="2"/>
  <c r="M43" i="33" s="1"/>
  <c r="L789" i="2"/>
  <c r="L43" i="33" s="1"/>
  <c r="F742" i="2"/>
  <c r="F853" i="2"/>
  <c r="AA689" i="2"/>
  <c r="AB689" i="2" s="1"/>
  <c r="U691" i="2"/>
  <c r="AA691" i="2" s="1"/>
  <c r="AB691" i="2" s="1"/>
  <c r="H853" i="2"/>
  <c r="H742" i="2"/>
  <c r="Q853" i="2"/>
  <c r="Q742" i="2"/>
  <c r="Y742" i="2"/>
  <c r="Y855" i="2" s="1"/>
  <c r="Y853" i="2"/>
  <c r="S853" i="2"/>
  <c r="S742" i="2"/>
  <c r="O853" i="2"/>
  <c r="O742" i="2"/>
  <c r="D22" i="28" s="1"/>
  <c r="Z742" i="2"/>
  <c r="Z853" i="2"/>
  <c r="T742" i="2"/>
  <c r="T855" i="2" s="1"/>
  <c r="T853" i="2"/>
  <c r="L853" i="2"/>
  <c r="L742" i="2"/>
  <c r="G853" i="2"/>
  <c r="G742" i="2"/>
  <c r="J31" i="26"/>
  <c r="AA119" i="2"/>
  <c r="AB119" i="2" s="1"/>
  <c r="AA73" i="33" l="1"/>
  <c r="AB73" i="33" s="1"/>
  <c r="AA61" i="33"/>
  <c r="AB61" i="33" s="1"/>
  <c r="AA75" i="33"/>
  <c r="AB75" i="33" s="1"/>
  <c r="AA81" i="33"/>
  <c r="AB81" i="33" s="1"/>
  <c r="AA80" i="33"/>
  <c r="AB80" i="33" s="1"/>
  <c r="AA69" i="33"/>
  <c r="AB69" i="33" s="1"/>
  <c r="AA74" i="33"/>
  <c r="AB74" i="33" s="1"/>
  <c r="Z855" i="2"/>
  <c r="AA815" i="2"/>
  <c r="AB815" i="2" s="1"/>
  <c r="S855" i="2"/>
  <c r="AA807" i="2"/>
  <c r="AB807" i="2" s="1"/>
  <c r="AA827" i="2"/>
  <c r="AB827" i="2" s="1"/>
  <c r="D22" i="14"/>
  <c r="D22" i="24"/>
  <c r="U742" i="2"/>
  <c r="U853" i="2"/>
  <c r="AA853" i="2" s="1"/>
  <c r="AB853" i="2" s="1"/>
  <c r="U789" i="2"/>
  <c r="U43" i="33" s="1"/>
  <c r="AF329" i="1"/>
  <c r="AG329" i="1" s="1"/>
  <c r="AE331" i="1"/>
  <c r="D30" i="14"/>
  <c r="L30" i="14" s="1"/>
  <c r="F31" i="27"/>
  <c r="E31" i="27"/>
  <c r="G31" i="27"/>
  <c r="I31" i="27"/>
  <c r="H31" i="27"/>
  <c r="H31" i="31"/>
  <c r="E31" i="31"/>
  <c r="F31" i="31"/>
  <c r="G31" i="31"/>
  <c r="I31" i="31"/>
  <c r="D22" i="31"/>
  <c r="D22" i="26"/>
  <c r="D22" i="27"/>
  <c r="I31" i="28"/>
  <c r="F31" i="28"/>
  <c r="E31" i="28"/>
  <c r="G31" i="28"/>
  <c r="H31" i="28"/>
  <c r="AF536" i="1"/>
  <c r="AG536" i="1" s="1"/>
  <c r="AE538" i="1"/>
  <c r="AA820" i="2"/>
  <c r="AB820" i="2" s="1"/>
  <c r="R855" i="2"/>
  <c r="X855" i="2"/>
  <c r="W855" i="2"/>
  <c r="AA519" i="2"/>
  <c r="AB519" i="2" s="1"/>
  <c r="O855" i="2"/>
  <c r="L855" i="2"/>
  <c r="M855" i="2"/>
  <c r="J855" i="2"/>
  <c r="P855" i="2"/>
  <c r="N855" i="2"/>
  <c r="Q855" i="2"/>
  <c r="G855" i="2"/>
  <c r="H855" i="2"/>
  <c r="U855" i="2"/>
  <c r="K855" i="2"/>
  <c r="I855" i="2"/>
  <c r="H31" i="24"/>
  <c r="E31" i="24"/>
  <c r="F31" i="24"/>
  <c r="I31" i="24"/>
  <c r="G31" i="24"/>
  <c r="G791" i="2"/>
  <c r="G45" i="33" s="1"/>
  <c r="AA720" i="2"/>
  <c r="I31" i="14"/>
  <c r="H31" i="14"/>
  <c r="E31" i="14"/>
  <c r="G31" i="14"/>
  <c r="F31" i="14"/>
  <c r="G789" i="2"/>
  <c r="AA718" i="2"/>
  <c r="AB718" i="2" s="1"/>
  <c r="U719" i="2"/>
  <c r="U790" i="2"/>
  <c r="I31" i="26"/>
  <c r="E31" i="26"/>
  <c r="F31" i="26"/>
  <c r="G31" i="26"/>
  <c r="H31" i="26"/>
  <c r="AA819" i="2"/>
  <c r="AB819" i="2" s="1"/>
  <c r="AA821" i="2"/>
  <c r="AB821" i="2" s="1"/>
  <c r="AA826" i="2"/>
  <c r="AB826" i="2" s="1"/>
  <c r="V855" i="2"/>
  <c r="J31" i="24"/>
  <c r="AA790" i="2" l="1"/>
  <c r="AB790" i="2" s="1"/>
  <c r="U44" i="33"/>
  <c r="AA44" i="33" s="1"/>
  <c r="AB44" i="33" s="1"/>
  <c r="AA789" i="2"/>
  <c r="AB789" i="2" s="1"/>
  <c r="G43" i="33"/>
  <c r="AA43" i="33" s="1"/>
  <c r="AB43" i="33" s="1"/>
  <c r="AA742" i="2"/>
  <c r="AB742" i="2" s="1"/>
  <c r="K31" i="26"/>
  <c r="L31" i="26" s="1"/>
  <c r="K31" i="24"/>
  <c r="L31" i="24" s="1"/>
  <c r="K31" i="31"/>
  <c r="L31" i="31" s="1"/>
  <c r="AA791" i="2"/>
  <c r="AB720" i="2"/>
  <c r="AE654" i="1"/>
  <c r="AF654" i="1" s="1"/>
  <c r="AG654" i="1" s="1"/>
  <c r="AE540" i="1"/>
  <c r="AF540" i="1" s="1"/>
  <c r="AG540" i="1" s="1"/>
  <c r="AF538" i="1"/>
  <c r="AG538" i="1" s="1"/>
  <c r="AE117" i="1"/>
  <c r="F288" i="2"/>
  <c r="AE608" i="1"/>
  <c r="AF608" i="1" s="1"/>
  <c r="AG608" i="1" s="1"/>
  <c r="AE333" i="1"/>
  <c r="AF331" i="1"/>
  <c r="AG331" i="1" s="1"/>
  <c r="F231" i="2"/>
  <c r="K31" i="14"/>
  <c r="L31" i="14" s="1"/>
  <c r="AA855" i="2"/>
  <c r="AB855" i="2" s="1"/>
  <c r="K31" i="28"/>
  <c r="L31" i="28" s="1"/>
  <c r="K31" i="27"/>
  <c r="L31" i="27" s="1"/>
  <c r="AA719" i="2"/>
  <c r="AB719" i="2" s="1"/>
  <c r="AB791" i="2" l="1"/>
  <c r="AA45" i="33"/>
  <c r="AB45" i="33" s="1"/>
  <c r="AE120" i="1"/>
  <c r="AF120" i="1" s="1"/>
  <c r="AG120" i="1" s="1"/>
  <c r="AF117" i="1"/>
  <c r="AG117" i="1" s="1"/>
  <c r="I231" i="2"/>
  <c r="L231" i="2"/>
  <c r="O231" i="2"/>
  <c r="O233" i="2" s="1"/>
  <c r="P231" i="2"/>
  <c r="S231" i="2"/>
  <c r="W231" i="2"/>
  <c r="W233" i="2" s="1"/>
  <c r="X231" i="2"/>
  <c r="X233" i="2" s="1"/>
  <c r="Z231" i="2"/>
  <c r="Z233" i="2" s="1"/>
  <c r="G231" i="2"/>
  <c r="M231" i="2"/>
  <c r="R231" i="2"/>
  <c r="T231" i="2"/>
  <c r="V231" i="2"/>
  <c r="V233" i="2" s="1"/>
  <c r="Y231" i="2"/>
  <c r="Y233" i="2" s="1"/>
  <c r="Q231" i="2"/>
  <c r="H231" i="2"/>
  <c r="K231" i="2"/>
  <c r="N231" i="2"/>
  <c r="J231" i="2"/>
  <c r="U231" i="2"/>
  <c r="F233" i="2"/>
  <c r="AE652" i="1"/>
  <c r="AF652" i="1" s="1"/>
  <c r="AG652" i="1" s="1"/>
  <c r="AF333" i="1"/>
  <c r="AG333" i="1" s="1"/>
  <c r="AE110" i="1"/>
  <c r="L288" i="2"/>
  <c r="L290" i="2" s="1"/>
  <c r="R288" i="2"/>
  <c r="R290" i="2" s="1"/>
  <c r="V288" i="2"/>
  <c r="V290" i="2" s="1"/>
  <c r="S288" i="2"/>
  <c r="S290" i="2" s="1"/>
  <c r="Y288" i="2"/>
  <c r="Y290" i="2" s="1"/>
  <c r="W288" i="2"/>
  <c r="W290" i="2" s="1"/>
  <c r="I288" i="2"/>
  <c r="I290" i="2" s="1"/>
  <c r="G288" i="2"/>
  <c r="G290" i="2" s="1"/>
  <c r="M288" i="2"/>
  <c r="M290" i="2" s="1"/>
  <c r="O288" i="2"/>
  <c r="O290" i="2" s="1"/>
  <c r="T288" i="2"/>
  <c r="T290" i="2" s="1"/>
  <c r="P288" i="2"/>
  <c r="P290" i="2" s="1"/>
  <c r="X288" i="2"/>
  <c r="X290" i="2" s="1"/>
  <c r="Z288" i="2"/>
  <c r="Z290" i="2" s="1"/>
  <c r="Q288" i="2"/>
  <c r="Q290" i="2" s="1"/>
  <c r="K288" i="2"/>
  <c r="K290" i="2" s="1"/>
  <c r="H288" i="2"/>
  <c r="H290" i="2" s="1"/>
  <c r="N288" i="2"/>
  <c r="N290" i="2" s="1"/>
  <c r="J288" i="2"/>
  <c r="J290" i="2" s="1"/>
  <c r="U288" i="2"/>
  <c r="F290" i="2"/>
  <c r="V806" i="2" l="1"/>
  <c r="V60" i="33" s="1"/>
  <c r="O805" i="2"/>
  <c r="O59" i="33" s="1"/>
  <c r="Z806" i="2"/>
  <c r="Z60" i="33" s="1"/>
  <c r="R805" i="2"/>
  <c r="R59" i="33" s="1"/>
  <c r="V805" i="2"/>
  <c r="V59" i="33" s="1"/>
  <c r="O806" i="2"/>
  <c r="O60" i="33" s="1"/>
  <c r="Z805" i="2"/>
  <c r="Z59" i="33" s="1"/>
  <c r="R806" i="2"/>
  <c r="R60" i="33" s="1"/>
  <c r="M805" i="2"/>
  <c r="M59" i="33" s="1"/>
  <c r="X805" i="2"/>
  <c r="X59" i="33" s="1"/>
  <c r="Q806" i="2"/>
  <c r="Q60" i="33" s="1"/>
  <c r="L806" i="2"/>
  <c r="L60" i="33" s="1"/>
  <c r="J806" i="2"/>
  <c r="J60" i="33" s="1"/>
  <c r="M806" i="2"/>
  <c r="M60" i="33" s="1"/>
  <c r="X806" i="2"/>
  <c r="X60" i="33" s="1"/>
  <c r="Q805" i="2"/>
  <c r="Q59" i="33" s="1"/>
  <c r="L805" i="2"/>
  <c r="L59" i="33" s="1"/>
  <c r="J805" i="2"/>
  <c r="J59" i="33" s="1"/>
  <c r="Y806" i="2"/>
  <c r="Y60" i="33" s="1"/>
  <c r="Y805" i="2"/>
  <c r="Y59" i="33" s="1"/>
  <c r="T806" i="2"/>
  <c r="T60" i="33" s="1"/>
  <c r="N806" i="2"/>
  <c r="N60" i="33" s="1"/>
  <c r="P806" i="2"/>
  <c r="P60" i="33" s="1"/>
  <c r="S806" i="2"/>
  <c r="S60" i="33" s="1"/>
  <c r="W806" i="2"/>
  <c r="W60" i="33" s="1"/>
  <c r="T805" i="2"/>
  <c r="T59" i="33" s="1"/>
  <c r="N805" i="2"/>
  <c r="N59" i="33" s="1"/>
  <c r="P805" i="2"/>
  <c r="P59" i="33" s="1"/>
  <c r="S805" i="2"/>
  <c r="S59" i="33" s="1"/>
  <c r="W805" i="2"/>
  <c r="W59" i="33" s="1"/>
  <c r="G805" i="2"/>
  <c r="G59" i="33" s="1"/>
  <c r="G806" i="2"/>
  <c r="G60" i="33" s="1"/>
  <c r="H805" i="2"/>
  <c r="H59" i="33" s="1"/>
  <c r="H806" i="2"/>
  <c r="H60" i="33" s="1"/>
  <c r="I805" i="2"/>
  <c r="I59" i="33" s="1"/>
  <c r="I806" i="2"/>
  <c r="I60" i="33" s="1"/>
  <c r="K806" i="2"/>
  <c r="K60" i="33" s="1"/>
  <c r="K805" i="2"/>
  <c r="K59" i="33" s="1"/>
  <c r="F783" i="2"/>
  <c r="F37" i="33" s="1"/>
  <c r="F84" i="33" s="1"/>
  <c r="F86" i="33" s="1"/>
  <c r="F712" i="2"/>
  <c r="F1106" i="2"/>
  <c r="W814" i="2"/>
  <c r="W68" i="33" s="1"/>
  <c r="Y814" i="2"/>
  <c r="Y68" i="33" s="1"/>
  <c r="Z814" i="2"/>
  <c r="Z68" i="33" s="1"/>
  <c r="X814" i="2"/>
  <c r="X68" i="33" s="1"/>
  <c r="O814" i="2"/>
  <c r="O68" i="33" s="1"/>
  <c r="J233" i="2"/>
  <c r="K233" i="2"/>
  <c r="Q233" i="2"/>
  <c r="V814" i="2"/>
  <c r="V68" i="33" s="1"/>
  <c r="V783" i="2"/>
  <c r="V37" i="33" s="1"/>
  <c r="V1106" i="2"/>
  <c r="V712" i="2"/>
  <c r="V740" i="2" s="1"/>
  <c r="R233" i="2"/>
  <c r="R814" i="2" s="1"/>
  <c r="R68" i="33" s="1"/>
  <c r="G233" i="2"/>
  <c r="X1106" i="2"/>
  <c r="X842" i="2" s="1"/>
  <c r="X96" i="33" s="1"/>
  <c r="X712" i="2"/>
  <c r="X740" i="2" s="1"/>
  <c r="X783" i="2"/>
  <c r="X37" i="33" s="1"/>
  <c r="S233" i="2"/>
  <c r="O712" i="2"/>
  <c r="O1106" i="2"/>
  <c r="O842" i="2" s="1"/>
  <c r="O783" i="2"/>
  <c r="O37" i="33" s="1"/>
  <c r="I233" i="2"/>
  <c r="AA288" i="2"/>
  <c r="AB288" i="2" s="1"/>
  <c r="U290" i="2"/>
  <c r="U805" i="2" s="1"/>
  <c r="U59" i="33" s="1"/>
  <c r="AE114" i="1"/>
  <c r="AF110" i="1"/>
  <c r="AG110" i="1" s="1"/>
  <c r="AA231" i="2"/>
  <c r="AB231" i="2" s="1"/>
  <c r="U233" i="2"/>
  <c r="N233" i="2"/>
  <c r="N814" i="2" s="1"/>
  <c r="N68" i="33" s="1"/>
  <c r="H233" i="2"/>
  <c r="Y1106" i="2"/>
  <c r="Y842" i="2" s="1"/>
  <c r="Y96" i="33" s="1"/>
  <c r="Y783" i="2"/>
  <c r="Y37" i="33" s="1"/>
  <c r="Y712" i="2"/>
  <c r="Y740" i="2" s="1"/>
  <c r="T233" i="2"/>
  <c r="M233" i="2"/>
  <c r="Z783" i="2"/>
  <c r="Z37" i="33" s="1"/>
  <c r="Z712" i="2"/>
  <c r="Z740" i="2" s="1"/>
  <c r="Z1106" i="2"/>
  <c r="Z842" i="2" s="1"/>
  <c r="Z96" i="33" s="1"/>
  <c r="W712" i="2"/>
  <c r="W740" i="2" s="1"/>
  <c r="W783" i="2"/>
  <c r="W37" i="33" s="1"/>
  <c r="W1106" i="2"/>
  <c r="W842" i="2" s="1"/>
  <c r="W96" i="33" s="1"/>
  <c r="P233" i="2"/>
  <c r="L233" i="2"/>
  <c r="L814" i="2" s="1"/>
  <c r="L68" i="33" s="1"/>
  <c r="AA290" i="2" l="1"/>
  <c r="AB290" i="2" s="1"/>
  <c r="F91" i="33"/>
  <c r="AA59" i="33"/>
  <c r="AB59" i="33" s="1"/>
  <c r="D15" i="28"/>
  <c r="O96" i="33"/>
  <c r="M712" i="2"/>
  <c r="M1106" i="2"/>
  <c r="M842" i="2" s="1"/>
  <c r="M96" i="33" s="1"/>
  <c r="M783" i="2"/>
  <c r="M37" i="33" s="1"/>
  <c r="T712" i="2"/>
  <c r="T783" i="2"/>
  <c r="T37" i="33" s="1"/>
  <c r="T1106" i="2"/>
  <c r="T842" i="2" s="1"/>
  <c r="T96" i="33" s="1"/>
  <c r="H783" i="2"/>
  <c r="H37" i="33" s="1"/>
  <c r="H1106" i="2"/>
  <c r="H842" i="2" s="1"/>
  <c r="H96" i="33" s="1"/>
  <c r="H712" i="2"/>
  <c r="U1106" i="2"/>
  <c r="U842" i="2" s="1"/>
  <c r="U96" i="33" s="1"/>
  <c r="U783" i="2"/>
  <c r="U37" i="33" s="1"/>
  <c r="U712" i="2"/>
  <c r="AF114" i="1"/>
  <c r="AG114" i="1" s="1"/>
  <c r="AE138" i="1"/>
  <c r="S1106" i="2"/>
  <c r="S842" i="2" s="1"/>
  <c r="S96" i="33" s="1"/>
  <c r="S712" i="2"/>
  <c r="S783" i="2"/>
  <c r="S37" i="33" s="1"/>
  <c r="G712" i="2"/>
  <c r="G783" i="2"/>
  <c r="G37" i="33" s="1"/>
  <c r="G1106" i="2"/>
  <c r="AA233" i="2"/>
  <c r="K712" i="2"/>
  <c r="K1106" i="2"/>
  <c r="K842" i="2" s="1"/>
  <c r="K96" i="33" s="1"/>
  <c r="K783" i="2"/>
  <c r="K37" i="33" s="1"/>
  <c r="J783" i="2"/>
  <c r="J37" i="33" s="1"/>
  <c r="J712" i="2"/>
  <c r="J1106" i="2"/>
  <c r="J842" i="2" s="1"/>
  <c r="J96" i="33" s="1"/>
  <c r="F740" i="2"/>
  <c r="F744" i="2" s="1"/>
  <c r="F725" i="2"/>
  <c r="AA805" i="2"/>
  <c r="AB805" i="2" s="1"/>
  <c r="K814" i="2"/>
  <c r="K68" i="33" s="1"/>
  <c r="H814" i="2"/>
  <c r="H68" i="33" s="1"/>
  <c r="T814" i="2"/>
  <c r="T68" i="33" s="1"/>
  <c r="J814" i="2"/>
  <c r="J68" i="33" s="1"/>
  <c r="S814" i="2"/>
  <c r="S68" i="33" s="1"/>
  <c r="U806" i="2"/>
  <c r="P1106" i="2"/>
  <c r="P842" i="2" s="1"/>
  <c r="P96" i="33" s="1"/>
  <c r="P712" i="2"/>
  <c r="P783" i="2"/>
  <c r="P37" i="33" s="1"/>
  <c r="L1106" i="2"/>
  <c r="L842" i="2" s="1"/>
  <c r="L96" i="33" s="1"/>
  <c r="L712" i="2"/>
  <c r="L783" i="2"/>
  <c r="L37" i="33" s="1"/>
  <c r="N1106" i="2"/>
  <c r="N842" i="2" s="1"/>
  <c r="N96" i="33" s="1"/>
  <c r="N712" i="2"/>
  <c r="N783" i="2"/>
  <c r="N37" i="33" s="1"/>
  <c r="I712" i="2"/>
  <c r="I1106" i="2"/>
  <c r="I842" i="2" s="1"/>
  <c r="I96" i="33" s="1"/>
  <c r="I783" i="2"/>
  <c r="I37" i="33" s="1"/>
  <c r="D28" i="28"/>
  <c r="L28" i="28" s="1"/>
  <c r="O740" i="2"/>
  <c r="R712" i="2"/>
  <c r="R783" i="2"/>
  <c r="R37" i="33" s="1"/>
  <c r="R1106" i="2"/>
  <c r="R842" i="2" s="1"/>
  <c r="R96" i="33" s="1"/>
  <c r="Q783" i="2"/>
  <c r="Q37" i="33" s="1"/>
  <c r="Q712" i="2"/>
  <c r="Q1106" i="2"/>
  <c r="Q842" i="2" s="1"/>
  <c r="Q96" i="33" s="1"/>
  <c r="V842" i="2"/>
  <c r="V96" i="33" s="1"/>
  <c r="F830" i="2"/>
  <c r="F851" i="2"/>
  <c r="F857" i="2" s="1"/>
  <c r="I814" i="2"/>
  <c r="I68" i="33" s="1"/>
  <c r="U814" i="2"/>
  <c r="U68" i="33" s="1"/>
  <c r="Q814" i="2"/>
  <c r="Q68" i="33" s="1"/>
  <c r="P814" i="2"/>
  <c r="P68" i="33" s="1"/>
  <c r="M814" i="2"/>
  <c r="M68" i="33" s="1"/>
  <c r="G814" i="2"/>
  <c r="G68" i="33" s="1"/>
  <c r="AA68" i="33" l="1"/>
  <c r="AB68" i="33" s="1"/>
  <c r="AA806" i="2"/>
  <c r="AB806" i="2" s="1"/>
  <c r="U60" i="33"/>
  <c r="AA60" i="33" s="1"/>
  <c r="AB60" i="33" s="1"/>
  <c r="Q740" i="2"/>
  <c r="R740" i="2"/>
  <c r="I740" i="2"/>
  <c r="D15" i="31"/>
  <c r="F727" i="2"/>
  <c r="F908" i="2"/>
  <c r="D28" i="27"/>
  <c r="L28" i="27" s="1"/>
  <c r="J740" i="2"/>
  <c r="D15" i="26"/>
  <c r="G842" i="2"/>
  <c r="AA1106" i="2"/>
  <c r="AB1106" i="2" s="1"/>
  <c r="D28" i="14"/>
  <c r="L28" i="14" s="1"/>
  <c r="G740" i="2"/>
  <c r="AA712" i="2"/>
  <c r="AB712" i="2" s="1"/>
  <c r="U740" i="2"/>
  <c r="D28" i="24"/>
  <c r="L28" i="24" s="1"/>
  <c r="H740" i="2"/>
  <c r="T740" i="2"/>
  <c r="M740" i="2"/>
  <c r="F873" i="2"/>
  <c r="F832" i="2"/>
  <c r="N740" i="2"/>
  <c r="L740" i="2"/>
  <c r="D28" i="31"/>
  <c r="L28" i="31" s="1"/>
  <c r="P740" i="2"/>
  <c r="D15" i="27"/>
  <c r="D28" i="26"/>
  <c r="L28" i="26" s="1"/>
  <c r="K740" i="2"/>
  <c r="AA783" i="2"/>
  <c r="AB233" i="2"/>
  <c r="S740" i="2"/>
  <c r="F174" i="2"/>
  <c r="AF138" i="1"/>
  <c r="AG138" i="1" s="1"/>
  <c r="D15" i="24"/>
  <c r="AA814" i="2"/>
  <c r="AB814" i="2" s="1"/>
  <c r="AA842" i="2" l="1"/>
  <c r="AB842" i="2" s="1"/>
  <c r="G96" i="33"/>
  <c r="AA96" i="33" s="1"/>
  <c r="AB96" i="33" s="1"/>
  <c r="AB783" i="2"/>
  <c r="AA37" i="33"/>
  <c r="AB37" i="33" s="1"/>
  <c r="I174" i="2"/>
  <c r="L174" i="2"/>
  <c r="R174" i="2"/>
  <c r="T174" i="2"/>
  <c r="W174" i="2"/>
  <c r="W176" i="2" s="1"/>
  <c r="W729" i="2" s="1"/>
  <c r="W839" i="2" s="1"/>
  <c r="Y174" i="2"/>
  <c r="Y176" i="2" s="1"/>
  <c r="Y729" i="2" s="1"/>
  <c r="Y839" i="2" s="1"/>
  <c r="P174" i="2"/>
  <c r="G174" i="2"/>
  <c r="M174" i="2"/>
  <c r="O174" i="2"/>
  <c r="O176" i="2" s="1"/>
  <c r="S174" i="2"/>
  <c r="V174" i="2"/>
  <c r="V176" i="2" s="1"/>
  <c r="V729" i="2" s="1"/>
  <c r="V839" i="2" s="1"/>
  <c r="X174" i="2"/>
  <c r="X176" i="2" s="1"/>
  <c r="X729" i="2" s="1"/>
  <c r="X839" i="2" s="1"/>
  <c r="Z174" i="2"/>
  <c r="Z176" i="2" s="1"/>
  <c r="Z729" i="2" s="1"/>
  <c r="Z839" i="2" s="1"/>
  <c r="Q174" i="2"/>
  <c r="K174" i="2"/>
  <c r="H174" i="2"/>
  <c r="N174" i="2"/>
  <c r="J174" i="2"/>
  <c r="U174" i="2"/>
  <c r="F176" i="2"/>
  <c r="F837" i="2"/>
  <c r="F939" i="2"/>
  <c r="F914" i="2"/>
  <c r="F917" i="2" s="1"/>
  <c r="F980" i="2"/>
  <c r="F988" i="2" s="1"/>
  <c r="F991" i="2" s="1"/>
  <c r="D15" i="14"/>
  <c r="AA740" i="2"/>
  <c r="AB740" i="2" s="1"/>
  <c r="V843" i="2" l="1"/>
  <c r="V93" i="33"/>
  <c r="V97" i="33" s="1"/>
  <c r="Z843" i="2"/>
  <c r="Z93" i="33"/>
  <c r="Z97" i="33" s="1"/>
  <c r="Y843" i="2"/>
  <c r="Y93" i="33"/>
  <c r="Y97" i="33" s="1"/>
  <c r="X843" i="2"/>
  <c r="X919" i="2" s="1"/>
  <c r="X993" i="2" s="1"/>
  <c r="X93" i="33"/>
  <c r="X97" i="33" s="1"/>
  <c r="W843" i="2"/>
  <c r="W93" i="33"/>
  <c r="W97" i="33" s="1"/>
  <c r="F729" i="2"/>
  <c r="F839" i="2" s="1"/>
  <c r="V705" i="2"/>
  <c r="V706" i="2"/>
  <c r="V818" i="2"/>
  <c r="V72" i="33" s="1"/>
  <c r="W818" i="2"/>
  <c r="W72" i="33" s="1"/>
  <c r="W706" i="2"/>
  <c r="W705" i="2"/>
  <c r="Y706" i="2"/>
  <c r="Y818" i="2"/>
  <c r="Y72" i="33" s="1"/>
  <c r="Y705" i="2"/>
  <c r="Z818" i="2"/>
  <c r="Z72" i="33" s="1"/>
  <c r="X706" i="2"/>
  <c r="X818" i="2"/>
  <c r="X72" i="33" s="1"/>
  <c r="Z705" i="2"/>
  <c r="Z706" i="2"/>
  <c r="X705" i="2"/>
  <c r="O705" i="2"/>
  <c r="O706" i="2"/>
  <c r="O818" i="2"/>
  <c r="O72" i="33" s="1"/>
  <c r="J176" i="2"/>
  <c r="H176" i="2"/>
  <c r="Q176" i="2"/>
  <c r="S176" i="2"/>
  <c r="S818" i="2" s="1"/>
  <c r="S72" i="33" s="1"/>
  <c r="M176" i="2"/>
  <c r="M818" i="2" s="1"/>
  <c r="M72" i="33" s="1"/>
  <c r="P176" i="2"/>
  <c r="P706" i="2" s="1"/>
  <c r="W919" i="2"/>
  <c r="W884" i="2"/>
  <c r="R176" i="2"/>
  <c r="R706" i="2" s="1"/>
  <c r="I176" i="2"/>
  <c r="I706" i="2" s="1"/>
  <c r="AA174" i="2"/>
  <c r="AB174" i="2" s="1"/>
  <c r="U176" i="2"/>
  <c r="U705" i="2" s="1"/>
  <c r="N176" i="2"/>
  <c r="K176" i="2"/>
  <c r="K706" i="2" s="1"/>
  <c r="Z884" i="2"/>
  <c r="Z919" i="2"/>
  <c r="Z993" i="2" s="1"/>
  <c r="V919" i="2"/>
  <c r="V884" i="2"/>
  <c r="O729" i="2"/>
  <c r="D14" i="28"/>
  <c r="G176" i="2"/>
  <c r="Y919" i="2"/>
  <c r="Y993" i="2" s="1"/>
  <c r="Y884" i="2"/>
  <c r="T176" i="2"/>
  <c r="T706" i="2" s="1"/>
  <c r="L176" i="2"/>
  <c r="F843" i="2" l="1"/>
  <c r="F93" i="33"/>
  <c r="F97" i="33" s="1"/>
  <c r="F99" i="33" s="1"/>
  <c r="X884" i="2"/>
  <c r="X709" i="2"/>
  <c r="Z709" i="2"/>
  <c r="V709" i="2"/>
  <c r="Y709" i="2"/>
  <c r="Y738" i="2" s="1"/>
  <c r="Y744" i="2" s="1"/>
  <c r="W709" i="2"/>
  <c r="W738" i="2" s="1"/>
  <c r="W744" i="2" s="1"/>
  <c r="S1079" i="2"/>
  <c r="S822" i="2" s="1"/>
  <c r="S76" i="33" s="1"/>
  <c r="L729" i="2"/>
  <c r="L839" i="2" s="1"/>
  <c r="G729" i="2"/>
  <c r="D14" i="14"/>
  <c r="AA176" i="2"/>
  <c r="AB176" i="2" s="1"/>
  <c r="O839" i="2"/>
  <c r="F15" i="4"/>
  <c r="V993" i="2"/>
  <c r="V950" i="2"/>
  <c r="D14" i="26"/>
  <c r="K729" i="2"/>
  <c r="N729" i="2"/>
  <c r="U729" i="2"/>
  <c r="Q729" i="2"/>
  <c r="D14" i="24"/>
  <c r="H729" i="2"/>
  <c r="J729" i="2"/>
  <c r="D14" i="27"/>
  <c r="D44" i="28"/>
  <c r="D45" i="28" s="1"/>
  <c r="O709" i="2"/>
  <c r="X1079" i="2"/>
  <c r="X822" i="2" s="1"/>
  <c r="X76" i="33" s="1"/>
  <c r="Y1079" i="2"/>
  <c r="Y822" i="2" s="1"/>
  <c r="Y76" i="33" s="1"/>
  <c r="W1079" i="2"/>
  <c r="W822" i="2" s="1"/>
  <c r="W76" i="33" s="1"/>
  <c r="F919" i="2"/>
  <c r="F884" i="2"/>
  <c r="F845" i="2"/>
  <c r="I705" i="2"/>
  <c r="K818" i="2"/>
  <c r="K72" i="33" s="1"/>
  <c r="I818" i="2"/>
  <c r="I72" i="33" s="1"/>
  <c r="K705" i="2"/>
  <c r="U706" i="2"/>
  <c r="P705" i="2"/>
  <c r="H705" i="2"/>
  <c r="L706" i="2"/>
  <c r="J706" i="2"/>
  <c r="Q705" i="2"/>
  <c r="L818" i="2"/>
  <c r="L72" i="33" s="1"/>
  <c r="G706" i="2"/>
  <c r="J818" i="2"/>
  <c r="J72" i="33" s="1"/>
  <c r="T818" i="2"/>
  <c r="T72" i="33" s="1"/>
  <c r="Q706" i="2"/>
  <c r="R818" i="2"/>
  <c r="R72" i="33" s="1"/>
  <c r="N706" i="2"/>
  <c r="S706" i="2"/>
  <c r="T729" i="2"/>
  <c r="D16" i="28"/>
  <c r="F22" i="28"/>
  <c r="F15" i="28"/>
  <c r="F16" i="28" s="1"/>
  <c r="F44" i="28"/>
  <c r="F45" i="28" s="1"/>
  <c r="E15" i="28"/>
  <c r="E22" i="28"/>
  <c r="E44" i="28"/>
  <c r="G22" i="28"/>
  <c r="G15" i="28"/>
  <c r="G16" i="28" s="1"/>
  <c r="G44" i="28"/>
  <c r="G45" i="28" s="1"/>
  <c r="H44" i="28"/>
  <c r="H45" i="28" s="1"/>
  <c r="H22" i="28"/>
  <c r="H15" i="28"/>
  <c r="H16" i="28" s="1"/>
  <c r="I22" i="28"/>
  <c r="I15" i="28"/>
  <c r="I16" i="28" s="1"/>
  <c r="I44" i="28"/>
  <c r="I45" i="28" s="1"/>
  <c r="J44" i="28"/>
  <c r="J45" i="28" s="1"/>
  <c r="J22" i="28"/>
  <c r="J15" i="28"/>
  <c r="J16" i="28" s="1"/>
  <c r="L14" i="28"/>
  <c r="I729" i="2"/>
  <c r="R729" i="2"/>
  <c r="W993" i="2"/>
  <c r="W950" i="2"/>
  <c r="D14" i="31"/>
  <c r="P729" i="2"/>
  <c r="M729" i="2"/>
  <c r="M839" i="2" s="1"/>
  <c r="S729" i="2"/>
  <c r="O1079" i="2"/>
  <c r="O822" i="2" s="1"/>
  <c r="O76" i="33" s="1"/>
  <c r="X738" i="2"/>
  <c r="X744" i="2" s="1"/>
  <c r="X756" i="2"/>
  <c r="Z738" i="2"/>
  <c r="Z744" i="2" s="1"/>
  <c r="Z756" i="2"/>
  <c r="Z1079" i="2"/>
  <c r="Z822" i="2" s="1"/>
  <c r="Z76" i="33" s="1"/>
  <c r="V1079" i="2"/>
  <c r="V822" i="2" s="1"/>
  <c r="V76" i="33" s="1"/>
  <c r="V756" i="2"/>
  <c r="V738" i="2"/>
  <c r="V744" i="2" s="1"/>
  <c r="U818" i="2"/>
  <c r="U72" i="33" s="1"/>
  <c r="H818" i="2"/>
  <c r="H72" i="33" s="1"/>
  <c r="P818" i="2"/>
  <c r="P72" i="33" s="1"/>
  <c r="H706" i="2"/>
  <c r="Q818" i="2"/>
  <c r="Q72" i="33" s="1"/>
  <c r="G818" i="2"/>
  <c r="G72" i="33" s="1"/>
  <c r="L705" i="2"/>
  <c r="G705" i="2"/>
  <c r="J705" i="2"/>
  <c r="T705" i="2"/>
  <c r="T709" i="2" s="1"/>
  <c r="M705" i="2"/>
  <c r="M706" i="2"/>
  <c r="N818" i="2"/>
  <c r="N72" i="33" s="1"/>
  <c r="R705" i="2"/>
  <c r="R709" i="2" s="1"/>
  <c r="S705" i="2"/>
  <c r="N705" i="2"/>
  <c r="Y756" i="2" l="1"/>
  <c r="W756" i="2"/>
  <c r="X776" i="2"/>
  <c r="X10" i="33"/>
  <c r="X30" i="33" s="1"/>
  <c r="V776" i="2"/>
  <c r="V10" i="33"/>
  <c r="V30" i="33" s="1"/>
  <c r="AA72" i="33"/>
  <c r="AB72" i="33" s="1"/>
  <c r="Y776" i="2"/>
  <c r="Y897" i="2" s="1"/>
  <c r="Y10" i="33"/>
  <c r="Y30" i="33" s="1"/>
  <c r="L843" i="2"/>
  <c r="L93" i="33"/>
  <c r="L97" i="33" s="1"/>
  <c r="M843" i="2"/>
  <c r="M93" i="33"/>
  <c r="M97" i="33" s="1"/>
  <c r="Z776" i="2"/>
  <c r="Z10" i="33"/>
  <c r="Z30" i="33" s="1"/>
  <c r="W776" i="2"/>
  <c r="W897" i="2" s="1"/>
  <c r="W10" i="33"/>
  <c r="W30" i="33" s="1"/>
  <c r="O843" i="2"/>
  <c r="K14" i="32" s="1"/>
  <c r="O93" i="33"/>
  <c r="O97" i="33" s="1"/>
  <c r="S709" i="2"/>
  <c r="S738" i="2" s="1"/>
  <c r="S744" i="2" s="1"/>
  <c r="AA706" i="2"/>
  <c r="AB706" i="2" s="1"/>
  <c r="M709" i="2"/>
  <c r="L709" i="2"/>
  <c r="Q1079" i="2"/>
  <c r="Q822" i="2" s="1"/>
  <c r="Q76" i="33" s="1"/>
  <c r="P1079" i="2"/>
  <c r="P822" i="2" s="1"/>
  <c r="P76" i="33" s="1"/>
  <c r="U1079" i="2"/>
  <c r="U822" i="2" s="1"/>
  <c r="U76" i="33" s="1"/>
  <c r="V721" i="2"/>
  <c r="V725" i="2" s="1"/>
  <c r="V792" i="2"/>
  <c r="V46" i="33" s="1"/>
  <c r="V825" i="2"/>
  <c r="V79" i="33" s="1"/>
  <c r="V823" i="2"/>
  <c r="V77" i="33" s="1"/>
  <c r="V824" i="2"/>
  <c r="V78" i="33" s="1"/>
  <c r="Z849" i="2"/>
  <c r="Z897" i="2"/>
  <c r="X823" i="2"/>
  <c r="X77" i="33" s="1"/>
  <c r="X824" i="2"/>
  <c r="X78" i="33" s="1"/>
  <c r="X825" i="2"/>
  <c r="X79" i="33" s="1"/>
  <c r="X721" i="2"/>
  <c r="X725" i="2" s="1"/>
  <c r="X792" i="2"/>
  <c r="X46" i="33" s="1"/>
  <c r="F19" i="4"/>
  <c r="S839" i="2"/>
  <c r="D16" i="31"/>
  <c r="F22" i="31"/>
  <c r="F15" i="31"/>
  <c r="F16" i="31" s="1"/>
  <c r="F44" i="31"/>
  <c r="F45" i="31" s="1"/>
  <c r="E22" i="31"/>
  <c r="E15" i="31"/>
  <c r="E44" i="31"/>
  <c r="G22" i="31"/>
  <c r="G44" i="31"/>
  <c r="G45" i="31" s="1"/>
  <c r="G15" i="31"/>
  <c r="G16" i="31" s="1"/>
  <c r="H44" i="31"/>
  <c r="H45" i="31" s="1"/>
  <c r="H22" i="31"/>
  <c r="H15" i="31"/>
  <c r="H16" i="31" s="1"/>
  <c r="I44" i="31"/>
  <c r="I45" i="31" s="1"/>
  <c r="I22" i="31"/>
  <c r="I15" i="31"/>
  <c r="I16" i="31" s="1"/>
  <c r="J44" i="31"/>
  <c r="J45" i="31" s="1"/>
  <c r="J15" i="31"/>
  <c r="J16" i="31" s="1"/>
  <c r="J22" i="31"/>
  <c r="L14" i="31"/>
  <c r="F18" i="4"/>
  <c r="R839" i="2"/>
  <c r="K22" i="28"/>
  <c r="L22" i="28" s="1"/>
  <c r="K15" i="28"/>
  <c r="E16" i="28"/>
  <c r="R1079" i="2"/>
  <c r="R822" i="2" s="1"/>
  <c r="R76" i="33" s="1"/>
  <c r="T1079" i="2"/>
  <c r="T822" i="2" s="1"/>
  <c r="T76" i="33" s="1"/>
  <c r="Q709" i="2"/>
  <c r="P709" i="2"/>
  <c r="D44" i="31"/>
  <c r="D45" i="31" s="1"/>
  <c r="K709" i="2"/>
  <c r="D44" i="26"/>
  <c r="D45" i="26" s="1"/>
  <c r="K1079" i="2"/>
  <c r="K822" i="2" s="1"/>
  <c r="K76" i="33" s="1"/>
  <c r="Y867" i="2"/>
  <c r="F867" i="2"/>
  <c r="Z867" i="2"/>
  <c r="X867" i="2"/>
  <c r="V867" i="2"/>
  <c r="W867" i="2"/>
  <c r="J839" i="2"/>
  <c r="F12" i="4"/>
  <c r="F11" i="4"/>
  <c r="H839" i="2"/>
  <c r="F14" i="4"/>
  <c r="N839" i="2"/>
  <c r="D16" i="26"/>
  <c r="F15" i="26"/>
  <c r="F16" i="26" s="1"/>
  <c r="F44" i="26"/>
  <c r="F45" i="26" s="1"/>
  <c r="F22" i="26"/>
  <c r="E22" i="26"/>
  <c r="E15" i="26"/>
  <c r="E44" i="26"/>
  <c r="G44" i="26"/>
  <c r="G45" i="26" s="1"/>
  <c r="H15" i="26"/>
  <c r="H16" i="26" s="1"/>
  <c r="H44" i="26"/>
  <c r="H45" i="26" s="1"/>
  <c r="H22" i="26"/>
  <c r="I44" i="26"/>
  <c r="I45" i="26" s="1"/>
  <c r="I22" i="26"/>
  <c r="I15" i="26"/>
  <c r="I16" i="26" s="1"/>
  <c r="J44" i="26"/>
  <c r="J45" i="26" s="1"/>
  <c r="J22" i="26"/>
  <c r="J15" i="26"/>
  <c r="J16" i="26" s="1"/>
  <c r="L14" i="26"/>
  <c r="G22" i="26"/>
  <c r="G15" i="26"/>
  <c r="G16" i="26" s="1"/>
  <c r="O919" i="2"/>
  <c r="O884" i="2"/>
  <c r="F37" i="4"/>
  <c r="D16" i="14"/>
  <c r="F15" i="14"/>
  <c r="F16" i="14" s="1"/>
  <c r="F44" i="14"/>
  <c r="F45" i="14" s="1"/>
  <c r="F22" i="14"/>
  <c r="E15" i="14"/>
  <c r="E22" i="14"/>
  <c r="E44" i="14"/>
  <c r="G22" i="14"/>
  <c r="G44" i="14"/>
  <c r="G45" i="14" s="1"/>
  <c r="G15" i="14"/>
  <c r="G16" i="14" s="1"/>
  <c r="H15" i="14"/>
  <c r="H16" i="14" s="1"/>
  <c r="H44" i="14"/>
  <c r="H45" i="14" s="1"/>
  <c r="H22" i="14"/>
  <c r="I44" i="14"/>
  <c r="I45" i="14" s="1"/>
  <c r="I15" i="14"/>
  <c r="I16" i="14" s="1"/>
  <c r="I22" i="14"/>
  <c r="J44" i="14"/>
  <c r="J45" i="14" s="1"/>
  <c r="J15" i="14"/>
  <c r="J16" i="14" s="1"/>
  <c r="J22" i="14"/>
  <c r="L14" i="14"/>
  <c r="U709" i="2"/>
  <c r="N1079" i="2"/>
  <c r="N822" i="2" s="1"/>
  <c r="N76" i="33" s="1"/>
  <c r="D44" i="27"/>
  <c r="D45" i="27" s="1"/>
  <c r="J709" i="2"/>
  <c r="Y824" i="2"/>
  <c r="Y78" i="33" s="1"/>
  <c r="Y721" i="2"/>
  <c r="Y725" i="2" s="1"/>
  <c r="Y823" i="2"/>
  <c r="Y77" i="33" s="1"/>
  <c r="Y825" i="2"/>
  <c r="Y79" i="33" s="1"/>
  <c r="Y792" i="2"/>
  <c r="Y46" i="33" s="1"/>
  <c r="N709" i="2"/>
  <c r="R756" i="2"/>
  <c r="R738" i="2"/>
  <c r="R744" i="2" s="1"/>
  <c r="C18" i="4"/>
  <c r="T738" i="2"/>
  <c r="T744" i="2" s="1"/>
  <c r="C20" i="4"/>
  <c r="T756" i="2"/>
  <c r="D44" i="14"/>
  <c r="D45" i="14" s="1"/>
  <c r="G709" i="2"/>
  <c r="G1079" i="2"/>
  <c r="H1079" i="2"/>
  <c r="H822" i="2" s="1"/>
  <c r="H76" i="33" s="1"/>
  <c r="V897" i="2"/>
  <c r="V849" i="2"/>
  <c r="Z792" i="2"/>
  <c r="Z46" i="33" s="1"/>
  <c r="Z721" i="2"/>
  <c r="Z725" i="2" s="1"/>
  <c r="Z823" i="2"/>
  <c r="Z77" i="33" s="1"/>
  <c r="Z824" i="2"/>
  <c r="Z78" i="33" s="1"/>
  <c r="Z825" i="2"/>
  <c r="Z79" i="33" s="1"/>
  <c r="X849" i="2"/>
  <c r="X897" i="2"/>
  <c r="M919" i="2"/>
  <c r="M884" i="2"/>
  <c r="P839" i="2"/>
  <c r="F16" i="4"/>
  <c r="I839" i="2"/>
  <c r="E45" i="28"/>
  <c r="K45" i="28" s="1"/>
  <c r="L45" i="28" s="1"/>
  <c r="K44" i="28"/>
  <c r="L44" i="28" s="1"/>
  <c r="T839" i="2"/>
  <c r="F20" i="4"/>
  <c r="J1079" i="2"/>
  <c r="J822" i="2" s="1"/>
  <c r="J76" i="33" s="1"/>
  <c r="L1079" i="2"/>
  <c r="L822" i="2" s="1"/>
  <c r="L76" i="33" s="1"/>
  <c r="D44" i="24"/>
  <c r="D45" i="24" s="1"/>
  <c r="H709" i="2"/>
  <c r="AA818" i="2"/>
  <c r="AB818" i="2" s="1"/>
  <c r="AA705" i="2"/>
  <c r="AB705" i="2" s="1"/>
  <c r="I709" i="2"/>
  <c r="F993" i="2"/>
  <c r="F995" i="2" s="1"/>
  <c r="F950" i="2"/>
  <c r="F921" i="2"/>
  <c r="W824" i="2"/>
  <c r="W78" i="33" s="1"/>
  <c r="W721" i="2"/>
  <c r="W725" i="2" s="1"/>
  <c r="W825" i="2"/>
  <c r="W79" i="33" s="1"/>
  <c r="W823" i="2"/>
  <c r="W77" i="33" s="1"/>
  <c r="W792" i="2"/>
  <c r="W46" i="33" s="1"/>
  <c r="C15" i="4"/>
  <c r="O738" i="2"/>
  <c r="O744" i="2" s="1"/>
  <c r="O756" i="2"/>
  <c r="D16" i="27"/>
  <c r="F44" i="27"/>
  <c r="F45" i="27" s="1"/>
  <c r="F15" i="27"/>
  <c r="F16" i="27" s="1"/>
  <c r="F22" i="27"/>
  <c r="E15" i="27"/>
  <c r="E22" i="27"/>
  <c r="E44" i="27"/>
  <c r="G15" i="27"/>
  <c r="G16" i="27" s="1"/>
  <c r="G22" i="27"/>
  <c r="G44" i="27"/>
  <c r="G45" i="27" s="1"/>
  <c r="H15" i="27"/>
  <c r="H16" i="27" s="1"/>
  <c r="H44" i="27"/>
  <c r="H45" i="27" s="1"/>
  <c r="H22" i="27"/>
  <c r="I22" i="27"/>
  <c r="I15" i="27"/>
  <c r="I16" i="27" s="1"/>
  <c r="I44" i="27"/>
  <c r="I45" i="27" s="1"/>
  <c r="J22" i="27"/>
  <c r="J15" i="27"/>
  <c r="J16" i="27" s="1"/>
  <c r="J44" i="27"/>
  <c r="J45" i="27" s="1"/>
  <c r="L14" i="27"/>
  <c r="L14" i="24"/>
  <c r="D16" i="24"/>
  <c r="F44" i="24"/>
  <c r="F45" i="24" s="1"/>
  <c r="F15" i="24"/>
  <c r="F16" i="24" s="1"/>
  <c r="F22" i="24"/>
  <c r="E15" i="24"/>
  <c r="E22" i="24"/>
  <c r="E44" i="24"/>
  <c r="G22" i="24"/>
  <c r="G44" i="24"/>
  <c r="G45" i="24" s="1"/>
  <c r="G15" i="24"/>
  <c r="G16" i="24" s="1"/>
  <c r="H22" i="24"/>
  <c r="H44" i="24"/>
  <c r="H45" i="24" s="1"/>
  <c r="H15" i="24"/>
  <c r="H16" i="24" s="1"/>
  <c r="I22" i="24"/>
  <c r="I44" i="24"/>
  <c r="I45" i="24" s="1"/>
  <c r="I15" i="24"/>
  <c r="I16" i="24" s="1"/>
  <c r="J44" i="24"/>
  <c r="J45" i="24" s="1"/>
  <c r="J22" i="24"/>
  <c r="J15" i="24"/>
  <c r="J16" i="24" s="1"/>
  <c r="Q839" i="2"/>
  <c r="F17" i="4"/>
  <c r="U839" i="2"/>
  <c r="F21" i="4"/>
  <c r="K839" i="2"/>
  <c r="F13" i="4"/>
  <c r="G839" i="2"/>
  <c r="G93" i="33" s="1"/>
  <c r="F10" i="4"/>
  <c r="AA729" i="2"/>
  <c r="AB729" i="2" s="1"/>
  <c r="L919" i="2"/>
  <c r="L884" i="2"/>
  <c r="C19" i="4" l="1"/>
  <c r="S756" i="2"/>
  <c r="S776" i="2" s="1"/>
  <c r="Y82" i="33"/>
  <c r="Y849" i="2"/>
  <c r="W849" i="2"/>
  <c r="W84" i="33"/>
  <c r="W86" i="33" s="1"/>
  <c r="W99" i="33" s="1"/>
  <c r="W82" i="33"/>
  <c r="V84" i="33"/>
  <c r="Z84" i="33"/>
  <c r="Z86" i="33" s="1"/>
  <c r="Z99" i="33" s="1"/>
  <c r="R843" i="2"/>
  <c r="K17" i="32" s="1"/>
  <c r="R93" i="33"/>
  <c r="R97" i="33" s="1"/>
  <c r="X84" i="33"/>
  <c r="X86" i="33" s="1"/>
  <c r="X99" i="33" s="1"/>
  <c r="I843" i="2"/>
  <c r="I884" i="2" s="1"/>
  <c r="I93" i="33"/>
  <c r="I97" i="33" s="1"/>
  <c r="Q843" i="2"/>
  <c r="K16" i="32" s="1"/>
  <c r="Q93" i="33"/>
  <c r="Q97" i="33" s="1"/>
  <c r="R776" i="2"/>
  <c r="H17" i="32" s="1"/>
  <c r="R10" i="33"/>
  <c r="R30" i="33" s="1"/>
  <c r="H843" i="2"/>
  <c r="K10" i="32" s="1"/>
  <c r="H93" i="33"/>
  <c r="H97" i="33" s="1"/>
  <c r="V82" i="33"/>
  <c r="O776" i="2"/>
  <c r="H14" i="32" s="1"/>
  <c r="O10" i="33"/>
  <c r="O30" i="33" s="1"/>
  <c r="X82" i="33"/>
  <c r="S10" i="33"/>
  <c r="S30" i="33" s="1"/>
  <c r="P843" i="2"/>
  <c r="K15" i="32" s="1"/>
  <c r="P93" i="33"/>
  <c r="P97" i="33" s="1"/>
  <c r="G97" i="33"/>
  <c r="Y84" i="33"/>
  <c r="Y86" i="33" s="1"/>
  <c r="Y99" i="33" s="1"/>
  <c r="J843" i="2"/>
  <c r="K11" i="32" s="1"/>
  <c r="J93" i="33"/>
  <c r="J97" i="33" s="1"/>
  <c r="V86" i="33"/>
  <c r="V99" i="33" s="1"/>
  <c r="T776" i="2"/>
  <c r="H19" i="32" s="1"/>
  <c r="T10" i="33"/>
  <c r="T30" i="33" s="1"/>
  <c r="K843" i="2"/>
  <c r="K12" i="32" s="1"/>
  <c r="K93" i="33"/>
  <c r="K97" i="33" s="1"/>
  <c r="T843" i="2"/>
  <c r="K19" i="32" s="1"/>
  <c r="T93" i="33"/>
  <c r="T97" i="33" s="1"/>
  <c r="S843" i="2"/>
  <c r="K18" i="32" s="1"/>
  <c r="S93" i="33"/>
  <c r="S97" i="33" s="1"/>
  <c r="U843" i="2"/>
  <c r="K20" i="32" s="1"/>
  <c r="U93" i="33"/>
  <c r="U97" i="33" s="1"/>
  <c r="Z82" i="33"/>
  <c r="N843" i="2"/>
  <c r="K13" i="32" s="1"/>
  <c r="N93" i="33"/>
  <c r="N97" i="33" s="1"/>
  <c r="X830" i="2"/>
  <c r="Y830" i="2"/>
  <c r="Y873" i="2" s="1"/>
  <c r="X828" i="2"/>
  <c r="X851" i="2" s="1"/>
  <c r="X857" i="2" s="1"/>
  <c r="Y828" i="2"/>
  <c r="V828" i="2"/>
  <c r="V910" i="2" s="1"/>
  <c r="W830" i="2"/>
  <c r="W873" i="2" s="1"/>
  <c r="W828" i="2"/>
  <c r="W910" i="2" s="1"/>
  <c r="Z828" i="2"/>
  <c r="Z910" i="2" s="1"/>
  <c r="K22" i="24"/>
  <c r="L22" i="24" s="1"/>
  <c r="K15" i="24"/>
  <c r="E16" i="24"/>
  <c r="K22" i="27"/>
  <c r="L22" i="27" s="1"/>
  <c r="K15" i="27"/>
  <c r="E16" i="27"/>
  <c r="F42" i="4"/>
  <c r="M950" i="2"/>
  <c r="M993" i="2"/>
  <c r="X969" i="2"/>
  <c r="X975" i="2" s="1"/>
  <c r="X903" i="2"/>
  <c r="X928" i="2" s="1"/>
  <c r="L993" i="2"/>
  <c r="L950" i="2"/>
  <c r="G843" i="2"/>
  <c r="K9" i="32" s="1"/>
  <c r="AA839" i="2"/>
  <c r="AB839" i="2" s="1"/>
  <c r="U919" i="2"/>
  <c r="E45" i="24"/>
  <c r="K45" i="24" s="1"/>
  <c r="L45" i="24" s="1"/>
  <c r="K44" i="24"/>
  <c r="L44" i="24" s="1"/>
  <c r="E45" i="27"/>
  <c r="K45" i="27" s="1"/>
  <c r="L45" i="27" s="1"/>
  <c r="K44" i="27"/>
  <c r="L44" i="27" s="1"/>
  <c r="O721" i="2"/>
  <c r="O725" i="2" s="1"/>
  <c r="O824" i="2"/>
  <c r="O78" i="33" s="1"/>
  <c r="O792" i="2"/>
  <c r="O46" i="33" s="1"/>
  <c r="O823" i="2"/>
  <c r="O77" i="33" s="1"/>
  <c r="O825" i="2"/>
  <c r="O79" i="33" s="1"/>
  <c r="W908" i="2"/>
  <c r="W727" i="2"/>
  <c r="F931" i="2"/>
  <c r="I738" i="2"/>
  <c r="I744" i="2" s="1"/>
  <c r="I756" i="2"/>
  <c r="P884" i="2"/>
  <c r="F38" i="4"/>
  <c r="P919" i="2"/>
  <c r="Z908" i="2"/>
  <c r="Z727" i="2"/>
  <c r="Y969" i="2"/>
  <c r="Y975" i="2" s="1"/>
  <c r="Y903" i="2"/>
  <c r="Y928" i="2" s="1"/>
  <c r="G822" i="2"/>
  <c r="G76" i="33" s="1"/>
  <c r="AA76" i="33" s="1"/>
  <c r="AB76" i="33" s="1"/>
  <c r="AA1079" i="2"/>
  <c r="AB1079" i="2" s="1"/>
  <c r="R823" i="2"/>
  <c r="R77" i="33" s="1"/>
  <c r="R825" i="2"/>
  <c r="R79" i="33" s="1"/>
  <c r="R792" i="2"/>
  <c r="R46" i="33" s="1"/>
  <c r="R824" i="2"/>
  <c r="R78" i="33" s="1"/>
  <c r="R721" i="2"/>
  <c r="R725" i="2" s="1"/>
  <c r="Y908" i="2"/>
  <c r="Y727" i="2"/>
  <c r="U738" i="2"/>
  <c r="U744" i="2" s="1"/>
  <c r="U756" i="2"/>
  <c r="C21" i="4"/>
  <c r="K44" i="14"/>
  <c r="L44" i="14" s="1"/>
  <c r="E45" i="14"/>
  <c r="K45" i="14" s="1"/>
  <c r="L45" i="14" s="1"/>
  <c r="O993" i="2"/>
  <c r="F60" i="4" s="1"/>
  <c r="O950" i="2"/>
  <c r="E45" i="26"/>
  <c r="K45" i="26" s="1"/>
  <c r="L45" i="26" s="1"/>
  <c r="K44" i="26"/>
  <c r="L44" i="26" s="1"/>
  <c r="K15" i="26"/>
  <c r="E16" i="26"/>
  <c r="F36" i="4"/>
  <c r="N884" i="2"/>
  <c r="N919" i="2"/>
  <c r="W877" i="2"/>
  <c r="W889" i="2"/>
  <c r="W891" i="2" s="1"/>
  <c r="W869" i="2"/>
  <c r="X877" i="2"/>
  <c r="X869" i="2"/>
  <c r="X889" i="2"/>
  <c r="X891" i="2" s="1"/>
  <c r="F889" i="2"/>
  <c r="F891" i="2" s="1"/>
  <c r="F877" i="2"/>
  <c r="F879" i="2" s="1"/>
  <c r="F869" i="2"/>
  <c r="K756" i="2"/>
  <c r="C13" i="4"/>
  <c r="K738" i="2"/>
  <c r="K744" i="2" s="1"/>
  <c r="K15" i="31"/>
  <c r="E16" i="31"/>
  <c r="K22" i="31"/>
  <c r="L22" i="31" s="1"/>
  <c r="X908" i="2"/>
  <c r="X727" i="2"/>
  <c r="L756" i="2"/>
  <c r="L738" i="2"/>
  <c r="L744" i="2" s="1"/>
  <c r="M756" i="2"/>
  <c r="M738" i="2"/>
  <c r="M744" i="2" s="1"/>
  <c r="S824" i="2"/>
  <c r="S78" i="33" s="1"/>
  <c r="S825" i="2"/>
  <c r="S79" i="33" s="1"/>
  <c r="S792" i="2"/>
  <c r="S46" i="33" s="1"/>
  <c r="S823" i="2"/>
  <c r="S77" i="33" s="1"/>
  <c r="S721" i="2"/>
  <c r="S725" i="2" s="1"/>
  <c r="F22" i="4"/>
  <c r="V830" i="2"/>
  <c r="C11" i="4"/>
  <c r="H738" i="2"/>
  <c r="H744" i="2" s="1"/>
  <c r="H756" i="2"/>
  <c r="V903" i="2"/>
  <c r="V928" i="2" s="1"/>
  <c r="V969" i="2"/>
  <c r="V975" i="2" s="1"/>
  <c r="G756" i="2"/>
  <c r="G10" i="33" s="1"/>
  <c r="C10" i="4"/>
  <c r="G738" i="2"/>
  <c r="AA709" i="2"/>
  <c r="AB709" i="2" s="1"/>
  <c r="C42" i="4"/>
  <c r="T897" i="2"/>
  <c r="T849" i="2"/>
  <c r="T864" i="2"/>
  <c r="T823" i="2"/>
  <c r="T77" i="33" s="1"/>
  <c r="T721" i="2"/>
  <c r="T725" i="2" s="1"/>
  <c r="T824" i="2"/>
  <c r="T78" i="33" s="1"/>
  <c r="T825" i="2"/>
  <c r="T79" i="33" s="1"/>
  <c r="T792" i="2"/>
  <c r="T46" i="33" s="1"/>
  <c r="R864" i="2"/>
  <c r="R849" i="2"/>
  <c r="C40" i="4"/>
  <c r="R897" i="2"/>
  <c r="N738" i="2"/>
  <c r="N744" i="2" s="1"/>
  <c r="C14" i="4"/>
  <c r="N756" i="2"/>
  <c r="Y910" i="2"/>
  <c r="Y851" i="2"/>
  <c r="Y857" i="2" s="1"/>
  <c r="C12" i="4"/>
  <c r="J738" i="2"/>
  <c r="J744" i="2" s="1"/>
  <c r="J756" i="2"/>
  <c r="K22" i="14"/>
  <c r="L22" i="14" s="1"/>
  <c r="K15" i="14"/>
  <c r="E16" i="14"/>
  <c r="K22" i="26"/>
  <c r="L22" i="26" s="1"/>
  <c r="H884" i="2"/>
  <c r="H919" i="2"/>
  <c r="F33" i="4"/>
  <c r="W903" i="2"/>
  <c r="W928" i="2" s="1"/>
  <c r="W969" i="2"/>
  <c r="W975" i="2" s="1"/>
  <c r="V869" i="2"/>
  <c r="V889" i="2"/>
  <c r="V891" i="2" s="1"/>
  <c r="V877" i="2"/>
  <c r="Z889" i="2"/>
  <c r="Z891" i="2" s="1"/>
  <c r="Z877" i="2"/>
  <c r="Z869" i="2"/>
  <c r="Y889" i="2"/>
  <c r="Y891" i="2" s="1"/>
  <c r="Y869" i="2"/>
  <c r="Y877" i="2"/>
  <c r="Y879" i="2" s="1"/>
  <c r="C16" i="4"/>
  <c r="P756" i="2"/>
  <c r="P738" i="2"/>
  <c r="P744" i="2" s="1"/>
  <c r="Q756" i="2"/>
  <c r="Q738" i="2"/>
  <c r="Q744" i="2" s="1"/>
  <c r="C17" i="4"/>
  <c r="L15" i="28"/>
  <c r="K16" i="28"/>
  <c r="L16" i="28" s="1"/>
  <c r="F40" i="4"/>
  <c r="R884" i="2"/>
  <c r="R919" i="2"/>
  <c r="E45" i="31"/>
  <c r="K45" i="31" s="1"/>
  <c r="L45" i="31" s="1"/>
  <c r="K44" i="31"/>
  <c r="L44" i="31" s="1"/>
  <c r="S884" i="2"/>
  <c r="Z903" i="2"/>
  <c r="Z928" i="2" s="1"/>
  <c r="Z969" i="2"/>
  <c r="Z975" i="2" s="1"/>
  <c r="V908" i="2"/>
  <c r="V727" i="2"/>
  <c r="W879" i="2"/>
  <c r="W882" i="2" s="1"/>
  <c r="W886" i="2" s="1"/>
  <c r="Z830" i="2"/>
  <c r="W832" i="2"/>
  <c r="W845" i="2" s="1"/>
  <c r="O897" i="2" l="1"/>
  <c r="Y832" i="2"/>
  <c r="Y845" i="2" s="1"/>
  <c r="F41" i="4"/>
  <c r="O864" i="2"/>
  <c r="C37" i="4"/>
  <c r="O849" i="2"/>
  <c r="S919" i="2"/>
  <c r="S993" i="2" s="1"/>
  <c r="F64" i="4" s="1"/>
  <c r="T82" i="33"/>
  <c r="H18" i="32"/>
  <c r="C41" i="4"/>
  <c r="S864" i="2"/>
  <c r="S849" i="2"/>
  <c r="S897" i="2"/>
  <c r="S903" i="2" s="1"/>
  <c r="S928" i="2" s="1"/>
  <c r="Q919" i="2"/>
  <c r="Q993" i="2" s="1"/>
  <c r="F62" i="4" s="1"/>
  <c r="J919" i="2"/>
  <c r="J993" i="2" s="1"/>
  <c r="F57" i="4" s="1"/>
  <c r="Q884" i="2"/>
  <c r="F39" i="4"/>
  <c r="J884" i="2"/>
  <c r="F34" i="4"/>
  <c r="T884" i="2"/>
  <c r="U884" i="2"/>
  <c r="F43" i="4"/>
  <c r="K919" i="2"/>
  <c r="K993" i="2" s="1"/>
  <c r="F58" i="4" s="1"/>
  <c r="K884" i="2"/>
  <c r="I919" i="2"/>
  <c r="I993" i="2" s="1"/>
  <c r="F35" i="4"/>
  <c r="R82" i="33"/>
  <c r="S82" i="33"/>
  <c r="K21" i="32"/>
  <c r="T919" i="2"/>
  <c r="T993" i="2" s="1"/>
  <c r="F65" i="4" s="1"/>
  <c r="I776" i="2"/>
  <c r="I897" i="2" s="1"/>
  <c r="I10" i="33"/>
  <c r="I30" i="33" s="1"/>
  <c r="AA93" i="33"/>
  <c r="AB93" i="33" s="1"/>
  <c r="AA97" i="33"/>
  <c r="AB97" i="33" s="1"/>
  <c r="N776" i="2"/>
  <c r="H13" i="32" s="1"/>
  <c r="N10" i="33"/>
  <c r="N30" i="33" s="1"/>
  <c r="P776" i="2"/>
  <c r="H15" i="32" s="1"/>
  <c r="P10" i="33"/>
  <c r="P30" i="33" s="1"/>
  <c r="M776" i="2"/>
  <c r="M849" i="2" s="1"/>
  <c r="M10" i="33"/>
  <c r="M30" i="33" s="1"/>
  <c r="T84" i="33"/>
  <c r="T86" i="33" s="1"/>
  <c r="J776" i="2"/>
  <c r="H11" i="32" s="1"/>
  <c r="J10" i="33"/>
  <c r="J30" i="33" s="1"/>
  <c r="G30" i="33"/>
  <c r="R84" i="33"/>
  <c r="R86" i="33" s="1"/>
  <c r="L776" i="2"/>
  <c r="L849" i="2" s="1"/>
  <c r="L10" i="33"/>
  <c r="L30" i="33" s="1"/>
  <c r="K776" i="2"/>
  <c r="H12" i="32" s="1"/>
  <c r="K10" i="33"/>
  <c r="K30" i="33" s="1"/>
  <c r="O82" i="33"/>
  <c r="U776" i="2"/>
  <c r="H20" i="32" s="1"/>
  <c r="U10" i="33"/>
  <c r="U30" i="33" s="1"/>
  <c r="Q776" i="2"/>
  <c r="H16" i="32" s="1"/>
  <c r="Q10" i="33"/>
  <c r="Q30" i="33" s="1"/>
  <c r="H776" i="2"/>
  <c r="H10" i="32" s="1"/>
  <c r="H10" i="33"/>
  <c r="H30" i="33" s="1"/>
  <c r="S84" i="33"/>
  <c r="S86" i="33" s="1"/>
  <c r="O84" i="33"/>
  <c r="O86" i="33" s="1"/>
  <c r="O828" i="2"/>
  <c r="O910" i="2" s="1"/>
  <c r="X873" i="2"/>
  <c r="X879" i="2" s="1"/>
  <c r="X882" i="2" s="1"/>
  <c r="X886" i="2" s="1"/>
  <c r="X832" i="2"/>
  <c r="X845" i="2" s="1"/>
  <c r="F882" i="2"/>
  <c r="F886" i="2" s="1"/>
  <c r="X910" i="2"/>
  <c r="X941" i="2" s="1"/>
  <c r="W851" i="2"/>
  <c r="W857" i="2" s="1"/>
  <c r="Z851" i="2"/>
  <c r="Z857" i="2" s="1"/>
  <c r="D37" i="28"/>
  <c r="H37" i="28" s="1"/>
  <c r="H39" i="28" s="1"/>
  <c r="V851" i="2"/>
  <c r="V857" i="2" s="1"/>
  <c r="D20" i="4"/>
  <c r="E20" i="4" s="1"/>
  <c r="G20" i="4" s="1"/>
  <c r="T908" i="2"/>
  <c r="T727" i="2"/>
  <c r="G776" i="2"/>
  <c r="H9" i="32" s="1"/>
  <c r="AA756" i="2"/>
  <c r="AB756" i="2" s="1"/>
  <c r="H824" i="2"/>
  <c r="H78" i="33" s="1"/>
  <c r="H792" i="2"/>
  <c r="H46" i="33" s="1"/>
  <c r="H721" i="2"/>
  <c r="H725" i="2" s="1"/>
  <c r="H825" i="2"/>
  <c r="H79" i="33" s="1"/>
  <c r="H823" i="2"/>
  <c r="H77" i="33" s="1"/>
  <c r="V873" i="2"/>
  <c r="V879" i="2" s="1"/>
  <c r="V882" i="2" s="1"/>
  <c r="V886" i="2" s="1"/>
  <c r="V832" i="2"/>
  <c r="V845" i="2" s="1"/>
  <c r="D19" i="4"/>
  <c r="E19" i="4" s="1"/>
  <c r="G19" i="4" s="1"/>
  <c r="S908" i="2"/>
  <c r="S727" i="2"/>
  <c r="S830" i="2"/>
  <c r="I18" i="32" s="1"/>
  <c r="M824" i="2"/>
  <c r="M78" i="33" s="1"/>
  <c r="M721" i="2"/>
  <c r="M725" i="2" s="1"/>
  <c r="M792" i="2"/>
  <c r="M46" i="33" s="1"/>
  <c r="M823" i="2"/>
  <c r="M77" i="33" s="1"/>
  <c r="M825" i="2"/>
  <c r="M79" i="33" s="1"/>
  <c r="L825" i="2"/>
  <c r="L79" i="33" s="1"/>
  <c r="L823" i="2"/>
  <c r="L77" i="33" s="1"/>
  <c r="L721" i="2"/>
  <c r="L725" i="2" s="1"/>
  <c r="L792" i="2"/>
  <c r="L46" i="33" s="1"/>
  <c r="L824" i="2"/>
  <c r="L78" i="33" s="1"/>
  <c r="X939" i="2"/>
  <c r="X980" i="2"/>
  <c r="L15" i="31"/>
  <c r="K16" i="31"/>
  <c r="L16" i="31" s="1"/>
  <c r="K825" i="2"/>
  <c r="K79" i="33" s="1"/>
  <c r="K823" i="2"/>
  <c r="K77" i="33" s="1"/>
  <c r="K824" i="2"/>
  <c r="K78" i="33" s="1"/>
  <c r="K792" i="2"/>
  <c r="K46" i="33" s="1"/>
  <c r="K721" i="2"/>
  <c r="K725" i="2" s="1"/>
  <c r="L15" i="26"/>
  <c r="K16" i="26"/>
  <c r="L16" i="26" s="1"/>
  <c r="U897" i="2"/>
  <c r="R908" i="2"/>
  <c r="D18" i="4"/>
  <c r="E18" i="4" s="1"/>
  <c r="G18" i="4" s="1"/>
  <c r="R727" i="2"/>
  <c r="R830" i="2"/>
  <c r="I17" i="32" s="1"/>
  <c r="J17" i="32" s="1"/>
  <c r="L17" i="32" s="1"/>
  <c r="AA822" i="2"/>
  <c r="AB822" i="2" s="1"/>
  <c r="Z914" i="2"/>
  <c r="Z917" i="2" s="1"/>
  <c r="Z939" i="2"/>
  <c r="Z980" i="2"/>
  <c r="C22" i="4"/>
  <c r="F943" i="2"/>
  <c r="F945" i="2" s="1"/>
  <c r="F934" i="2"/>
  <c r="F962" i="2"/>
  <c r="W962" i="2" s="1"/>
  <c r="F958" i="2"/>
  <c r="W980" i="2"/>
  <c r="W939" i="2"/>
  <c r="W914" i="2"/>
  <c r="W917" i="2" s="1"/>
  <c r="L15" i="27"/>
  <c r="K16" i="27"/>
  <c r="L16" i="27" s="1"/>
  <c r="L15" i="24"/>
  <c r="K16" i="24"/>
  <c r="L16" i="24" s="1"/>
  <c r="Z982" i="2"/>
  <c r="Z941" i="2"/>
  <c r="Z873" i="2"/>
  <c r="Z879" i="2" s="1"/>
  <c r="Z882" i="2" s="1"/>
  <c r="Z886" i="2" s="1"/>
  <c r="Z832" i="2"/>
  <c r="Z845" i="2" s="1"/>
  <c r="S969" i="2"/>
  <c r="S975" i="2" s="1"/>
  <c r="V939" i="2"/>
  <c r="V980" i="2"/>
  <c r="V914" i="2"/>
  <c r="V917" i="2" s="1"/>
  <c r="R993" i="2"/>
  <c r="F63" i="4" s="1"/>
  <c r="R950" i="2"/>
  <c r="J864" i="2"/>
  <c r="J897" i="2"/>
  <c r="J849" i="2"/>
  <c r="C34" i="4"/>
  <c r="Y914" i="2"/>
  <c r="Y917" i="2" s="1"/>
  <c r="Y941" i="2"/>
  <c r="Y982" i="2"/>
  <c r="Q824" i="2"/>
  <c r="Q78" i="33" s="1"/>
  <c r="Q792" i="2"/>
  <c r="Q46" i="33" s="1"/>
  <c r="Q825" i="2"/>
  <c r="Q79" i="33" s="1"/>
  <c r="Q823" i="2"/>
  <c r="Q77" i="33" s="1"/>
  <c r="Q721" i="2"/>
  <c r="Q725" i="2" s="1"/>
  <c r="P721" i="2"/>
  <c r="P725" i="2" s="1"/>
  <c r="P824" i="2"/>
  <c r="P78" i="33" s="1"/>
  <c r="P825" i="2"/>
  <c r="P79" i="33" s="1"/>
  <c r="P823" i="2"/>
  <c r="P77" i="33" s="1"/>
  <c r="P792" i="2"/>
  <c r="P46" i="33" s="1"/>
  <c r="P849" i="2"/>
  <c r="H950" i="2"/>
  <c r="H993" i="2"/>
  <c r="F56" i="4" s="1"/>
  <c r="L15" i="14"/>
  <c r="K16" i="14"/>
  <c r="L16" i="14" s="1"/>
  <c r="J823" i="2"/>
  <c r="J77" i="33" s="1"/>
  <c r="J792" i="2"/>
  <c r="J46" i="33" s="1"/>
  <c r="J721" i="2"/>
  <c r="J725" i="2" s="1"/>
  <c r="J824" i="2"/>
  <c r="J78" i="33" s="1"/>
  <c r="J825" i="2"/>
  <c r="J79" i="33" s="1"/>
  <c r="N824" i="2"/>
  <c r="N78" i="33" s="1"/>
  <c r="N721" i="2"/>
  <c r="N725" i="2" s="1"/>
  <c r="N792" i="2"/>
  <c r="N46" i="33" s="1"/>
  <c r="N825" i="2"/>
  <c r="N79" i="33" s="1"/>
  <c r="N823" i="2"/>
  <c r="N77" i="33" s="1"/>
  <c r="R969" i="2"/>
  <c r="R975" i="2" s="1"/>
  <c r="R903" i="2"/>
  <c r="R928" i="2" s="1"/>
  <c r="T830" i="2"/>
  <c r="I19" i="32" s="1"/>
  <c r="J19" i="32" s="1"/>
  <c r="L19" i="32" s="1"/>
  <c r="T969" i="2"/>
  <c r="T975" i="2" s="1"/>
  <c r="T903" i="2"/>
  <c r="G744" i="2"/>
  <c r="AA738" i="2"/>
  <c r="AB738" i="2" s="1"/>
  <c r="K864" i="2"/>
  <c r="N993" i="2"/>
  <c r="F59" i="4" s="1"/>
  <c r="N950" i="2"/>
  <c r="U824" i="2"/>
  <c r="U78" i="33" s="1"/>
  <c r="U792" i="2"/>
  <c r="U46" i="33" s="1"/>
  <c r="U825" i="2"/>
  <c r="U79" i="33" s="1"/>
  <c r="U823" i="2"/>
  <c r="U77" i="33" s="1"/>
  <c r="U721" i="2"/>
  <c r="U725" i="2" s="1"/>
  <c r="Y980" i="2"/>
  <c r="Y939" i="2"/>
  <c r="P993" i="2"/>
  <c r="F61" i="4" s="1"/>
  <c r="P950" i="2"/>
  <c r="I825" i="2"/>
  <c r="I79" i="33" s="1"/>
  <c r="I824" i="2"/>
  <c r="I78" i="33" s="1"/>
  <c r="I792" i="2"/>
  <c r="I46" i="33" s="1"/>
  <c r="I823" i="2"/>
  <c r="I77" i="33" s="1"/>
  <c r="I721" i="2"/>
  <c r="I725" i="2" s="1"/>
  <c r="D26" i="28"/>
  <c r="O830" i="2"/>
  <c r="I14" i="32" s="1"/>
  <c r="J14" i="32" s="1"/>
  <c r="L14" i="32" s="1"/>
  <c r="D15" i="4"/>
  <c r="E15" i="4" s="1"/>
  <c r="G15" i="4" s="1"/>
  <c r="O908" i="2"/>
  <c r="O727" i="2"/>
  <c r="Q950" i="2"/>
  <c r="U950" i="2"/>
  <c r="U993" i="2"/>
  <c r="F66" i="4" s="1"/>
  <c r="F32" i="4"/>
  <c r="G884" i="2"/>
  <c r="G919" i="2"/>
  <c r="AA843" i="2"/>
  <c r="AB843" i="2" s="1"/>
  <c r="O903" i="2"/>
  <c r="O928" i="2" s="1"/>
  <c r="O969" i="2"/>
  <c r="O975" i="2" s="1"/>
  <c r="V941" i="2"/>
  <c r="V982" i="2"/>
  <c r="W982" i="2"/>
  <c r="W941" i="2"/>
  <c r="Y882" i="2"/>
  <c r="Y886" i="2" s="1"/>
  <c r="T828" i="2"/>
  <c r="S828" i="2"/>
  <c r="R828" i="2"/>
  <c r="J950" i="2" l="1"/>
  <c r="S950" i="2"/>
  <c r="C35" i="4"/>
  <c r="K897" i="2"/>
  <c r="K849" i="2"/>
  <c r="I950" i="2"/>
  <c r="J18" i="32"/>
  <c r="L18" i="32" s="1"/>
  <c r="Q849" i="2"/>
  <c r="P897" i="2"/>
  <c r="Q897" i="2"/>
  <c r="P864" i="2"/>
  <c r="C38" i="4"/>
  <c r="Q864" i="2"/>
  <c r="C39" i="4"/>
  <c r="AA884" i="2"/>
  <c r="AB884" i="2" s="1"/>
  <c r="X914" i="2"/>
  <c r="X917" i="2" s="1"/>
  <c r="X931" i="2" s="1"/>
  <c r="M864" i="2"/>
  <c r="K950" i="2"/>
  <c r="M897" i="2"/>
  <c r="M969" i="2" s="1"/>
  <c r="I849" i="2"/>
  <c r="X982" i="2"/>
  <c r="X988" i="2" s="1"/>
  <c r="X991" i="2" s="1"/>
  <c r="X995" i="2" s="1"/>
  <c r="I864" i="2"/>
  <c r="H864" i="2"/>
  <c r="F44" i="4"/>
  <c r="H897" i="2"/>
  <c r="H849" i="2"/>
  <c r="C33" i="4"/>
  <c r="Y988" i="2"/>
  <c r="Y991" i="2" s="1"/>
  <c r="Y995" i="2" s="1"/>
  <c r="N864" i="2"/>
  <c r="C43" i="4"/>
  <c r="U849" i="2"/>
  <c r="U864" i="2"/>
  <c r="N849" i="2"/>
  <c r="O851" i="2"/>
  <c r="O857" i="2" s="1"/>
  <c r="D39" i="28"/>
  <c r="N897" i="2"/>
  <c r="N903" i="2" s="1"/>
  <c r="C36" i="4"/>
  <c r="Q82" i="33"/>
  <c r="T950" i="2"/>
  <c r="L864" i="2"/>
  <c r="L897" i="2"/>
  <c r="J82" i="33"/>
  <c r="L82" i="33"/>
  <c r="H82" i="33"/>
  <c r="K82" i="33"/>
  <c r="U82" i="33"/>
  <c r="H84" i="33"/>
  <c r="H86" i="33" s="1"/>
  <c r="O99" i="33"/>
  <c r="O91" i="33"/>
  <c r="S99" i="33"/>
  <c r="S91" i="33"/>
  <c r="T91" i="33"/>
  <c r="T99" i="33"/>
  <c r="U84" i="33"/>
  <c r="U86" i="33" s="1"/>
  <c r="P82" i="33"/>
  <c r="K84" i="33"/>
  <c r="K86" i="33" s="1"/>
  <c r="M82" i="33"/>
  <c r="I82" i="33"/>
  <c r="Q84" i="33"/>
  <c r="Q86" i="33" s="1"/>
  <c r="L84" i="33"/>
  <c r="L86" i="33" s="1"/>
  <c r="M84" i="33"/>
  <c r="M86" i="33" s="1"/>
  <c r="J84" i="33"/>
  <c r="J86" i="33" s="1"/>
  <c r="N82" i="33"/>
  <c r="R99" i="33"/>
  <c r="R91" i="33"/>
  <c r="AA10" i="33"/>
  <c r="AB10" i="33" s="1"/>
  <c r="I84" i="33"/>
  <c r="I86" i="33" s="1"/>
  <c r="N84" i="33"/>
  <c r="N86" i="33" s="1"/>
  <c r="P84" i="33"/>
  <c r="P86" i="33" s="1"/>
  <c r="H21" i="32"/>
  <c r="AA30" i="33"/>
  <c r="G37" i="28"/>
  <c r="G39" i="28" s="1"/>
  <c r="V988" i="2"/>
  <c r="V991" i="2" s="1"/>
  <c r="V995" i="2" s="1"/>
  <c r="E37" i="28"/>
  <c r="E39" i="28" s="1"/>
  <c r="F37" i="28"/>
  <c r="F39" i="28" s="1"/>
  <c r="J37" i="28"/>
  <c r="J39" i="28" s="1"/>
  <c r="I37" i="28"/>
  <c r="I39" i="28" s="1"/>
  <c r="M828" i="2"/>
  <c r="M851" i="2" s="1"/>
  <c r="M857" i="2" s="1"/>
  <c r="C41" i="28"/>
  <c r="C47" i="28"/>
  <c r="P828" i="2"/>
  <c r="P851" i="2" s="1"/>
  <c r="P857" i="2" s="1"/>
  <c r="Z988" i="2"/>
  <c r="Z991" i="2" s="1"/>
  <c r="Z995" i="2" s="1"/>
  <c r="Q828" i="2"/>
  <c r="R910" i="2"/>
  <c r="R851" i="2"/>
  <c r="R857" i="2" s="1"/>
  <c r="T910" i="2"/>
  <c r="T914" i="2" s="1"/>
  <c r="T917" i="2" s="1"/>
  <c r="T851" i="2"/>
  <c r="T857" i="2" s="1"/>
  <c r="O980" i="2"/>
  <c r="O914" i="2"/>
  <c r="O917" i="2" s="1"/>
  <c r="O939" i="2"/>
  <c r="D37" i="4"/>
  <c r="E37" i="4" s="1"/>
  <c r="G37" i="4" s="1"/>
  <c r="O873" i="2"/>
  <c r="O832" i="2"/>
  <c r="I830" i="2"/>
  <c r="U828" i="2"/>
  <c r="U830" i="2"/>
  <c r="I20" i="32" s="1"/>
  <c r="J20" i="32" s="1"/>
  <c r="L20" i="32" s="1"/>
  <c r="AA744" i="2"/>
  <c r="AB744" i="2" s="1"/>
  <c r="G721" i="2"/>
  <c r="G824" i="2"/>
  <c r="G825" i="2"/>
  <c r="G792" i="2"/>
  <c r="G46" i="33" s="1"/>
  <c r="G823" i="2"/>
  <c r="G77" i="33" s="1"/>
  <c r="AA77" i="33" s="1"/>
  <c r="AB77" i="33" s="1"/>
  <c r="C65" i="4"/>
  <c r="C63" i="4"/>
  <c r="D14" i="4"/>
  <c r="E14" i="4" s="1"/>
  <c r="G14" i="4" s="1"/>
  <c r="N908" i="2"/>
  <c r="N727" i="2"/>
  <c r="D12" i="4"/>
  <c r="E12" i="4" s="1"/>
  <c r="G12" i="4" s="1"/>
  <c r="J908" i="2"/>
  <c r="J727" i="2"/>
  <c r="J828" i="2"/>
  <c r="D37" i="27"/>
  <c r="P903" i="2"/>
  <c r="P928" i="2" s="1"/>
  <c r="P969" i="2"/>
  <c r="P975" i="2" s="1"/>
  <c r="D26" i="31"/>
  <c r="P830" i="2"/>
  <c r="I15" i="32" s="1"/>
  <c r="J15" i="32" s="1"/>
  <c r="L15" i="32" s="1"/>
  <c r="D39" i="31"/>
  <c r="P910" i="2"/>
  <c r="D16" i="4"/>
  <c r="E16" i="4" s="1"/>
  <c r="G16" i="4" s="1"/>
  <c r="P908" i="2"/>
  <c r="P727" i="2"/>
  <c r="Q908" i="2"/>
  <c r="D17" i="4"/>
  <c r="E17" i="4" s="1"/>
  <c r="G17" i="4" s="1"/>
  <c r="Q727" i="2"/>
  <c r="Q910" i="2"/>
  <c r="Q851" i="2"/>
  <c r="Q857" i="2" s="1"/>
  <c r="Y921" i="2"/>
  <c r="Y931" i="2"/>
  <c r="J969" i="2"/>
  <c r="J975" i="2" s="1"/>
  <c r="J903" i="2"/>
  <c r="J928" i="2" s="1"/>
  <c r="V921" i="2"/>
  <c r="V931" i="2"/>
  <c r="K37" i="28"/>
  <c r="L37" i="28" s="1"/>
  <c r="W921" i="2"/>
  <c r="W931" i="2"/>
  <c r="Z921" i="2"/>
  <c r="Z931" i="2"/>
  <c r="R980" i="2"/>
  <c r="R939" i="2"/>
  <c r="R914" i="2"/>
  <c r="R917" i="2" s="1"/>
  <c r="D13" i="4"/>
  <c r="E13" i="4" s="1"/>
  <c r="G13" i="4" s="1"/>
  <c r="K908" i="2"/>
  <c r="K727" i="2"/>
  <c r="L908" i="2"/>
  <c r="L727" i="2"/>
  <c r="M908" i="2"/>
  <c r="M727" i="2"/>
  <c r="D41" i="4"/>
  <c r="E41" i="4" s="1"/>
  <c r="G41" i="4" s="1"/>
  <c r="S873" i="2"/>
  <c r="S832" i="2"/>
  <c r="S939" i="2"/>
  <c r="S980" i="2"/>
  <c r="D37" i="24"/>
  <c r="D11" i="4"/>
  <c r="E11" i="4" s="1"/>
  <c r="G11" i="4" s="1"/>
  <c r="H908" i="2"/>
  <c r="H727" i="2"/>
  <c r="H903" i="2"/>
  <c r="H928" i="2" s="1"/>
  <c r="H969" i="2"/>
  <c r="H975" i="2" s="1"/>
  <c r="T939" i="2"/>
  <c r="T980" i="2"/>
  <c r="W988" i="2"/>
  <c r="W991" i="2" s="1"/>
  <c r="W995" i="2" s="1"/>
  <c r="I908" i="2"/>
  <c r="I727" i="2"/>
  <c r="S910" i="2"/>
  <c r="S851" i="2"/>
  <c r="S857" i="2" s="1"/>
  <c r="C60" i="4"/>
  <c r="G993" i="2"/>
  <c r="G950" i="2"/>
  <c r="AA919" i="2"/>
  <c r="AB919" i="2" s="1"/>
  <c r="O941" i="2"/>
  <c r="O982" i="2"/>
  <c r="O988" i="2" s="1"/>
  <c r="D60" i="4" s="1"/>
  <c r="I828" i="2"/>
  <c r="D21" i="4"/>
  <c r="E21" i="4" s="1"/>
  <c r="G21" i="4" s="1"/>
  <c r="U908" i="2"/>
  <c r="U727" i="2"/>
  <c r="K903" i="2"/>
  <c r="K928" i="2" s="1"/>
  <c r="K969" i="2"/>
  <c r="K975" i="2" s="1"/>
  <c r="L969" i="2"/>
  <c r="L972" i="2" s="1"/>
  <c r="L903" i="2"/>
  <c r="T928" i="2"/>
  <c r="D42" i="4"/>
  <c r="E42" i="4" s="1"/>
  <c r="G42" i="4" s="1"/>
  <c r="T873" i="2"/>
  <c r="T832" i="2"/>
  <c r="N828" i="2"/>
  <c r="N830" i="2"/>
  <c r="I13" i="32" s="1"/>
  <c r="J13" i="32" s="1"/>
  <c r="L13" i="32" s="1"/>
  <c r="D26" i="27"/>
  <c r="J830" i="2"/>
  <c r="I11" i="32" s="1"/>
  <c r="J11" i="32" s="1"/>
  <c r="L11" i="32" s="1"/>
  <c r="D37" i="31"/>
  <c r="Q903" i="2"/>
  <c r="Q928" i="2" s="1"/>
  <c r="Q969" i="2"/>
  <c r="Q975" i="2" s="1"/>
  <c r="Q830" i="2"/>
  <c r="I16" i="32" s="1"/>
  <c r="J16" i="32" s="1"/>
  <c r="L16" i="32" s="1"/>
  <c r="C64" i="4"/>
  <c r="F956" i="2"/>
  <c r="F960" i="2" s="1"/>
  <c r="F948" i="2"/>
  <c r="F952" i="2" s="1"/>
  <c r="I903" i="2"/>
  <c r="I969" i="2"/>
  <c r="I975" i="2" s="1"/>
  <c r="R873" i="2"/>
  <c r="D40" i="4"/>
  <c r="E40" i="4" s="1"/>
  <c r="G40" i="4" s="1"/>
  <c r="R832" i="2"/>
  <c r="U969" i="2"/>
  <c r="U975" i="2" s="1"/>
  <c r="U903" i="2"/>
  <c r="U928" i="2" s="1"/>
  <c r="D26" i="26"/>
  <c r="K830" i="2"/>
  <c r="I12" i="32" s="1"/>
  <c r="J12" i="32" s="1"/>
  <c r="L12" i="32" s="1"/>
  <c r="K828" i="2"/>
  <c r="D37" i="26"/>
  <c r="X921" i="2"/>
  <c r="L830" i="2"/>
  <c r="L828" i="2"/>
  <c r="M903" i="2"/>
  <c r="M928" i="2" s="1"/>
  <c r="M910" i="2"/>
  <c r="M830" i="2"/>
  <c r="D26" i="24"/>
  <c r="H830" i="2"/>
  <c r="I10" i="32" s="1"/>
  <c r="J10" i="32" s="1"/>
  <c r="L10" i="32" s="1"/>
  <c r="G849" i="2"/>
  <c r="G897" i="2"/>
  <c r="C32" i="4"/>
  <c r="G864" i="2"/>
  <c r="AA776" i="2"/>
  <c r="H828" i="2"/>
  <c r="N969" i="2" l="1"/>
  <c r="N975" i="2" s="1"/>
  <c r="AA864" i="2"/>
  <c r="AB864" i="2" s="1"/>
  <c r="AA950" i="2"/>
  <c r="AB950" i="2" s="1"/>
  <c r="K39" i="28"/>
  <c r="L39" i="28" s="1"/>
  <c r="U91" i="33"/>
  <c r="U99" i="33"/>
  <c r="L91" i="33"/>
  <c r="L99" i="33"/>
  <c r="J99" i="33"/>
  <c r="J91" i="33"/>
  <c r="AA46" i="33"/>
  <c r="AB46" i="33" s="1"/>
  <c r="Q99" i="33"/>
  <c r="Q91" i="33"/>
  <c r="P99" i="33"/>
  <c r="P91" i="33"/>
  <c r="AA825" i="2"/>
  <c r="AB825" i="2" s="1"/>
  <c r="G79" i="33"/>
  <c r="I91" i="33"/>
  <c r="I99" i="33"/>
  <c r="N99" i="33"/>
  <c r="N91" i="33"/>
  <c r="AA824" i="2"/>
  <c r="AB824" i="2" s="1"/>
  <c r="G78" i="33"/>
  <c r="AA78" i="33" s="1"/>
  <c r="AB78" i="33" s="1"/>
  <c r="M91" i="33"/>
  <c r="M99" i="33"/>
  <c r="AB30" i="33"/>
  <c r="K91" i="33"/>
  <c r="K99" i="33"/>
  <c r="H91" i="33"/>
  <c r="H99" i="33"/>
  <c r="C41" i="31"/>
  <c r="C47" i="31"/>
  <c r="C41" i="26"/>
  <c r="C47" i="26"/>
  <c r="C41" i="24"/>
  <c r="C47" i="24"/>
  <c r="C41" i="27"/>
  <c r="C47" i="27"/>
  <c r="E60" i="4"/>
  <c r="G60" i="4" s="1"/>
  <c r="T921" i="2"/>
  <c r="T931" i="2"/>
  <c r="T934" i="2" s="1"/>
  <c r="D39" i="24"/>
  <c r="H910" i="2"/>
  <c r="H914" i="2" s="1"/>
  <c r="H917" i="2" s="1"/>
  <c r="H851" i="2"/>
  <c r="H857" i="2" s="1"/>
  <c r="R845" i="2"/>
  <c r="R837" i="2"/>
  <c r="R867" i="2" s="1"/>
  <c r="N928" i="2"/>
  <c r="F37" i="31"/>
  <c r="F39" i="31" s="1"/>
  <c r="E37" i="31"/>
  <c r="G37" i="31"/>
  <c r="G39" i="31" s="1"/>
  <c r="H37" i="31"/>
  <c r="H39" i="31" s="1"/>
  <c r="J37" i="31"/>
  <c r="J39" i="31" s="1"/>
  <c r="I37" i="31"/>
  <c r="I39" i="31" s="1"/>
  <c r="T837" i="2"/>
  <c r="T867" i="2" s="1"/>
  <c r="T845" i="2"/>
  <c r="U980" i="2"/>
  <c r="U939" i="2"/>
  <c r="F55" i="4"/>
  <c r="F67" i="4" s="1"/>
  <c r="AA993" i="2"/>
  <c r="AB993" i="2" s="1"/>
  <c r="S982" i="2"/>
  <c r="S941" i="2"/>
  <c r="H939" i="2"/>
  <c r="H980" i="2"/>
  <c r="F37" i="24"/>
  <c r="F39" i="24" s="1"/>
  <c r="E37" i="24"/>
  <c r="G37" i="24"/>
  <c r="G39" i="24" s="1"/>
  <c r="H37" i="24"/>
  <c r="H39" i="24" s="1"/>
  <c r="I37" i="24"/>
  <c r="I39" i="24" s="1"/>
  <c r="J37" i="24"/>
  <c r="J39" i="24" s="1"/>
  <c r="S845" i="2"/>
  <c r="S837" i="2"/>
  <c r="S867" i="2" s="1"/>
  <c r="L939" i="2"/>
  <c r="L980" i="2"/>
  <c r="K939" i="2"/>
  <c r="K980" i="2"/>
  <c r="Z943" i="2"/>
  <c r="Z945" i="2" s="1"/>
  <c r="Z958" i="2"/>
  <c r="Z960" i="2" s="1"/>
  <c r="Z934" i="2"/>
  <c r="W958" i="2"/>
  <c r="W960" i="2" s="1"/>
  <c r="W943" i="2"/>
  <c r="W945" i="2" s="1"/>
  <c r="W934" i="2"/>
  <c r="V958" i="2"/>
  <c r="V960" i="2" s="1"/>
  <c r="V943" i="2"/>
  <c r="V945" i="2" s="1"/>
  <c r="V934" i="2"/>
  <c r="Y958" i="2"/>
  <c r="Y960" i="2" s="1"/>
  <c r="Y943" i="2"/>
  <c r="Y945" i="2" s="1"/>
  <c r="Y934" i="2"/>
  <c r="Q980" i="2"/>
  <c r="Q939" i="2"/>
  <c r="Q914" i="2"/>
  <c r="Q917" i="2" s="1"/>
  <c r="P939" i="2"/>
  <c r="P980" i="2"/>
  <c r="P914" i="2"/>
  <c r="P917" i="2" s="1"/>
  <c r="J910" i="2"/>
  <c r="J914" i="2" s="1"/>
  <c r="J917" i="2" s="1"/>
  <c r="D39" i="27"/>
  <c r="J851" i="2"/>
  <c r="J857" i="2" s="1"/>
  <c r="J980" i="2"/>
  <c r="J939" i="2"/>
  <c r="N980" i="2"/>
  <c r="N939" i="2"/>
  <c r="AA823" i="2"/>
  <c r="AB823" i="2" s="1"/>
  <c r="D37" i="14"/>
  <c r="AA721" i="2"/>
  <c r="AB721" i="2" s="1"/>
  <c r="G725" i="2"/>
  <c r="D43" i="4"/>
  <c r="E43" i="4" s="1"/>
  <c r="G43" i="4" s="1"/>
  <c r="U873" i="2"/>
  <c r="U832" i="2"/>
  <c r="U910" i="2"/>
  <c r="U851" i="2"/>
  <c r="U857" i="2" s="1"/>
  <c r="I873" i="2"/>
  <c r="I832" i="2"/>
  <c r="O845" i="2"/>
  <c r="O837" i="2"/>
  <c r="O867" i="2" s="1"/>
  <c r="O921" i="2"/>
  <c r="O931" i="2"/>
  <c r="R941" i="2"/>
  <c r="R982" i="2"/>
  <c r="R988" i="2" s="1"/>
  <c r="S914" i="2"/>
  <c r="S917" i="2" s="1"/>
  <c r="G828" i="2"/>
  <c r="AB776" i="2"/>
  <c r="G903" i="2"/>
  <c r="G969" i="2"/>
  <c r="AA897" i="2"/>
  <c r="AB897" i="2" s="1"/>
  <c r="D33" i="4"/>
  <c r="E33" i="4" s="1"/>
  <c r="G33" i="4" s="1"/>
  <c r="H873" i="2"/>
  <c r="H832" i="2"/>
  <c r="L910" i="2"/>
  <c r="L851" i="2"/>
  <c r="L857" i="2" s="1"/>
  <c r="L873" i="2"/>
  <c r="L832" i="2"/>
  <c r="D39" i="26"/>
  <c r="K910" i="2"/>
  <c r="K851" i="2"/>
  <c r="K857" i="2" s="1"/>
  <c r="D35" i="4"/>
  <c r="E35" i="4" s="1"/>
  <c r="G35" i="4" s="1"/>
  <c r="K873" i="2"/>
  <c r="K832" i="2"/>
  <c r="I928" i="2"/>
  <c r="L975" i="2"/>
  <c r="L986" i="2"/>
  <c r="M873" i="2"/>
  <c r="M832" i="2"/>
  <c r="M914" i="2"/>
  <c r="M917" i="2" s="1"/>
  <c r="M941" i="2"/>
  <c r="M982" i="2"/>
  <c r="M972" i="2"/>
  <c r="M986" i="2" s="1"/>
  <c r="X958" i="2"/>
  <c r="X960" i="2" s="1"/>
  <c r="X943" i="2"/>
  <c r="X945" i="2" s="1"/>
  <c r="X934" i="2"/>
  <c r="E37" i="26"/>
  <c r="G37" i="26"/>
  <c r="G39" i="26" s="1"/>
  <c r="F37" i="26"/>
  <c r="F39" i="26" s="1"/>
  <c r="H37" i="26"/>
  <c r="H39" i="26" s="1"/>
  <c r="I37" i="26"/>
  <c r="I39" i="26" s="1"/>
  <c r="J37" i="26"/>
  <c r="J39" i="26" s="1"/>
  <c r="C66" i="4"/>
  <c r="C59" i="4"/>
  <c r="D39" i="4"/>
  <c r="E39" i="4" s="1"/>
  <c r="G39" i="4" s="1"/>
  <c r="Q873" i="2"/>
  <c r="Q832" i="2"/>
  <c r="C62" i="4"/>
  <c r="J873" i="2"/>
  <c r="D34" i="4"/>
  <c r="E34" i="4" s="1"/>
  <c r="G34" i="4" s="1"/>
  <c r="J832" i="2"/>
  <c r="D36" i="4"/>
  <c r="E36" i="4" s="1"/>
  <c r="G36" i="4" s="1"/>
  <c r="N873" i="2"/>
  <c r="N832" i="2"/>
  <c r="N910" i="2"/>
  <c r="N851" i="2"/>
  <c r="N857" i="2" s="1"/>
  <c r="L928" i="2"/>
  <c r="C58" i="4"/>
  <c r="I910" i="2"/>
  <c r="I914" i="2" s="1"/>
  <c r="I917" i="2" s="1"/>
  <c r="I851" i="2"/>
  <c r="I857" i="2" s="1"/>
  <c r="I939" i="2"/>
  <c r="I980" i="2"/>
  <c r="C56" i="4"/>
  <c r="M980" i="2"/>
  <c r="M939" i="2"/>
  <c r="R921" i="2"/>
  <c r="R931" i="2"/>
  <c r="C57" i="4"/>
  <c r="Q941" i="2"/>
  <c r="Q982" i="2"/>
  <c r="P941" i="2"/>
  <c r="P982" i="2"/>
  <c r="P988" i="2" s="1"/>
  <c r="D61" i="4" s="1"/>
  <c r="D38" i="4"/>
  <c r="E38" i="4" s="1"/>
  <c r="G38" i="4" s="1"/>
  <c r="P873" i="2"/>
  <c r="P832" i="2"/>
  <c r="C61" i="4"/>
  <c r="F37" i="27"/>
  <c r="F39" i="27" s="1"/>
  <c r="E37" i="27"/>
  <c r="G37" i="27"/>
  <c r="G39" i="27" s="1"/>
  <c r="H37" i="27"/>
  <c r="H39" i="27" s="1"/>
  <c r="I37" i="27"/>
  <c r="I39" i="27" s="1"/>
  <c r="J37" i="27"/>
  <c r="J39" i="27" s="1"/>
  <c r="D26" i="14"/>
  <c r="AA792" i="2"/>
  <c r="AB792" i="2" s="1"/>
  <c r="G830" i="2"/>
  <c r="I9" i="32" s="1"/>
  <c r="T941" i="2"/>
  <c r="T982" i="2"/>
  <c r="T988" i="2" s="1"/>
  <c r="O991" i="2"/>
  <c r="O995" i="2" s="1"/>
  <c r="D18" i="28" s="1"/>
  <c r="S988" i="2"/>
  <c r="C44" i="4"/>
  <c r="AA849" i="2"/>
  <c r="AB849" i="2" s="1"/>
  <c r="Q988" i="2" l="1"/>
  <c r="D62" i="4" s="1"/>
  <c r="E62" i="4" s="1"/>
  <c r="G62" i="4" s="1"/>
  <c r="G84" i="33"/>
  <c r="G86" i="33" s="1"/>
  <c r="AA79" i="33"/>
  <c r="AB79" i="33" s="1"/>
  <c r="G82" i="33"/>
  <c r="AA82" i="33" s="1"/>
  <c r="AB82" i="33" s="1"/>
  <c r="I21" i="32"/>
  <c r="J9" i="32"/>
  <c r="V948" i="2"/>
  <c r="V952" i="2" s="1"/>
  <c r="Z948" i="2"/>
  <c r="Z952" i="2" s="1"/>
  <c r="X948" i="2"/>
  <c r="X952" i="2" s="1"/>
  <c r="P991" i="2"/>
  <c r="P995" i="2" s="1"/>
  <c r="M975" i="2"/>
  <c r="D65" i="4"/>
  <c r="E65" i="4" s="1"/>
  <c r="G65" i="4" s="1"/>
  <c r="T991" i="2"/>
  <c r="T995" i="2" s="1"/>
  <c r="I921" i="2"/>
  <c r="I931" i="2"/>
  <c r="I934" i="2" s="1"/>
  <c r="D64" i="4"/>
  <c r="E64" i="4" s="1"/>
  <c r="G64" i="4" s="1"/>
  <c r="S991" i="2"/>
  <c r="S995" i="2" s="1"/>
  <c r="D20" i="28"/>
  <c r="D24" i="28" s="1"/>
  <c r="D41" i="28" s="1"/>
  <c r="D47" i="28" s="1"/>
  <c r="E18" i="28"/>
  <c r="G873" i="2"/>
  <c r="AA873" i="2" s="1"/>
  <c r="AB873" i="2" s="1"/>
  <c r="D32" i="4"/>
  <c r="AA830" i="2"/>
  <c r="G832" i="2"/>
  <c r="P845" i="2"/>
  <c r="P837" i="2"/>
  <c r="P867" i="2" s="1"/>
  <c r="N837" i="2"/>
  <c r="N867" i="2" s="1"/>
  <c r="N845" i="2"/>
  <c r="Q845" i="2"/>
  <c r="Q837" i="2"/>
  <c r="Q867" i="2" s="1"/>
  <c r="M845" i="2"/>
  <c r="M837" i="2"/>
  <c r="M867" i="2" s="1"/>
  <c r="L941" i="2"/>
  <c r="L982" i="2"/>
  <c r="L988" i="2" s="1"/>
  <c r="L991" i="2" s="1"/>
  <c r="L995" i="2" s="1"/>
  <c r="G928" i="2"/>
  <c r="AA903" i="2"/>
  <c r="AB903" i="2" s="1"/>
  <c r="G910" i="2"/>
  <c r="D39" i="14"/>
  <c r="AA828" i="2"/>
  <c r="AB828" i="2" s="1"/>
  <c r="G851" i="2"/>
  <c r="S921" i="2"/>
  <c r="S931" i="2"/>
  <c r="I845" i="2"/>
  <c r="I837" i="2"/>
  <c r="I867" i="2" s="1"/>
  <c r="U941" i="2"/>
  <c r="U982" i="2"/>
  <c r="U988" i="2" s="1"/>
  <c r="G908" i="2"/>
  <c r="D10" i="4"/>
  <c r="AA725" i="2"/>
  <c r="AB725" i="2" s="1"/>
  <c r="G727" i="2"/>
  <c r="AA727" i="2" s="1"/>
  <c r="AB727" i="2" s="1"/>
  <c r="F37" i="14"/>
  <c r="F39" i="14" s="1"/>
  <c r="E37" i="14"/>
  <c r="G37" i="14"/>
  <c r="G39" i="14" s="1"/>
  <c r="H37" i="14"/>
  <c r="H39" i="14" s="1"/>
  <c r="I37" i="14"/>
  <c r="I39" i="14" s="1"/>
  <c r="J37" i="14"/>
  <c r="J39" i="14" s="1"/>
  <c r="J941" i="2"/>
  <c r="J982" i="2"/>
  <c r="J988" i="2" s="1"/>
  <c r="Q921" i="2"/>
  <c r="Q931" i="2"/>
  <c r="H921" i="2"/>
  <c r="H931" i="2"/>
  <c r="T889" i="2"/>
  <c r="T891" i="2" s="1"/>
  <c r="T877" i="2"/>
  <c r="T879" i="2" s="1"/>
  <c r="T869" i="2"/>
  <c r="R889" i="2"/>
  <c r="R891" i="2" s="1"/>
  <c r="R877" i="2"/>
  <c r="R879" i="2" s="1"/>
  <c r="R869" i="2"/>
  <c r="Q991" i="2"/>
  <c r="Q995" i="2" s="1"/>
  <c r="AA972" i="2"/>
  <c r="AB972" i="2" s="1"/>
  <c r="U914" i="2"/>
  <c r="U917" i="2" s="1"/>
  <c r="K37" i="27"/>
  <c r="L37" i="27" s="1"/>
  <c r="E39" i="27"/>
  <c r="K39" i="27" s="1"/>
  <c r="L39" i="27" s="1"/>
  <c r="D18" i="31"/>
  <c r="R958" i="2"/>
  <c r="R962" i="2"/>
  <c r="R943" i="2"/>
  <c r="R945" i="2" s="1"/>
  <c r="R934" i="2"/>
  <c r="I982" i="2"/>
  <c r="I988" i="2" s="1"/>
  <c r="I941" i="2"/>
  <c r="N982" i="2"/>
  <c r="N988" i="2" s="1"/>
  <c r="N941" i="2"/>
  <c r="J837" i="2"/>
  <c r="J867" i="2" s="1"/>
  <c r="J845" i="2"/>
  <c r="K37" i="26"/>
  <c r="L37" i="26" s="1"/>
  <c r="E39" i="26"/>
  <c r="K39" i="26" s="1"/>
  <c r="L39" i="26" s="1"/>
  <c r="M921" i="2"/>
  <c r="M931" i="2"/>
  <c r="AA986" i="2"/>
  <c r="AB986" i="2" s="1"/>
  <c r="K845" i="2"/>
  <c r="K837" i="2"/>
  <c r="K867" i="2" s="1"/>
  <c r="K982" i="2"/>
  <c r="K988" i="2" s="1"/>
  <c r="K941" i="2"/>
  <c r="L837" i="2"/>
  <c r="L867" i="2" s="1"/>
  <c r="L845" i="2"/>
  <c r="H837" i="2"/>
  <c r="H867" i="2" s="1"/>
  <c r="H845" i="2"/>
  <c r="G975" i="2"/>
  <c r="AA969" i="2"/>
  <c r="AB969" i="2" s="1"/>
  <c r="T956" i="2"/>
  <c r="D63" i="4"/>
  <c r="E63" i="4" s="1"/>
  <c r="G63" i="4" s="1"/>
  <c r="R991" i="2"/>
  <c r="R995" i="2" s="1"/>
  <c r="O962" i="2"/>
  <c r="O958" i="2"/>
  <c r="O943" i="2"/>
  <c r="O945" i="2" s="1"/>
  <c r="O934" i="2"/>
  <c r="O877" i="2"/>
  <c r="O879" i="2" s="1"/>
  <c r="O889" i="2"/>
  <c r="O891" i="2" s="1"/>
  <c r="O869" i="2"/>
  <c r="U837" i="2"/>
  <c r="U867" i="2" s="1"/>
  <c r="U845" i="2"/>
  <c r="J921" i="2"/>
  <c r="J931" i="2"/>
  <c r="P921" i="2"/>
  <c r="P931" i="2"/>
  <c r="S889" i="2"/>
  <c r="S891" i="2" s="1"/>
  <c r="S877" i="2"/>
  <c r="S879" i="2" s="1"/>
  <c r="S869" i="2"/>
  <c r="K37" i="24"/>
  <c r="L37" i="24" s="1"/>
  <c r="E39" i="24"/>
  <c r="K39" i="24" s="1"/>
  <c r="L39" i="24" s="1"/>
  <c r="K37" i="31"/>
  <c r="L37" i="31" s="1"/>
  <c r="E39" i="31"/>
  <c r="K39" i="31" s="1"/>
  <c r="L39" i="31" s="1"/>
  <c r="H982" i="2"/>
  <c r="H988" i="2" s="1"/>
  <c r="H941" i="2"/>
  <c r="T943" i="2"/>
  <c r="T945" i="2" s="1"/>
  <c r="T948" i="2" s="1"/>
  <c r="T952" i="2" s="1"/>
  <c r="T958" i="2"/>
  <c r="T962" i="2"/>
  <c r="E61" i="4"/>
  <c r="G61" i="4" s="1"/>
  <c r="M988" i="2"/>
  <c r="N914" i="2"/>
  <c r="N917" i="2" s="1"/>
  <c r="Y948" i="2"/>
  <c r="Y952" i="2" s="1"/>
  <c r="W948" i="2"/>
  <c r="W952" i="2" s="1"/>
  <c r="K914" i="2"/>
  <c r="K917" i="2" s="1"/>
  <c r="L914" i="2"/>
  <c r="L917" i="2" s="1"/>
  <c r="AA84" i="33" l="1"/>
  <c r="L9" i="32"/>
  <c r="J21" i="32"/>
  <c r="L21" i="32" s="1"/>
  <c r="G99" i="33"/>
  <c r="G91" i="33"/>
  <c r="AB84" i="33"/>
  <c r="AA86" i="33"/>
  <c r="AB86" i="33" s="1"/>
  <c r="O882" i="2"/>
  <c r="O886" i="2" s="1"/>
  <c r="T882" i="2"/>
  <c r="T886" i="2" s="1"/>
  <c r="I991" i="2"/>
  <c r="I995" i="2" s="1"/>
  <c r="K921" i="2"/>
  <c r="K931" i="2"/>
  <c r="N921" i="2"/>
  <c r="N931" i="2"/>
  <c r="L921" i="2"/>
  <c r="L931" i="2"/>
  <c r="D58" i="4"/>
  <c r="E58" i="4" s="1"/>
  <c r="G58" i="4" s="1"/>
  <c r="K991" i="2"/>
  <c r="K995" i="2" s="1"/>
  <c r="U889" i="2"/>
  <c r="U891" i="2" s="1"/>
  <c r="U877" i="2"/>
  <c r="U879" i="2" s="1"/>
  <c r="U869" i="2"/>
  <c r="O956" i="2"/>
  <c r="O960" i="2" s="1"/>
  <c r="O948" i="2"/>
  <c r="O952" i="2" s="1"/>
  <c r="K889" i="2"/>
  <c r="K891" i="2" s="1"/>
  <c r="K877" i="2"/>
  <c r="K879" i="2" s="1"/>
  <c r="K869" i="2"/>
  <c r="M962" i="2"/>
  <c r="M958" i="2"/>
  <c r="M943" i="2"/>
  <c r="M945" i="2" s="1"/>
  <c r="M934" i="2"/>
  <c r="R956" i="2"/>
  <c r="R960" i="2" s="1"/>
  <c r="R948" i="2"/>
  <c r="R952" i="2" s="1"/>
  <c r="U921" i="2"/>
  <c r="U931" i="2"/>
  <c r="D66" i="4"/>
  <c r="E66" i="4" s="1"/>
  <c r="G66" i="4" s="1"/>
  <c r="U991" i="2"/>
  <c r="U995" i="2" s="1"/>
  <c r="I877" i="2"/>
  <c r="I879" i="2" s="1"/>
  <c r="I889" i="2"/>
  <c r="I891" i="2" s="1"/>
  <c r="I869" i="2"/>
  <c r="N877" i="2"/>
  <c r="N879" i="2" s="1"/>
  <c r="N889" i="2"/>
  <c r="N891" i="2" s="1"/>
  <c r="N869" i="2"/>
  <c r="P877" i="2"/>
  <c r="P879" i="2" s="1"/>
  <c r="P889" i="2"/>
  <c r="P891" i="2" s="1"/>
  <c r="P869" i="2"/>
  <c r="AB830" i="2"/>
  <c r="AA832" i="2"/>
  <c r="AB832" i="2" s="1"/>
  <c r="S882" i="2"/>
  <c r="S886" i="2" s="1"/>
  <c r="T960" i="2"/>
  <c r="M991" i="2"/>
  <c r="M995" i="2" s="1"/>
  <c r="AA928" i="2"/>
  <c r="AB928" i="2" s="1"/>
  <c r="D56" i="4"/>
  <c r="E56" i="4" s="1"/>
  <c r="G56" i="4" s="1"/>
  <c r="H991" i="2"/>
  <c r="H995" i="2" s="1"/>
  <c r="P962" i="2"/>
  <c r="P958" i="2"/>
  <c r="P943" i="2"/>
  <c r="P945" i="2" s="1"/>
  <c r="P934" i="2"/>
  <c r="J958" i="2"/>
  <c r="J943" i="2"/>
  <c r="J945" i="2" s="1"/>
  <c r="J962" i="2"/>
  <c r="J934" i="2"/>
  <c r="C55" i="4"/>
  <c r="C47" i="14"/>
  <c r="C41" i="14"/>
  <c r="AA975" i="2"/>
  <c r="AB975" i="2" s="1"/>
  <c r="H889" i="2"/>
  <c r="H891" i="2" s="1"/>
  <c r="H877" i="2"/>
  <c r="H879" i="2" s="1"/>
  <c r="H869" i="2"/>
  <c r="L877" i="2"/>
  <c r="L879" i="2" s="1"/>
  <c r="L889" i="2"/>
  <c r="L891" i="2" s="1"/>
  <c r="L869" i="2"/>
  <c r="J889" i="2"/>
  <c r="J891" i="2" s="1"/>
  <c r="J877" i="2"/>
  <c r="J879" i="2" s="1"/>
  <c r="J869" i="2"/>
  <c r="D59" i="4"/>
  <c r="E59" i="4" s="1"/>
  <c r="G59" i="4" s="1"/>
  <c r="N991" i="2"/>
  <c r="N995" i="2" s="1"/>
  <c r="D20" i="31"/>
  <c r="D24" i="31" s="1"/>
  <c r="D41" i="31" s="1"/>
  <c r="D47" i="31" s="1"/>
  <c r="E18" i="31"/>
  <c r="H962" i="2"/>
  <c r="H943" i="2"/>
  <c r="H945" i="2" s="1"/>
  <c r="H958" i="2"/>
  <c r="H934" i="2"/>
  <c r="Q934" i="2"/>
  <c r="Q956" i="2" s="1"/>
  <c r="Q943" i="2"/>
  <c r="Q945" i="2" s="1"/>
  <c r="Q958" i="2"/>
  <c r="Q962" i="2"/>
  <c r="D57" i="4"/>
  <c r="E57" i="4" s="1"/>
  <c r="G57" i="4" s="1"/>
  <c r="J991" i="2"/>
  <c r="J995" i="2" s="1"/>
  <c r="K37" i="14"/>
  <c r="L37" i="14" s="1"/>
  <c r="E39" i="14"/>
  <c r="K39" i="14" s="1"/>
  <c r="L39" i="14" s="1"/>
  <c r="D22" i="4"/>
  <c r="E10" i="4"/>
  <c r="G980" i="2"/>
  <c r="G914" i="2"/>
  <c r="G939" i="2"/>
  <c r="AA908" i="2"/>
  <c r="AB908" i="2" s="1"/>
  <c r="S943" i="2"/>
  <c r="S945" i="2" s="1"/>
  <c r="S962" i="2"/>
  <c r="S958" i="2"/>
  <c r="S934" i="2"/>
  <c r="AA851" i="2"/>
  <c r="AB851" i="2" s="1"/>
  <c r="G857" i="2"/>
  <c r="AA857" i="2" s="1"/>
  <c r="AB857" i="2" s="1"/>
  <c r="G941" i="2"/>
  <c r="AA941" i="2" s="1"/>
  <c r="AB941" i="2" s="1"/>
  <c r="G982" i="2"/>
  <c r="AA982" i="2" s="1"/>
  <c r="AB982" i="2" s="1"/>
  <c r="AA910" i="2"/>
  <c r="AB910" i="2" s="1"/>
  <c r="I956" i="2"/>
  <c r="M877" i="2"/>
  <c r="M879" i="2" s="1"/>
  <c r="M889" i="2"/>
  <c r="M891" i="2" s="1"/>
  <c r="M869" i="2"/>
  <c r="Q877" i="2"/>
  <c r="Q879" i="2" s="1"/>
  <c r="Q889" i="2"/>
  <c r="Q891" i="2" s="1"/>
  <c r="Q869" i="2"/>
  <c r="G837" i="2"/>
  <c r="G867" i="2" s="1"/>
  <c r="G845" i="2"/>
  <c r="D44" i="4"/>
  <c r="E32" i="4"/>
  <c r="E20" i="28"/>
  <c r="F18" i="28"/>
  <c r="I943" i="2"/>
  <c r="I945" i="2" s="1"/>
  <c r="I962" i="2"/>
  <c r="I958" i="2"/>
  <c r="R882" i="2"/>
  <c r="R886" i="2" s="1"/>
  <c r="N882" i="2" l="1"/>
  <c r="N886" i="2" s="1"/>
  <c r="I882" i="2"/>
  <c r="I886" i="2" s="1"/>
  <c r="L882" i="2"/>
  <c r="L886" i="2" s="1"/>
  <c r="Q882" i="2"/>
  <c r="Q886" i="2" s="1"/>
  <c r="M882" i="2"/>
  <c r="M886" i="2" s="1"/>
  <c r="Q960" i="2"/>
  <c r="P882" i="2"/>
  <c r="P886" i="2" s="1"/>
  <c r="J882" i="2"/>
  <c r="J886" i="2" s="1"/>
  <c r="K882" i="2"/>
  <c r="K886" i="2" s="1"/>
  <c r="I948" i="2"/>
  <c r="I952" i="2" s="1"/>
  <c r="G18" i="28"/>
  <c r="F20" i="28"/>
  <c r="F24" i="28" s="1"/>
  <c r="E24" i="28"/>
  <c r="G889" i="2"/>
  <c r="G877" i="2"/>
  <c r="AA867" i="2"/>
  <c r="AB867" i="2" s="1"/>
  <c r="G869" i="2"/>
  <c r="S948" i="2"/>
  <c r="S952" i="2" s="1"/>
  <c r="S956" i="2"/>
  <c r="AA914" i="2"/>
  <c r="AB914" i="2" s="1"/>
  <c r="G917" i="2"/>
  <c r="G10" i="4"/>
  <c r="E22" i="4"/>
  <c r="G22" i="4" s="1"/>
  <c r="D18" i="27"/>
  <c r="H956" i="2"/>
  <c r="H960" i="2" s="1"/>
  <c r="H948" i="2"/>
  <c r="H952" i="2" s="1"/>
  <c r="C67" i="4"/>
  <c r="J956" i="2"/>
  <c r="J948" i="2"/>
  <c r="J952" i="2" s="1"/>
  <c r="P956" i="2"/>
  <c r="P960" i="2" s="1"/>
  <c r="P948" i="2"/>
  <c r="P952" i="2" s="1"/>
  <c r="D18" i="24"/>
  <c r="U962" i="2"/>
  <c r="U958" i="2"/>
  <c r="U943" i="2"/>
  <c r="U945" i="2" s="1"/>
  <c r="U934" i="2"/>
  <c r="M948" i="2"/>
  <c r="M952" i="2" s="1"/>
  <c r="M956" i="2"/>
  <c r="M960" i="2" s="1"/>
  <c r="I960" i="2"/>
  <c r="Q948" i="2"/>
  <c r="Q952" i="2" s="1"/>
  <c r="H882" i="2"/>
  <c r="H886" i="2" s="1"/>
  <c r="U882" i="2"/>
  <c r="U886" i="2" s="1"/>
  <c r="G32" i="4"/>
  <c r="E44" i="4"/>
  <c r="G44" i="4" s="1"/>
  <c r="AA939" i="2"/>
  <c r="AB939" i="2" s="1"/>
  <c r="G988" i="2"/>
  <c r="AA980" i="2"/>
  <c r="AB980" i="2" s="1"/>
  <c r="F18" i="31"/>
  <c r="E20" i="31"/>
  <c r="D18" i="26"/>
  <c r="L943" i="2"/>
  <c r="L945" i="2" s="1"/>
  <c r="L962" i="2"/>
  <c r="L958" i="2"/>
  <c r="L934" i="2"/>
  <c r="N934" i="2"/>
  <c r="N956" i="2" s="1"/>
  <c r="N943" i="2"/>
  <c r="N945" i="2" s="1"/>
  <c r="N962" i="2"/>
  <c r="N958" i="2"/>
  <c r="K943" i="2"/>
  <c r="K945" i="2" s="1"/>
  <c r="K962" i="2"/>
  <c r="K958" i="2"/>
  <c r="K934" i="2"/>
  <c r="S960" i="2"/>
  <c r="J960" i="2"/>
  <c r="E24" i="31" l="1"/>
  <c r="D20" i="24"/>
  <c r="D24" i="24" s="1"/>
  <c r="D41" i="24" s="1"/>
  <c r="D47" i="24" s="1"/>
  <c r="E18" i="24"/>
  <c r="E18" i="27"/>
  <c r="D20" i="27"/>
  <c r="D24" i="27" s="1"/>
  <c r="D41" i="27" s="1"/>
  <c r="D47" i="27" s="1"/>
  <c r="G921" i="2"/>
  <c r="AA917" i="2"/>
  <c r="AB917" i="2" s="1"/>
  <c r="G931" i="2"/>
  <c r="AA869" i="2"/>
  <c r="AB869" i="2" s="1"/>
  <c r="AA877" i="2"/>
  <c r="AB877" i="2" s="1"/>
  <c r="G879" i="2"/>
  <c r="AA879" i="2" s="1"/>
  <c r="AB879" i="2" s="1"/>
  <c r="G20" i="28"/>
  <c r="H18" i="28"/>
  <c r="K948" i="2"/>
  <c r="K952" i="2" s="1"/>
  <c r="K956" i="2"/>
  <c r="K960" i="2" s="1"/>
  <c r="L956" i="2"/>
  <c r="L960" i="2" s="1"/>
  <c r="L948" i="2"/>
  <c r="L952" i="2" s="1"/>
  <c r="E18" i="26"/>
  <c r="D20" i="26"/>
  <c r="D24" i="26" s="1"/>
  <c r="D41" i="26" s="1"/>
  <c r="D47" i="26" s="1"/>
  <c r="F20" i="31"/>
  <c r="F24" i="31" s="1"/>
  <c r="G18" i="31"/>
  <c r="D55" i="4"/>
  <c r="AA988" i="2"/>
  <c r="AB988" i="2" s="1"/>
  <c r="G991" i="2"/>
  <c r="U956" i="2"/>
  <c r="U948" i="2"/>
  <c r="U952" i="2" s="1"/>
  <c r="G891" i="2"/>
  <c r="AA889" i="2"/>
  <c r="AB889" i="2" s="1"/>
  <c r="N960" i="2"/>
  <c r="N948" i="2"/>
  <c r="N952" i="2" s="1"/>
  <c r="U960" i="2"/>
  <c r="H18" i="31" l="1"/>
  <c r="G20" i="31"/>
  <c r="G24" i="31" s="1"/>
  <c r="G24" i="28"/>
  <c r="F18" i="24"/>
  <c r="E20" i="24"/>
  <c r="G882" i="2"/>
  <c r="G995" i="2"/>
  <c r="D18" i="14" s="1"/>
  <c r="AA991" i="2"/>
  <c r="AB991" i="2" s="1"/>
  <c r="D67" i="4"/>
  <c r="E55" i="4"/>
  <c r="E20" i="26"/>
  <c r="F18" i="26"/>
  <c r="I18" i="28"/>
  <c r="H20" i="28"/>
  <c r="H24" i="28" s="1"/>
  <c r="G943" i="2"/>
  <c r="G958" i="2"/>
  <c r="G962" i="2"/>
  <c r="AA931" i="2"/>
  <c r="AB931" i="2" s="1"/>
  <c r="G934" i="2"/>
  <c r="F18" i="27"/>
  <c r="E20" i="27"/>
  <c r="G960" i="2" l="1"/>
  <c r="E24" i="27"/>
  <c r="G18" i="27"/>
  <c r="F20" i="27"/>
  <c r="F24" i="27" s="1"/>
  <c r="G956" i="2"/>
  <c r="AA934" i="2"/>
  <c r="AB934" i="2" s="1"/>
  <c r="AA943" i="2"/>
  <c r="AB943" i="2" s="1"/>
  <c r="G945" i="2"/>
  <c r="J18" i="28"/>
  <c r="J20" i="28" s="1"/>
  <c r="J24" i="28" s="1"/>
  <c r="I20" i="28"/>
  <c r="I24" i="28" s="1"/>
  <c r="E24" i="26"/>
  <c r="D20" i="14"/>
  <c r="D24" i="14" s="1"/>
  <c r="D41" i="14" s="1"/>
  <c r="D47" i="14" s="1"/>
  <c r="E18" i="14"/>
  <c r="F20" i="24"/>
  <c r="F24" i="24" s="1"/>
  <c r="G18" i="24"/>
  <c r="I18" i="31"/>
  <c r="H20" i="31"/>
  <c r="F20" i="26"/>
  <c r="F24" i="26" s="1"/>
  <c r="G18" i="26"/>
  <c r="G55" i="4"/>
  <c r="E67" i="4"/>
  <c r="G67" i="4" s="1"/>
  <c r="G886" i="2"/>
  <c r="AA882" i="2"/>
  <c r="AB882" i="2" s="1"/>
  <c r="E24" i="24"/>
  <c r="K24" i="28" l="1"/>
  <c r="G26" i="28" s="1"/>
  <c r="G41" i="28" s="1"/>
  <c r="G47" i="28" s="1"/>
  <c r="G51" i="28" s="1"/>
  <c r="K20" i="28"/>
  <c r="L20" i="28" s="1"/>
  <c r="J18" i="31"/>
  <c r="J20" i="31" s="1"/>
  <c r="J24" i="31" s="1"/>
  <c r="I20" i="31"/>
  <c r="I24" i="31" s="1"/>
  <c r="G20" i="27"/>
  <c r="G24" i="27" s="1"/>
  <c r="H18" i="27"/>
  <c r="H18" i="26"/>
  <c r="G20" i="26"/>
  <c r="G24" i="26" s="1"/>
  <c r="H24" i="31"/>
  <c r="F26" i="28"/>
  <c r="F41" i="28" s="1"/>
  <c r="F47" i="28" s="1"/>
  <c r="F51" i="28" s="1"/>
  <c r="K54" i="28" s="1"/>
  <c r="H18" i="24"/>
  <c r="G20" i="24"/>
  <c r="F18" i="14"/>
  <c r="E20" i="14"/>
  <c r="G948" i="2"/>
  <c r="AA945" i="2"/>
  <c r="AB945" i="2" s="1"/>
  <c r="I26" i="28"/>
  <c r="I41" i="28" s="1"/>
  <c r="I47" i="28" s="1"/>
  <c r="I51" i="28" s="1"/>
  <c r="E26" i="28" l="1"/>
  <c r="H26" i="28"/>
  <c r="H41" i="28" s="1"/>
  <c r="H47" i="28" s="1"/>
  <c r="H51" i="28" s="1"/>
  <c r="J26" i="28"/>
  <c r="J41" i="28" s="1"/>
  <c r="J47" i="28" s="1"/>
  <c r="J51" i="28" s="1"/>
  <c r="K53" i="28" s="1"/>
  <c r="L24" i="28"/>
  <c r="K20" i="31"/>
  <c r="L20" i="31" s="1"/>
  <c r="E24" i="14"/>
  <c r="G24" i="24"/>
  <c r="K26" i="28"/>
  <c r="L26" i="28" s="1"/>
  <c r="E41" i="28"/>
  <c r="I18" i="27"/>
  <c r="H20" i="27"/>
  <c r="G952" i="2"/>
  <c r="AA948" i="2"/>
  <c r="AB948" i="2" s="1"/>
  <c r="F20" i="14"/>
  <c r="F24" i="14" s="1"/>
  <c r="G18" i="14"/>
  <c r="H20" i="24"/>
  <c r="H24" i="24" s="1"/>
  <c r="I18" i="24"/>
  <c r="K24" i="31"/>
  <c r="H20" i="26"/>
  <c r="I18" i="26"/>
  <c r="J26" i="31"/>
  <c r="J41" i="31" s="1"/>
  <c r="J47" i="31" s="1"/>
  <c r="J51" i="31" s="1"/>
  <c r="K51" i="28" l="1"/>
  <c r="J18" i="26"/>
  <c r="J20" i="26" s="1"/>
  <c r="J24" i="26" s="1"/>
  <c r="I20" i="26"/>
  <c r="I24" i="26" s="1"/>
  <c r="I26" i="31"/>
  <c r="I41" i="31" s="1"/>
  <c r="I47" i="31" s="1"/>
  <c r="I51" i="31" s="1"/>
  <c r="K53" i="31" s="1"/>
  <c r="L24" i="31"/>
  <c r="E26" i="31"/>
  <c r="F26" i="31"/>
  <c r="F41" i="31" s="1"/>
  <c r="F47" i="31" s="1"/>
  <c r="F51" i="31" s="1"/>
  <c r="K54" i="31" s="1"/>
  <c r="G26" i="31"/>
  <c r="G41" i="31" s="1"/>
  <c r="G47" i="31" s="1"/>
  <c r="G51" i="31" s="1"/>
  <c r="J18" i="24"/>
  <c r="J20" i="24" s="1"/>
  <c r="J24" i="24" s="1"/>
  <c r="I20" i="24"/>
  <c r="I24" i="24" s="1"/>
  <c r="G20" i="14"/>
  <c r="G24" i="14" s="1"/>
  <c r="H18" i="14"/>
  <c r="H24" i="27"/>
  <c r="K24" i="24"/>
  <c r="G26" i="24" s="1"/>
  <c r="G41" i="24" s="1"/>
  <c r="G47" i="24" s="1"/>
  <c r="G51" i="24" s="1"/>
  <c r="H24" i="26"/>
  <c r="K20" i="26"/>
  <c r="L20" i="26" s="1"/>
  <c r="J18" i="27"/>
  <c r="J20" i="27" s="1"/>
  <c r="J24" i="27" s="1"/>
  <c r="I20" i="27"/>
  <c r="I24" i="27" s="1"/>
  <c r="K41" i="28"/>
  <c r="L41" i="28" s="1"/>
  <c r="E47" i="28"/>
  <c r="H26" i="31"/>
  <c r="H41" i="31" s="1"/>
  <c r="H47" i="31" s="1"/>
  <c r="H51" i="31" s="1"/>
  <c r="K20" i="24"/>
  <c r="L20" i="24" s="1"/>
  <c r="K51" i="31" l="1"/>
  <c r="H26" i="24"/>
  <c r="H41" i="24" s="1"/>
  <c r="H47" i="24" s="1"/>
  <c r="H51" i="24" s="1"/>
  <c r="E51" i="28"/>
  <c r="K55" i="28" s="1"/>
  <c r="K47" i="28"/>
  <c r="L47" i="28" s="1"/>
  <c r="K24" i="26"/>
  <c r="H26" i="26" s="1"/>
  <c r="H41" i="26" s="1"/>
  <c r="H47" i="26" s="1"/>
  <c r="H51" i="26" s="1"/>
  <c r="L24" i="24"/>
  <c r="F26" i="24"/>
  <c r="F41" i="24" s="1"/>
  <c r="F47" i="24" s="1"/>
  <c r="F51" i="24" s="1"/>
  <c r="E26" i="24"/>
  <c r="H20" i="14"/>
  <c r="I18" i="14"/>
  <c r="K26" i="31"/>
  <c r="L26" i="31" s="1"/>
  <c r="E41" i="31"/>
  <c r="K20" i="27"/>
  <c r="L20" i="27" s="1"/>
  <c r="I26" i="24"/>
  <c r="I41" i="24" s="1"/>
  <c r="I47" i="24" s="1"/>
  <c r="I51" i="24" s="1"/>
  <c r="K24" i="27"/>
  <c r="J26" i="24"/>
  <c r="J41" i="24" s="1"/>
  <c r="J47" i="24" s="1"/>
  <c r="J51" i="24" s="1"/>
  <c r="I26" i="26" l="1"/>
  <c r="I41" i="26" s="1"/>
  <c r="I47" i="26" s="1"/>
  <c r="I51" i="26" s="1"/>
  <c r="L24" i="27"/>
  <c r="E26" i="27"/>
  <c r="F26" i="27"/>
  <c r="F41" i="27" s="1"/>
  <c r="F47" i="27" s="1"/>
  <c r="F51" i="27" s="1"/>
  <c r="K54" i="27" s="1"/>
  <c r="G26" i="27"/>
  <c r="G41" i="27" s="1"/>
  <c r="G47" i="27" s="1"/>
  <c r="G51" i="27" s="1"/>
  <c r="K41" i="31"/>
  <c r="L41" i="31" s="1"/>
  <c r="E47" i="31"/>
  <c r="J18" i="14"/>
  <c r="J20" i="14" s="1"/>
  <c r="J24" i="14" s="1"/>
  <c r="I20" i="14"/>
  <c r="I24" i="14" s="1"/>
  <c r="K26" i="24"/>
  <c r="L26" i="24" s="1"/>
  <c r="E41" i="24"/>
  <c r="J26" i="26"/>
  <c r="J41" i="26" s="1"/>
  <c r="J47" i="26" s="1"/>
  <c r="J51" i="26" s="1"/>
  <c r="K53" i="26" s="1"/>
  <c r="L24" i="26"/>
  <c r="E26" i="26"/>
  <c r="F26" i="26"/>
  <c r="F41" i="26" s="1"/>
  <c r="F47" i="26" s="1"/>
  <c r="F51" i="26" s="1"/>
  <c r="K54" i="26" s="1"/>
  <c r="G26" i="26"/>
  <c r="G41" i="26" s="1"/>
  <c r="G47" i="26" s="1"/>
  <c r="G51" i="26" s="1"/>
  <c r="J26" i="27"/>
  <c r="J41" i="27" s="1"/>
  <c r="J47" i="27" s="1"/>
  <c r="J51" i="27" s="1"/>
  <c r="H26" i="27"/>
  <c r="H41" i="27" s="1"/>
  <c r="H47" i="27" s="1"/>
  <c r="H51" i="27" s="1"/>
  <c r="K53" i="24"/>
  <c r="K51" i="24"/>
  <c r="H24" i="14"/>
  <c r="I26" i="27"/>
  <c r="I41" i="27" s="1"/>
  <c r="I47" i="27" s="1"/>
  <c r="I51" i="27" s="1"/>
  <c r="K20" i="14" l="1"/>
  <c r="L20" i="14" s="1"/>
  <c r="K53" i="27"/>
  <c r="K51" i="27"/>
  <c r="K26" i="26"/>
  <c r="L26" i="26" s="1"/>
  <c r="E41" i="26"/>
  <c r="K51" i="26"/>
  <c r="K24" i="14"/>
  <c r="I26" i="14" s="1"/>
  <c r="I41" i="14" s="1"/>
  <c r="I47" i="14" s="1"/>
  <c r="I51" i="14" s="1"/>
  <c r="E47" i="24"/>
  <c r="K41" i="24"/>
  <c r="L41" i="24" s="1"/>
  <c r="K47" i="31"/>
  <c r="L47" i="31" s="1"/>
  <c r="E51" i="31"/>
  <c r="K55" i="31" s="1"/>
  <c r="K26" i="27"/>
  <c r="L26" i="27" s="1"/>
  <c r="E41" i="27"/>
  <c r="K41" i="27" l="1"/>
  <c r="L41" i="27" s="1"/>
  <c r="E47" i="27"/>
  <c r="J26" i="14"/>
  <c r="J41" i="14" s="1"/>
  <c r="J47" i="14" s="1"/>
  <c r="J51" i="14" s="1"/>
  <c r="K53" i="14" s="1"/>
  <c r="L24" i="14"/>
  <c r="F26" i="14"/>
  <c r="F41" i="14" s="1"/>
  <c r="F47" i="14" s="1"/>
  <c r="F51" i="14" s="1"/>
  <c r="E26" i="14"/>
  <c r="G26" i="14"/>
  <c r="G41" i="14" s="1"/>
  <c r="G47" i="14" s="1"/>
  <c r="G51" i="14" s="1"/>
  <c r="E51" i="24"/>
  <c r="K54" i="24" s="1"/>
  <c r="K47" i="24"/>
  <c r="L47" i="24" s="1"/>
  <c r="K41" i="26"/>
  <c r="L41" i="26" s="1"/>
  <c r="E47" i="26"/>
  <c r="H26" i="14"/>
  <c r="H41" i="14" s="1"/>
  <c r="H47" i="14" s="1"/>
  <c r="H51" i="14" s="1"/>
  <c r="K47" i="26" l="1"/>
  <c r="L47" i="26" s="1"/>
  <c r="E51" i="26"/>
  <c r="K55" i="26" s="1"/>
  <c r="K51" i="14"/>
  <c r="K26" i="14"/>
  <c r="L26" i="14" s="1"/>
  <c r="E41" i="14"/>
  <c r="E51" i="27"/>
  <c r="K55" i="27" s="1"/>
  <c r="K47" i="27"/>
  <c r="L47" i="27" s="1"/>
  <c r="K41" i="14" l="1"/>
  <c r="L41" i="14" s="1"/>
  <c r="E47" i="14"/>
  <c r="K47" i="14" l="1"/>
  <c r="L47" i="14" s="1"/>
  <c r="E51" i="14"/>
  <c r="K54" i="14" s="1"/>
</calcChain>
</file>

<file path=xl/comments1.xml><?xml version="1.0" encoding="utf-8"?>
<comments xmlns="http://schemas.openxmlformats.org/spreadsheetml/2006/main">
  <authors>
    <author>Wernert, Jeff</author>
  </authors>
  <commentList>
    <comment ref="M1110" authorId="0" shapeId="0">
      <text>
        <r>
          <rPr>
            <b/>
            <sz val="9"/>
            <color indexed="81"/>
            <rFont val="Tahoma"/>
            <family val="2"/>
          </rPr>
          <t>Wernert, Jeff:</t>
        </r>
        <r>
          <rPr>
            <sz val="9"/>
            <color indexed="81"/>
            <rFont val="Tahoma"/>
            <family val="2"/>
          </rPr>
          <t xml:space="preserve">
Carbide - CSR 10</t>
        </r>
      </text>
    </comment>
    <comment ref="P1110" authorId="0" shapeId="0">
      <text>
        <r>
          <rPr>
            <b/>
            <sz val="9"/>
            <color indexed="81"/>
            <rFont val="Tahoma"/>
            <family val="2"/>
          </rPr>
          <t>Wernert, Jeff:</t>
        </r>
        <r>
          <rPr>
            <sz val="9"/>
            <color indexed="81"/>
            <rFont val="Tahoma"/>
            <family val="2"/>
          </rPr>
          <t xml:space="preserve">
Cemex - CSR 30</t>
        </r>
      </text>
    </comment>
  </commentList>
</comments>
</file>

<file path=xl/sharedStrings.xml><?xml version="1.0" encoding="utf-8"?>
<sst xmlns="http://schemas.openxmlformats.org/spreadsheetml/2006/main" count="3850" uniqueCount="1411">
  <si>
    <t>Cash Working Capital</t>
  </si>
  <si>
    <t>Total Operating Revenue -- Pro-Forma Actual</t>
  </si>
  <si>
    <t>ADEPREPA</t>
  </si>
  <si>
    <t>ADEPRTP</t>
  </si>
  <si>
    <t>M&amp;S</t>
  </si>
  <si>
    <t>DDEBPP</t>
  </si>
  <si>
    <t>OM555</t>
  </si>
  <si>
    <t>OTHER EXPENSES</t>
  </si>
  <si>
    <t>OM557</t>
  </si>
  <si>
    <t>TPP</t>
  </si>
  <si>
    <t>Purchased Power Expenses</t>
  </si>
  <si>
    <t>OM560</t>
  </si>
  <si>
    <t>OM561</t>
  </si>
  <si>
    <t>OM562</t>
  </si>
  <si>
    <t>OM563</t>
  </si>
  <si>
    <t>OM568</t>
  </si>
  <si>
    <t>OM570</t>
  </si>
  <si>
    <t>OM571</t>
  </si>
  <si>
    <t>OMSUB2</t>
  </si>
  <si>
    <t>Operation and Maintenance Expenses Less Purchase Power</t>
  </si>
  <si>
    <t>Cash Working Capital - Operation and Maintenance Expenses</t>
  </si>
  <si>
    <t>DEPRTP</t>
  </si>
  <si>
    <t>DEPRAADJ</t>
  </si>
  <si>
    <t>OTHER</t>
  </si>
  <si>
    <t xml:space="preserve">  CWIP Transmission</t>
  </si>
  <si>
    <t>ADEPRD11</t>
  </si>
  <si>
    <t>ADEPRD12</t>
  </si>
  <si>
    <t>METER EXPENSES - LOAD MANAGEMENT</t>
  </si>
  <si>
    <t>OM586x</t>
  </si>
  <si>
    <t>RECORDS AND COLLECTION</t>
  </si>
  <si>
    <t>MISC CUST ACCOUNTS</t>
  </si>
  <si>
    <t>CUSTOMER ASSISTANCE EXP-LOAD MGMT</t>
  </si>
  <si>
    <t>OM908x</t>
  </si>
  <si>
    <t>INFORM AND INSTRUC -LOAD MGMT</t>
  </si>
  <si>
    <t>OM909x</t>
  </si>
  <si>
    <t>DEPRDP1</t>
  </si>
  <si>
    <t>DEPRDP2</t>
  </si>
  <si>
    <t>DEPRDP3</t>
  </si>
  <si>
    <t>DEPRDP4</t>
  </si>
  <si>
    <t>DEPRDP5</t>
  </si>
  <si>
    <t>DEPRDP6</t>
  </si>
  <si>
    <t>Load Management</t>
  </si>
  <si>
    <t>F012</t>
  </si>
  <si>
    <t>REVMISC</t>
  </si>
  <si>
    <t>Deferred Debits</t>
  </si>
  <si>
    <t>Labor Expenses (Continued)</t>
  </si>
  <si>
    <t>LBPP</t>
  </si>
  <si>
    <t>LB557</t>
  </si>
  <si>
    <t>LB561</t>
  </si>
  <si>
    <t>LB562</t>
  </si>
  <si>
    <t>LB563</t>
  </si>
  <si>
    <t>LB570</t>
  </si>
  <si>
    <t>LB571</t>
  </si>
  <si>
    <t>LB580</t>
  </si>
  <si>
    <t>LB581</t>
  </si>
  <si>
    <t>LB582</t>
  </si>
  <si>
    <t>LB583</t>
  </si>
  <si>
    <t>LB584</t>
  </si>
  <si>
    <t>LB585</t>
  </si>
  <si>
    <t>LB586</t>
  </si>
  <si>
    <t>LB586x</t>
  </si>
  <si>
    <t>LB587</t>
  </si>
  <si>
    <t>LB588</t>
  </si>
  <si>
    <t>LB589</t>
  </si>
  <si>
    <t>LBDO</t>
  </si>
  <si>
    <t>LB590</t>
  </si>
  <si>
    <t>LB592</t>
  </si>
  <si>
    <t>LB593</t>
  </si>
  <si>
    <t>LB594</t>
  </si>
  <si>
    <t>LB595</t>
  </si>
  <si>
    <t>LB596</t>
  </si>
  <si>
    <t>LB597</t>
  </si>
  <si>
    <t>LB598</t>
  </si>
  <si>
    <t>LBDM</t>
  </si>
  <si>
    <t>LBSUB</t>
  </si>
  <si>
    <t>LB901</t>
  </si>
  <si>
    <t>LB902</t>
  </si>
  <si>
    <t>LB903</t>
  </si>
  <si>
    <t>LB904</t>
  </si>
  <si>
    <t>LBCA</t>
  </si>
  <si>
    <t>LB907</t>
  </si>
  <si>
    <t>LB908</t>
  </si>
  <si>
    <t>LB908x</t>
  </si>
  <si>
    <t>LB909</t>
  </si>
  <si>
    <t>LB909x</t>
  </si>
  <si>
    <t>LB910</t>
  </si>
  <si>
    <t>LBCS</t>
  </si>
  <si>
    <t>LBSUB2</t>
  </si>
  <si>
    <t>LB920</t>
  </si>
  <si>
    <t>LB923</t>
  </si>
  <si>
    <t>LB924</t>
  </si>
  <si>
    <t>LB925</t>
  </si>
  <si>
    <t>LB926</t>
  </si>
  <si>
    <t>LB928</t>
  </si>
  <si>
    <t>LB929</t>
  </si>
  <si>
    <t>LB930</t>
  </si>
  <si>
    <t>LB931</t>
  </si>
  <si>
    <t>LB932</t>
  </si>
  <si>
    <t>LBAG</t>
  </si>
  <si>
    <t>TLB</t>
  </si>
  <si>
    <t>LBLPP</t>
  </si>
  <si>
    <t>LB555</t>
  </si>
  <si>
    <t>LB560</t>
  </si>
  <si>
    <t>Total Purchased Power Labor</t>
  </si>
  <si>
    <t>Total Transmission Labor Expenses</t>
  </si>
  <si>
    <t>Transmission Labor Expenses</t>
  </si>
  <si>
    <t>Distribution Operation Labor Expense</t>
  </si>
  <si>
    <t>Total Distribution Operation Labor Expense</t>
  </si>
  <si>
    <t>Distribution Maintenance Labor Expense</t>
  </si>
  <si>
    <t>Total Distribution Maintenance Labor Expense</t>
  </si>
  <si>
    <t>Total Distribution Operation and Maintenance Labor Expenses</t>
  </si>
  <si>
    <t>Transmission and Distribution Labor Expenses</t>
  </si>
  <si>
    <t>Total Customer Accounts Labor Expense</t>
  </si>
  <si>
    <t>Total Customer Service Labor Expense</t>
  </si>
  <si>
    <t>F013</t>
  </si>
  <si>
    <t>F014</t>
  </si>
  <si>
    <t>Intallations on Customer Premises - Plant in Service</t>
  </si>
  <si>
    <t>Intallations on Customer Premises - Accum Depr</t>
  </si>
  <si>
    <t>OM588x</t>
  </si>
  <si>
    <t>F015</t>
  </si>
  <si>
    <t>F016</t>
  </si>
  <si>
    <t>Generators - Demand</t>
  </si>
  <si>
    <t>Generators -Energy</t>
  </si>
  <si>
    <t>CWIP1</t>
  </si>
  <si>
    <t>CWIP2</t>
  </si>
  <si>
    <t>CWIP3</t>
  </si>
  <si>
    <t>CWIP4</t>
  </si>
  <si>
    <t>Customers (Monthly Bills)</t>
  </si>
  <si>
    <t>Average Customers (Bills/12)</t>
  </si>
  <si>
    <t>Average Customers (Lighting = Lights)</t>
  </si>
  <si>
    <t>R01</t>
  </si>
  <si>
    <t>Cust01</t>
  </si>
  <si>
    <t>Cust04</t>
  </si>
  <si>
    <t>NCP</t>
  </si>
  <si>
    <t>Allocation Factors</t>
  </si>
  <si>
    <t>Total Operating Revenue -- Actual</t>
  </si>
  <si>
    <t>Pro-Forma Adjustments:</t>
  </si>
  <si>
    <t>Total Pro-Forma Operating Revenue</t>
  </si>
  <si>
    <t>Total Pro-forma Operating Expenses</t>
  </si>
  <si>
    <t>WATER HEATER - HEAT PUMP PROGRAM</t>
  </si>
  <si>
    <t>OM913</t>
  </si>
  <si>
    <t>P105</t>
  </si>
  <si>
    <t>Kwh</t>
  </si>
  <si>
    <t>Service Pension Cost</t>
  </si>
  <si>
    <t>PENSCOST</t>
  </si>
  <si>
    <t>Customers</t>
  </si>
  <si>
    <t>Meter</t>
  </si>
  <si>
    <t>Cost</t>
  </si>
  <si>
    <t>MISC. TRANSMISSION EXPENSES</t>
  </si>
  <si>
    <t>OM566</t>
  </si>
  <si>
    <t>DEMONSTRATION AND SELLING EXP</t>
  </si>
  <si>
    <t>OM912</t>
  </si>
  <si>
    <t>LB566</t>
  </si>
  <si>
    <t>LB912</t>
  </si>
  <si>
    <t>LB913</t>
  </si>
  <si>
    <t>Customer Specific Assignment</t>
  </si>
  <si>
    <t xml:space="preserve">Average Customers </t>
  </si>
  <si>
    <t>Cust05</t>
  </si>
  <si>
    <t>Cust06</t>
  </si>
  <si>
    <t xml:space="preserve">Other Deferred Debits </t>
  </si>
  <si>
    <t>ADVERTISING EXPENSES</t>
  </si>
  <si>
    <t>MDSE-JOBBING-CONTRACT</t>
  </si>
  <si>
    <t>MISC SALES EXPENSE</t>
  </si>
  <si>
    <t>OM915</t>
  </si>
  <si>
    <t>OM916</t>
  </si>
  <si>
    <t>LB915</t>
  </si>
  <si>
    <t>LB916</t>
  </si>
  <si>
    <t>Non-Coincident</t>
  </si>
  <si>
    <t xml:space="preserve">Operating </t>
  </si>
  <si>
    <t>Expenses</t>
  </si>
  <si>
    <t>Operating</t>
  </si>
  <si>
    <t>ROR</t>
  </si>
  <si>
    <t>OM911</t>
  </si>
  <si>
    <t>LB911</t>
  </si>
  <si>
    <t>Marketing/Economic Development</t>
  </si>
  <si>
    <t>MISC DISTR EXP -- MAPPIN</t>
  </si>
  <si>
    <t>Transmission Demand</t>
  </si>
  <si>
    <t>Maximum</t>
  </si>
  <si>
    <t>SCP</t>
  </si>
  <si>
    <t>WCP</t>
  </si>
  <si>
    <t>Sum of</t>
  </si>
  <si>
    <t>Individual NCP</t>
  </si>
  <si>
    <t>Service</t>
  </si>
  <si>
    <t>MISCR</t>
  </si>
  <si>
    <t>Base</t>
  </si>
  <si>
    <t>CUSTOMER ASSISTANCE EXP-INCENTIVES</t>
  </si>
  <si>
    <t>Not Used</t>
  </si>
  <si>
    <t>PPWDRA</t>
  </si>
  <si>
    <t>PPWDT</t>
  </si>
  <si>
    <t>PPWDA</t>
  </si>
  <si>
    <t>PPSDRA</t>
  </si>
  <si>
    <t>PPSDT</t>
  </si>
  <si>
    <t>PPSDA</t>
  </si>
  <si>
    <t xml:space="preserve">  Sales to Ultimate Consumers</t>
  </si>
  <si>
    <t>Customer Services -- Weighted cost of Services</t>
  </si>
  <si>
    <t>Steam Production Plant</t>
  </si>
  <si>
    <t>Total Steam Production Plant</t>
  </si>
  <si>
    <t>PSTPR</t>
  </si>
  <si>
    <t>Other Production Plant</t>
  </si>
  <si>
    <t>Total Other Production Plant</t>
  </si>
  <si>
    <t>POTPR</t>
  </si>
  <si>
    <t>Total Production Plant</t>
  </si>
  <si>
    <t>PPRTL</t>
  </si>
  <si>
    <t>TOTAL COMMON PLANT</t>
  </si>
  <si>
    <t>PCOM</t>
  </si>
  <si>
    <t>Residential</t>
  </si>
  <si>
    <t>General</t>
  </si>
  <si>
    <t xml:space="preserve">   State and Federal Income Taxes</t>
  </si>
  <si>
    <t>Adjustments to Operating Expenses:</t>
  </si>
  <si>
    <t>Cost of Service Summary -- Pro-Forma</t>
  </si>
  <si>
    <t>OPERATION SUPERVISION &amp; ENGINEERING</t>
  </si>
  <si>
    <t>OM500</t>
  </si>
  <si>
    <t>FUEL</t>
  </si>
  <si>
    <t>OM501</t>
  </si>
  <si>
    <t>STEAM EXPENSES</t>
  </si>
  <si>
    <t>OM502</t>
  </si>
  <si>
    <t>ELECTRIC EXPENSES</t>
  </si>
  <si>
    <t>OM505</t>
  </si>
  <si>
    <t>Steam Power Generation Operation Expenses</t>
  </si>
  <si>
    <t>MISC. STEAM POWER EXPENSES</t>
  </si>
  <si>
    <t>OM506</t>
  </si>
  <si>
    <t>Total Steam Power Operation Expenses</t>
  </si>
  <si>
    <t>Steam Power Generation Maintenance Expenses</t>
  </si>
  <si>
    <t>OM510</t>
  </si>
  <si>
    <t>MAINTENANCE OF STRUCTURES</t>
  </si>
  <si>
    <t>MAINTENANCE SUPERVISION &amp; ENGINEERING</t>
  </si>
  <si>
    <t>OM511</t>
  </si>
  <si>
    <t>MAINTENANCE OF BOILER PLANT</t>
  </si>
  <si>
    <t>MAINTENANCE OF ELECTRIC PLANT</t>
  </si>
  <si>
    <t>OM512</t>
  </si>
  <si>
    <t>OM513</t>
  </si>
  <si>
    <t>MAINTENANCE OF MISC STEAM PLANT</t>
  </si>
  <si>
    <t>OM514</t>
  </si>
  <si>
    <t>Total Steam Power Generation Maintenance Expense</t>
  </si>
  <si>
    <t>Total Steam Power Generation Expense</t>
  </si>
  <si>
    <t>Other Power Generation Operation Expense</t>
  </si>
  <si>
    <t>OM546</t>
  </si>
  <si>
    <t>OM547</t>
  </si>
  <si>
    <t>GENERATION EXPENSE</t>
  </si>
  <si>
    <t>OM548</t>
  </si>
  <si>
    <t xml:space="preserve">MISC OTHER POWER GENERATION </t>
  </si>
  <si>
    <t>OM549</t>
  </si>
  <si>
    <t>OM550</t>
  </si>
  <si>
    <t>Total Other Power Generation Expenses</t>
  </si>
  <si>
    <t>Other Power Generation Maintenance Expense</t>
  </si>
  <si>
    <t>OM551</t>
  </si>
  <si>
    <t>OM552</t>
  </si>
  <si>
    <t>MAINTENANCE OF GENERATING &amp; ELEC PLANT</t>
  </si>
  <si>
    <t>OM553</t>
  </si>
  <si>
    <t>MAINTENANCE OF MISC OTHER POWER GEN PLT</t>
  </si>
  <si>
    <t>OM554</t>
  </si>
  <si>
    <t>Total Other Power Generation Expense</t>
  </si>
  <si>
    <t>Total Other Power Generation Maintenance Expense</t>
  </si>
  <si>
    <t>Total Station Expense</t>
  </si>
  <si>
    <t>Other Power Supply Expenses</t>
  </si>
  <si>
    <t>PURCHASED POWER OPTIONS</t>
  </si>
  <si>
    <t>OMO555</t>
  </si>
  <si>
    <t>BROKERAGE FEES</t>
  </si>
  <si>
    <t>OMB555</t>
  </si>
  <si>
    <t>MISO TRANSMISSION EXPENSES</t>
  </si>
  <si>
    <t>OMM555</t>
  </si>
  <si>
    <t>SYSTEM CONTROL AND LOAD DISPATCH</t>
  </si>
  <si>
    <t>OM556</t>
  </si>
  <si>
    <t>Total Electric Power Generation Expenses</t>
  </si>
  <si>
    <t>TRANSMISSION OF ELECTRICITY BY OTHERS</t>
  </si>
  <si>
    <t>OM565</t>
  </si>
  <si>
    <t>OM567</t>
  </si>
  <si>
    <t>STRUCTURES</t>
  </si>
  <si>
    <t>OM569</t>
  </si>
  <si>
    <t>UNDERGROUND LINES</t>
  </si>
  <si>
    <t>OM572</t>
  </si>
  <si>
    <t>MISC PLANT</t>
  </si>
  <si>
    <t>OM573</t>
  </si>
  <si>
    <t>OM591</t>
  </si>
  <si>
    <t>MISCELLANEOUS DISTRIBUTION EXPENSES</t>
  </si>
  <si>
    <t>OM598</t>
  </si>
  <si>
    <t>Total Other Power Supply Expenses</t>
  </si>
  <si>
    <t>Production, Transmission and Distribution Expenses</t>
  </si>
  <si>
    <t>Sub-Total Prod, Trans, Dist, Cust Acct and Cust Service</t>
  </si>
  <si>
    <t>ADMINISTRATIVE EXPENSES TRANSFERRED</t>
  </si>
  <si>
    <t>OM922</t>
  </si>
  <si>
    <t>Reflect full year of ECR roll-in</t>
  </si>
  <si>
    <t xml:space="preserve">   Regulatory Credits</t>
  </si>
  <si>
    <t>OM935</t>
  </si>
  <si>
    <t>LB500</t>
  </si>
  <si>
    <t>LB501</t>
  </si>
  <si>
    <t>LB502</t>
  </si>
  <si>
    <t>LB505</t>
  </si>
  <si>
    <t>LB506</t>
  </si>
  <si>
    <t>LB510</t>
  </si>
  <si>
    <t>LB511</t>
  </si>
  <si>
    <t>LB512</t>
  </si>
  <si>
    <t>LB513</t>
  </si>
  <si>
    <t>LB514</t>
  </si>
  <si>
    <t>LB546</t>
  </si>
  <si>
    <t>LB547</t>
  </si>
  <si>
    <t>LB548</t>
  </si>
  <si>
    <t>LB549</t>
  </si>
  <si>
    <t>LB550</t>
  </si>
  <si>
    <t>LB551</t>
  </si>
  <si>
    <t>LB552</t>
  </si>
  <si>
    <t>LB553</t>
  </si>
  <si>
    <t>LB554</t>
  </si>
  <si>
    <t>Hydraulic Production Plant</t>
  </si>
  <si>
    <t>Total Hydraulic Production Plant</t>
  </si>
  <si>
    <t>PHDPR</t>
  </si>
  <si>
    <t xml:space="preserve">  TOTAL ACCTS 360-362</t>
  </si>
  <si>
    <t xml:space="preserve">  364 &amp; 365-OVERHEAD LINES</t>
  </si>
  <si>
    <t xml:space="preserve">  366 &amp; 367-UNDERGROUND LINES</t>
  </si>
  <si>
    <t xml:space="preserve">  368-TRANSFORMERS - POWER POOL</t>
  </si>
  <si>
    <t xml:space="preserve">  369-SERVICES</t>
  </si>
  <si>
    <t xml:space="preserve">  370-METERS</t>
  </si>
  <si>
    <t xml:space="preserve">  371-CUSTOMER INSTALLATION</t>
  </si>
  <si>
    <t xml:space="preserve">  373-STREET LIGHTING</t>
  </si>
  <si>
    <t xml:space="preserve">  Other Production</t>
  </si>
  <si>
    <t xml:space="preserve">  Hydraulic Production</t>
  </si>
  <si>
    <t xml:space="preserve">  Steam Production</t>
  </si>
  <si>
    <t xml:space="preserve">  Transmission - Kentucky System Property</t>
  </si>
  <si>
    <t xml:space="preserve">  Transmission - Virginia Property</t>
  </si>
  <si>
    <t xml:space="preserve">  Intangible Plant</t>
  </si>
  <si>
    <t xml:space="preserve">  Distribution</t>
  </si>
  <si>
    <t xml:space="preserve">  CWIP Production</t>
  </si>
  <si>
    <t>Hydraulic Power Generation Operation Expenses</t>
  </si>
  <si>
    <t>Hydraulic Power Generation Maintenance Expenses</t>
  </si>
  <si>
    <t>MAINT. OF RESERVES, DAMS, AND WATERWAYS</t>
  </si>
  <si>
    <t>Total Hydraulic Power Operation Expenses</t>
  </si>
  <si>
    <t>Total Hydraulic Power Generation Expense</t>
  </si>
  <si>
    <t>Total Hydraulic Power Generation Maint. Expense</t>
  </si>
  <si>
    <t>HYDRAULIC EXPENSES</t>
  </si>
  <si>
    <t>WATER FOR POWER</t>
  </si>
  <si>
    <t>MISC. HYDRAULIC POWER EXPENSES</t>
  </si>
  <si>
    <t>MAINTENANCE OF MISC HYDRAULIC PLANT</t>
  </si>
  <si>
    <t>OM535</t>
  </si>
  <si>
    <t>OM536</t>
  </si>
  <si>
    <t>OM537</t>
  </si>
  <si>
    <t>OM538</t>
  </si>
  <si>
    <t>OM539</t>
  </si>
  <si>
    <t>OM541</t>
  </si>
  <si>
    <t>OM542</t>
  </si>
  <si>
    <t>OM543</t>
  </si>
  <si>
    <t>OM544</t>
  </si>
  <si>
    <t>OM545</t>
  </si>
  <si>
    <t>Production, Transmission and Distribution Labor Expenses</t>
  </si>
  <si>
    <t>Total Production Expense</t>
  </si>
  <si>
    <t>LPREX</t>
  </si>
  <si>
    <t>OM507</t>
  </si>
  <si>
    <t>Ref</t>
  </si>
  <si>
    <t>Production Demand</t>
  </si>
  <si>
    <t>Production Energy</t>
  </si>
  <si>
    <t>Specific</t>
  </si>
  <si>
    <t>Distribution Poles</t>
  </si>
  <si>
    <t>Distribution Substation</t>
  </si>
  <si>
    <t>Sales Expense</t>
  </si>
  <si>
    <t>Customer Service &amp; Info.</t>
  </si>
  <si>
    <t>Distribution St. &amp; Cust. Lighting</t>
  </si>
  <si>
    <t>Distribution Meters</t>
  </si>
  <si>
    <t>Distribution Services</t>
  </si>
  <si>
    <t>Distribution Sec. Lines</t>
  </si>
  <si>
    <t>Distribution Primary Lines</t>
  </si>
  <si>
    <t>Distribution Line Trans.</t>
  </si>
  <si>
    <t>LB507</t>
  </si>
  <si>
    <t xml:space="preserve">  Production Demand - Base</t>
  </si>
  <si>
    <t xml:space="preserve">  Transmission Demand - Base</t>
  </si>
  <si>
    <t xml:space="preserve">  Transmission Demand - Peak</t>
  </si>
  <si>
    <t xml:space="preserve">  Transmission Demand - Inter.</t>
  </si>
  <si>
    <t>PLTRB</t>
  </si>
  <si>
    <t>PLTRI</t>
  </si>
  <si>
    <t>PLTRP</t>
  </si>
  <si>
    <t>PLTRT</t>
  </si>
  <si>
    <t>Power Production Plant</t>
  </si>
  <si>
    <t>PLPPDB</t>
  </si>
  <si>
    <t>PLPPDI</t>
  </si>
  <si>
    <t>PLPPDP</t>
  </si>
  <si>
    <t>PLPPEB</t>
  </si>
  <si>
    <t>PLPPEI</t>
  </si>
  <si>
    <t>PLPPEP</t>
  </si>
  <si>
    <t>Distribution Street &amp; Customer Lighting</t>
  </si>
  <si>
    <t xml:space="preserve">  Specific</t>
  </si>
  <si>
    <t>Distribution Primary &amp; Secondary Lines</t>
  </si>
  <si>
    <t xml:space="preserve">  General</t>
  </si>
  <si>
    <t>PLDPS</t>
  </si>
  <si>
    <t>PLDSG</t>
  </si>
  <si>
    <t>PLDSC</t>
  </si>
  <si>
    <t>Total Distribution Primary &amp; Secondary Lines</t>
  </si>
  <si>
    <t>PLDPLS</t>
  </si>
  <si>
    <t>PLDPLD</t>
  </si>
  <si>
    <t>PLDPLC</t>
  </si>
  <si>
    <t>PLDSLD</t>
  </si>
  <si>
    <t>PLDSLC</t>
  </si>
  <si>
    <t>PLDLT</t>
  </si>
  <si>
    <t>PLDLTD</t>
  </si>
  <si>
    <t>PLDLTC</t>
  </si>
  <si>
    <t>Total Power Production Plant</t>
  </si>
  <si>
    <t>PLDMC</t>
  </si>
  <si>
    <t>PLDLTT</t>
  </si>
  <si>
    <t>PLDSCL</t>
  </si>
  <si>
    <t>PLCAE</t>
  </si>
  <si>
    <t>PLCSI</t>
  </si>
  <si>
    <t>PLSEC</t>
  </si>
  <si>
    <t>UPPPDB</t>
  </si>
  <si>
    <t>UPPPDI</t>
  </si>
  <si>
    <t>UPPPDP</t>
  </si>
  <si>
    <t>UPPPEB</t>
  </si>
  <si>
    <t>UPPPEI</t>
  </si>
  <si>
    <t>UPPPEP</t>
  </si>
  <si>
    <t>UPPPT</t>
  </si>
  <si>
    <t>UPTRB</t>
  </si>
  <si>
    <t>UPTRI</t>
  </si>
  <si>
    <t>UPTRP</t>
  </si>
  <si>
    <t>UPTRT</t>
  </si>
  <si>
    <t>UPDPS</t>
  </si>
  <si>
    <t>UPDSG</t>
  </si>
  <si>
    <t>UPDPLS</t>
  </si>
  <si>
    <t>UPDPLD</t>
  </si>
  <si>
    <t>UPDPLC</t>
  </si>
  <si>
    <t>UPDSLD</t>
  </si>
  <si>
    <t>UPDSLC</t>
  </si>
  <si>
    <t>UPDLT</t>
  </si>
  <si>
    <t>UPDLTD</t>
  </si>
  <si>
    <t>UPDLTC</t>
  </si>
  <si>
    <t>UPDLTT</t>
  </si>
  <si>
    <t>UPDSC</t>
  </si>
  <si>
    <t>UPDMC</t>
  </si>
  <si>
    <t>UPDSCL</t>
  </si>
  <si>
    <t>UPCAE</t>
  </si>
  <si>
    <t>UPCSI</t>
  </si>
  <si>
    <t>UPSEC</t>
  </si>
  <si>
    <t>UPT</t>
  </si>
  <si>
    <t>RBPPDB</t>
  </si>
  <si>
    <t>RBPPDI</t>
  </si>
  <si>
    <t>RBPPDP</t>
  </si>
  <si>
    <t>RBPPEB</t>
  </si>
  <si>
    <t>RBPPEI</t>
  </si>
  <si>
    <t>RBPPEP</t>
  </si>
  <si>
    <t>RBTRB</t>
  </si>
  <si>
    <t>RBTRI</t>
  </si>
  <si>
    <t>RBTRP</t>
  </si>
  <si>
    <t>RBTRT</t>
  </si>
  <si>
    <t>RBDPS</t>
  </si>
  <si>
    <t>RBDSG</t>
  </si>
  <si>
    <t>RBDPLS</t>
  </si>
  <si>
    <t>RBDPLD</t>
  </si>
  <si>
    <t>RBDPLC</t>
  </si>
  <si>
    <t>RBDSLD</t>
  </si>
  <si>
    <t>RBDSLC</t>
  </si>
  <si>
    <t>RBDLT</t>
  </si>
  <si>
    <t>RBDLTD</t>
  </si>
  <si>
    <t>RBDLTC</t>
  </si>
  <si>
    <t>RBDLTT</t>
  </si>
  <si>
    <t>RBDSC</t>
  </si>
  <si>
    <t>RBDMC</t>
  </si>
  <si>
    <t>RBDSCL</t>
  </si>
  <si>
    <t>RBCAE</t>
  </si>
  <si>
    <t>RBCSI</t>
  </si>
  <si>
    <t>RBSEC</t>
  </si>
  <si>
    <t>OMPPDB</t>
  </si>
  <si>
    <t>OMPPDI</t>
  </si>
  <si>
    <t>OMPPDP</t>
  </si>
  <si>
    <t>OMPPEB</t>
  </si>
  <si>
    <t>OMPPEI</t>
  </si>
  <si>
    <t>OMPPEP</t>
  </si>
  <si>
    <t>OMTRB</t>
  </si>
  <si>
    <t>OMTRI</t>
  </si>
  <si>
    <t>OMTRP</t>
  </si>
  <si>
    <t>OMTRT</t>
  </si>
  <si>
    <t>OMDPS</t>
  </si>
  <si>
    <t>OMDSG</t>
  </si>
  <si>
    <t>OMDPLS</t>
  </si>
  <si>
    <t>OMDPLD</t>
  </si>
  <si>
    <t>OMDPLC</t>
  </si>
  <si>
    <t>OMDSLD</t>
  </si>
  <si>
    <t>OMDSLC</t>
  </si>
  <si>
    <t>OMDLT</t>
  </si>
  <si>
    <t>OMDLTD</t>
  </si>
  <si>
    <t>OMDLTC</t>
  </si>
  <si>
    <t>OMDLTT</t>
  </si>
  <si>
    <t>OMDSC</t>
  </si>
  <si>
    <t>OMDMC</t>
  </si>
  <si>
    <t>OMDSCL</t>
  </si>
  <si>
    <t>OMCAE</t>
  </si>
  <si>
    <t>OMCSI</t>
  </si>
  <si>
    <t>OMSEC</t>
  </si>
  <si>
    <t>LBPPDB</t>
  </si>
  <si>
    <t>LBPPDI</t>
  </si>
  <si>
    <t>LBPPDP</t>
  </si>
  <si>
    <t>LBPPEB</t>
  </si>
  <si>
    <t>LBPPEI</t>
  </si>
  <si>
    <t>LBPPEP</t>
  </si>
  <si>
    <t>LBTRB</t>
  </si>
  <si>
    <t>LBTRI</t>
  </si>
  <si>
    <t>LBTRP</t>
  </si>
  <si>
    <t>LBTRT</t>
  </si>
  <si>
    <t>LBDPS</t>
  </si>
  <si>
    <t>LBDSG</t>
  </si>
  <si>
    <t>LBDPLS</t>
  </si>
  <si>
    <t>LBDPLD</t>
  </si>
  <si>
    <t>LBDPLC</t>
  </si>
  <si>
    <t>LBDSLD</t>
  </si>
  <si>
    <t>LBDSLC</t>
  </si>
  <si>
    <t>LBDLT</t>
  </si>
  <si>
    <t>LBDLTD</t>
  </si>
  <si>
    <t>LBDLTC</t>
  </si>
  <si>
    <t>LBDLTT</t>
  </si>
  <si>
    <t>LBDSC</t>
  </si>
  <si>
    <t>LBDMC</t>
  </si>
  <si>
    <t>LBDSCL</t>
  </si>
  <si>
    <t>LBCAE</t>
  </si>
  <si>
    <t>LBCSI</t>
  </si>
  <si>
    <t>LBSEC</t>
  </si>
  <si>
    <t>DEPPDB</t>
  </si>
  <si>
    <t>DEPPDI</t>
  </si>
  <si>
    <t>DEPPDP</t>
  </si>
  <si>
    <t>DEPPEB</t>
  </si>
  <si>
    <t>DEPPEI</t>
  </si>
  <si>
    <t>DEPPEP</t>
  </si>
  <si>
    <t>DEPPT</t>
  </si>
  <si>
    <t>DETRB</t>
  </si>
  <si>
    <t>DETRI</t>
  </si>
  <si>
    <t>DETRP</t>
  </si>
  <si>
    <t>DETRT</t>
  </si>
  <si>
    <t>DEDPS</t>
  </si>
  <si>
    <t>DEDSG</t>
  </si>
  <si>
    <t>DEDPLS</t>
  </si>
  <si>
    <t>DEDPLD</t>
  </si>
  <si>
    <t>DEDPLC</t>
  </si>
  <si>
    <t>DEDSLD</t>
  </si>
  <si>
    <t>DEDSLC</t>
  </si>
  <si>
    <t>DEDLT</t>
  </si>
  <si>
    <t>DEDLTD</t>
  </si>
  <si>
    <t>DEDLTC</t>
  </si>
  <si>
    <t>DEDLTT</t>
  </si>
  <si>
    <t>DEDSC</t>
  </si>
  <si>
    <t>DEDMC</t>
  </si>
  <si>
    <t>DEDSCL</t>
  </si>
  <si>
    <t>DECAE</t>
  </si>
  <si>
    <t>DECSI</t>
  </si>
  <si>
    <t>DESEC</t>
  </si>
  <si>
    <t>DET</t>
  </si>
  <si>
    <t>OTAX</t>
  </si>
  <si>
    <t>PTPPDB</t>
  </si>
  <si>
    <t>PTPPDI</t>
  </si>
  <si>
    <t>PTPPDP</t>
  </si>
  <si>
    <t>PTPPEB</t>
  </si>
  <si>
    <t>PTPPEI</t>
  </si>
  <si>
    <t>PTPPEP</t>
  </si>
  <si>
    <t>PTPPT</t>
  </si>
  <si>
    <t>PTTRB</t>
  </si>
  <si>
    <t>PTTRI</t>
  </si>
  <si>
    <t>PTTRP</t>
  </si>
  <si>
    <t>PTTRT</t>
  </si>
  <si>
    <t>PTDPS</t>
  </si>
  <si>
    <t>PTDSG</t>
  </si>
  <si>
    <t>PTDPLS</t>
  </si>
  <si>
    <t>PTDPLD</t>
  </si>
  <si>
    <t>PTDPLC</t>
  </si>
  <si>
    <t>PTDSLD</t>
  </si>
  <si>
    <t>PTDSLC</t>
  </si>
  <si>
    <t>PTDLT</t>
  </si>
  <si>
    <t>PTDLTD</t>
  </si>
  <si>
    <t>PTDLTC</t>
  </si>
  <si>
    <t>PTDLTT</t>
  </si>
  <si>
    <t>PTDSC</t>
  </si>
  <si>
    <t>PTDMC</t>
  </si>
  <si>
    <t>PTDSCL</t>
  </si>
  <si>
    <t>PTCAE</t>
  </si>
  <si>
    <t>PTCSI</t>
  </si>
  <si>
    <t>PTSEC</t>
  </si>
  <si>
    <t>OTPPDB</t>
  </si>
  <si>
    <t>OTPPDI</t>
  </si>
  <si>
    <t>OTPPDP</t>
  </si>
  <si>
    <t>OTPPEB</t>
  </si>
  <si>
    <t>OTPPEI</t>
  </si>
  <si>
    <t>OTPPEP</t>
  </si>
  <si>
    <t>OTTRB</t>
  </si>
  <si>
    <t>OTTRI</t>
  </si>
  <si>
    <t>OTTRP</t>
  </si>
  <si>
    <t>OTTRT</t>
  </si>
  <si>
    <t>OTDPS</t>
  </si>
  <si>
    <t>OTDSG</t>
  </si>
  <si>
    <t>OTDPLS</t>
  </si>
  <si>
    <t>OTDPLD</t>
  </si>
  <si>
    <t>OTDPLC</t>
  </si>
  <si>
    <t>OTDSLD</t>
  </si>
  <si>
    <t>OTDSLC</t>
  </si>
  <si>
    <t>OTDLT</t>
  </si>
  <si>
    <t>OTDLTD</t>
  </si>
  <si>
    <t>OTDLTC</t>
  </si>
  <si>
    <t>OTDLTT</t>
  </si>
  <si>
    <t>OTDSC</t>
  </si>
  <si>
    <t>OTDMC</t>
  </si>
  <si>
    <t>OTDSCL</t>
  </si>
  <si>
    <t>OTCAE</t>
  </si>
  <si>
    <t>OTCSI</t>
  </si>
  <si>
    <t>OTSEC</t>
  </si>
  <si>
    <t>Rate GS</t>
  </si>
  <si>
    <t>Primary</t>
  </si>
  <si>
    <t>Secondary</t>
  </si>
  <si>
    <t>Special Contract</t>
  </si>
  <si>
    <t>Fort Knox</t>
  </si>
  <si>
    <t>Rate TLE</t>
  </si>
  <si>
    <t>OM509</t>
  </si>
  <si>
    <t>ALLOWANCES</t>
  </si>
  <si>
    <t>OM558</t>
  </si>
  <si>
    <t>OM927</t>
  </si>
  <si>
    <t>FRANCHISE REQUIREMENTS</t>
  </si>
  <si>
    <t>LB535</t>
  </si>
  <si>
    <t>LB536</t>
  </si>
  <si>
    <t>LB537</t>
  </si>
  <si>
    <t>LB538</t>
  </si>
  <si>
    <t>LB539</t>
  </si>
  <si>
    <t>LB541</t>
  </si>
  <si>
    <t>LB542</t>
  </si>
  <si>
    <t>LB543</t>
  </si>
  <si>
    <t>LB544</t>
  </si>
  <si>
    <t>LB545</t>
  </si>
  <si>
    <t>LB556</t>
  </si>
  <si>
    <t>MAINTENACE OF STRUCTURES</t>
  </si>
  <si>
    <t>LB569</t>
  </si>
  <si>
    <t>MAINT OF MISC. TRANSMISSION PLANT</t>
  </si>
  <si>
    <t>LB573</t>
  </si>
  <si>
    <t>LB591</t>
  </si>
  <si>
    <t>ADMIN. EXPENSES TRANSFERRED - CREDIT</t>
  </si>
  <si>
    <t>LB922</t>
  </si>
  <si>
    <t>Louisville Gas and Electric Company</t>
  </si>
  <si>
    <t xml:space="preserve">  Transmission</t>
  </si>
  <si>
    <t xml:space="preserve">  General &amp; Common Plant</t>
  </si>
  <si>
    <t>Less: Customer Advances</t>
  </si>
  <si>
    <t>DIT</t>
  </si>
  <si>
    <t xml:space="preserve">  Production</t>
  </si>
  <si>
    <t xml:space="preserve">  Primary Specific</t>
  </si>
  <si>
    <t xml:space="preserve">  Primary Demand</t>
  </si>
  <si>
    <t xml:space="preserve">  Primary Customer</t>
  </si>
  <si>
    <t xml:space="preserve">  Secondary Demand</t>
  </si>
  <si>
    <t xml:space="preserve">  Secondary Customer</t>
  </si>
  <si>
    <t>Total - per Plant Accounting</t>
  </si>
  <si>
    <t>Street Lighting (plant in service balance)</t>
  </si>
  <si>
    <t>Base Revenue</t>
  </si>
  <si>
    <t>at Current Rates</t>
  </si>
  <si>
    <t>ECR Revenue</t>
  </si>
  <si>
    <t>DSM revenue</t>
  </si>
  <si>
    <t>Distribution Line Transformers</t>
  </si>
  <si>
    <t>Louisville Water Company</t>
  </si>
  <si>
    <t>Street Lighting Rate TLE</t>
  </si>
  <si>
    <t>Property Taxes &amp; Other</t>
  </si>
  <si>
    <t>Amortization of ITC</t>
  </si>
  <si>
    <t>F017</t>
  </si>
  <si>
    <t>Production Plant</t>
  </si>
  <si>
    <t>Fuel</t>
  </si>
  <si>
    <t>F018</t>
  </si>
  <si>
    <t>Steam Generation Operation Labor</t>
  </si>
  <si>
    <t>F019</t>
  </si>
  <si>
    <t>Provar</t>
  </si>
  <si>
    <t>PROVAR</t>
  </si>
  <si>
    <t>PROFIX</t>
  </si>
  <si>
    <t>Steam Generation Maintenance Labor</t>
  </si>
  <si>
    <t>F020</t>
  </si>
  <si>
    <t>Hydraulic Generation Operation Labor</t>
  </si>
  <si>
    <t>F021</t>
  </si>
  <si>
    <t>LBSUB1</t>
  </si>
  <si>
    <t>LBSUB3</t>
  </si>
  <si>
    <t>LBSUB4</t>
  </si>
  <si>
    <t>LBSUB5</t>
  </si>
  <si>
    <t>LBSUB6</t>
  </si>
  <si>
    <t>Hydraulic Generation Maintenance Labor</t>
  </si>
  <si>
    <t>F022</t>
  </si>
  <si>
    <t>F023</t>
  </si>
  <si>
    <t>Distribution Operation Labor</t>
  </si>
  <si>
    <t>Distribution Maintenance Labor</t>
  </si>
  <si>
    <t>F024</t>
  </si>
  <si>
    <t>F025</t>
  </si>
  <si>
    <t>F026</t>
  </si>
  <si>
    <t>LBSUB7</t>
  </si>
  <si>
    <t>DUPLICATE CHARGES</t>
  </si>
  <si>
    <t>LBTRAN</t>
  </si>
  <si>
    <t>Production Residual Winter Demand Allocator</t>
  </si>
  <si>
    <t xml:space="preserve">Production Winter Demand Costs </t>
  </si>
  <si>
    <t>Production Winter Demand Residual</t>
  </si>
  <si>
    <t>Production Winter Demand Total</t>
  </si>
  <si>
    <t>Production Winter Demand Allocator</t>
  </si>
  <si>
    <t>Production Residual Summer Demand Allocator</t>
  </si>
  <si>
    <t xml:space="preserve">Production Summer Demand Costs </t>
  </si>
  <si>
    <t>Production Summer Demand Residual</t>
  </si>
  <si>
    <t>Production Summer Demand Total</t>
  </si>
  <si>
    <t>Production Summer Demand Allocator</t>
  </si>
  <si>
    <t>Sum of the Individual Customer Demands (Secondary)</t>
  </si>
  <si>
    <t>SICD</t>
  </si>
  <si>
    <t>SFRS</t>
  </si>
  <si>
    <t xml:space="preserve">  Forfeited Discounts</t>
  </si>
  <si>
    <t>FORDIS</t>
  </si>
  <si>
    <t xml:space="preserve">  Misc Service Revenues</t>
  </si>
  <si>
    <t xml:space="preserve">  Rent From Electric Property</t>
  </si>
  <si>
    <t xml:space="preserve">  Other Electric Revenue</t>
  </si>
  <si>
    <t>BRKS</t>
  </si>
  <si>
    <t xml:space="preserve">  Unbilled Revenue</t>
  </si>
  <si>
    <t>UNBREV</t>
  </si>
  <si>
    <t>Mismatch in fuel cost recovery</t>
  </si>
  <si>
    <t>Eliminate mismatch in fuel cost recovery</t>
  </si>
  <si>
    <t>Remove ECR expenses</t>
  </si>
  <si>
    <t>Eliminate brokered sales expenses</t>
  </si>
  <si>
    <t>Amortization of rate case expenses</t>
  </si>
  <si>
    <t xml:space="preserve">   Other Expenses</t>
  </si>
  <si>
    <t>ECRREV</t>
  </si>
  <si>
    <t>Revenue Adjustment Allocators</t>
  </si>
  <si>
    <t>Expense Adjustment Allocators</t>
  </si>
  <si>
    <t>Maximum Class Non-Coincident Peak Demands</t>
  </si>
  <si>
    <t>Allocator</t>
  </si>
  <si>
    <t>Cust07</t>
  </si>
  <si>
    <t>Cust08</t>
  </si>
  <si>
    <t xml:space="preserve">  Specific Assignment of Interruptible Credit</t>
  </si>
  <si>
    <t xml:space="preserve">  Allocation of Interruptible Credits</t>
  </si>
  <si>
    <t>INTCRE</t>
  </si>
  <si>
    <t>O&amp;M less fuel</t>
  </si>
  <si>
    <t>OMLF</t>
  </si>
  <si>
    <t>Utility Operating Income</t>
  </si>
  <si>
    <t>Determination of Meter Allocation</t>
  </si>
  <si>
    <t>Summary of Billing Determinants</t>
  </si>
  <si>
    <t>Determination of Services Allocation</t>
  </si>
  <si>
    <t>Total Expense Adjustments</t>
  </si>
  <si>
    <t>Energy (Loss Adjusted)</t>
  </si>
  <si>
    <t>Total Pro-Forma Adjustments</t>
  </si>
  <si>
    <t>Incremental Income Taxes</t>
  </si>
  <si>
    <t>Total Distribution Line Transformers</t>
  </si>
  <si>
    <t xml:space="preserve">Accumulated Deferred Income Taxes </t>
  </si>
  <si>
    <t xml:space="preserve">  Total Transmission Plant</t>
  </si>
  <si>
    <t xml:space="preserve">  Total Production Plant</t>
  </si>
  <si>
    <t xml:space="preserve">  Total Distribution Plant</t>
  </si>
  <si>
    <t xml:space="preserve">  Total General Plant</t>
  </si>
  <si>
    <t>Total Accumulated Deferred Income Tax</t>
  </si>
  <si>
    <t>Investment Tax Credits</t>
  </si>
  <si>
    <t>Total Investment Tax Credit</t>
  </si>
  <si>
    <t>Production</t>
  </si>
  <si>
    <t>Common</t>
  </si>
  <si>
    <t>Forfeited Discounts</t>
  </si>
  <si>
    <t>FDIS</t>
  </si>
  <si>
    <t>Amortization of Investment Tax Credit</t>
  </si>
  <si>
    <t xml:space="preserve">   Property  and Other Taxes</t>
  </si>
  <si>
    <t xml:space="preserve">   Amortization of Investment Tax Credit</t>
  </si>
  <si>
    <t>Accretion Expense</t>
  </si>
  <si>
    <t>ACRTNP</t>
  </si>
  <si>
    <t>ACRTND</t>
  </si>
  <si>
    <t>ACRTNT</t>
  </si>
  <si>
    <t>Total Accretion Expense</t>
  </si>
  <si>
    <t>Accretion Expenses</t>
  </si>
  <si>
    <t>TACRTN</t>
  </si>
  <si>
    <t>ACRPDB</t>
  </si>
  <si>
    <t>ACRPDI</t>
  </si>
  <si>
    <t>ACRPDP</t>
  </si>
  <si>
    <t>ACRPEB</t>
  </si>
  <si>
    <t>ACRPEI</t>
  </si>
  <si>
    <t>ACRPEP</t>
  </si>
  <si>
    <t>ACRPT</t>
  </si>
  <si>
    <t>ACRRB</t>
  </si>
  <si>
    <t>ACRRI</t>
  </si>
  <si>
    <t>ACRRP</t>
  </si>
  <si>
    <t>ACRRT</t>
  </si>
  <si>
    <t>ACRPS</t>
  </si>
  <si>
    <t>ACRSG</t>
  </si>
  <si>
    <t>ACRPLS</t>
  </si>
  <si>
    <t>ACRPLD</t>
  </si>
  <si>
    <t>ACRPLC</t>
  </si>
  <si>
    <t>ACRSLD</t>
  </si>
  <si>
    <t>ACRSLC</t>
  </si>
  <si>
    <t>ACRLT</t>
  </si>
  <si>
    <t>ACRLTD</t>
  </si>
  <si>
    <t>PROPERTY HELD UNDER CAPITAL LEASE</t>
  </si>
  <si>
    <t>Less: Accumulated Provision for Depreciation and RWIP</t>
  </si>
  <si>
    <t>Gain on Disposition of Allowances</t>
  </si>
  <si>
    <t>Total Regulatory Credits</t>
  </si>
  <si>
    <t>Regulatory Credits</t>
  </si>
  <si>
    <t>RCTNP</t>
  </si>
  <si>
    <t>RCTNT</t>
  </si>
  <si>
    <t>RDTND</t>
  </si>
  <si>
    <t>RCTNC</t>
  </si>
  <si>
    <t>ACRTNC</t>
  </si>
  <si>
    <t>TRCTN</t>
  </si>
  <si>
    <t>RCPDB</t>
  </si>
  <si>
    <t>RCPDI</t>
  </si>
  <si>
    <t>RCPDP</t>
  </si>
  <si>
    <t>RCPEB</t>
  </si>
  <si>
    <t>RCPEI</t>
  </si>
  <si>
    <t>RCPEP</t>
  </si>
  <si>
    <t>RCPT</t>
  </si>
  <si>
    <t>RCRB</t>
  </si>
  <si>
    <t>RCRI</t>
  </si>
  <si>
    <t>RCRP</t>
  </si>
  <si>
    <t>RCRT</t>
  </si>
  <si>
    <t>RCPS</t>
  </si>
  <si>
    <t>RCSG</t>
  </si>
  <si>
    <t>RCPLS</t>
  </si>
  <si>
    <t>RCPLD</t>
  </si>
  <si>
    <t>RCPLC</t>
  </si>
  <si>
    <t>RCSLD</t>
  </si>
  <si>
    <t>RCSLC</t>
  </si>
  <si>
    <t>RCLT</t>
  </si>
  <si>
    <t>RCLTD</t>
  </si>
  <si>
    <t>RCLTC</t>
  </si>
  <si>
    <t>RCLTT</t>
  </si>
  <si>
    <t>RCSC</t>
  </si>
  <si>
    <t>RCMC</t>
  </si>
  <si>
    <t>RCSCL</t>
  </si>
  <si>
    <t>RCCAE</t>
  </si>
  <si>
    <t>RCCSI</t>
  </si>
  <si>
    <t>RCSEC</t>
  </si>
  <si>
    <t>RCT</t>
  </si>
  <si>
    <t>ACRLTC</t>
  </si>
  <si>
    <t>ACRLTT</t>
  </si>
  <si>
    <t>ACRSC</t>
  </si>
  <si>
    <t>ACRMC</t>
  </si>
  <si>
    <t>ACRSCL</t>
  </si>
  <si>
    <t>ACRCAE</t>
  </si>
  <si>
    <t>ACRCSI</t>
  </si>
  <si>
    <t>ACRSEC</t>
  </si>
  <si>
    <t>ACRT</t>
  </si>
  <si>
    <t xml:space="preserve">   Accretion Expense</t>
  </si>
  <si>
    <t>Property and Other Taxes</t>
  </si>
  <si>
    <t xml:space="preserve">   Specific Assignment of Interruptible Credit</t>
  </si>
  <si>
    <t xml:space="preserve">   Allocation of Interruptible Credits</t>
  </si>
  <si>
    <t>Interest Expenses</t>
  </si>
  <si>
    <t>INTPDB</t>
  </si>
  <si>
    <t>INTPDI</t>
  </si>
  <si>
    <t>INTPDP</t>
  </si>
  <si>
    <t>INTPEB</t>
  </si>
  <si>
    <t>INTPEI</t>
  </si>
  <si>
    <t>INTPEP</t>
  </si>
  <si>
    <t>INTPT</t>
  </si>
  <si>
    <t>INTTRB</t>
  </si>
  <si>
    <t>INTTRI</t>
  </si>
  <si>
    <t>INTTRP</t>
  </si>
  <si>
    <t>INTTRT</t>
  </si>
  <si>
    <t>INTDPS</t>
  </si>
  <si>
    <t>INTDSG</t>
  </si>
  <si>
    <t>INDPLS</t>
  </si>
  <si>
    <t>INDPLD</t>
  </si>
  <si>
    <t>INDPLC</t>
  </si>
  <si>
    <t>INDSLD</t>
  </si>
  <si>
    <t>INDSLC</t>
  </si>
  <si>
    <t>INDLT</t>
  </si>
  <si>
    <t>INDLTD</t>
  </si>
  <si>
    <t>INDLTC</t>
  </si>
  <si>
    <t>INDLTT</t>
  </si>
  <si>
    <t>INDSC</t>
  </si>
  <si>
    <t>INDMC</t>
  </si>
  <si>
    <t>INDSCL</t>
  </si>
  <si>
    <t>INCAE</t>
  </si>
  <si>
    <t>INCSI</t>
  </si>
  <si>
    <t>INSEC</t>
  </si>
  <si>
    <t>INTT</t>
  </si>
  <si>
    <t>Taxable Income</t>
  </si>
  <si>
    <t>Total Operating Revenue</t>
  </si>
  <si>
    <t>Interest Expense</t>
  </si>
  <si>
    <t>TAXINC</t>
  </si>
  <si>
    <t>Taxable Income Unadjusted</t>
  </si>
  <si>
    <t>To Reflect a Full Year of the ECR Roll-In</t>
  </si>
  <si>
    <t>Taxable Income Pro-Forma</t>
  </si>
  <si>
    <t>INTEXP</t>
  </si>
  <si>
    <t>Interest Syncronization Adjustment</t>
  </si>
  <si>
    <t>TXINCPF</t>
  </si>
  <si>
    <t>Sub-Total Labor Exp</t>
  </si>
  <si>
    <t>Off-System Sales Allocator</t>
  </si>
  <si>
    <t xml:space="preserve">  Intercompany Sales</t>
  </si>
  <si>
    <t xml:space="preserve">  Off-System Sales</t>
  </si>
  <si>
    <t>ICSALES</t>
  </si>
  <si>
    <t>Costs allocated on Energy to be reallocated on RBPPT</t>
  </si>
  <si>
    <t>Costs allocated on Energy reallocated on RBPPT</t>
  </si>
  <si>
    <t>Net Adjustment</t>
  </si>
  <si>
    <t xml:space="preserve">  Off-System Sales Allocator</t>
  </si>
  <si>
    <t>OSSALL</t>
  </si>
  <si>
    <t>Less: Adjustment to Reallocate Expenses</t>
  </si>
  <si>
    <t>Base Rate Revenue at Current Rates</t>
  </si>
  <si>
    <t>Base Demand Allocator</t>
  </si>
  <si>
    <t>BDEM</t>
  </si>
  <si>
    <t>Summer Peak Period Demand Allocator</t>
  </si>
  <si>
    <t>Winter Peak Period Demand Allocator</t>
  </si>
  <si>
    <t>Production Residual Base Demand Allocator</t>
  </si>
  <si>
    <t xml:space="preserve">Production Base Demand Costs </t>
  </si>
  <si>
    <t>Production Base Demand Residual</t>
  </si>
  <si>
    <t>Production Base Demand Total</t>
  </si>
  <si>
    <t>Production Base Demand Allocator</t>
  </si>
  <si>
    <t>PPBDRA</t>
  </si>
  <si>
    <t>PPBDT</t>
  </si>
  <si>
    <t>PPBDA</t>
  </si>
  <si>
    <t>Number of</t>
  </si>
  <si>
    <t>Customers as of</t>
  </si>
  <si>
    <t>Interest</t>
  </si>
  <si>
    <t>YREND</t>
  </si>
  <si>
    <t>Eliminate DSM Revenue</t>
  </si>
  <si>
    <t>DSMREV</t>
  </si>
  <si>
    <t>FACRI</t>
  </si>
  <si>
    <t>ECRRI</t>
  </si>
  <si>
    <t>Lighting Kwh</t>
  </si>
  <si>
    <t>Residential Kwh</t>
  </si>
  <si>
    <t>Residential Customers</t>
  </si>
  <si>
    <t>Avg Kwh per Customer</t>
  </si>
  <si>
    <t>Equivalent customers</t>
  </si>
  <si>
    <t>Number of Lights</t>
  </si>
  <si>
    <t>Lights per customer</t>
  </si>
  <si>
    <t>PSL and OL</t>
  </si>
  <si>
    <t>TLE</t>
  </si>
  <si>
    <t>Average Secondary Customers</t>
  </si>
  <si>
    <t>Average Primary Customers</t>
  </si>
  <si>
    <t>Demand Allocators</t>
  </si>
  <si>
    <t>CSR Avoided Cost</t>
  </si>
  <si>
    <t>Interruptible Demands</t>
  </si>
  <si>
    <t>Avoided Cost per kW</t>
  </si>
  <si>
    <t xml:space="preserve">Avoided Cost </t>
  </si>
  <si>
    <t>Total Prod, Trans, and Dist Plant</t>
  </si>
  <si>
    <t>F027</t>
  </si>
  <si>
    <t>Customer Advances</t>
  </si>
  <si>
    <t>REGULATORY COMMISSION FEES</t>
  </si>
  <si>
    <t>O&amp;M Customer Allocators</t>
  </si>
  <si>
    <t>Plant Customer Allocators</t>
  </si>
  <si>
    <t>Production Allocation</t>
  </si>
  <si>
    <t>Cost of Service Summary -- Unadjusted</t>
  </si>
  <si>
    <t>VDT Revenue</t>
  </si>
  <si>
    <t>VDTREV</t>
  </si>
  <si>
    <t>Net Operating Income -- Pro-Forma</t>
  </si>
  <si>
    <t>To Reflect Proposed Increase to Ultimate Consumers</t>
  </si>
  <si>
    <t>To Reflect Proposed Increase in Miscellaneous Charges</t>
  </si>
  <si>
    <t>Adjusted Revenue at Current Rates</t>
  </si>
  <si>
    <t>Increase (Decrease) Required to Produce Levelized RORs</t>
  </si>
  <si>
    <t>% Increase (Decrease) Required to Produce Levelized RORs</t>
  </si>
  <si>
    <t>Increase to Ultimate Consumers Required to Produce Equalized RORs</t>
  </si>
  <si>
    <t>Internally Generated Functional Vectors</t>
  </si>
  <si>
    <t>Total Operation and Maintenance Expenses (Labor)</t>
  </si>
  <si>
    <t>Total Steam Power Operation Expenses (Labor)</t>
  </si>
  <si>
    <t>Total Steam Power Generation Maintenance Expense (Labor)</t>
  </si>
  <si>
    <t>Total Hydraulic Power Operation Expenses (Labor)</t>
  </si>
  <si>
    <t>Total Hydraulic Power Generation Maint. Expense (Labor)</t>
  </si>
  <si>
    <t>Total Other Power Generation Expenses (Labor)</t>
  </si>
  <si>
    <t>Adjusted Net Cost Rate Base</t>
  </si>
  <si>
    <t>Interruptible Credit Allocator (Winter &amp; Summer Peak Prod Plant)</t>
  </si>
  <si>
    <t>Purchase Power Demand</t>
  </si>
  <si>
    <t>Purchase Power Energy</t>
  </si>
  <si>
    <t xml:space="preserve">  374-ASSET RETIRE OBLIGATIONS DIST PLANT</t>
  </si>
  <si>
    <t>ORGANIZATION - COMMON</t>
  </si>
  <si>
    <t>FRANCHISE AND CONSENTS - COMMON</t>
  </si>
  <si>
    <t>SOFTWARE - COMMON</t>
  </si>
  <si>
    <t>MARKET FACILITATION, MONITORING AND COMPLIANCE</t>
  </si>
  <si>
    <t>OM575</t>
  </si>
  <si>
    <t>Traffic Street Lighting</t>
  </si>
  <si>
    <t>MSCREV</t>
  </si>
  <si>
    <t>Merger Surcredit Revenue</t>
  </si>
  <si>
    <t>VDT Surcredit Revenues</t>
  </si>
  <si>
    <t>Functional</t>
  </si>
  <si>
    <t>Total</t>
  </si>
  <si>
    <t>Station Equipment</t>
  </si>
  <si>
    <t>Meters</t>
  </si>
  <si>
    <t>Description</t>
  </si>
  <si>
    <t>Name</t>
  </si>
  <si>
    <t>Vector</t>
  </si>
  <si>
    <t>System</t>
  </si>
  <si>
    <t>Demand</t>
  </si>
  <si>
    <t>Energy</t>
  </si>
  <si>
    <t>Customer</t>
  </si>
  <si>
    <t>Total Check</t>
  </si>
  <si>
    <t>Status</t>
  </si>
  <si>
    <t>Plant in Service</t>
  </si>
  <si>
    <t>PDIST</t>
  </si>
  <si>
    <t>Total Intangible Plant</t>
  </si>
  <si>
    <t>PINT</t>
  </si>
  <si>
    <t>Distribution</t>
  </si>
  <si>
    <t>P362</t>
  </si>
  <si>
    <t>F001</t>
  </si>
  <si>
    <t>F002</t>
  </si>
  <si>
    <t>P365</t>
  </si>
  <si>
    <t>F003</t>
  </si>
  <si>
    <t>F004</t>
  </si>
  <si>
    <t>P367</t>
  </si>
  <si>
    <t>P368</t>
  </si>
  <si>
    <t>F005</t>
  </si>
  <si>
    <t>P369</t>
  </si>
  <si>
    <t>F006</t>
  </si>
  <si>
    <t>P370</t>
  </si>
  <si>
    <t>F007</t>
  </si>
  <si>
    <t>P371</t>
  </si>
  <si>
    <t>P373</t>
  </si>
  <si>
    <t>F008</t>
  </si>
  <si>
    <t>Total Distribution Plant</t>
  </si>
  <si>
    <t>General Plant</t>
  </si>
  <si>
    <t>Total General Plant</t>
  </si>
  <si>
    <t>PGP</t>
  </si>
  <si>
    <t>Total Plant in Service</t>
  </si>
  <si>
    <t>TPIS</t>
  </si>
  <si>
    <t>Construction Work in Progress (CWIP)</t>
  </si>
  <si>
    <t xml:space="preserve">  Total Construction Work in Progress</t>
  </si>
  <si>
    <t>TCWIP</t>
  </si>
  <si>
    <t>Materials and Supplies</t>
  </si>
  <si>
    <t>Rate Base</t>
  </si>
  <si>
    <t>Utility Plant</t>
  </si>
  <si>
    <t xml:space="preserve">    Total Utility Plant</t>
  </si>
  <si>
    <t>TUP</t>
  </si>
  <si>
    <t>ADEPRGP</t>
  </si>
  <si>
    <t xml:space="preserve">   Total Accumulated Depreciation</t>
  </si>
  <si>
    <t>TADEPR</t>
  </si>
  <si>
    <t>Net Utility Plant</t>
  </si>
  <si>
    <t>NTPLANT</t>
  </si>
  <si>
    <t>Working Capital</t>
  </si>
  <si>
    <t>Operation and Maintenance Expenses</t>
  </si>
  <si>
    <t>CWC</t>
  </si>
  <si>
    <t>OMLPP</t>
  </si>
  <si>
    <t>Prepayments</t>
  </si>
  <si>
    <t>PREPAY</t>
  </si>
  <si>
    <t xml:space="preserve">  Total Working Capital</t>
  </si>
  <si>
    <t>TWC</t>
  </si>
  <si>
    <t>CSTDEP</t>
  </si>
  <si>
    <t>Net Rate Base</t>
  </si>
  <si>
    <t>RB</t>
  </si>
  <si>
    <t>Purchased Power</t>
  </si>
  <si>
    <t>OMPP</t>
  </si>
  <si>
    <t>Distribution Operation Expense</t>
  </si>
  <si>
    <t>OPERATION SUPERVISION AND ENGI</t>
  </si>
  <si>
    <t>OM580</t>
  </si>
  <si>
    <t>LOAD DISPATCHING</t>
  </si>
  <si>
    <t>OM581</t>
  </si>
  <si>
    <t>OVERHEAD LINE EXPENSES</t>
  </si>
  <si>
    <t>OM583</t>
  </si>
  <si>
    <t>UNDERGROUND LINE EXPENSES</t>
  </si>
  <si>
    <t>OM584</t>
  </si>
  <si>
    <t>STREET LIGHTING EXPENSE</t>
  </si>
  <si>
    <t>OM585</t>
  </si>
  <si>
    <t>METER EXPENSES</t>
  </si>
  <si>
    <t>OM586</t>
  </si>
  <si>
    <t>CUSTOMER INSTALLATIONS EXPENSE</t>
  </si>
  <si>
    <t>OM587</t>
  </si>
  <si>
    <t>MISCELLANEOUS DISTRIBUTION EXP</t>
  </si>
  <si>
    <t>OM588</t>
  </si>
  <si>
    <t>RENTS</t>
  </si>
  <si>
    <t>OM589</t>
  </si>
  <si>
    <t>Total Distribution Operation Expense</t>
  </si>
  <si>
    <t>OMDO</t>
  </si>
  <si>
    <t>Distribution Maintenance Expense</t>
  </si>
  <si>
    <t>MAINTENANCE SUPERVISION AND EN</t>
  </si>
  <si>
    <t>OM590</t>
  </si>
  <si>
    <t>MAINTENANCE OF STATION EQUIPME</t>
  </si>
  <si>
    <t>OM592</t>
  </si>
  <si>
    <t>MAINTENANCE OF OVERHEAD LINES</t>
  </si>
  <si>
    <t>OM593</t>
  </si>
  <si>
    <t>MAINTENANCE OF UNDERGROUND LIN</t>
  </si>
  <si>
    <t>OM594</t>
  </si>
  <si>
    <t>MAINTENANCE OF LINE TRANSFORME</t>
  </si>
  <si>
    <t>OM595</t>
  </si>
  <si>
    <t>MAINTENANCE OF METERS</t>
  </si>
  <si>
    <t>OM597</t>
  </si>
  <si>
    <t>Total Distribution Maintenance Expense</t>
  </si>
  <si>
    <t>OMDM</t>
  </si>
  <si>
    <t>OMSUB</t>
  </si>
  <si>
    <t>Operation and Maintenance Expenses (Continued)</t>
  </si>
  <si>
    <t>Customer Accounts Expense</t>
  </si>
  <si>
    <t>SUPERVISION/CUSTOMER ACCTS</t>
  </si>
  <si>
    <t>OM901</t>
  </si>
  <si>
    <t>F009</t>
  </si>
  <si>
    <t>METER READING EXPENSES</t>
  </si>
  <si>
    <t>OM902</t>
  </si>
  <si>
    <t>OM903</t>
  </si>
  <si>
    <t>UNCOLLECTIBLE ACCOUNTS</t>
  </si>
  <si>
    <t>OM904</t>
  </si>
  <si>
    <t>Total Customer Accounts Expense</t>
  </si>
  <si>
    <t>OMCA</t>
  </si>
  <si>
    <t>Customer Service Expense</t>
  </si>
  <si>
    <t>OM907</t>
  </si>
  <si>
    <t>F010</t>
  </si>
  <si>
    <t>CUSTOMER ASSISTANCE EXPENSES</t>
  </si>
  <si>
    <t>OM908</t>
  </si>
  <si>
    <t>INFORMATIONAL AND INSTRUCTIONA</t>
  </si>
  <si>
    <t>OM909</t>
  </si>
  <si>
    <t>MISCELLANEOUS CUSTOMER SERVICE</t>
  </si>
  <si>
    <t>OM910</t>
  </si>
  <si>
    <t>Total Customer Service Expense</t>
  </si>
  <si>
    <t>OMCS</t>
  </si>
  <si>
    <t>Administrative and General Expense</t>
  </si>
  <si>
    <t>ADMIN. &amp; GEN. SALARIES-</t>
  </si>
  <si>
    <t>OM920</t>
  </si>
  <si>
    <t>OFFICE SUPPLIES AND EXPENSES</t>
  </si>
  <si>
    <t>OM921</t>
  </si>
  <si>
    <t>OUTSIDE SERVICES EMPLOYED</t>
  </si>
  <si>
    <t>OM923</t>
  </si>
  <si>
    <t>PROPERTY INSURANCE</t>
  </si>
  <si>
    <t>OM924</t>
  </si>
  <si>
    <t>INJURIES AND DAMAGES - INSURAN</t>
  </si>
  <si>
    <t>OM925</t>
  </si>
  <si>
    <t>EMPLOYEE BENEFITS</t>
  </si>
  <si>
    <t>OM926</t>
  </si>
  <si>
    <t>OM928</t>
  </si>
  <si>
    <t>MISCELLANEOUS GENERAL EXPENSES</t>
  </si>
  <si>
    <t>OM930</t>
  </si>
  <si>
    <t>RENTS AND LEASES</t>
  </si>
  <si>
    <t>OM931</t>
  </si>
  <si>
    <t>MAINTENANCE OF GENERAL PLANT</t>
  </si>
  <si>
    <t>Total Administrative and General Expense</t>
  </si>
  <si>
    <t>OMAG</t>
  </si>
  <si>
    <t>Total Operation and Maintenance Expenses</t>
  </si>
  <si>
    <t>TOM</t>
  </si>
  <si>
    <t>Labor Expenses</t>
  </si>
  <si>
    <t>Other Expenses</t>
  </si>
  <si>
    <t>Depreciation Expenses</t>
  </si>
  <si>
    <t>Total Depreciation Expense</t>
  </si>
  <si>
    <t>TDEPR</t>
  </si>
  <si>
    <t>PTAX</t>
  </si>
  <si>
    <t>OT</t>
  </si>
  <si>
    <t>INTLTD</t>
  </si>
  <si>
    <t>Other Deductions</t>
  </si>
  <si>
    <t>DEDUCT</t>
  </si>
  <si>
    <t>Total Other Expenses</t>
  </si>
  <si>
    <t>TOE</t>
  </si>
  <si>
    <t>Poles, Towers and Fixtures</t>
  </si>
  <si>
    <t>Overhead Conductors and Devices</t>
  </si>
  <si>
    <t>Underground Conductors and Devices</t>
  </si>
  <si>
    <t>Line Transformers</t>
  </si>
  <si>
    <t>Services</t>
  </si>
  <si>
    <t>Street Lighting</t>
  </si>
  <si>
    <t>Meter Reading</t>
  </si>
  <si>
    <t>Billing</t>
  </si>
  <si>
    <t>Allocation</t>
  </si>
  <si>
    <t xml:space="preserve">  Demand</t>
  </si>
  <si>
    <t>E01</t>
  </si>
  <si>
    <t>PLPPT</t>
  </si>
  <si>
    <t xml:space="preserve">  Customer</t>
  </si>
  <si>
    <t>C01</t>
  </si>
  <si>
    <t>C02</t>
  </si>
  <si>
    <t>C03</t>
  </si>
  <si>
    <t>C04</t>
  </si>
  <si>
    <t>C05</t>
  </si>
  <si>
    <t>C06</t>
  </si>
  <si>
    <t>PLT</t>
  </si>
  <si>
    <t>NPT</t>
  </si>
  <si>
    <t>Net Cost Rate Base</t>
  </si>
  <si>
    <t>RBPPT</t>
  </si>
  <si>
    <t>RBT</t>
  </si>
  <si>
    <t>OMPPT</t>
  </si>
  <si>
    <t>OMT</t>
  </si>
  <si>
    <t>LBPPT</t>
  </si>
  <si>
    <t>LBT</t>
  </si>
  <si>
    <t>PTT</t>
  </si>
  <si>
    <t>OTPPT</t>
  </si>
  <si>
    <t>OTT</t>
  </si>
  <si>
    <t>Operating Revenues</t>
  </si>
  <si>
    <t>REVUC</t>
  </si>
  <si>
    <t>Total Operating Revenues</t>
  </si>
  <si>
    <t>TOR</t>
  </si>
  <si>
    <t>Operating Expenses</t>
  </si>
  <si>
    <t xml:space="preserve">   Operation and Maintenance Expenses</t>
  </si>
  <si>
    <t xml:space="preserve">   Depreciation and Amortization Expenses</t>
  </si>
  <si>
    <t>Total Operating Expenses</t>
  </si>
  <si>
    <t>Rate of Return</t>
  </si>
  <si>
    <t>Energy Allocation Factors</t>
  </si>
  <si>
    <t>Energy Usage by Class</t>
  </si>
  <si>
    <t>Customer Allocation Factors</t>
  </si>
  <si>
    <t>Primary Distribution Plant -- Average Number of Customers</t>
  </si>
  <si>
    <t>Meter Costs -- Weighted Cost of Meters</t>
  </si>
  <si>
    <t>Lighting Systems -- Lighting Customers</t>
  </si>
  <si>
    <t>Meter Reading and Billing -- Weighted Cost</t>
  </si>
  <si>
    <t>Margin</t>
  </si>
  <si>
    <t>Revenue</t>
  </si>
  <si>
    <t>Transmission</t>
  </si>
  <si>
    <t>Transmission Plant</t>
  </si>
  <si>
    <t>Intangible Plant</t>
  </si>
  <si>
    <t>Total Transmission Plant</t>
  </si>
  <si>
    <t>FRANCHISE AND CONSENTS</t>
  </si>
  <si>
    <t>ORGANIZATION</t>
  </si>
  <si>
    <t>P301</t>
  </si>
  <si>
    <t>P302</t>
  </si>
  <si>
    <t>COMPLETED CONSTR NOT CLASSIFIED</t>
  </si>
  <si>
    <t>P106</t>
  </si>
  <si>
    <t>Plant in Service (Continued)</t>
  </si>
  <si>
    <t xml:space="preserve">  Total Utility Plant</t>
  </si>
  <si>
    <t xml:space="preserve">  Total Deferred Debits</t>
  </si>
  <si>
    <t>Transmission Expenses</t>
  </si>
  <si>
    <t>STATION EXPENSES</t>
  </si>
  <si>
    <t>MAINTENACE SUPERVISION AND ENG</t>
  </si>
  <si>
    <t>OPERATION SUPERVISION AND ENG</t>
  </si>
  <si>
    <t>MAINT OF STATION EQUIPMENT</t>
  </si>
  <si>
    <t>MAINT OF OVERHEAD LINES</t>
  </si>
  <si>
    <t>Total Transmission Expenses</t>
  </si>
  <si>
    <t>OM582</t>
  </si>
  <si>
    <t>PURCHASED POWER</t>
  </si>
  <si>
    <t>MAINTENANCE OF ST LIGHTS &amp; SIG SYSTEMS</t>
  </si>
  <si>
    <t>OM596</t>
  </si>
  <si>
    <t>Total Distribution Operation and Maintenance Expenses</t>
  </si>
  <si>
    <t>Transmission and Distribution Expenses</t>
  </si>
  <si>
    <t>MAINTENANCE OF MISC DISTR PLANT</t>
  </si>
  <si>
    <t>SUPERVISION</t>
  </si>
  <si>
    <t>DUPLICATE CHARGES-CR</t>
  </si>
  <si>
    <t>OM929</t>
  </si>
  <si>
    <t>Total Cost of Service (O&amp;M + Other Expenses)</t>
  </si>
  <si>
    <t>PTRAN</t>
  </si>
  <si>
    <t>F011</t>
  </si>
  <si>
    <t>PT&amp;D</t>
  </si>
  <si>
    <t>Adjustment to Reflect Depreciation Reserve</t>
  </si>
  <si>
    <t xml:space="preserve">  Accumulated Deferred Income Taxes</t>
  </si>
  <si>
    <t xml:space="preserve">  FAS 109 Deferred Income Taxes</t>
  </si>
  <si>
    <t xml:space="preserve">  Asset Retirement Obligation-Net Assets</t>
  </si>
  <si>
    <t xml:space="preserve"> Asset Retirement Obligation-Regulatory Liabilities</t>
  </si>
  <si>
    <t xml:space="preserve">   Depreciation for Asset Retirement Costs</t>
  </si>
  <si>
    <t xml:space="preserve">   Amortization Expense</t>
  </si>
  <si>
    <t xml:space="preserve">  Brokered Purchases</t>
  </si>
  <si>
    <t xml:space="preserve">  Settled Swap Revenue</t>
  </si>
  <si>
    <t xml:space="preserve">  Settled Swap Expense</t>
  </si>
  <si>
    <t>Eliminate ECR, MSR, DSM, FAC, GSC</t>
  </si>
  <si>
    <t>USGC Settlement</t>
  </si>
  <si>
    <t>Year Customers</t>
  </si>
  <si>
    <t>Rate PS</t>
  </si>
  <si>
    <t>Rate RTS</t>
  </si>
  <si>
    <t>Rate LE</t>
  </si>
  <si>
    <t>Power Service Primary</t>
  </si>
  <si>
    <t>Power Service Secondary</t>
  </si>
  <si>
    <t>Commercial TOD Primary</t>
  </si>
  <si>
    <t>Retail Transmission Service</t>
  </si>
  <si>
    <t>Traffic Lighting Rate TLE</t>
  </si>
  <si>
    <t>Federal &amp; State Income Tax Adjustment</t>
  </si>
  <si>
    <t>Federal &amp; State Income Tax Interest Adjustment</t>
  </si>
  <si>
    <t>Prior income tax true-ups &amp; adjustments</t>
  </si>
  <si>
    <t>Adjustment for domestic production activities</t>
  </si>
  <si>
    <t>Adjustment for tax basis depreciation reduction</t>
  </si>
  <si>
    <t>Adjustment for amortization of investment tax credit</t>
  </si>
  <si>
    <t>Unit Cost of Service Based on the Cost of Service Study</t>
  </si>
  <si>
    <t>Rate RS</t>
  </si>
  <si>
    <t>Customer Service Expenses</t>
  </si>
  <si>
    <t>Reference</t>
  </si>
  <si>
    <t>Demand-Related</t>
  </si>
  <si>
    <t>Energy-Related</t>
  </si>
  <si>
    <t>Customer-Related</t>
  </si>
  <si>
    <t>Check</t>
  </si>
  <si>
    <t>(1)</t>
  </si>
  <si>
    <t>(2)</t>
  </si>
  <si>
    <t>Rate Base Adjustments</t>
  </si>
  <si>
    <t>(3)</t>
  </si>
  <si>
    <t>Rate Base as Adjusted</t>
  </si>
  <si>
    <t>(4)</t>
  </si>
  <si>
    <t>(5)</t>
  </si>
  <si>
    <t>Return</t>
  </si>
  <si>
    <t>(6)</t>
  </si>
  <si>
    <t>(7)</t>
  </si>
  <si>
    <t>Net Income</t>
  </si>
  <si>
    <t>(8)</t>
  </si>
  <si>
    <t>Income Taxes</t>
  </si>
  <si>
    <t>(9)</t>
  </si>
  <si>
    <t>(10)</t>
  </si>
  <si>
    <t>(11)</t>
  </si>
  <si>
    <t>Other Taxes</t>
  </si>
  <si>
    <t>(12)</t>
  </si>
  <si>
    <t>Curtailable Service Credit</t>
  </si>
  <si>
    <t>(13)</t>
  </si>
  <si>
    <t>Expense Adjustments - Prod. Demand</t>
  </si>
  <si>
    <t>(14)</t>
  </si>
  <si>
    <t>Expense Adjustments - Energy</t>
  </si>
  <si>
    <t>(15)</t>
  </si>
  <si>
    <t>Expense Adjustments - Trans. Demand</t>
  </si>
  <si>
    <t>(16)</t>
  </si>
  <si>
    <t>Expense Adjustments - Distribution</t>
  </si>
  <si>
    <t>(17)</t>
  </si>
  <si>
    <t>Expense Adjustments - Other</t>
  </si>
  <si>
    <t>(18)</t>
  </si>
  <si>
    <t>Expense Adjustments - Total</t>
  </si>
  <si>
    <t>(19)</t>
  </si>
  <si>
    <t>Total Cost of Service</t>
  </si>
  <si>
    <t>(20)</t>
  </si>
  <si>
    <t>(21)</t>
  </si>
  <si>
    <t>Less: Misc Revenue - Energy</t>
  </si>
  <si>
    <t>(22)</t>
  </si>
  <si>
    <t>Less: Misc Revenue - Other</t>
  </si>
  <si>
    <t>(23)</t>
  </si>
  <si>
    <t>Less: Misc Revenue - Total</t>
  </si>
  <si>
    <t>(24)</t>
  </si>
  <si>
    <t>Net Cost of Service</t>
  </si>
  <si>
    <t>(25)</t>
  </si>
  <si>
    <t>Billing Units</t>
  </si>
  <si>
    <t>(26)</t>
  </si>
  <si>
    <t>Unit Costs</t>
  </si>
  <si>
    <t>Customer Charge</t>
  </si>
  <si>
    <t>Energy Charge</t>
  </si>
  <si>
    <t>Other Depreciation Expenses</t>
  </si>
  <si>
    <t>TREV01</t>
  </si>
  <si>
    <t>TEXP01</t>
  </si>
  <si>
    <t>Temperature Normalization - Revenue</t>
  </si>
  <si>
    <t>Temperature Normalization - Expenses</t>
  </si>
  <si>
    <t>REV01</t>
  </si>
  <si>
    <t>ECRREV2</t>
  </si>
  <si>
    <t>ECR Revenue for Roll-In</t>
  </si>
  <si>
    <t>Cost of Service Summary -- Pro-Forma (Adjusted for Proposed Increase)</t>
  </si>
  <si>
    <t>Revenue and Expense Adjust before IT</t>
  </si>
  <si>
    <t>ITADJ</t>
  </si>
  <si>
    <t>Proposed Increase</t>
  </si>
  <si>
    <t>Amount</t>
  </si>
  <si>
    <t>Winter Peak</t>
  </si>
  <si>
    <t>Summer Peak</t>
  </si>
  <si>
    <t xml:space="preserve">  Production Demand - Winter Peak</t>
  </si>
  <si>
    <t xml:space="preserve">  Production Demand - Summer Peak</t>
  </si>
  <si>
    <t xml:space="preserve">  Production Energy </t>
  </si>
  <si>
    <t xml:space="preserve">  Production Energy - Not Used</t>
  </si>
  <si>
    <t>Allocation Factors (Continued)</t>
  </si>
  <si>
    <t>Eliminate unbilled revenues</t>
  </si>
  <si>
    <t>Eliminate brokered sales revenues</t>
  </si>
  <si>
    <t>Annualized FAC roll-in to base rates</t>
  </si>
  <si>
    <t>Eliminate ECR revenues</t>
  </si>
  <si>
    <t>Remove Off-System ECR revenues</t>
  </si>
  <si>
    <t>Year end customer expense adjustment</t>
  </si>
  <si>
    <t>Annualized depreciation expense adjustment</t>
  </si>
  <si>
    <t>Pension &amp; post retirement expense adjustment</t>
  </si>
  <si>
    <t>Eliminate DSM expenses</t>
  </si>
  <si>
    <t>Property insurance expense adjustment</t>
  </si>
  <si>
    <t>Labor expense adjustment</t>
  </si>
  <si>
    <t>Eliminate advertising expenses</t>
  </si>
  <si>
    <t>MISO exit fee regulatory asset amortization</t>
  </si>
  <si>
    <t>FAC expense adjustments</t>
  </si>
  <si>
    <t>ECR plan eliminations expense</t>
  </si>
  <si>
    <t>Coal Tax Credit</t>
  </si>
  <si>
    <t>Grandfathering provision elimination</t>
  </si>
  <si>
    <t>2011 Wind Storm regulatory asset amortization</t>
  </si>
  <si>
    <t>General Management Audit regulatory asset amortization</t>
  </si>
  <si>
    <t>Residential Rate RS</t>
  </si>
  <si>
    <t>Power Service Primary Rate PS</t>
  </si>
  <si>
    <t>Power Service Secondary Rate PS</t>
  </si>
  <si>
    <t>Summary of Unadjusted Rates of Return by Class</t>
  </si>
  <si>
    <t>Property tax expense adjustment</t>
  </si>
  <si>
    <t>Electric Portion of Common Plant</t>
  </si>
  <si>
    <t>Gas Portion of Common Plant</t>
  </si>
  <si>
    <t xml:space="preserve">  CWIP Distribution</t>
  </si>
  <si>
    <t>PLANT HELD FOR FUTURE USE - DIST</t>
  </si>
  <si>
    <t>PLANT HELD FOR FUTURE USE - PROD</t>
  </si>
  <si>
    <t>OM504</t>
  </si>
  <si>
    <t>LB504</t>
  </si>
  <si>
    <t>STEAM TRANSFER EXPENSES</t>
  </si>
  <si>
    <t xml:space="preserve">   Depreciation Expenses</t>
  </si>
  <si>
    <t>Street Lighting Rate (RLS, LS, DSK)</t>
  </si>
  <si>
    <t>Rate RLS, LS, DSK</t>
  </si>
  <si>
    <t>Intermediate</t>
  </si>
  <si>
    <t>Peak</t>
  </si>
  <si>
    <t>(Winter)</t>
  </si>
  <si>
    <t>(Summer)</t>
  </si>
  <si>
    <t>Unit</t>
  </si>
  <si>
    <t>P374</t>
  </si>
  <si>
    <t>Cost of Service Summary -- Adjusted for Uniform Percentage Increase</t>
  </si>
  <si>
    <t>Full Year FAC Base Rate Change</t>
  </si>
  <si>
    <t>Adjustment to reflect changes to FAC calculations</t>
  </si>
  <si>
    <t>Adjustment to Off-System sales margins</t>
  </si>
  <si>
    <t>Eliminate rate mechanism revenue accruals</t>
  </si>
  <si>
    <t>Misc Service Revenue Allocator</t>
  </si>
  <si>
    <t>Adjustment to remove out of period items</t>
  </si>
  <si>
    <t>Adjustment for injuries and damages FERC account 925</t>
  </si>
  <si>
    <t>Adjustment for transfer of ITO functions</t>
  </si>
  <si>
    <t>Adjustment for Swap termination regulatory asset</t>
  </si>
  <si>
    <t>ECR Plan Eliminations</t>
  </si>
  <si>
    <t>ECR Revenue in Base Rates</t>
  </si>
  <si>
    <t>Summary of Adjusted Rates of Return by Class</t>
  </si>
  <si>
    <t>Summary of Rates of Return by Class w/Proposed Increase</t>
  </si>
  <si>
    <t>Lighting Rate RLS &amp; LS</t>
  </si>
  <si>
    <t>Lighting Rate LE</t>
  </si>
  <si>
    <t>Lighting Rate TLE</t>
  </si>
  <si>
    <t>Cost of Service Summary -- Equalized RORs based on Cost of Service</t>
  </si>
  <si>
    <t>Cost of Service Summary -- Pro-Forma w/Increase (Equalized RORs)</t>
  </si>
  <si>
    <t>Inter-Class Subsidies Received (Provided)</t>
  </si>
  <si>
    <t>Demand Charge</t>
  </si>
  <si>
    <t>Revenue per Billing Determinants</t>
  </si>
  <si>
    <t>Total Operating Revenue -- Adjusted for Uniform Percentage Increase</t>
  </si>
  <si>
    <t>Fuel Stock</t>
  </si>
  <si>
    <t xml:space="preserve">  CWIP General &amp; Common</t>
  </si>
  <si>
    <t>General Service Three Phase</t>
  </si>
  <si>
    <t xml:space="preserve">Forecasted </t>
  </si>
  <si>
    <t>General Service Three Phase Rate GS</t>
  </si>
  <si>
    <t>General Service Single Phase Rate GS</t>
  </si>
  <si>
    <t>Industrial TOD Primary</t>
  </si>
  <si>
    <t>Forecasted</t>
  </si>
  <si>
    <t>TOD Secondary</t>
  </si>
  <si>
    <t>Traffic Energy Rate TE</t>
  </si>
  <si>
    <t>Lighting Energy Rate LE</t>
  </si>
  <si>
    <t>Rate TOD</t>
  </si>
  <si>
    <t>Weighted Average Customers (Lighting = 9 Lights per Customer)</t>
  </si>
  <si>
    <t>Average Customers (Lighting = 9 Lights per Cust)</t>
  </si>
  <si>
    <t>in Base Rates</t>
  </si>
  <si>
    <t>CSR Credits</t>
  </si>
  <si>
    <t>Customer Account Changes</t>
  </si>
  <si>
    <t>Cane Run Depreciation adjustment</t>
  </si>
  <si>
    <t>For the 12 Months Ended June 30, 2016</t>
  </si>
  <si>
    <t>Average Customers</t>
  </si>
  <si>
    <t>Average Customers (Lighting = 9 Lights)</t>
  </si>
  <si>
    <t>Weighted Average Customers</t>
  </si>
  <si>
    <t>Average Transformer Customers</t>
  </si>
  <si>
    <t>Cust09</t>
  </si>
  <si>
    <t>Sum of the Individual Customer Demands (Transformers)</t>
  </si>
  <si>
    <t>SICDT</t>
  </si>
  <si>
    <t>Reflect Increase in Uncollectibles Expense</t>
  </si>
  <si>
    <t>Reflect Increase in PSC Fees</t>
  </si>
  <si>
    <t>TOD Rate TOD Secondary</t>
  </si>
  <si>
    <t>TOD Rate TOD Primary</t>
  </si>
  <si>
    <t>Rate PS Secondary</t>
  </si>
  <si>
    <t>Rate PS Primary</t>
  </si>
  <si>
    <t>Rate TOD Secondary</t>
  </si>
  <si>
    <t xml:space="preserve">General Service </t>
  </si>
  <si>
    <t>General Service</t>
  </si>
  <si>
    <t>Retail Transmission Service Rate RTS</t>
  </si>
  <si>
    <t>External Functional Vectors</t>
  </si>
  <si>
    <t>Special Contract #1</t>
  </si>
  <si>
    <t>Customer #1</t>
  </si>
  <si>
    <t>Customer #2</t>
  </si>
  <si>
    <t>Special Contract #2</t>
  </si>
  <si>
    <t>LE</t>
  </si>
  <si>
    <t>12 CP Demand Allocator</t>
  </si>
  <si>
    <t>12CP</t>
  </si>
  <si>
    <t>PJM 5CP Demand Allocator</t>
  </si>
  <si>
    <t>5CP</t>
  </si>
  <si>
    <t>Corrected</t>
  </si>
  <si>
    <t>PJM</t>
  </si>
  <si>
    <t>Filed</t>
  </si>
  <si>
    <t>12 CP</t>
  </si>
  <si>
    <t>5 CP</t>
  </si>
  <si>
    <t>RTS</t>
  </si>
  <si>
    <t>BIP *</t>
  </si>
  <si>
    <t>* Includes losses on NCP as well as BIP</t>
  </si>
  <si>
    <t>Lighting Rates</t>
  </si>
  <si>
    <t>PJM 5 CP</t>
  </si>
  <si>
    <t>LG&amp;E 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</si>
</sst>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_(&quot;$&quot;* #,##0.0000_);_(&quot;$&quot;* \(#,##0.0000\);_(&quot;$&quot;* &quot;-&quot;??_);_(@_)"/>
    <numFmt numFmtId="173" formatCode="_(&quot;$&quot;* #,##0.00000_);_(&quot;$&quot;* \(#,##0.00000\);_(&quot;$&quot;* &quot;-&quot;??_);_(@_)"/>
    <numFmt numFmtId="174" formatCode="_(&quot;$&quot;* #,##0.000000_);_(&quot;$&quot;* \(#,##0.000000\);_(&quot;$&quot;* &quot;-&quot;??_);_(@_)"/>
    <numFmt numFmtId="175" formatCode="0.0000000"/>
    <numFmt numFmtId="176" formatCode="_([$€-2]* #,##0.00_);_([$€-2]* \(#,##0.00\);_([$€-2]* &quot;-&quot;??_)"/>
    <numFmt numFmtId="177" formatCode="&quot;$&quot;#,##0\ ;\(&quot;$&quot;#,##0\)"/>
  </numFmts>
  <fonts count="44" x14ac:knownFonts="1">
    <font>
      <sz val="11"/>
      <name val="Times New Roman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u val="singleAccounting"/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2"/>
      <name val="Times New Roman"/>
      <family val="1"/>
    </font>
    <font>
      <sz val="1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3">
    <xf numFmtId="0" fontId="0" fillId="0" borderId="0"/>
    <xf numFmtId="0" fontId="27" fillId="5" borderId="0">
      <alignment horizontal="left"/>
    </xf>
    <xf numFmtId="0" fontId="28" fillId="5" borderId="0">
      <alignment horizontal="right"/>
    </xf>
    <xf numFmtId="0" fontId="29" fillId="4" borderId="0">
      <alignment horizontal="center"/>
    </xf>
    <xf numFmtId="0" fontId="28" fillId="5" borderId="0">
      <alignment horizontal="right"/>
    </xf>
    <xf numFmtId="0" fontId="30" fillId="4" borderId="0">
      <alignment horizontal="left"/>
    </xf>
    <xf numFmtId="43" fontId="2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18" fillId="0" borderId="0" applyProtection="0"/>
    <xf numFmtId="0" fontId="19" fillId="0" borderId="0" applyProtection="0"/>
    <xf numFmtId="0" fontId="20" fillId="0" borderId="0" applyProtection="0"/>
    <xf numFmtId="0" fontId="21" fillId="0" borderId="0" applyProtection="0"/>
    <xf numFmtId="0" fontId="7" fillId="0" borderId="0" applyProtection="0"/>
    <xf numFmtId="0" fontId="18" fillId="0" borderId="0" applyProtection="0"/>
    <xf numFmtId="0" fontId="22" fillId="0" borderId="0" applyProtection="0"/>
    <xf numFmtId="2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5" borderId="0">
      <alignment horizontal="left"/>
    </xf>
    <xf numFmtId="0" fontId="31" fillId="4" borderId="0">
      <alignment horizontal="left"/>
    </xf>
    <xf numFmtId="41" fontId="39" fillId="0" borderId="0"/>
    <xf numFmtId="4" fontId="32" fillId="6" borderId="0">
      <alignment horizontal="right"/>
    </xf>
    <xf numFmtId="0" fontId="33" fillId="6" borderId="0">
      <alignment horizontal="center" vertical="center"/>
    </xf>
    <xf numFmtId="0" fontId="31" fillId="6" borderId="1"/>
    <xf numFmtId="0" fontId="33" fillId="6" borderId="0" applyBorder="0">
      <alignment horizontal="centerContinuous"/>
    </xf>
    <xf numFmtId="0" fontId="34" fillId="6" borderId="0" applyBorder="0">
      <alignment horizontal="centerContinuous"/>
    </xf>
    <xf numFmtId="9" fontId="2" fillId="0" borderId="0" applyFont="0" applyFill="0" applyBorder="0" applyAlignment="0" applyProtection="0"/>
    <xf numFmtId="0" fontId="31" fillId="3" borderId="0">
      <alignment horizontal="center"/>
    </xf>
    <xf numFmtId="49" fontId="35" fillId="4" borderId="0">
      <alignment horizontal="center"/>
    </xf>
    <xf numFmtId="0" fontId="28" fillId="5" borderId="0">
      <alignment horizontal="center"/>
    </xf>
    <xf numFmtId="0" fontId="28" fillId="5" borderId="0">
      <alignment horizontal="centerContinuous"/>
    </xf>
    <xf numFmtId="0" fontId="36" fillId="4" borderId="0">
      <alignment horizontal="left"/>
    </xf>
    <xf numFmtId="49" fontId="36" fillId="4" borderId="0">
      <alignment horizontal="center"/>
    </xf>
    <xf numFmtId="0" fontId="27" fillId="5" borderId="0">
      <alignment horizontal="left"/>
    </xf>
    <xf numFmtId="49" fontId="36" fillId="4" borderId="0">
      <alignment horizontal="left"/>
    </xf>
    <xf numFmtId="0" fontId="27" fillId="5" borderId="0">
      <alignment horizontal="centerContinuous"/>
    </xf>
    <xf numFmtId="0" fontId="27" fillId="5" borderId="0">
      <alignment horizontal="right"/>
    </xf>
    <xf numFmtId="49" fontId="31" fillId="4" borderId="0">
      <alignment horizontal="left"/>
    </xf>
    <xf numFmtId="0" fontId="28" fillId="5" borderId="0">
      <alignment horizontal="right"/>
    </xf>
    <xf numFmtId="0" fontId="36" fillId="2" borderId="0">
      <alignment horizontal="center"/>
    </xf>
    <xf numFmtId="0" fontId="37" fillId="2" borderId="0">
      <alignment horizont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2" applyNumberFormat="0" applyFont="0" applyFill="0" applyAlignment="0" applyProtection="0"/>
    <xf numFmtId="0" fontId="38" fillId="4" borderId="0">
      <alignment horizontal="center"/>
    </xf>
  </cellStyleXfs>
  <cellXfs count="385">
    <xf numFmtId="0" fontId="0" fillId="0" borderId="0" xfId="0"/>
    <xf numFmtId="0" fontId="0" fillId="0" borderId="0" xfId="0" applyAlignment="1">
      <alignment horizontal="right"/>
    </xf>
    <xf numFmtId="164" fontId="0" fillId="0" borderId="0" xfId="8" applyNumberFormat="1" applyFont="1"/>
    <xf numFmtId="43" fontId="0" fillId="0" borderId="0" xfId="6" applyFont="1"/>
    <xf numFmtId="165" fontId="0" fillId="0" borderId="0" xfId="6" applyNumberFormat="1" applyFont="1"/>
    <xf numFmtId="0" fontId="4" fillId="0" borderId="0" xfId="0" applyFont="1"/>
    <xf numFmtId="0" fontId="3" fillId="0" borderId="0" xfId="0" applyFont="1"/>
    <xf numFmtId="0" fontId="5" fillId="0" borderId="0" xfId="0" applyFont="1"/>
    <xf numFmtId="165" fontId="0" fillId="0" borderId="0" xfId="0" applyNumberFormat="1"/>
    <xf numFmtId="170" fontId="0" fillId="0" borderId="0" xfId="6" applyNumberFormat="1" applyFont="1"/>
    <xf numFmtId="0" fontId="4" fillId="0" borderId="0" xfId="0" applyFont="1" applyAlignment="1">
      <alignment horizontal="right"/>
    </xf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Alignment="1"/>
    <xf numFmtId="43" fontId="4" fillId="0" borderId="0" xfId="6" applyFont="1" applyAlignment="1">
      <alignment horizontal="right"/>
    </xf>
    <xf numFmtId="0" fontId="4" fillId="0" borderId="0" xfId="0" applyFont="1" applyBorder="1"/>
    <xf numFmtId="164" fontId="6" fillId="0" borderId="0" xfId="8" applyNumberFormat="1" applyFont="1"/>
    <xf numFmtId="165" fontId="6" fillId="0" borderId="0" xfId="6" applyNumberFormat="1" applyFont="1"/>
    <xf numFmtId="10" fontId="0" fillId="0" borderId="0" xfId="30" applyNumberFormat="1" applyFont="1"/>
    <xf numFmtId="43" fontId="0" fillId="0" borderId="0" xfId="0" applyNumberFormat="1"/>
    <xf numFmtId="0" fontId="0" fillId="0" borderId="0" xfId="0" applyBorder="1"/>
    <xf numFmtId="43" fontId="4" fillId="0" borderId="0" xfId="6" applyFont="1" applyBorder="1" applyAlignment="1">
      <alignment horizontal="right"/>
    </xf>
    <xf numFmtId="170" fontId="4" fillId="0" borderId="0" xfId="6" applyNumberFormat="1" applyFont="1" applyBorder="1" applyAlignment="1">
      <alignment horizontal="right" wrapText="1"/>
    </xf>
    <xf numFmtId="165" fontId="4" fillId="0" borderId="0" xfId="6" applyNumberFormat="1" applyFont="1" applyBorder="1" applyAlignment="1">
      <alignment horizontal="right"/>
    </xf>
    <xf numFmtId="43" fontId="4" fillId="0" borderId="0" xfId="6" applyFont="1" applyBorder="1" applyAlignment="1">
      <alignment horizontal="right" wrapText="1"/>
    </xf>
    <xf numFmtId="0" fontId="4" fillId="0" borderId="3" xfId="0" applyFont="1" applyBorder="1" applyAlignment="1"/>
    <xf numFmtId="0" fontId="4" fillId="0" borderId="3" xfId="0" applyFont="1" applyBorder="1" applyAlignment="1">
      <alignment horizontal="left" wrapText="1"/>
    </xf>
    <xf numFmtId="0" fontId="9" fillId="0" borderId="0" xfId="0" applyFont="1"/>
    <xf numFmtId="43" fontId="4" fillId="0" borderId="3" xfId="6" applyFont="1" applyBorder="1" applyAlignment="1">
      <alignment horizontal="right"/>
    </xf>
    <xf numFmtId="170" fontId="0" fillId="0" borderId="0" xfId="6" applyNumberFormat="1" applyFont="1" applyAlignment="1">
      <alignment horizontal="right"/>
    </xf>
    <xf numFmtId="170" fontId="4" fillId="0" borderId="3" xfId="6" applyNumberFormat="1" applyFont="1" applyBorder="1" applyAlignment="1">
      <alignment horizontal="right"/>
    </xf>
    <xf numFmtId="0" fontId="8" fillId="0" borderId="0" xfId="0" applyFont="1"/>
    <xf numFmtId="0" fontId="8" fillId="0" borderId="0" xfId="0" applyFont="1" applyFill="1"/>
    <xf numFmtId="165" fontId="0" fillId="0" borderId="4" xfId="6" applyNumberFormat="1" applyFont="1" applyBorder="1"/>
    <xf numFmtId="10" fontId="0" fillId="0" borderId="4" xfId="30" applyNumberFormat="1" applyFont="1" applyBorder="1"/>
    <xf numFmtId="164" fontId="0" fillId="0" borderId="0" xfId="8" applyNumberFormat="1" applyFont="1" applyBorder="1"/>
    <xf numFmtId="165" fontId="0" fillId="0" borderId="0" xfId="6" applyNumberFormat="1" applyFont="1" applyBorder="1"/>
    <xf numFmtId="10" fontId="0" fillId="0" borderId="0" xfId="30" applyNumberFormat="1" applyFont="1" applyBorder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4" xfId="0" applyBorder="1"/>
    <xf numFmtId="0" fontId="8" fillId="0" borderId="4" xfId="0" applyFont="1" applyBorder="1"/>
    <xf numFmtId="0" fontId="13" fillId="0" borderId="0" xfId="0" applyFont="1" applyFill="1" applyAlignment="1" applyProtection="1">
      <alignment horizontal="left"/>
    </xf>
    <xf numFmtId="0" fontId="13" fillId="0" borderId="0" xfId="0" applyFont="1" applyAlignment="1">
      <alignment horizontal="centerContinuous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4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7" xfId="0" applyFont="1" applyBorder="1" applyAlignment="1">
      <alignment horizontal="right" wrapText="1"/>
    </xf>
    <xf numFmtId="0" fontId="14" fillId="0" borderId="3" xfId="0" applyFont="1" applyBorder="1"/>
    <xf numFmtId="0" fontId="14" fillId="0" borderId="3" xfId="0" applyFont="1" applyBorder="1" applyAlignment="1">
      <alignment horizontal="left"/>
    </xf>
    <xf numFmtId="0" fontId="14" fillId="0" borderId="3" xfId="0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0" fontId="14" fillId="0" borderId="3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3" fillId="0" borderId="0" xfId="0" applyFont="1" applyAlignment="1">
      <alignment horizontal="center"/>
    </xf>
    <xf numFmtId="0" fontId="15" fillId="0" borderId="0" xfId="0" applyFont="1" applyFill="1"/>
    <xf numFmtId="0" fontId="13" fillId="0" borderId="0" xfId="0" applyFont="1" applyFill="1"/>
    <xf numFmtId="2" fontId="13" fillId="0" borderId="0" xfId="0" applyNumberFormat="1" applyFont="1" applyFill="1"/>
    <xf numFmtId="164" fontId="13" fillId="0" borderId="0" xfId="8" applyNumberFormat="1" applyFont="1"/>
    <xf numFmtId="165" fontId="13" fillId="0" borderId="0" xfId="6" applyNumberFormat="1" applyFont="1"/>
    <xf numFmtId="164" fontId="13" fillId="0" borderId="0" xfId="0" applyNumberFormat="1" applyFont="1"/>
    <xf numFmtId="0" fontId="14" fillId="0" borderId="0" xfId="0" applyFont="1" applyFill="1"/>
    <xf numFmtId="165" fontId="13" fillId="0" borderId="0" xfId="0" applyNumberFormat="1" applyFont="1"/>
    <xf numFmtId="43" fontId="13" fillId="0" borderId="0" xfId="6" applyFont="1"/>
    <xf numFmtId="0" fontId="13" fillId="0" borderId="0" xfId="0" quotePrefix="1" applyFont="1" applyFill="1"/>
    <xf numFmtId="0" fontId="13" fillId="0" borderId="0" xfId="0" applyFont="1" applyBorder="1"/>
    <xf numFmtId="0" fontId="13" fillId="0" borderId="0" xfId="0" applyFont="1" applyFill="1" applyBorder="1"/>
    <xf numFmtId="0" fontId="14" fillId="0" borderId="0" xfId="0" applyFont="1" applyFill="1" applyAlignment="1">
      <alignment horizontal="right" wrapText="1"/>
    </xf>
    <xf numFmtId="0" fontId="14" fillId="0" borderId="0" xfId="0" applyFont="1" applyFill="1" applyAlignment="1">
      <alignment horizontal="right"/>
    </xf>
    <xf numFmtId="0" fontId="14" fillId="0" borderId="3" xfId="0" applyFont="1" applyFill="1" applyBorder="1" applyAlignment="1">
      <alignment horizontal="right"/>
    </xf>
    <xf numFmtId="10" fontId="13" fillId="0" borderId="0" xfId="30" applyNumberFormat="1" applyFont="1"/>
    <xf numFmtId="43" fontId="13" fillId="0" borderId="0" xfId="0" applyNumberFormat="1" applyFont="1"/>
    <xf numFmtId="164" fontId="13" fillId="0" borderId="0" xfId="8" applyNumberFormat="1" applyFont="1" applyFill="1"/>
    <xf numFmtId="0" fontId="13" fillId="0" borderId="0" xfId="0" applyFont="1" applyFill="1" applyAlignment="1">
      <alignment horizontal="centerContinuous"/>
    </xf>
    <xf numFmtId="0" fontId="16" fillId="0" borderId="0" xfId="0" applyFont="1" applyFill="1" applyAlignment="1">
      <alignment horizontal="right"/>
    </xf>
    <xf numFmtId="165" fontId="13" fillId="0" borderId="0" xfId="6" applyNumberFormat="1" applyFont="1" applyFill="1"/>
    <xf numFmtId="164" fontId="13" fillId="0" borderId="0" xfId="0" applyNumberFormat="1" applyFont="1" applyFill="1"/>
    <xf numFmtId="166" fontId="13" fillId="0" borderId="0" xfId="0" applyNumberFormat="1" applyFont="1" applyFill="1"/>
    <xf numFmtId="43" fontId="13" fillId="0" borderId="0" xfId="6" applyFont="1" applyFill="1"/>
    <xf numFmtId="169" fontId="13" fillId="0" borderId="0" xfId="6" applyNumberFormat="1" applyFont="1" applyFill="1"/>
    <xf numFmtId="165" fontId="4" fillId="0" borderId="0" xfId="6" applyNumberFormat="1" applyFont="1" applyAlignment="1">
      <alignment horizontal="right"/>
    </xf>
    <xf numFmtId="43" fontId="6" fillId="0" borderId="0" xfId="6" applyFont="1"/>
    <xf numFmtId="165" fontId="3" fillId="0" borderId="0" xfId="6" applyNumberFormat="1" applyFont="1"/>
    <xf numFmtId="43" fontId="3" fillId="0" borderId="0" xfId="6" applyFont="1"/>
    <xf numFmtId="165" fontId="6" fillId="0" borderId="0" xfId="8" applyNumberFormat="1" applyFont="1"/>
    <xf numFmtId="0" fontId="10" fillId="0" borderId="0" xfId="0" applyFont="1"/>
    <xf numFmtId="0" fontId="11" fillId="0" borderId="0" xfId="0" applyFont="1" applyFill="1"/>
    <xf numFmtId="0" fontId="10" fillId="0" borderId="0" xfId="0" applyFont="1" applyFill="1"/>
    <xf numFmtId="0" fontId="11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quotePrefix="1" applyFont="1" applyAlignment="1">
      <alignment horizontal="left"/>
    </xf>
    <xf numFmtId="164" fontId="10" fillId="0" borderId="0" xfId="0" applyNumberFormat="1" applyFont="1" applyFill="1"/>
    <xf numFmtId="0" fontId="11" fillId="0" borderId="3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166" fontId="10" fillId="0" borderId="0" xfId="0" applyNumberFormat="1" applyFont="1" applyFill="1"/>
    <xf numFmtId="164" fontId="10" fillId="0" borderId="0" xfId="8" applyNumberFormat="1" applyFont="1" applyFill="1"/>
    <xf numFmtId="0" fontId="11" fillId="0" borderId="4" xfId="0" applyFont="1" applyFill="1" applyBorder="1"/>
    <xf numFmtId="0" fontId="10" fillId="0" borderId="4" xfId="0" applyFont="1" applyFill="1" applyBorder="1"/>
    <xf numFmtId="164" fontId="10" fillId="0" borderId="4" xfId="8" applyNumberFormat="1" applyFont="1" applyFill="1" applyBorder="1"/>
    <xf numFmtId="166" fontId="10" fillId="0" borderId="4" xfId="0" applyNumberFormat="1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5" fontId="10" fillId="0" borderId="0" xfId="6" applyNumberFormat="1" applyFont="1"/>
    <xf numFmtId="165" fontId="10" fillId="0" borderId="4" xfId="6" applyNumberFormat="1" applyFont="1" applyBorder="1"/>
    <xf numFmtId="165" fontId="10" fillId="0" borderId="0" xfId="0" applyNumberFormat="1" applyFont="1" applyFill="1"/>
    <xf numFmtId="170" fontId="13" fillId="0" borderId="0" xfId="6" applyNumberFormat="1" applyFont="1" applyFill="1"/>
    <xf numFmtId="0" fontId="13" fillId="0" borderId="0" xfId="0" quotePrefix="1" applyFont="1" applyFill="1" applyAlignment="1">
      <alignment horizontal="left"/>
    </xf>
    <xf numFmtId="165" fontId="13" fillId="0" borderId="0" xfId="0" applyNumberFormat="1" applyFont="1" applyFill="1"/>
    <xf numFmtId="0" fontId="25" fillId="0" borderId="0" xfId="0" applyFont="1"/>
    <xf numFmtId="0" fontId="2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5" fillId="0" borderId="3" xfId="0" applyFont="1" applyBorder="1" applyAlignment="1">
      <alignment horizontal="center"/>
    </xf>
    <xf numFmtId="165" fontId="25" fillId="0" borderId="0" xfId="6" applyNumberFormat="1" applyFont="1"/>
    <xf numFmtId="165" fontId="25" fillId="0" borderId="0" xfId="0" applyNumberFormat="1" applyFont="1"/>
    <xf numFmtId="43" fontId="25" fillId="0" borderId="0" xfId="6" applyNumberFormat="1" applyFont="1"/>
    <xf numFmtId="44" fontId="25" fillId="0" borderId="0" xfId="8" applyFont="1"/>
    <xf numFmtId="172" fontId="25" fillId="0" borderId="0" xfId="8" applyNumberFormat="1" applyFont="1"/>
    <xf numFmtId="1" fontId="25" fillId="0" borderId="0" xfId="0" applyNumberFormat="1" applyFont="1"/>
    <xf numFmtId="0" fontId="25" fillId="0" borderId="0" xfId="0" applyFont="1" applyFill="1" applyAlignment="1">
      <alignment horizontal="center"/>
    </xf>
    <xf numFmtId="0" fontId="25" fillId="0" borderId="0" xfId="0" applyFont="1" applyFill="1"/>
    <xf numFmtId="165" fontId="25" fillId="0" borderId="0" xfId="6" applyNumberFormat="1" applyFont="1" applyBorder="1"/>
    <xf numFmtId="0" fontId="14" fillId="0" borderId="4" xfId="0" applyFont="1" applyBorder="1"/>
    <xf numFmtId="164" fontId="25" fillId="0" borderId="0" xfId="8" applyNumberFormat="1" applyFont="1"/>
    <xf numFmtId="164" fontId="25" fillId="0" borderId="0" xfId="8" applyNumberFormat="1" applyFont="1" applyFill="1"/>
    <xf numFmtId="164" fontId="25" fillId="0" borderId="0" xfId="8" applyNumberFormat="1" applyFont="1" applyFill="1" applyBorder="1"/>
    <xf numFmtId="165" fontId="25" fillId="0" borderId="0" xfId="6" applyNumberFormat="1" applyFont="1" applyFill="1" applyBorder="1" applyAlignment="1">
      <alignment horizontal="right"/>
    </xf>
    <xf numFmtId="43" fontId="25" fillId="0" borderId="0" xfId="6" applyFont="1"/>
    <xf numFmtId="43" fontId="25" fillId="0" borderId="0" xfId="0" applyNumberFormat="1" applyFont="1"/>
    <xf numFmtId="171" fontId="25" fillId="0" borderId="0" xfId="0" applyNumberFormat="1" applyFont="1"/>
    <xf numFmtId="164" fontId="26" fillId="0" borderId="0" xfId="8" applyNumberFormat="1" applyFont="1"/>
    <xf numFmtId="165" fontId="25" fillId="0" borderId="0" xfId="8" applyNumberFormat="1" applyFont="1"/>
    <xf numFmtId="4" fontId="25" fillId="0" borderId="0" xfId="0" applyNumberFormat="1" applyFont="1"/>
    <xf numFmtId="43" fontId="13" fillId="0" borderId="0" xfId="0" applyNumberFormat="1" applyFont="1" applyFill="1"/>
    <xf numFmtId="164" fontId="13" fillId="0" borderId="4" xfId="8" applyNumberFormat="1" applyFont="1" applyFill="1" applyBorder="1"/>
    <xf numFmtId="164" fontId="13" fillId="0" borderId="4" xfId="0" applyNumberFormat="1" applyFont="1" applyFill="1" applyBorder="1"/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/>
    <xf numFmtId="0" fontId="14" fillId="0" borderId="3" xfId="0" applyFont="1" applyFill="1" applyBorder="1"/>
    <xf numFmtId="0" fontId="14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left"/>
    </xf>
    <xf numFmtId="10" fontId="14" fillId="0" borderId="0" xfId="30" applyNumberFormat="1" applyFont="1" applyFill="1" applyBorder="1"/>
    <xf numFmtId="0" fontId="13" fillId="0" borderId="0" xfId="0" applyFont="1" applyFill="1" applyBorder="1" applyAlignment="1">
      <alignment horizontal="center"/>
    </xf>
    <xf numFmtId="168" fontId="13" fillId="0" borderId="0" xfId="6" applyNumberFormat="1" applyFont="1" applyFill="1" applyBorder="1"/>
    <xf numFmtId="165" fontId="13" fillId="0" borderId="0" xfId="6" applyNumberFormat="1" applyFont="1" applyFill="1" applyBorder="1"/>
    <xf numFmtId="165" fontId="13" fillId="0" borderId="4" xfId="6" applyNumberFormat="1" applyFont="1" applyFill="1" applyBorder="1"/>
    <xf numFmtId="0" fontId="13" fillId="0" borderId="4" xfId="0" applyFont="1" applyFill="1" applyBorder="1" applyAlignment="1">
      <alignment horizontal="center"/>
    </xf>
    <xf numFmtId="10" fontId="13" fillId="0" borderId="0" xfId="0" applyNumberFormat="1" applyFont="1" applyFill="1"/>
    <xf numFmtId="0" fontId="14" fillId="0" borderId="5" xfId="0" applyFont="1" applyFill="1" applyBorder="1"/>
    <xf numFmtId="10" fontId="14" fillId="0" borderId="7" xfId="30" applyNumberFormat="1" applyFont="1" applyFill="1" applyBorder="1"/>
    <xf numFmtId="10" fontId="13" fillId="0" borderId="0" xfId="30" applyNumberFormat="1" applyFont="1" applyFill="1"/>
    <xf numFmtId="164" fontId="13" fillId="0" borderId="0" xfId="0" applyNumberFormat="1" applyFont="1" applyFill="1" applyBorder="1"/>
    <xf numFmtId="0" fontId="13" fillId="7" borderId="0" xfId="0" applyFont="1" applyFill="1"/>
    <xf numFmtId="164" fontId="13" fillId="7" borderId="0" xfId="0" applyNumberFormat="1" applyFont="1" applyFill="1"/>
    <xf numFmtId="0" fontId="13" fillId="7" borderId="0" xfId="0" applyFont="1" applyFill="1" applyAlignment="1">
      <alignment horizontal="center"/>
    </xf>
    <xf numFmtId="164" fontId="13" fillId="7" borderId="0" xfId="8" applyNumberFormat="1" applyFont="1" applyFill="1"/>
    <xf numFmtId="10" fontId="13" fillId="7" borderId="0" xfId="30" applyNumberFormat="1" applyFont="1" applyFill="1"/>
    <xf numFmtId="165" fontId="13" fillId="7" borderId="0" xfId="0" applyNumberFormat="1" applyFont="1" applyFill="1"/>
    <xf numFmtId="10" fontId="14" fillId="7" borderId="7" xfId="30" applyNumberFormat="1" applyFont="1" applyFill="1" applyBorder="1"/>
    <xf numFmtId="0" fontId="14" fillId="7" borderId="0" xfId="0" applyFont="1" applyFill="1" applyBorder="1"/>
    <xf numFmtId="170" fontId="13" fillId="0" borderId="0" xfId="0" applyNumberFormat="1" applyFont="1" applyFill="1" applyBorder="1"/>
    <xf numFmtId="0" fontId="13" fillId="0" borderId="0" xfId="0" applyNumberFormat="1" applyFont="1" applyFill="1"/>
    <xf numFmtId="165" fontId="13" fillId="8" borderId="0" xfId="6" applyNumberFormat="1" applyFont="1" applyFill="1"/>
    <xf numFmtId="164" fontId="13" fillId="8" borderId="0" xfId="8" applyNumberFormat="1" applyFont="1" applyFill="1"/>
    <xf numFmtId="0" fontId="13" fillId="0" borderId="0" xfId="0" applyFont="1" applyFill="1" applyAlignment="1">
      <alignment horizontal="left"/>
    </xf>
    <xf numFmtId="0" fontId="13" fillId="8" borderId="0" xfId="0" applyFont="1" applyFill="1" applyAlignment="1">
      <alignment horizontal="center"/>
    </xf>
    <xf numFmtId="0" fontId="13" fillId="8" borderId="0" xfId="0" applyFont="1" applyFill="1"/>
    <xf numFmtId="171" fontId="13" fillId="8" borderId="0" xfId="0" applyNumberFormat="1" applyFont="1" applyFill="1"/>
    <xf numFmtId="164" fontId="13" fillId="8" borderId="0" xfId="0" applyNumberFormat="1" applyFont="1" applyFill="1"/>
    <xf numFmtId="169" fontId="13" fillId="8" borderId="0" xfId="6" applyNumberFormat="1" applyFont="1" applyFill="1"/>
    <xf numFmtId="43" fontId="13" fillId="8" borderId="0" xfId="6" applyFont="1" applyFill="1"/>
    <xf numFmtId="167" fontId="13" fillId="8" borderId="0" xfId="0" applyNumberFormat="1" applyFont="1" applyFill="1"/>
    <xf numFmtId="0" fontId="13" fillId="9" borderId="0" xfId="0" applyFont="1" applyFill="1"/>
    <xf numFmtId="165" fontId="13" fillId="9" borderId="0" xfId="6" applyNumberFormat="1" applyFont="1" applyFill="1"/>
    <xf numFmtId="0" fontId="13" fillId="9" borderId="0" xfId="0" applyFont="1" applyFill="1" applyAlignment="1">
      <alignment horizontal="center"/>
    </xf>
    <xf numFmtId="43" fontId="13" fillId="9" borderId="0" xfId="0" applyNumberFormat="1" applyFont="1" applyFill="1"/>
    <xf numFmtId="164" fontId="13" fillId="9" borderId="0" xfId="8" applyNumberFormat="1" applyFont="1" applyFill="1"/>
    <xf numFmtId="165" fontId="13" fillId="9" borderId="0" xfId="0" applyNumberFormat="1" applyFont="1" applyFill="1"/>
    <xf numFmtId="170" fontId="13" fillId="9" borderId="0" xfId="6" applyNumberFormat="1" applyFont="1" applyFill="1"/>
    <xf numFmtId="169" fontId="13" fillId="9" borderId="0" xfId="6" applyNumberFormat="1" applyFont="1" applyFill="1"/>
    <xf numFmtId="164" fontId="13" fillId="9" borderId="0" xfId="0" applyNumberFormat="1" applyFont="1" applyFill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7" xfId="0" applyFont="1" applyBorder="1" applyAlignment="1">
      <alignment horizontal="center"/>
    </xf>
    <xf numFmtId="0" fontId="0" fillId="0" borderId="10" xfId="0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0" fillId="0" borderId="13" xfId="0" applyBorder="1"/>
    <xf numFmtId="0" fontId="4" fillId="0" borderId="14" xfId="0" applyFont="1" applyBorder="1"/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/>
    <xf numFmtId="0" fontId="0" fillId="0" borderId="11" xfId="0" quotePrefix="1" applyBorder="1"/>
    <xf numFmtId="0" fontId="0" fillId="0" borderId="12" xfId="0" applyBorder="1"/>
    <xf numFmtId="0" fontId="7" fillId="0" borderId="13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1" xfId="0" quotePrefix="1" applyFont="1" applyBorder="1"/>
    <xf numFmtId="0" fontId="7" fillId="0" borderId="12" xfId="0" applyFont="1" applyFill="1" applyBorder="1"/>
    <xf numFmtId="0" fontId="0" fillId="0" borderId="13" xfId="0" applyBorder="1" applyAlignment="1">
      <alignment horizontal="center"/>
    </xf>
    <xf numFmtId="164" fontId="0" fillId="0" borderId="13" xfId="8" applyNumberFormat="1" applyFont="1" applyBorder="1"/>
    <xf numFmtId="0" fontId="0" fillId="0" borderId="11" xfId="0" applyBorder="1"/>
    <xf numFmtId="0" fontId="2" fillId="0" borderId="12" xfId="0" applyFont="1" applyBorder="1"/>
    <xf numFmtId="0" fontId="7" fillId="0" borderId="11" xfId="0" quotePrefix="1" applyFont="1" applyFill="1" applyBorder="1"/>
    <xf numFmtId="164" fontId="7" fillId="0" borderId="13" xfId="8" applyNumberFormat="1" applyFont="1" applyBorder="1" applyAlignment="1">
      <alignment horizontal="center"/>
    </xf>
    <xf numFmtId="165" fontId="7" fillId="0" borderId="0" xfId="0" applyNumberFormat="1" applyFont="1" applyFill="1"/>
    <xf numFmtId="0" fontId="7" fillId="0" borderId="14" xfId="0" quotePrefix="1" applyFont="1" applyBorder="1"/>
    <xf numFmtId="0" fontId="0" fillId="0" borderId="17" xfId="0" applyBorder="1"/>
    <xf numFmtId="0" fontId="7" fillId="0" borderId="15" xfId="0" applyFont="1" applyBorder="1" applyAlignment="1">
      <alignment horizontal="center"/>
    </xf>
    <xf numFmtId="164" fontId="0" fillId="0" borderId="15" xfId="8" applyNumberFormat="1" applyFont="1" applyBorder="1"/>
    <xf numFmtId="0" fontId="2" fillId="0" borderId="0" xfId="0" applyFont="1"/>
    <xf numFmtId="2" fontId="0" fillId="0" borderId="0" xfId="0" applyNumberFormat="1"/>
    <xf numFmtId="0" fontId="13" fillId="9" borderId="0" xfId="0" applyNumberFormat="1" applyFont="1" applyFill="1"/>
    <xf numFmtId="0" fontId="8" fillId="0" borderId="0" xfId="0" applyFont="1" applyFill="1" applyBorder="1"/>
    <xf numFmtId="10" fontId="13" fillId="0" borderId="0" xfId="30" applyNumberFormat="1" applyFont="1" applyFill="1" applyBorder="1"/>
    <xf numFmtId="164" fontId="13" fillId="0" borderId="0" xfId="30" applyNumberFormat="1" applyFont="1" applyFill="1"/>
    <xf numFmtId="0" fontId="15" fillId="0" borderId="0" xfId="0" applyFont="1" applyFill="1" applyBorder="1"/>
    <xf numFmtId="44" fontId="13" fillId="0" borderId="0" xfId="8" applyFont="1" applyFill="1" applyBorder="1"/>
    <xf numFmtId="44" fontId="13" fillId="0" borderId="0" xfId="0" applyNumberFormat="1" applyFont="1" applyFill="1" applyBorder="1"/>
    <xf numFmtId="10" fontId="13" fillId="0" borderId="0" xfId="0" applyNumberFormat="1" applyFont="1" applyFill="1" applyBorder="1"/>
    <xf numFmtId="0" fontId="8" fillId="0" borderId="0" xfId="0" applyFont="1" applyBorder="1" applyAlignment="1"/>
    <xf numFmtId="164" fontId="2" fillId="0" borderId="11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12" xfId="0" applyFont="1" applyFill="1" applyBorder="1"/>
    <xf numFmtId="165" fontId="2" fillId="0" borderId="0" xfId="6" applyNumberFormat="1" applyFont="1" applyFill="1" applyBorder="1"/>
    <xf numFmtId="0" fontId="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39" fillId="0" borderId="0" xfId="0" applyFont="1" applyBorder="1"/>
    <xf numFmtId="166" fontId="13" fillId="0" borderId="0" xfId="6" applyNumberFormat="1" applyFont="1" applyFill="1"/>
    <xf numFmtId="166" fontId="2" fillId="0" borderId="0" xfId="6" applyNumberFormat="1" applyFont="1" applyFill="1"/>
    <xf numFmtId="0" fontId="14" fillId="0" borderId="0" xfId="0" quotePrefix="1" applyFont="1" applyFill="1" applyAlignment="1">
      <alignment horizontal="left"/>
    </xf>
    <xf numFmtId="0" fontId="13" fillId="10" borderId="0" xfId="0" applyFont="1" applyFill="1"/>
    <xf numFmtId="0" fontId="13" fillId="10" borderId="0" xfId="0" quotePrefix="1" applyFont="1" applyFill="1" applyAlignment="1">
      <alignment horizontal="left"/>
    </xf>
    <xf numFmtId="0" fontId="4" fillId="0" borderId="3" xfId="0" applyFont="1" applyBorder="1" applyAlignment="1">
      <alignment horizontal="right"/>
    </xf>
    <xf numFmtId="0" fontId="4" fillId="0" borderId="0" xfId="0" quotePrefix="1" applyFont="1" applyAlignment="1">
      <alignment horizontal="right"/>
    </xf>
    <xf numFmtId="0" fontId="1" fillId="0" borderId="3" xfId="0" applyFont="1" applyBorder="1" applyAlignment="1">
      <alignment horizontal="right"/>
    </xf>
    <xf numFmtId="165" fontId="25" fillId="0" borderId="0" xfId="6" applyNumberFormat="1" applyFont="1" applyBorder="1" applyAlignment="1">
      <alignment horizontal="right"/>
    </xf>
    <xf numFmtId="167" fontId="25" fillId="0" borderId="0" xfId="6" applyNumberFormat="1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44" fontId="25" fillId="0" borderId="0" xfId="8" applyFont="1" applyBorder="1" applyAlignment="1">
      <alignment horizontal="right"/>
    </xf>
    <xf numFmtId="43" fontId="0" fillId="0" borderId="0" xfId="6" applyFont="1" applyBorder="1"/>
    <xf numFmtId="10" fontId="13" fillId="0" borderId="0" xfId="0" applyNumberFormat="1" applyFont="1"/>
    <xf numFmtId="44" fontId="40" fillId="0" borderId="0" xfId="8" applyFont="1" applyFill="1"/>
    <xf numFmtId="0" fontId="0" fillId="0" borderId="0" xfId="0" applyFill="1"/>
    <xf numFmtId="165" fontId="13" fillId="0" borderId="0" xfId="8" applyNumberFormat="1" applyFont="1" applyFill="1"/>
    <xf numFmtId="17" fontId="13" fillId="0" borderId="0" xfId="0" applyNumberFormat="1" applyFont="1"/>
    <xf numFmtId="165" fontId="10" fillId="0" borderId="0" xfId="6" applyNumberFormat="1" applyFont="1" applyFill="1"/>
    <xf numFmtId="165" fontId="25" fillId="0" borderId="0" xfId="6" applyNumberFormat="1" applyFont="1" applyFill="1"/>
    <xf numFmtId="165" fontId="25" fillId="0" borderId="0" xfId="0" applyNumberFormat="1" applyFont="1" applyFill="1"/>
    <xf numFmtId="15" fontId="4" fillId="0" borderId="3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164" fontId="2" fillId="0" borderId="0" xfId="8" applyNumberFormat="1" applyFont="1" applyFill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/>
    <xf numFmtId="164" fontId="0" fillId="0" borderId="0" xfId="0" applyNumberFormat="1"/>
    <xf numFmtId="43" fontId="4" fillId="0" borderId="0" xfId="6" applyFont="1" applyBorder="1" applyAlignment="1"/>
    <xf numFmtId="165" fontId="0" fillId="0" borderId="0" xfId="6" quotePrefix="1" applyNumberFormat="1" applyFont="1"/>
    <xf numFmtId="0" fontId="13" fillId="0" borderId="0" xfId="0" applyFont="1" applyFill="1" applyAlignment="1">
      <alignment horizontal="right"/>
    </xf>
    <xf numFmtId="44" fontId="13" fillId="0" borderId="0" xfId="8" applyNumberFormat="1" applyFont="1" applyFill="1"/>
    <xf numFmtId="0" fontId="4" fillId="0" borderId="18" xfId="0" applyFont="1" applyBorder="1" applyAlignment="1">
      <alignment horizontal="center"/>
    </xf>
    <xf numFmtId="44" fontId="2" fillId="0" borderId="7" xfId="8" applyFont="1" applyBorder="1"/>
    <xf numFmtId="0" fontId="2" fillId="0" borderId="10" xfId="0" applyFont="1" applyBorder="1"/>
    <xf numFmtId="0" fontId="2" fillId="0" borderId="13" xfId="0" applyFont="1" applyBorder="1"/>
    <xf numFmtId="0" fontId="14" fillId="0" borderId="17" xfId="0" applyFont="1" applyBorder="1"/>
    <xf numFmtId="0" fontId="14" fillId="0" borderId="15" xfId="0" applyFont="1" applyBorder="1" applyAlignment="1">
      <alignment horizontal="center"/>
    </xf>
    <xf numFmtId="164" fontId="2" fillId="0" borderId="11" xfId="8" applyNumberFormat="1" applyFont="1" applyFill="1" applyBorder="1"/>
    <xf numFmtId="164" fontId="2" fillId="0" borderId="0" xfId="8" applyNumberFormat="1" applyFont="1" applyBorder="1" applyAlignment="1">
      <alignment horizontal="center"/>
    </xf>
    <xf numFmtId="165" fontId="2" fillId="0" borderId="11" xfId="6" applyNumberFormat="1" applyFont="1" applyFill="1" applyBorder="1"/>
    <xf numFmtId="0" fontId="2" fillId="0" borderId="11" xfId="0" applyFont="1" applyFill="1" applyBorder="1" applyAlignment="1">
      <alignment horizontal="center"/>
    </xf>
    <xf numFmtId="10" fontId="2" fillId="0" borderId="11" xfId="30" applyNumberFormat="1" applyFont="1" applyFill="1" applyBorder="1" applyAlignment="1">
      <alignment horizontal="right"/>
    </xf>
    <xf numFmtId="10" fontId="2" fillId="0" borderId="0" xfId="30" applyNumberFormat="1" applyFont="1" applyBorder="1" applyAlignment="1">
      <alignment horizontal="right"/>
    </xf>
    <xf numFmtId="164" fontId="13" fillId="0" borderId="11" xfId="0" applyNumberFormat="1" applyFont="1" applyFill="1" applyBorder="1" applyAlignment="1">
      <alignment horizontal="center"/>
    </xf>
    <xf numFmtId="44" fontId="2" fillId="0" borderId="11" xfId="8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165" fontId="2" fillId="0" borderId="0" xfId="6" applyNumberFormat="1" applyFont="1" applyBorder="1"/>
    <xf numFmtId="0" fontId="13" fillId="0" borderId="14" xfId="0" applyFont="1" applyBorder="1" applyAlignment="1">
      <alignment horizontal="center"/>
    </xf>
    <xf numFmtId="173" fontId="2" fillId="0" borderId="3" xfId="8" applyNumberFormat="1" applyFont="1" applyBorder="1"/>
    <xf numFmtId="44" fontId="2" fillId="0" borderId="3" xfId="8" applyFont="1" applyBorder="1"/>
    <xf numFmtId="0" fontId="13" fillId="0" borderId="0" xfId="0" applyFont="1" applyBorder="1" applyAlignment="1">
      <alignment horizontal="center"/>
    </xf>
    <xf numFmtId="164" fontId="13" fillId="0" borderId="13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4" fillId="0" borderId="0" xfId="0" quotePrefix="1" applyFont="1" applyFill="1"/>
    <xf numFmtId="0" fontId="15" fillId="0" borderId="0" xfId="0" quotePrefix="1" applyFont="1" applyFill="1" applyAlignment="1">
      <alignment horizontal="left"/>
    </xf>
    <xf numFmtId="0" fontId="13" fillId="0" borderId="0" xfId="6" applyNumberFormat="1" applyFont="1" applyFill="1"/>
    <xf numFmtId="0" fontId="13" fillId="0" borderId="0" xfId="6" applyNumberFormat="1" applyFont="1" applyFill="1" applyBorder="1"/>
    <xf numFmtId="165" fontId="2" fillId="0" borderId="0" xfId="6" applyNumberFormat="1" applyFont="1" applyFill="1" applyAlignment="1">
      <alignment horizontal="right"/>
    </xf>
    <xf numFmtId="165" fontId="4" fillId="0" borderId="0" xfId="0" applyNumberFormat="1" applyFont="1" applyFill="1"/>
    <xf numFmtId="10" fontId="25" fillId="0" borderId="0" xfId="30" applyNumberFormat="1" applyFont="1" applyFill="1"/>
    <xf numFmtId="43" fontId="25" fillId="0" borderId="0" xfId="6" applyNumberFormat="1" applyFont="1" applyFill="1"/>
    <xf numFmtId="165" fontId="4" fillId="0" borderId="0" xfId="6" applyNumberFormat="1" applyFont="1" applyFill="1" applyAlignment="1">
      <alignment horizontal="right"/>
    </xf>
    <xf numFmtId="165" fontId="25" fillId="11" borderId="0" xfId="6" applyNumberFormat="1" applyFont="1" applyFill="1"/>
    <xf numFmtId="165" fontId="25" fillId="11" borderId="0" xfId="6" applyNumberFormat="1" applyFont="1" applyFill="1" applyAlignment="1">
      <alignment horizontal="right"/>
    </xf>
    <xf numFmtId="0" fontId="25" fillId="11" borderId="0" xfId="0" applyFont="1" applyFill="1" applyAlignment="1">
      <alignment horizontal="right"/>
    </xf>
    <xf numFmtId="165" fontId="25" fillId="11" borderId="0" xfId="6" applyNumberFormat="1" applyFont="1" applyFill="1" applyBorder="1" applyAlignment="1">
      <alignment horizontal="right"/>
    </xf>
    <xf numFmtId="165" fontId="25" fillId="11" borderId="19" xfId="6" applyNumberFormat="1" applyFont="1" applyFill="1" applyBorder="1" applyAlignment="1">
      <alignment horizontal="right"/>
    </xf>
    <xf numFmtId="0" fontId="25" fillId="11" borderId="0" xfId="0" applyFont="1" applyFill="1"/>
    <xf numFmtId="165" fontId="25" fillId="11" borderId="0" xfId="0" applyNumberFormat="1" applyFont="1" applyFill="1" applyAlignment="1">
      <alignment horizontal="right"/>
    </xf>
    <xf numFmtId="165" fontId="25" fillId="11" borderId="0" xfId="0" applyNumberFormat="1" applyFont="1" applyFill="1" applyBorder="1" applyAlignment="1">
      <alignment horizontal="right"/>
    </xf>
    <xf numFmtId="165" fontId="25" fillId="11" borderId="4" xfId="6" applyNumberFormat="1" applyFont="1" applyFill="1" applyBorder="1" applyAlignment="1">
      <alignment horizontal="right"/>
    </xf>
    <xf numFmtId="165" fontId="25" fillId="11" borderId="4" xfId="0" applyNumberFormat="1" applyFont="1" applyFill="1" applyBorder="1" applyAlignment="1">
      <alignment horizontal="right"/>
    </xf>
    <xf numFmtId="10" fontId="25" fillId="11" borderId="0" xfId="30" applyNumberFormat="1" applyFont="1" applyFill="1" applyAlignment="1">
      <alignment horizontal="right"/>
    </xf>
    <xf numFmtId="0" fontId="3" fillId="11" borderId="0" xfId="0" applyFont="1" applyFill="1" applyAlignment="1">
      <alignment horizontal="center"/>
    </xf>
    <xf numFmtId="164" fontId="3" fillId="11" borderId="0" xfId="0" applyNumberFormat="1" applyFont="1" applyFill="1" applyAlignment="1">
      <alignment horizontal="right"/>
    </xf>
    <xf numFmtId="164" fontId="25" fillId="11" borderId="0" xfId="0" applyNumberFormat="1" applyFont="1" applyFill="1" applyAlignment="1">
      <alignment horizontal="right"/>
    </xf>
    <xf numFmtId="164" fontId="25" fillId="11" borderId="0" xfId="8" applyNumberFormat="1" applyFont="1" applyFill="1" applyAlignment="1">
      <alignment horizontal="right"/>
    </xf>
    <xf numFmtId="165" fontId="3" fillId="11" borderId="0" xfId="6" applyNumberFormat="1" applyFont="1" applyFill="1" applyAlignment="1">
      <alignment horizontal="right"/>
    </xf>
    <xf numFmtId="165" fontId="3" fillId="11" borderId="0" xfId="6" applyNumberFormat="1" applyFont="1" applyFill="1" applyBorder="1" applyAlignment="1">
      <alignment horizontal="right"/>
    </xf>
    <xf numFmtId="165" fontId="2" fillId="11" borderId="0" xfId="6" applyNumberFormat="1" applyFont="1" applyFill="1" applyAlignment="1">
      <alignment horizontal="right"/>
    </xf>
    <xf numFmtId="164" fontId="2" fillId="11" borderId="0" xfId="8" applyNumberFormat="1" applyFont="1" applyFill="1" applyAlignment="1">
      <alignment horizontal="right"/>
    </xf>
    <xf numFmtId="0" fontId="14" fillId="0" borderId="18" xfId="0" applyFont="1" applyFill="1" applyBorder="1"/>
    <xf numFmtId="174" fontId="13" fillId="0" borderId="0" xfId="0" applyNumberFormat="1" applyFont="1" applyFill="1"/>
    <xf numFmtId="165" fontId="13" fillId="11" borderId="0" xfId="6" applyNumberFormat="1" applyFont="1" applyFill="1"/>
    <xf numFmtId="165" fontId="13" fillId="11" borderId="4" xfId="6" applyNumberFormat="1" applyFont="1" applyFill="1" applyBorder="1"/>
    <xf numFmtId="0" fontId="13" fillId="0" borderId="0" xfId="0" quotePrefix="1" applyFont="1" applyFill="1" applyBorder="1"/>
    <xf numFmtId="171" fontId="13" fillId="0" borderId="0" xfId="6" applyNumberFormat="1" applyFont="1" applyFill="1"/>
    <xf numFmtId="164" fontId="13" fillId="11" borderId="0" xfId="8" applyNumberFormat="1" applyFont="1" applyFill="1"/>
    <xf numFmtId="165" fontId="13" fillId="11" borderId="0" xfId="6" applyNumberFormat="1" applyFont="1" applyFill="1" applyBorder="1"/>
    <xf numFmtId="0" fontId="4" fillId="0" borderId="0" xfId="0" applyFont="1" applyFill="1" applyBorder="1" applyAlignment="1">
      <alignment horizontal="right"/>
    </xf>
    <xf numFmtId="165" fontId="0" fillId="0" borderId="0" xfId="6" applyNumberFormat="1" applyFont="1" applyFill="1" applyBorder="1"/>
    <xf numFmtId="43" fontId="4" fillId="0" borderId="0" xfId="6" applyFont="1" applyFill="1" applyBorder="1" applyAlignment="1">
      <alignment horizontal="right"/>
    </xf>
    <xf numFmtId="10" fontId="0" fillId="0" borderId="0" xfId="30" applyNumberFormat="1" applyFont="1" applyFill="1" applyBorder="1"/>
    <xf numFmtId="43" fontId="0" fillId="0" borderId="0" xfId="0" applyNumberFormat="1" applyBorder="1"/>
    <xf numFmtId="167" fontId="0" fillId="0" borderId="0" xfId="0" applyNumberFormat="1" applyBorder="1"/>
    <xf numFmtId="44" fontId="0" fillId="0" borderId="0" xfId="8" applyFont="1" applyBorder="1"/>
    <xf numFmtId="43" fontId="13" fillId="0" borderId="0" xfId="6" applyNumberFormat="1" applyFont="1" applyFill="1"/>
    <xf numFmtId="41" fontId="43" fillId="0" borderId="0" xfId="24" applyFont="1" applyFill="1" applyBorder="1"/>
    <xf numFmtId="173" fontId="0" fillId="0" borderId="0" xfId="0" applyNumberFormat="1"/>
    <xf numFmtId="164" fontId="13" fillId="0" borderId="0" xfId="0" applyNumberFormat="1" applyFont="1" applyBorder="1"/>
    <xf numFmtId="164" fontId="13" fillId="0" borderId="0" xfId="8" applyNumberFormat="1" applyFont="1" applyFill="1" applyBorder="1"/>
    <xf numFmtId="164" fontId="13" fillId="0" borderId="0" xfId="8" applyNumberFormat="1" applyFont="1" applyBorder="1"/>
    <xf numFmtId="43" fontId="13" fillId="0" borderId="0" xfId="0" applyNumberFormat="1" applyFont="1" applyFill="1" applyBorder="1"/>
    <xf numFmtId="165" fontId="13" fillId="0" borderId="0" xfId="0" applyNumberFormat="1" applyFont="1" applyFill="1" applyBorder="1"/>
    <xf numFmtId="43" fontId="13" fillId="0" borderId="0" xfId="6" applyFont="1" applyFill="1" applyBorder="1"/>
    <xf numFmtId="170" fontId="13" fillId="0" borderId="0" xfId="6" applyNumberFormat="1" applyFont="1" applyFill="1" applyBorder="1"/>
    <xf numFmtId="170" fontId="13" fillId="0" borderId="0" xfId="0" applyNumberFormat="1" applyFont="1" applyBorder="1"/>
    <xf numFmtId="171" fontId="13" fillId="0" borderId="0" xfId="0" applyNumberFormat="1" applyFont="1" applyFill="1" applyBorder="1"/>
    <xf numFmtId="44" fontId="13" fillId="0" borderId="0" xfId="8" applyFont="1" applyBorder="1"/>
    <xf numFmtId="175" fontId="13" fillId="0" borderId="0" xfId="0" applyNumberFormat="1" applyFont="1" applyFill="1" applyBorder="1"/>
    <xf numFmtId="2" fontId="13" fillId="0" borderId="0" xfId="0" applyNumberFormat="1" applyFont="1" applyFill="1" applyBorder="1"/>
    <xf numFmtId="0" fontId="13" fillId="0" borderId="0" xfId="0" quotePrefix="1" applyFont="1" applyFill="1" applyBorder="1" applyAlignment="1">
      <alignment horizontal="left"/>
    </xf>
    <xf numFmtId="170" fontId="17" fillId="0" borderId="0" xfId="0" applyNumberFormat="1" applyFont="1" applyFill="1" applyBorder="1"/>
    <xf numFmtId="170" fontId="17" fillId="0" borderId="0" xfId="0" applyNumberFormat="1" applyFont="1" applyBorder="1"/>
    <xf numFmtId="43" fontId="13" fillId="0" borderId="0" xfId="0" applyNumberFormat="1" applyFont="1" applyBorder="1"/>
    <xf numFmtId="43" fontId="17" fillId="0" borderId="0" xfId="6" applyFont="1" applyFill="1" applyBorder="1"/>
    <xf numFmtId="43" fontId="17" fillId="0" borderId="0" xfId="6" applyNumberFormat="1" applyFont="1" applyFill="1" applyBorder="1"/>
    <xf numFmtId="43" fontId="17" fillId="0" borderId="0" xfId="6" applyFont="1" applyBorder="1"/>
    <xf numFmtId="173" fontId="13" fillId="0" borderId="0" xfId="8" applyNumberFormat="1" applyFont="1" applyFill="1" applyBorder="1"/>
    <xf numFmtId="44" fontId="0" fillId="0" borderId="0" xfId="0" applyNumberFormat="1"/>
    <xf numFmtId="43" fontId="0" fillId="0" borderId="0" xfId="6" applyNumberFormat="1" applyFont="1"/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165" fontId="13" fillId="10" borderId="0" xfId="6" applyNumberFormat="1" applyFont="1" applyFill="1"/>
    <xf numFmtId="0" fontId="8" fillId="0" borderId="0" xfId="0" quotePrefix="1" applyFont="1" applyFill="1" applyBorder="1"/>
    <xf numFmtId="0" fontId="14" fillId="0" borderId="18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4" fillId="0" borderId="18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165" fontId="4" fillId="0" borderId="0" xfId="6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3" fontId="2" fillId="0" borderId="0" xfId="6" applyFont="1"/>
    <xf numFmtId="164" fontId="0" fillId="0" borderId="0" xfId="6" applyNumberFormat="1" applyFont="1"/>
    <xf numFmtId="10" fontId="0" fillId="0" borderId="0" xfId="0" applyNumberFormat="1"/>
  </cellXfs>
  <cellStyles count="53">
    <cellStyle name="ColumnAttributeAbovePrompt" xfId="1"/>
    <cellStyle name="ColumnAttributePrompt" xfId="2"/>
    <cellStyle name="ColumnAttributeValue" xfId="3"/>
    <cellStyle name="ColumnHeadingPrompt" xfId="4"/>
    <cellStyle name="ColumnHeadingValue" xfId="5"/>
    <cellStyle name="Comma" xfId="6" builtinId="3"/>
    <cellStyle name="Comma0" xfId="7"/>
    <cellStyle name="Currency" xfId="8" builtinId="4"/>
    <cellStyle name="Currency0" xfId="9"/>
    <cellStyle name="Date" xfId="10"/>
    <cellStyle name="Euro" xfId="11"/>
    <cellStyle name="F2" xfId="12"/>
    <cellStyle name="F3" xfId="13"/>
    <cellStyle name="F4" xfId="14"/>
    <cellStyle name="F5" xfId="15"/>
    <cellStyle name="F6" xfId="16"/>
    <cellStyle name="F7" xfId="17"/>
    <cellStyle name="F8" xfId="18"/>
    <cellStyle name="Fixed" xfId="19"/>
    <cellStyle name="Heading 1" xfId="20" builtinId="16" customBuiltin="1"/>
    <cellStyle name="Heading 2" xfId="21" builtinId="17" customBuiltin="1"/>
    <cellStyle name="LineItemPrompt" xfId="22"/>
    <cellStyle name="LineItemValue" xfId="23"/>
    <cellStyle name="Normal" xfId="0" builtinId="0"/>
    <cellStyle name="Normal 2 19" xfId="24"/>
    <cellStyle name="Output Amounts" xfId="25"/>
    <cellStyle name="Output Column Headings" xfId="26"/>
    <cellStyle name="Output Line Items" xfId="27"/>
    <cellStyle name="Output Report Heading" xfId="28"/>
    <cellStyle name="Output Report Title" xfId="29"/>
    <cellStyle name="Percent" xfId="30" builtinId="5"/>
    <cellStyle name="ReportTitlePrompt" xfId="31"/>
    <cellStyle name="ReportTitleValue" xfId="32"/>
    <cellStyle name="RowAcctAbovePrompt" xfId="33"/>
    <cellStyle name="RowAcctSOBAbovePrompt" xfId="34"/>
    <cellStyle name="RowAcctSOBValue" xfId="35"/>
    <cellStyle name="RowAcctValue" xfId="36"/>
    <cellStyle name="RowAttrAbovePrompt" xfId="37"/>
    <cellStyle name="RowAttrValue" xfId="38"/>
    <cellStyle name="RowColSetAbovePrompt" xfId="39"/>
    <cellStyle name="RowColSetLeftPrompt" xfId="40"/>
    <cellStyle name="RowColSetValue" xfId="41"/>
    <cellStyle name="RowLeftPrompt" xfId="42"/>
    <cellStyle name="SampleUsingFormatMask" xfId="43"/>
    <cellStyle name="SampleWithNoFormatMask" xfId="44"/>
    <cellStyle name="STYL5 - Style5" xfId="45"/>
    <cellStyle name="STYL6 - Style6" xfId="46"/>
    <cellStyle name="STYLE1 - Style1" xfId="47"/>
    <cellStyle name="STYLE2 - Style2" xfId="48"/>
    <cellStyle name="STYLE3 - Style3" xfId="49"/>
    <cellStyle name="STYLE4 - Style4" xfId="50"/>
    <cellStyle name="Total" xfId="51" builtinId="25" customBuiltin="1"/>
    <cellStyle name="UploadThisRowValue" xfId="52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RB%20Documents\2014%20KU-LG&amp;E%20Rate%20Cases\LG&amp;E%20CCOSS\WINDOWS\TEMP\1999\FACJAN9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RB%20Documents\2014%20KU-LG&amp;E%20Rate%20Cases\LG&amp;E%20CCOSS\05Plan\Utility%20Plan\Margin\100504%20Version%20of%20GM%202005%20Plan\KU-Whsle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RB%20Documents\2014%20KU-LG&amp;E%20Rate%20Cases\LG&amp;E%20CCOSS\05Plan\Utility%20Plan\Margin\100504%20Version%20of%20GM%202005%20Plan\KU-Whsle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RB%20Documents\2014%20KU-LG&amp;E%20Rate%20Cases\LG&amp;E%20CCOSS\Documents%20and%20Settings\e011661\Local%20Settings\Temporary%20Internet%20Files\OLK29\Rate%20Case%20KU%2012mosJune20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RB%20Documents\2014%20KU-LG&amp;E%20Rate%20Cases\LG&amp;E%20CCOSS\LGE_ELECTRIC_SCHEDULE%20C_D_102114_V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RB%20Documents\2014%20KU-LG&amp;E%20Rate%20Cases\LG&amp;E%20CCOSS\Financials\LG&amp;E\2008\lge0308rep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te%20Case%202012\Billing%20Determinants\LGEBillDeterminants-Rate%20Cas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RB%20Documents\2014%20KU-LG&amp;E%20Rate%20Cases\LG&amp;E%20CCOSS\06Plan\Utility%20Plan\Supporting%20Schedules\Gross%20Margin\Gross%20Margin%202006-2008%20Pl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RevRptg\Reports\Data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RB%20Documents\2014%20KU-LG&amp;E%20Rate%20Cases\LG&amp;E%20CCOSS\Monthly%20Reporting\Tax%20Report\LGE\LGELedger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RB%20Documents\2014%20KU-LG&amp;E%20Rate%20Cases\LG&amp;E%20CCOSS\My%20Documents\BellarExhibi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RB%20Documents\2014%20KU-LG&amp;E%20Rate%20Cases\LG&amp;E%20CCOSS\WINNT\Profiles\e004977\Temporary%20Internet%20Files\OLK2D\Rate%20Case%20LGE%20Late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RB%20Documents\2014%20KU-LG&amp;E%20Rate%20Cases\LG&amp;E%20CCOSS\LGE%20Forecast%20Period%20Calendar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"/>
      <sheetName val="KU Old"/>
      <sheetName val="CAP"/>
      <sheetName val="Ex 1"/>
      <sheetName val="Ex 2"/>
      <sheetName val="Ex 3"/>
      <sheetName val="Ex 4"/>
      <sheetName val="EX 5"/>
      <sheetName val="Ex 6"/>
      <sheetName val="Ex 7"/>
      <sheetName val="ROE-Electric"/>
      <sheetName val="1.00"/>
      <sheetName val="1.01"/>
      <sheetName val="1.02"/>
      <sheetName val="1.03"/>
      <sheetName val="1.04"/>
      <sheetName val="1.05"/>
      <sheetName val="1.06"/>
      <sheetName val="1.07"/>
      <sheetName val="ESM History-Final"/>
      <sheetName val="1.08"/>
      <sheetName val="FERC 449 Detail"/>
      <sheetName val="1.09"/>
      <sheetName val="DSM"/>
      <sheetName val="1.10"/>
      <sheetName val="1.11"/>
      <sheetName val="1.12"/>
      <sheetName val="1.12 (Sept2003)"/>
      <sheetName val="1.13"/>
      <sheetName val="1.14"/>
      <sheetName val="Storm (2)"/>
      <sheetName val="Storm"/>
      <sheetName val="1.15"/>
      <sheetName val="1.16"/>
      <sheetName val="1.17"/>
      <sheetName val="1.18"/>
      <sheetName val="OSS Margin (1998-2004)"/>
      <sheetName val="1.19"/>
      <sheetName val="1.20"/>
      <sheetName val="1.20 Gross"/>
      <sheetName val="1.21"/>
      <sheetName val="VDT"/>
      <sheetName val="RevDatabase"/>
      <sheetName val="1.22"/>
      <sheetName val="1.23"/>
      <sheetName val="1.24"/>
      <sheetName val="1.25"/>
      <sheetName val="1.26"/>
      <sheetName val="1.27"/>
      <sheetName val="1.28"/>
      <sheetName val="1.29"/>
      <sheetName val="1.30"/>
      <sheetName val="1.31"/>
      <sheetName val="1.32"/>
      <sheetName val="1.33"/>
      <sheetName val="1.34"/>
      <sheetName val="1.35"/>
      <sheetName val="1.36"/>
      <sheetName val="1.37"/>
      <sheetName val="1.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B-1"/>
      <sheetName val="SCH H-1"/>
      <sheetName val="SCH J-1 E"/>
      <sheetName val="SCH J-1.1|J-1.2"/>
      <sheetName val="&lt;&lt;&lt;IMPORT"/>
      <sheetName val="Rate Case Constants"/>
      <sheetName val="Index C"/>
      <sheetName val="SCH C-1 (CAPITAL)"/>
      <sheetName val="SCH C-2"/>
      <sheetName val="SCH C-2.1 B"/>
      <sheetName val="SCH C-2.1 F"/>
      <sheetName val="SCH C-2.2 B"/>
      <sheetName val="SCH C-2.2 F"/>
      <sheetName val="Index D"/>
      <sheetName val="SCH D-1"/>
      <sheetName val="SCH D-2 B"/>
      <sheetName val="SCH D-2 F"/>
      <sheetName val="SCH D-2.1"/>
      <sheetName val="DATA&gt;&gt;&gt;"/>
      <sheetName val="ProForma Adj F"/>
      <sheetName val="Rider Adj B"/>
      <sheetName val="Rider Adj F"/>
      <sheetName val="Int Sync"/>
      <sheetName val="IS E"/>
      <sheetName val="IS TC"/>
      <sheetName val="Revenue"/>
      <sheetName val="Rev-Tracker"/>
      <sheetName val="DSM Expenses"/>
      <sheetName val="ECR O&amp;M F"/>
      <sheetName val="ECR Depr F"/>
      <sheetName val="WPH-1.A Effective Tax Rate"/>
      <sheetName val="NOT USED&gt;&gt;&gt;"/>
      <sheetName val="SCH C-1 (RATE BASE)"/>
      <sheetName val="INT SYNC RB"/>
      <sheetName val="SCH C-2.2 F wTaxes"/>
      <sheetName val="SCH C-2.2 B wTax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0">
          <cell r="F20">
            <v>966746889.00949931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CODE"/>
      <sheetName val="22"/>
      <sheetName val="23"/>
      <sheetName val="24"/>
      <sheetName val="25"/>
      <sheetName val="26"/>
      <sheetName val="27"/>
      <sheetName val="28"/>
      <sheetName val="28.1"/>
      <sheetName val="28.2"/>
      <sheetName val="29"/>
      <sheetName val="29.1"/>
      <sheetName val="29.2"/>
      <sheetName val="30"/>
      <sheetName val="31"/>
      <sheetName val="32"/>
      <sheetName val="33"/>
      <sheetName val="33.1"/>
      <sheetName val="33.2"/>
      <sheetName val="34"/>
      <sheetName val="34.1"/>
      <sheetName val="34.2"/>
      <sheetName val="34.3"/>
      <sheetName val="34.4"/>
      <sheetName val="35"/>
      <sheetName val="36"/>
      <sheetName val="37"/>
      <sheetName val="38"/>
      <sheetName val="39"/>
      <sheetName val="40"/>
      <sheetName val="41"/>
      <sheetName val="check"/>
      <sheetName val="units"/>
      <sheetName val="validations"/>
      <sheetName val="Index1"/>
      <sheetName val="d1"/>
      <sheetName val="d2"/>
      <sheetName val="d3"/>
      <sheetName val="d5"/>
      <sheetName val="d7-10"/>
      <sheetName val="d11"/>
      <sheetName val="d12-13"/>
      <sheetName val="d14-15"/>
      <sheetName val="d16"/>
      <sheetName val="d17"/>
      <sheetName val="d18"/>
      <sheetName val="d19"/>
      <sheetName val="d20"/>
      <sheetName val="d23-24"/>
      <sheetName val="d26"/>
      <sheetName val="d27"/>
      <sheetName val="d28"/>
      <sheetName val="d28.1"/>
      <sheetName val="d28.2"/>
      <sheetName val="d29"/>
      <sheetName val="d29.1"/>
      <sheetName val="d29.2"/>
      <sheetName val="d30"/>
      <sheetName val="d31"/>
      <sheetName val="d32"/>
      <sheetName val="d33a"/>
      <sheetName val="d33b"/>
      <sheetName val="d33.1"/>
      <sheetName val="d33.2"/>
      <sheetName val="d34a"/>
      <sheetName val="d34b"/>
      <sheetName val="d34.1"/>
      <sheetName val="d34.2"/>
      <sheetName val="d34.3"/>
      <sheetName val="d34.4"/>
      <sheetName val="d35a"/>
      <sheetName val="d35b"/>
      <sheetName val="d36"/>
      <sheetName val="d37"/>
      <sheetName val="d38"/>
      <sheetName val="d39"/>
      <sheetName val="d40"/>
      <sheetName val="d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RevDeltaRoll-in"/>
      <sheetName val="YrEndCustAdj"/>
      <sheetName val="Summary Test Year Revenues"/>
      <sheetName val="DetailTYRevenue"/>
      <sheetName val="StLtTYRevenue"/>
      <sheetName val="RateChangeEffect"/>
      <sheetName val="ProposedRev"/>
      <sheetName val="ProposedStLtRev"/>
      <sheetName val="ECR Rates"/>
      <sheetName val="Data==&gt;"/>
      <sheetName val="13thMonth"/>
      <sheetName val="12MonResults"/>
      <sheetName val="12MonLights"/>
      <sheetName val="12MonPoles"/>
      <sheetName val="Adjustments"/>
      <sheetName val="LghtAdj"/>
      <sheetName val="ECRBaseResults"/>
      <sheetName val="ECRBaseLights"/>
      <sheetName val="FACResults"/>
      <sheetName val="FACLights"/>
      <sheetName val="ECRRollin"/>
      <sheetName val="ECRLights"/>
      <sheetName val="Sources ==&gt;"/>
      <sheetName val="Rates"/>
      <sheetName val="LightingRates"/>
      <sheetName val="PoleRates"/>
      <sheetName val="1022"/>
      <sheetName val="1040"/>
      <sheetName val="1051"/>
      <sheetName val="1055"/>
      <sheetName val="MiscData"/>
      <sheetName val="Reconciliation==&gt;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"/>
      <sheetName val="Oct"/>
      <sheetName val="Nov"/>
      <sheetName val="Dec"/>
      <sheetName val="SB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">
          <cell r="C4" t="str">
            <v>FLSP</v>
          </cell>
          <cell r="AQ4">
            <v>0</v>
          </cell>
        </row>
        <row r="5">
          <cell r="C5" t="str">
            <v>FLST</v>
          </cell>
          <cell r="AQ5">
            <v>0</v>
          </cell>
        </row>
        <row r="6">
          <cell r="C6">
            <v>0</v>
          </cell>
          <cell r="AQ6">
            <v>0</v>
          </cell>
        </row>
        <row r="7">
          <cell r="C7" t="str">
            <v>GSS</v>
          </cell>
          <cell r="AQ7">
            <v>1427.3600000000001</v>
          </cell>
        </row>
        <row r="8">
          <cell r="C8" t="str">
            <v>GSS</v>
          </cell>
          <cell r="AQ8">
            <v>0</v>
          </cell>
        </row>
        <row r="9">
          <cell r="C9" t="str">
            <v>GSS</v>
          </cell>
          <cell r="AQ9">
            <v>3692160.02</v>
          </cell>
        </row>
        <row r="10">
          <cell r="C10" t="str">
            <v>GSS</v>
          </cell>
          <cell r="AQ10">
            <v>3020.86</v>
          </cell>
        </row>
        <row r="11">
          <cell r="C11" t="str">
            <v>GSS</v>
          </cell>
          <cell r="AQ11">
            <v>26592.21</v>
          </cell>
        </row>
        <row r="12">
          <cell r="C12" t="str">
            <v>GSRP</v>
          </cell>
          <cell r="AQ12">
            <v>357.03000000000003</v>
          </cell>
        </row>
        <row r="13">
          <cell r="C13" t="str">
            <v>GSS</v>
          </cell>
          <cell r="AQ13">
            <v>167.39000000000001</v>
          </cell>
        </row>
        <row r="14">
          <cell r="C14" t="str">
            <v>PSS</v>
          </cell>
          <cell r="AQ14">
            <v>10684130.689999999</v>
          </cell>
        </row>
        <row r="15">
          <cell r="C15" t="str">
            <v>PSP</v>
          </cell>
          <cell r="AQ15">
            <v>872096.18999999983</v>
          </cell>
        </row>
        <row r="16">
          <cell r="C16" t="str">
            <v>PSS</v>
          </cell>
          <cell r="AQ16">
            <v>5873.8</v>
          </cell>
        </row>
        <row r="17">
          <cell r="C17" t="str">
            <v>CTODS</v>
          </cell>
          <cell r="AQ17">
            <v>2362113.9600000004</v>
          </cell>
        </row>
        <row r="18">
          <cell r="C18" t="str">
            <v>CTODP</v>
          </cell>
          <cell r="AQ18">
            <v>1586338.6899999997</v>
          </cell>
        </row>
        <row r="19">
          <cell r="C19" t="str">
            <v>GS3</v>
          </cell>
          <cell r="AQ19">
            <v>0</v>
          </cell>
        </row>
        <row r="20">
          <cell r="C20" t="str">
            <v>GS3</v>
          </cell>
          <cell r="AQ20">
            <v>6847598.0299999993</v>
          </cell>
        </row>
        <row r="21">
          <cell r="C21" t="str">
            <v>GS3</v>
          </cell>
          <cell r="AQ21">
            <v>257130.83000000002</v>
          </cell>
        </row>
        <row r="22">
          <cell r="C22" t="str">
            <v>G3RP</v>
          </cell>
          <cell r="AQ22">
            <v>444.59999999999997</v>
          </cell>
        </row>
        <row r="23">
          <cell r="C23" t="str">
            <v>GS3</v>
          </cell>
          <cell r="AQ23">
            <v>6573.4400000000014</v>
          </cell>
        </row>
        <row r="24">
          <cell r="C24" t="str">
            <v>LWC</v>
          </cell>
          <cell r="AQ24">
            <v>253619.68000000002</v>
          </cell>
        </row>
        <row r="25">
          <cell r="C25" t="str">
            <v>CSR</v>
          </cell>
          <cell r="AQ25">
            <v>0</v>
          </cell>
        </row>
        <row r="26">
          <cell r="C26" t="str">
            <v>CSR</v>
          </cell>
          <cell r="AQ26">
            <v>0</v>
          </cell>
        </row>
        <row r="27">
          <cell r="C27" t="str">
            <v>FK</v>
          </cell>
          <cell r="AQ27">
            <v>899734.22</v>
          </cell>
        </row>
        <row r="28">
          <cell r="C28" t="str">
            <v>RTS</v>
          </cell>
          <cell r="AQ28">
            <v>2501953.9499999997</v>
          </cell>
        </row>
        <row r="29">
          <cell r="C29" t="str">
            <v>PSS</v>
          </cell>
          <cell r="AQ29">
            <v>2441316.77</v>
          </cell>
        </row>
        <row r="30">
          <cell r="C30" t="str">
            <v>PSP</v>
          </cell>
          <cell r="AQ30">
            <v>279558.11000000004</v>
          </cell>
        </row>
        <row r="31">
          <cell r="C31" t="str">
            <v>ITODS</v>
          </cell>
          <cell r="AQ31">
            <v>713036.24000000011</v>
          </cell>
        </row>
        <row r="32">
          <cell r="C32" t="str">
            <v>ITODP</v>
          </cell>
          <cell r="AQ32">
            <v>6554682.1499999994</v>
          </cell>
        </row>
        <row r="33">
          <cell r="C33" t="str">
            <v>ITODP</v>
          </cell>
          <cell r="AQ33">
            <v>65218.580000000009</v>
          </cell>
        </row>
        <row r="34">
          <cell r="C34" t="str">
            <v>LE</v>
          </cell>
          <cell r="AQ34">
            <v>135.04</v>
          </cell>
        </row>
        <row r="35">
          <cell r="C35" t="str">
            <v>LE</v>
          </cell>
          <cell r="AQ35">
            <v>15412.350000000002</v>
          </cell>
        </row>
        <row r="36">
          <cell r="C36" t="str">
            <v>LE</v>
          </cell>
          <cell r="AQ36">
            <v>5975.96</v>
          </cell>
        </row>
        <row r="37">
          <cell r="C37" t="str">
            <v>TE</v>
          </cell>
          <cell r="AQ37">
            <v>17608.799999999996</v>
          </cell>
        </row>
        <row r="38">
          <cell r="C38" t="str">
            <v>TE</v>
          </cell>
          <cell r="AQ38">
            <v>5081.4600000000009</v>
          </cell>
        </row>
        <row r="39">
          <cell r="C39" t="str">
            <v>RS</v>
          </cell>
          <cell r="AQ39">
            <v>82710.409999999989</v>
          </cell>
        </row>
        <row r="40">
          <cell r="C40" t="str">
            <v>RS</v>
          </cell>
          <cell r="AQ40">
            <v>29162593.400000006</v>
          </cell>
        </row>
        <row r="41">
          <cell r="C41" t="str">
            <v>RS</v>
          </cell>
          <cell r="AQ41">
            <v>9526.7899999999972</v>
          </cell>
        </row>
        <row r="42">
          <cell r="C42" t="str">
            <v>VFD</v>
          </cell>
          <cell r="AQ42">
            <v>2540.1900000000005</v>
          </cell>
        </row>
        <row r="43">
          <cell r="C43" t="str">
            <v>RRP</v>
          </cell>
          <cell r="AQ43">
            <v>7123.91</v>
          </cell>
        </row>
        <row r="44">
          <cell r="C44" t="str">
            <v>LEV</v>
          </cell>
          <cell r="AQ44">
            <v>-256.06000000000006</v>
          </cell>
        </row>
        <row r="45">
          <cell r="C45" t="str">
            <v>FLSP</v>
          </cell>
          <cell r="AQ45">
            <v>0</v>
          </cell>
        </row>
        <row r="46">
          <cell r="C46" t="str">
            <v>FLST</v>
          </cell>
          <cell r="AQ46">
            <v>0</v>
          </cell>
        </row>
        <row r="47">
          <cell r="C47">
            <v>0</v>
          </cell>
          <cell r="AQ47">
            <v>0</v>
          </cell>
        </row>
        <row r="48">
          <cell r="C48" t="str">
            <v>GSS</v>
          </cell>
          <cell r="AQ48">
            <v>1496.2499999999998</v>
          </cell>
        </row>
        <row r="49">
          <cell r="C49" t="str">
            <v>GSS</v>
          </cell>
          <cell r="AQ49">
            <v>0</v>
          </cell>
        </row>
        <row r="50">
          <cell r="C50" t="str">
            <v>GSS</v>
          </cell>
          <cell r="AQ50">
            <v>3428873.2499999995</v>
          </cell>
        </row>
        <row r="51">
          <cell r="C51" t="str">
            <v>GSS</v>
          </cell>
          <cell r="AQ51">
            <v>3020.86</v>
          </cell>
        </row>
        <row r="52">
          <cell r="C52" t="str">
            <v>GSS</v>
          </cell>
          <cell r="AQ52">
            <v>26327.660000000003</v>
          </cell>
        </row>
        <row r="53">
          <cell r="C53" t="str">
            <v>GSRP</v>
          </cell>
          <cell r="AQ53">
            <v>359.97000000000008</v>
          </cell>
        </row>
        <row r="54">
          <cell r="C54" t="str">
            <v>GSS</v>
          </cell>
          <cell r="AQ54">
            <v>258.85000000000008</v>
          </cell>
        </row>
        <row r="55">
          <cell r="C55" t="str">
            <v>PSS</v>
          </cell>
          <cell r="AQ55">
            <v>9996354.7100000028</v>
          </cell>
        </row>
        <row r="56">
          <cell r="C56" t="str">
            <v>PSP</v>
          </cell>
          <cell r="AQ56">
            <v>904533.74</v>
          </cell>
        </row>
        <row r="57">
          <cell r="C57" t="str">
            <v>PSS</v>
          </cell>
          <cell r="AQ57">
            <v>6317.3999999999987</v>
          </cell>
        </row>
        <row r="58">
          <cell r="C58" t="str">
            <v>CTODS</v>
          </cell>
          <cell r="AQ58">
            <v>2151475.0700000003</v>
          </cell>
        </row>
        <row r="59">
          <cell r="C59" t="str">
            <v>CTODP</v>
          </cell>
          <cell r="AQ59">
            <v>1158291.0699999998</v>
          </cell>
        </row>
        <row r="60">
          <cell r="C60" t="str">
            <v>GS3</v>
          </cell>
          <cell r="AQ60">
            <v>0</v>
          </cell>
        </row>
        <row r="61">
          <cell r="C61" t="str">
            <v>GS3</v>
          </cell>
          <cell r="AQ61">
            <v>6416382.0200000005</v>
          </cell>
        </row>
        <row r="62">
          <cell r="C62" t="str">
            <v>GS3</v>
          </cell>
          <cell r="AQ62">
            <v>231239.36</v>
          </cell>
        </row>
        <row r="63">
          <cell r="C63" t="str">
            <v>G3RP</v>
          </cell>
          <cell r="AQ63">
            <v>315.03999999999996</v>
          </cell>
        </row>
        <row r="64">
          <cell r="C64" t="str">
            <v>GS3</v>
          </cell>
          <cell r="AQ64">
            <v>5084.1899999999996</v>
          </cell>
        </row>
        <row r="65">
          <cell r="C65" t="str">
            <v>LWC</v>
          </cell>
          <cell r="AQ65">
            <v>226779.22999999998</v>
          </cell>
        </row>
        <row r="66">
          <cell r="C66" t="str">
            <v>CSR</v>
          </cell>
          <cell r="AQ66">
            <v>0</v>
          </cell>
        </row>
        <row r="67">
          <cell r="C67" t="str">
            <v>CSR</v>
          </cell>
          <cell r="AQ67">
            <v>0</v>
          </cell>
        </row>
        <row r="68">
          <cell r="C68" t="str">
            <v>FK</v>
          </cell>
          <cell r="AQ68">
            <v>0</v>
          </cell>
        </row>
        <row r="69">
          <cell r="C69" t="str">
            <v>RTS</v>
          </cell>
          <cell r="AQ69">
            <v>1245230.72</v>
          </cell>
        </row>
        <row r="70">
          <cell r="C70" t="str">
            <v>PSS</v>
          </cell>
          <cell r="AQ70">
            <v>2231897.6799999997</v>
          </cell>
        </row>
        <row r="71">
          <cell r="C71" t="str">
            <v>PSP</v>
          </cell>
          <cell r="AQ71">
            <v>242617.02999999997</v>
          </cell>
        </row>
        <row r="72">
          <cell r="C72" t="str">
            <v>ITODS</v>
          </cell>
          <cell r="AQ72">
            <v>681996.88000000012</v>
          </cell>
        </row>
        <row r="73">
          <cell r="C73" t="str">
            <v>ITODP</v>
          </cell>
          <cell r="AQ73">
            <v>6040953.7999999989</v>
          </cell>
        </row>
        <row r="74">
          <cell r="C74" t="str">
            <v>ITODP</v>
          </cell>
          <cell r="AQ74">
            <v>0</v>
          </cell>
        </row>
        <row r="75">
          <cell r="C75" t="str">
            <v>LE</v>
          </cell>
          <cell r="AQ75">
            <v>135.04</v>
          </cell>
        </row>
        <row r="76">
          <cell r="C76" t="str">
            <v>LE</v>
          </cell>
          <cell r="AQ76">
            <v>14202.92</v>
          </cell>
        </row>
        <row r="77">
          <cell r="C77" t="str">
            <v>LE</v>
          </cell>
          <cell r="AQ77">
            <v>5580.75</v>
          </cell>
        </row>
        <row r="78">
          <cell r="C78" t="str">
            <v>TE</v>
          </cell>
          <cell r="AQ78">
            <v>16259.369999999999</v>
          </cell>
        </row>
        <row r="79">
          <cell r="C79" t="str">
            <v>TE</v>
          </cell>
          <cell r="AQ79">
            <v>5081.4600000000009</v>
          </cell>
        </row>
        <row r="80">
          <cell r="C80" t="str">
            <v>RS</v>
          </cell>
          <cell r="AQ80">
            <v>75459.700000000012</v>
          </cell>
        </row>
        <row r="81">
          <cell r="C81" t="str">
            <v>RS</v>
          </cell>
          <cell r="AQ81">
            <v>26261724.510000002</v>
          </cell>
        </row>
        <row r="82">
          <cell r="C82" t="str">
            <v>RS</v>
          </cell>
          <cell r="AQ82">
            <v>8153.5499999999993</v>
          </cell>
        </row>
        <row r="83">
          <cell r="C83" t="str">
            <v>VFD</v>
          </cell>
          <cell r="AQ83">
            <v>2234.35</v>
          </cell>
        </row>
        <row r="84">
          <cell r="C84" t="str">
            <v>RRP</v>
          </cell>
          <cell r="AQ84">
            <v>6325.71</v>
          </cell>
        </row>
        <row r="85">
          <cell r="C85" t="str">
            <v>LEV</v>
          </cell>
          <cell r="AQ85">
            <v>259.11</v>
          </cell>
        </row>
        <row r="86">
          <cell r="C86" t="str">
            <v>FLSP</v>
          </cell>
          <cell r="AQ86">
            <v>0</v>
          </cell>
        </row>
        <row r="87">
          <cell r="C87" t="str">
            <v>FLST</v>
          </cell>
          <cell r="AQ87">
            <v>0</v>
          </cell>
        </row>
        <row r="88">
          <cell r="C88">
            <v>0</v>
          </cell>
          <cell r="AQ88">
            <v>0</v>
          </cell>
        </row>
        <row r="89">
          <cell r="C89" t="str">
            <v>GSS</v>
          </cell>
          <cell r="AQ89">
            <v>1339.19</v>
          </cell>
        </row>
        <row r="90">
          <cell r="C90" t="str">
            <v>GSS</v>
          </cell>
          <cell r="AQ90">
            <v>0</v>
          </cell>
        </row>
        <row r="91">
          <cell r="C91" t="str">
            <v>GSS</v>
          </cell>
          <cell r="AQ91">
            <v>3263220.5900000003</v>
          </cell>
        </row>
        <row r="92">
          <cell r="C92" t="str">
            <v>GSS</v>
          </cell>
          <cell r="AQ92">
            <v>3025.41</v>
          </cell>
        </row>
        <row r="93">
          <cell r="C93" t="str">
            <v>GSS</v>
          </cell>
          <cell r="AQ93">
            <v>18020.400000000001</v>
          </cell>
        </row>
        <row r="94">
          <cell r="C94" t="str">
            <v>GSRP</v>
          </cell>
          <cell r="AQ94">
            <v>353.21999999999997</v>
          </cell>
        </row>
        <row r="95">
          <cell r="C95" t="str">
            <v>GSS</v>
          </cell>
          <cell r="AQ95">
            <v>12.769999999999998</v>
          </cell>
        </row>
        <row r="96">
          <cell r="C96" t="str">
            <v>PSS</v>
          </cell>
          <cell r="AQ96">
            <v>10292298.030000001</v>
          </cell>
        </row>
        <row r="97">
          <cell r="C97" t="str">
            <v>PSP</v>
          </cell>
          <cell r="AQ97">
            <v>889544.69</v>
          </cell>
        </row>
        <row r="98">
          <cell r="C98" t="str">
            <v>PSS</v>
          </cell>
          <cell r="AQ98">
            <v>5934.98</v>
          </cell>
        </row>
        <row r="99">
          <cell r="C99" t="str">
            <v>CTODS</v>
          </cell>
          <cell r="AQ99">
            <v>2242028.85</v>
          </cell>
        </row>
        <row r="100">
          <cell r="C100" t="str">
            <v>CTODP</v>
          </cell>
          <cell r="AQ100">
            <v>2193023.7600000002</v>
          </cell>
        </row>
        <row r="101">
          <cell r="C101" t="str">
            <v>GS3</v>
          </cell>
          <cell r="AQ101">
            <v>0</v>
          </cell>
        </row>
        <row r="102">
          <cell r="C102" t="str">
            <v>GS3</v>
          </cell>
          <cell r="AQ102">
            <v>6095132.9800000004</v>
          </cell>
        </row>
        <row r="103">
          <cell r="C103" t="str">
            <v>GS3</v>
          </cell>
          <cell r="AQ103">
            <v>150066.18</v>
          </cell>
        </row>
        <row r="104">
          <cell r="C104" t="str">
            <v>G3RP</v>
          </cell>
          <cell r="AQ104">
            <v>357.26999999999992</v>
          </cell>
        </row>
        <row r="105">
          <cell r="C105" t="str">
            <v>GS3</v>
          </cell>
          <cell r="AQ105">
            <v>4477.99</v>
          </cell>
        </row>
        <row r="106">
          <cell r="C106" t="str">
            <v>LWC</v>
          </cell>
          <cell r="AQ106">
            <v>0</v>
          </cell>
        </row>
        <row r="107">
          <cell r="C107" t="str">
            <v>CSR</v>
          </cell>
          <cell r="AQ107">
            <v>0</v>
          </cell>
        </row>
        <row r="108">
          <cell r="C108" t="str">
            <v>CSR</v>
          </cell>
          <cell r="AQ108">
            <v>0</v>
          </cell>
        </row>
        <row r="109">
          <cell r="C109" t="str">
            <v>FK</v>
          </cell>
          <cell r="AQ109">
            <v>857177.09</v>
          </cell>
        </row>
        <row r="110">
          <cell r="C110" t="str">
            <v>RTS</v>
          </cell>
          <cell r="AQ110">
            <v>2970429.4200000004</v>
          </cell>
        </row>
        <row r="111">
          <cell r="C111" t="str">
            <v>PSS</v>
          </cell>
          <cell r="AQ111">
            <v>2310370.9300000006</v>
          </cell>
        </row>
        <row r="112">
          <cell r="C112" t="str">
            <v>PSP</v>
          </cell>
          <cell r="AQ112">
            <v>241798.01</v>
          </cell>
        </row>
        <row r="113">
          <cell r="C113" t="str">
            <v>ITODS</v>
          </cell>
          <cell r="AQ113">
            <v>793319.13</v>
          </cell>
        </row>
        <row r="114">
          <cell r="C114" t="str">
            <v>ITODP</v>
          </cell>
          <cell r="AQ114">
            <v>6224674.4299999997</v>
          </cell>
        </row>
        <row r="115">
          <cell r="C115" t="str">
            <v>ITODP</v>
          </cell>
          <cell r="AQ115">
            <v>360758.19</v>
          </cell>
        </row>
        <row r="116">
          <cell r="C116" t="str">
            <v>LE</v>
          </cell>
          <cell r="AQ116">
            <v>-236.97</v>
          </cell>
        </row>
        <row r="117">
          <cell r="C117" t="str">
            <v>LE</v>
          </cell>
          <cell r="AQ117">
            <v>9185</v>
          </cell>
        </row>
        <row r="118">
          <cell r="C118" t="str">
            <v>LE</v>
          </cell>
          <cell r="AQ118">
            <v>4521.8099999999995</v>
          </cell>
        </row>
        <row r="119">
          <cell r="C119" t="str">
            <v>TE</v>
          </cell>
          <cell r="AQ119">
            <v>15585.380000000001</v>
          </cell>
        </row>
        <row r="120">
          <cell r="C120" t="str">
            <v>TE</v>
          </cell>
          <cell r="AQ120">
            <v>5097.9699999999993</v>
          </cell>
        </row>
        <row r="121">
          <cell r="C121" t="str">
            <v>RS</v>
          </cell>
          <cell r="AQ121">
            <v>71766.040000000008</v>
          </cell>
        </row>
        <row r="122">
          <cell r="C122" t="str">
            <v>RS</v>
          </cell>
          <cell r="AQ122">
            <v>23021132.720000006</v>
          </cell>
        </row>
        <row r="123">
          <cell r="C123" t="str">
            <v>RS</v>
          </cell>
          <cell r="AQ123">
            <v>7111.619999999999</v>
          </cell>
        </row>
        <row r="124">
          <cell r="C124" t="str">
            <v>VFD</v>
          </cell>
          <cell r="AQ124">
            <v>2106.9799999999996</v>
          </cell>
        </row>
        <row r="125">
          <cell r="C125" t="str">
            <v>RRP</v>
          </cell>
          <cell r="AQ125">
            <v>5796.4899999999989</v>
          </cell>
        </row>
        <row r="126">
          <cell r="C126" t="str">
            <v>LEV</v>
          </cell>
          <cell r="AQ126">
            <v>252.34</v>
          </cell>
        </row>
        <row r="127">
          <cell r="C127" t="str">
            <v>FLSP</v>
          </cell>
          <cell r="AQ127">
            <v>0</v>
          </cell>
        </row>
        <row r="128">
          <cell r="C128" t="str">
            <v>FLST</v>
          </cell>
          <cell r="AQ128">
            <v>0</v>
          </cell>
        </row>
        <row r="129">
          <cell r="C129">
            <v>0</v>
          </cell>
          <cell r="AQ129">
            <v>0</v>
          </cell>
        </row>
        <row r="130">
          <cell r="C130" t="str">
            <v>GSS</v>
          </cell>
          <cell r="AQ130">
            <v>1546.7599999999998</v>
          </cell>
        </row>
        <row r="131">
          <cell r="C131" t="str">
            <v>GSS</v>
          </cell>
          <cell r="AQ131">
            <v>0</v>
          </cell>
        </row>
        <row r="132">
          <cell r="C132" t="str">
            <v>GSS</v>
          </cell>
          <cell r="AQ132">
            <v>3235241.66</v>
          </cell>
        </row>
        <row r="133">
          <cell r="C133" t="str">
            <v>GSS</v>
          </cell>
          <cell r="AQ133">
            <v>-638.68999999999994</v>
          </cell>
        </row>
        <row r="134">
          <cell r="C134" t="str">
            <v>GSS</v>
          </cell>
          <cell r="AQ134">
            <v>13915.400000000001</v>
          </cell>
        </row>
        <row r="135">
          <cell r="C135" t="str">
            <v>GSRP</v>
          </cell>
          <cell r="AQ135">
            <v>586.33000000000004</v>
          </cell>
        </row>
        <row r="136">
          <cell r="C136" t="str">
            <v>GSS</v>
          </cell>
          <cell r="AQ136">
            <v>55.900000000000006</v>
          </cell>
        </row>
        <row r="137">
          <cell r="C137" t="str">
            <v>PSS</v>
          </cell>
          <cell r="AQ137">
            <v>10134265.950000001</v>
          </cell>
        </row>
        <row r="138">
          <cell r="C138" t="str">
            <v>PSP</v>
          </cell>
          <cell r="AQ138">
            <v>832933.26000000013</v>
          </cell>
        </row>
        <row r="139">
          <cell r="C139" t="str">
            <v>PSS</v>
          </cell>
          <cell r="AQ139">
            <v>14091.6</v>
          </cell>
        </row>
        <row r="140">
          <cell r="C140" t="str">
            <v>CTODS</v>
          </cell>
          <cell r="AQ140">
            <v>1964124.51</v>
          </cell>
        </row>
        <row r="141">
          <cell r="C141" t="str">
            <v>CTODP</v>
          </cell>
          <cell r="AQ141">
            <v>1836934.7300000002</v>
          </cell>
        </row>
        <row r="142">
          <cell r="C142" t="str">
            <v>GS3</v>
          </cell>
          <cell r="AQ142">
            <v>0</v>
          </cell>
        </row>
        <row r="143">
          <cell r="C143" t="str">
            <v>GS3</v>
          </cell>
          <cell r="AQ143">
            <v>5876458.4799999995</v>
          </cell>
        </row>
        <row r="144">
          <cell r="C144" t="str">
            <v>GS3</v>
          </cell>
          <cell r="AQ144">
            <v>139302.01</v>
          </cell>
        </row>
        <row r="145">
          <cell r="C145" t="str">
            <v>G3RP</v>
          </cell>
          <cell r="AQ145">
            <v>452.82</v>
          </cell>
        </row>
        <row r="146">
          <cell r="C146" t="str">
            <v>GS3</v>
          </cell>
          <cell r="AQ146">
            <v>3455.9199999999996</v>
          </cell>
        </row>
        <row r="147">
          <cell r="C147" t="str">
            <v>LWC</v>
          </cell>
          <cell r="AQ147">
            <v>214170.93</v>
          </cell>
        </row>
        <row r="148">
          <cell r="C148" t="str">
            <v>CSR</v>
          </cell>
          <cell r="AQ148">
            <v>0</v>
          </cell>
        </row>
        <row r="149">
          <cell r="C149" t="str">
            <v>CSR</v>
          </cell>
          <cell r="AQ149">
            <v>0</v>
          </cell>
        </row>
        <row r="150">
          <cell r="C150" t="str">
            <v>FK</v>
          </cell>
          <cell r="AQ150">
            <v>869395.80999999994</v>
          </cell>
        </row>
        <row r="151">
          <cell r="C151" t="str">
            <v>RTS</v>
          </cell>
          <cell r="AQ151">
            <v>2374279.4899999998</v>
          </cell>
        </row>
        <row r="152">
          <cell r="C152" t="str">
            <v>PSS</v>
          </cell>
          <cell r="AQ152">
            <v>2413342.0500000003</v>
          </cell>
        </row>
        <row r="153">
          <cell r="C153" t="str">
            <v>PSP</v>
          </cell>
          <cell r="AQ153">
            <v>176755.23000000004</v>
          </cell>
        </row>
        <row r="154">
          <cell r="C154" t="str">
            <v>ITODS</v>
          </cell>
          <cell r="AQ154">
            <v>586422.19000000006</v>
          </cell>
        </row>
        <row r="155">
          <cell r="C155" t="str">
            <v>ITODP</v>
          </cell>
          <cell r="AQ155">
            <v>5468224.0099999998</v>
          </cell>
        </row>
        <row r="156">
          <cell r="C156" t="str">
            <v>ITODP</v>
          </cell>
          <cell r="AQ156">
            <v>961451.85000000009</v>
          </cell>
        </row>
        <row r="157">
          <cell r="C157" t="str">
            <v>LE</v>
          </cell>
          <cell r="AQ157">
            <v>131.26999999999998</v>
          </cell>
        </row>
        <row r="158">
          <cell r="C158" t="str">
            <v>LE</v>
          </cell>
          <cell r="AQ158">
            <v>11728.41</v>
          </cell>
        </row>
        <row r="159">
          <cell r="C159" t="str">
            <v>LE</v>
          </cell>
          <cell r="AQ159">
            <v>3245.72</v>
          </cell>
        </row>
        <row r="160">
          <cell r="C160" t="str">
            <v>TE</v>
          </cell>
          <cell r="AQ160">
            <v>16181.170000000002</v>
          </cell>
        </row>
        <row r="161">
          <cell r="C161" t="str">
            <v>TE</v>
          </cell>
          <cell r="AQ161">
            <v>4973.8100000000004</v>
          </cell>
        </row>
        <row r="162">
          <cell r="C162" t="str">
            <v>RS</v>
          </cell>
          <cell r="AQ162">
            <v>70247.51999999999</v>
          </cell>
        </row>
        <row r="163">
          <cell r="C163" t="str">
            <v>RS</v>
          </cell>
          <cell r="AQ163">
            <v>21559339.709999997</v>
          </cell>
        </row>
        <row r="164">
          <cell r="C164" t="str">
            <v>RS</v>
          </cell>
          <cell r="AQ164">
            <v>3141.4600000000005</v>
          </cell>
        </row>
        <row r="165">
          <cell r="C165" t="str">
            <v>VFD</v>
          </cell>
          <cell r="AQ165">
            <v>2003.6599999999996</v>
          </cell>
        </row>
        <row r="166">
          <cell r="C166" t="str">
            <v>RRP</v>
          </cell>
          <cell r="AQ166">
            <v>5673.85</v>
          </cell>
        </row>
        <row r="167">
          <cell r="C167" t="str">
            <v>LEV</v>
          </cell>
          <cell r="AQ167">
            <v>0</v>
          </cell>
        </row>
        <row r="168">
          <cell r="C168" t="str">
            <v>FLSP</v>
          </cell>
          <cell r="AQ168">
            <v>0</v>
          </cell>
        </row>
        <row r="169">
          <cell r="C169" t="str">
            <v>FLST</v>
          </cell>
          <cell r="AQ169">
            <v>0</v>
          </cell>
        </row>
        <row r="170">
          <cell r="C170">
            <v>0</v>
          </cell>
          <cell r="AQ170">
            <v>0</v>
          </cell>
        </row>
        <row r="171">
          <cell r="C171" t="str">
            <v>GSS</v>
          </cell>
          <cell r="AQ171">
            <v>1587.41</v>
          </cell>
        </row>
        <row r="172">
          <cell r="C172" t="str">
            <v>GSS</v>
          </cell>
          <cell r="AQ172">
            <v>0</v>
          </cell>
        </row>
        <row r="173">
          <cell r="C173" t="str">
            <v>GSS</v>
          </cell>
          <cell r="AQ173">
            <v>3223066.12</v>
          </cell>
        </row>
        <row r="174">
          <cell r="C174" t="str">
            <v>GSS</v>
          </cell>
          <cell r="AQ174">
            <v>3055.1400000000003</v>
          </cell>
        </row>
        <row r="175">
          <cell r="C175" t="str">
            <v>GSS</v>
          </cell>
          <cell r="AQ175">
            <v>10260.520000000002</v>
          </cell>
        </row>
        <row r="176">
          <cell r="C176" t="str">
            <v>GSRP</v>
          </cell>
          <cell r="AQ176">
            <v>292.23000000000008</v>
          </cell>
        </row>
        <row r="177">
          <cell r="C177" t="str">
            <v>GSS</v>
          </cell>
          <cell r="AQ177">
            <v>47.77</v>
          </cell>
        </row>
        <row r="178">
          <cell r="C178" t="str">
            <v>PSS</v>
          </cell>
          <cell r="AQ178">
            <v>10700692.140000002</v>
          </cell>
        </row>
        <row r="179">
          <cell r="C179" t="str">
            <v>PSP</v>
          </cell>
          <cell r="AQ179">
            <v>1740947.95</v>
          </cell>
        </row>
        <row r="180">
          <cell r="C180" t="str">
            <v>PSS</v>
          </cell>
          <cell r="AQ180">
            <v>9768.6699999999983</v>
          </cell>
        </row>
        <row r="181">
          <cell r="C181" t="str">
            <v>CTODS</v>
          </cell>
          <cell r="AQ181">
            <v>2092363.44</v>
          </cell>
        </row>
        <row r="182">
          <cell r="C182" t="str">
            <v>CTODP</v>
          </cell>
          <cell r="AQ182">
            <v>1698782.29</v>
          </cell>
        </row>
        <row r="183">
          <cell r="C183" t="str">
            <v>GS3</v>
          </cell>
          <cell r="AQ183">
            <v>0</v>
          </cell>
        </row>
        <row r="184">
          <cell r="C184" t="str">
            <v>GS3</v>
          </cell>
          <cell r="AQ184">
            <v>6390956.5700000012</v>
          </cell>
        </row>
        <row r="185">
          <cell r="C185" t="str">
            <v>GS3</v>
          </cell>
          <cell r="AQ185">
            <v>104386.65</v>
          </cell>
        </row>
        <row r="186">
          <cell r="C186" t="str">
            <v>G3RP</v>
          </cell>
          <cell r="AQ186">
            <v>226.94</v>
          </cell>
        </row>
        <row r="187">
          <cell r="C187" t="str">
            <v>GS3</v>
          </cell>
          <cell r="AQ187">
            <v>3256.66</v>
          </cell>
        </row>
        <row r="188">
          <cell r="C188" t="str">
            <v>LWC</v>
          </cell>
          <cell r="AQ188">
            <v>313586.53000000003</v>
          </cell>
        </row>
        <row r="189">
          <cell r="C189" t="str">
            <v>CSR</v>
          </cell>
          <cell r="AQ189">
            <v>0</v>
          </cell>
        </row>
        <row r="190">
          <cell r="C190" t="str">
            <v>CSR</v>
          </cell>
          <cell r="AQ190">
            <v>0</v>
          </cell>
        </row>
        <row r="191">
          <cell r="C191" t="str">
            <v>FK</v>
          </cell>
          <cell r="AQ191">
            <v>806635.58000000007</v>
          </cell>
        </row>
        <row r="192">
          <cell r="C192" t="str">
            <v>RTS</v>
          </cell>
          <cell r="AQ192">
            <v>2537432.1299999994</v>
          </cell>
        </row>
        <row r="193">
          <cell r="C193" t="str">
            <v>PSS</v>
          </cell>
          <cell r="AQ193">
            <v>2744323.2699999996</v>
          </cell>
        </row>
        <row r="194">
          <cell r="C194" t="str">
            <v>PSP</v>
          </cell>
          <cell r="AQ194">
            <v>381158.2</v>
          </cell>
        </row>
        <row r="195">
          <cell r="C195" t="str">
            <v>ITODS</v>
          </cell>
          <cell r="AQ195">
            <v>586593.54</v>
          </cell>
        </row>
        <row r="196">
          <cell r="C196" t="str">
            <v>ITODP</v>
          </cell>
          <cell r="AQ196">
            <v>6182520.6000000006</v>
          </cell>
        </row>
        <row r="197">
          <cell r="C197" t="str">
            <v>ITODP</v>
          </cell>
          <cell r="AQ197">
            <v>49373.509999999995</v>
          </cell>
        </row>
        <row r="198">
          <cell r="C198" t="str">
            <v>LE</v>
          </cell>
          <cell r="AQ198">
            <v>131.27000000000001</v>
          </cell>
        </row>
        <row r="199">
          <cell r="C199" t="str">
            <v>LE</v>
          </cell>
          <cell r="AQ199">
            <v>10708.699999999997</v>
          </cell>
        </row>
        <row r="200">
          <cell r="C200" t="str">
            <v>LE</v>
          </cell>
          <cell r="AQ200">
            <v>5007.2500000000009</v>
          </cell>
        </row>
        <row r="201">
          <cell r="C201" t="str">
            <v>TE</v>
          </cell>
          <cell r="AQ201">
            <v>14872.589999999998</v>
          </cell>
        </row>
        <row r="202">
          <cell r="C202" t="str">
            <v>TE</v>
          </cell>
          <cell r="AQ202">
            <v>4973.8100000000004</v>
          </cell>
        </row>
        <row r="203">
          <cell r="C203" t="str">
            <v>RS</v>
          </cell>
          <cell r="AQ203">
            <v>63073.9</v>
          </cell>
        </row>
        <row r="204">
          <cell r="C204" t="str">
            <v>RS</v>
          </cell>
          <cell r="AQ204">
            <v>21767578.160000004</v>
          </cell>
        </row>
        <row r="205">
          <cell r="C205" t="str">
            <v>RS</v>
          </cell>
          <cell r="AQ205">
            <v>3667.2099999999996</v>
          </cell>
        </row>
        <row r="206">
          <cell r="C206" t="str">
            <v>VFD</v>
          </cell>
          <cell r="AQ206">
            <v>2032.7800000000002</v>
          </cell>
        </row>
        <row r="207">
          <cell r="C207" t="str">
            <v>RRP</v>
          </cell>
          <cell r="AQ207">
            <v>5682.9800000000005</v>
          </cell>
        </row>
        <row r="208">
          <cell r="C208" t="str">
            <v>LEV</v>
          </cell>
          <cell r="AQ208">
            <v>0</v>
          </cell>
        </row>
        <row r="209">
          <cell r="C209" t="str">
            <v>FLSP</v>
          </cell>
          <cell r="AQ209">
            <v>0</v>
          </cell>
        </row>
        <row r="210">
          <cell r="C210" t="str">
            <v>FLST</v>
          </cell>
          <cell r="AQ210">
            <v>0</v>
          </cell>
        </row>
        <row r="211">
          <cell r="C211">
            <v>0</v>
          </cell>
          <cell r="AQ211">
            <v>0</v>
          </cell>
        </row>
        <row r="212">
          <cell r="C212" t="str">
            <v>GSS</v>
          </cell>
          <cell r="AQ212">
            <v>1688.29</v>
          </cell>
        </row>
        <row r="213">
          <cell r="C213" t="str">
            <v>GSS</v>
          </cell>
          <cell r="AQ213">
            <v>0</v>
          </cell>
        </row>
        <row r="214">
          <cell r="C214" t="str">
            <v>GSS</v>
          </cell>
          <cell r="AQ214">
            <v>3862178.6300000004</v>
          </cell>
        </row>
        <row r="215">
          <cell r="C215" t="str">
            <v>GSS</v>
          </cell>
          <cell r="AQ215">
            <v>3055.14</v>
          </cell>
        </row>
        <row r="216">
          <cell r="C216" t="str">
            <v>GSS</v>
          </cell>
          <cell r="AQ216">
            <v>16602.230000000003</v>
          </cell>
        </row>
        <row r="217">
          <cell r="C217" t="str">
            <v>GSRP</v>
          </cell>
          <cell r="AQ217">
            <v>506.04</v>
          </cell>
        </row>
        <row r="218">
          <cell r="C218" t="str">
            <v>GSS</v>
          </cell>
          <cell r="AQ218">
            <v>105.26</v>
          </cell>
        </row>
        <row r="219">
          <cell r="C219" t="str">
            <v>PSS</v>
          </cell>
          <cell r="AQ219">
            <v>13159927.449999997</v>
          </cell>
        </row>
        <row r="220">
          <cell r="C220" t="str">
            <v>PSP</v>
          </cell>
          <cell r="AQ220">
            <v>1423098.43</v>
          </cell>
        </row>
        <row r="221">
          <cell r="C221" t="str">
            <v>PSS</v>
          </cell>
          <cell r="AQ221">
            <v>9846.3599999999969</v>
          </cell>
        </row>
        <row r="222">
          <cell r="C222" t="str">
            <v>CTODS</v>
          </cell>
          <cell r="AQ222">
            <v>2307583.9699999997</v>
          </cell>
        </row>
        <row r="223">
          <cell r="C223" t="str">
            <v>CTODP</v>
          </cell>
          <cell r="AQ223">
            <v>2116913.8700000006</v>
          </cell>
        </row>
        <row r="224">
          <cell r="C224" t="str">
            <v>GS3</v>
          </cell>
          <cell r="AQ224">
            <v>0</v>
          </cell>
        </row>
        <row r="225">
          <cell r="C225" t="str">
            <v>GS3</v>
          </cell>
          <cell r="AQ225">
            <v>7599351.919999999</v>
          </cell>
        </row>
        <row r="226">
          <cell r="C226" t="str">
            <v>GS3</v>
          </cell>
          <cell r="AQ226">
            <v>158846.88000000003</v>
          </cell>
        </row>
        <row r="227">
          <cell r="C227" t="str">
            <v>G3RP</v>
          </cell>
          <cell r="AQ227">
            <v>619.53</v>
          </cell>
        </row>
        <row r="228">
          <cell r="C228" t="str">
            <v>GS3</v>
          </cell>
          <cell r="AQ228">
            <v>3714.92</v>
          </cell>
        </row>
        <row r="229">
          <cell r="C229" t="str">
            <v>LWC</v>
          </cell>
          <cell r="AQ229">
            <v>240389.02000000002</v>
          </cell>
        </row>
        <row r="230">
          <cell r="C230" t="str">
            <v>CSR</v>
          </cell>
          <cell r="AQ230">
            <v>0</v>
          </cell>
        </row>
        <row r="231">
          <cell r="C231" t="str">
            <v>CSR</v>
          </cell>
          <cell r="AQ231">
            <v>0</v>
          </cell>
        </row>
        <row r="232">
          <cell r="C232" t="str">
            <v>FK</v>
          </cell>
          <cell r="AQ232">
            <v>923539.07000000007</v>
          </cell>
        </row>
        <row r="233">
          <cell r="C233" t="str">
            <v>RTS</v>
          </cell>
          <cell r="AQ233">
            <v>2590860.39</v>
          </cell>
        </row>
        <row r="234">
          <cell r="C234" t="str">
            <v>PSS</v>
          </cell>
          <cell r="AQ234">
            <v>2873593.1799999997</v>
          </cell>
        </row>
        <row r="235">
          <cell r="C235" t="str">
            <v>PSP</v>
          </cell>
          <cell r="AQ235">
            <v>322486.24999999988</v>
          </cell>
        </row>
        <row r="236">
          <cell r="C236" t="str">
            <v>ITODS</v>
          </cell>
          <cell r="AQ236">
            <v>740565.66999999993</v>
          </cell>
        </row>
        <row r="237">
          <cell r="C237" t="str">
            <v>ITODP</v>
          </cell>
          <cell r="AQ237">
            <v>7599573.4400000004</v>
          </cell>
        </row>
        <row r="238">
          <cell r="C238" t="str">
            <v>ITODP</v>
          </cell>
          <cell r="AQ238">
            <v>51632.74</v>
          </cell>
        </row>
        <row r="239">
          <cell r="C239" t="str">
            <v>LE</v>
          </cell>
          <cell r="AQ239">
            <v>131.27000000000001</v>
          </cell>
        </row>
        <row r="240">
          <cell r="C240" t="str">
            <v>LE</v>
          </cell>
          <cell r="AQ240">
            <v>8731.9299999999985</v>
          </cell>
        </row>
        <row r="241">
          <cell r="C241" t="str">
            <v>LE</v>
          </cell>
          <cell r="AQ241">
            <v>4162.0400000000009</v>
          </cell>
        </row>
        <row r="242">
          <cell r="C242" t="str">
            <v>TE</v>
          </cell>
          <cell r="AQ242">
            <v>15683.449999999999</v>
          </cell>
        </row>
        <row r="243">
          <cell r="C243" t="str">
            <v>TE</v>
          </cell>
          <cell r="AQ243">
            <v>4973.5500000000011</v>
          </cell>
        </row>
        <row r="244">
          <cell r="C244" t="str">
            <v>RS</v>
          </cell>
          <cell r="AQ244">
            <v>63747.48</v>
          </cell>
        </row>
        <row r="245">
          <cell r="C245" t="str">
            <v>RS</v>
          </cell>
          <cell r="AQ245">
            <v>32311768.169999998</v>
          </cell>
        </row>
        <row r="246">
          <cell r="C246" t="str">
            <v>RS</v>
          </cell>
          <cell r="AQ246">
            <v>6105.99</v>
          </cell>
        </row>
        <row r="247">
          <cell r="C247" t="str">
            <v>VFD</v>
          </cell>
          <cell r="AQ247">
            <v>2604.0100000000002</v>
          </cell>
        </row>
        <row r="248">
          <cell r="C248" t="str">
            <v>RRP</v>
          </cell>
          <cell r="AQ248">
            <v>8166.869999999999</v>
          </cell>
        </row>
        <row r="249">
          <cell r="C249" t="str">
            <v>LEV</v>
          </cell>
          <cell r="AQ249">
            <v>0</v>
          </cell>
        </row>
        <row r="250">
          <cell r="C250" t="str">
            <v>FLSP</v>
          </cell>
          <cell r="AQ250">
            <v>0</v>
          </cell>
        </row>
        <row r="251">
          <cell r="C251" t="str">
            <v>FLST</v>
          </cell>
          <cell r="AQ251">
            <v>0</v>
          </cell>
        </row>
        <row r="252">
          <cell r="C252">
            <v>0</v>
          </cell>
          <cell r="AQ252">
            <v>0</v>
          </cell>
        </row>
        <row r="253">
          <cell r="C253" t="str">
            <v>GSS</v>
          </cell>
          <cell r="AQ253">
            <v>1822.8100000000002</v>
          </cell>
        </row>
        <row r="254">
          <cell r="C254" t="str">
            <v>GSS</v>
          </cell>
          <cell r="AQ254">
            <v>0</v>
          </cell>
        </row>
        <row r="255">
          <cell r="C255" t="str">
            <v>GSS</v>
          </cell>
          <cell r="AQ255">
            <v>4143686.95</v>
          </cell>
        </row>
        <row r="256">
          <cell r="C256" t="str">
            <v>GSS</v>
          </cell>
          <cell r="AQ256">
            <v>3077.86</v>
          </cell>
        </row>
        <row r="257">
          <cell r="C257" t="str">
            <v>GSS</v>
          </cell>
          <cell r="AQ257">
            <v>18783.150000000001</v>
          </cell>
        </row>
        <row r="258">
          <cell r="C258" t="str">
            <v>GSRP</v>
          </cell>
          <cell r="AQ258">
            <v>570.82999999999993</v>
          </cell>
        </row>
        <row r="259">
          <cell r="C259" t="str">
            <v>GSS</v>
          </cell>
          <cell r="AQ259">
            <v>144.80999999999997</v>
          </cell>
        </row>
        <row r="260">
          <cell r="C260" t="str">
            <v>PSS</v>
          </cell>
          <cell r="AQ260">
            <v>13500578.310000002</v>
          </cell>
        </row>
        <row r="261">
          <cell r="C261" t="str">
            <v>PSP</v>
          </cell>
          <cell r="AQ261">
            <v>1127955.94</v>
          </cell>
        </row>
        <row r="262">
          <cell r="C262" t="str">
            <v>PSS</v>
          </cell>
          <cell r="AQ262">
            <v>0</v>
          </cell>
        </row>
        <row r="263">
          <cell r="C263" t="str">
            <v>CTODS</v>
          </cell>
          <cell r="AQ263">
            <v>2393603.2500000005</v>
          </cell>
        </row>
        <row r="264">
          <cell r="C264" t="str">
            <v>CTODP</v>
          </cell>
          <cell r="AQ264">
            <v>2037057.4799999997</v>
          </cell>
        </row>
        <row r="265">
          <cell r="C265" t="str">
            <v>GS3</v>
          </cell>
          <cell r="AQ265">
            <v>0</v>
          </cell>
        </row>
        <row r="266">
          <cell r="C266" t="str">
            <v>GS3</v>
          </cell>
          <cell r="AQ266">
            <v>8237908.3699999992</v>
          </cell>
        </row>
        <row r="267">
          <cell r="C267" t="str">
            <v>GS3</v>
          </cell>
          <cell r="AQ267">
            <v>192009.94999999995</v>
          </cell>
        </row>
        <row r="268">
          <cell r="C268" t="str">
            <v>G3RP</v>
          </cell>
          <cell r="AQ268">
            <v>989.68000000000006</v>
          </cell>
        </row>
        <row r="269">
          <cell r="C269" t="str">
            <v>GS3</v>
          </cell>
          <cell r="AQ269">
            <v>4089.95</v>
          </cell>
        </row>
        <row r="270">
          <cell r="C270" t="str">
            <v>LWC</v>
          </cell>
          <cell r="AQ270">
            <v>250041.78000000006</v>
          </cell>
        </row>
        <row r="271">
          <cell r="C271" t="str">
            <v>CSR</v>
          </cell>
          <cell r="AQ271">
            <v>0</v>
          </cell>
        </row>
        <row r="272">
          <cell r="C272" t="str">
            <v>CSR</v>
          </cell>
          <cell r="AQ272">
            <v>0</v>
          </cell>
        </row>
        <row r="273">
          <cell r="C273" t="str">
            <v>FK</v>
          </cell>
          <cell r="AQ273">
            <v>1140215.3799999997</v>
          </cell>
        </row>
        <row r="274">
          <cell r="C274" t="str">
            <v>RTS</v>
          </cell>
          <cell r="AQ274">
            <v>2326852.9799999995</v>
          </cell>
        </row>
        <row r="275">
          <cell r="C275" t="str">
            <v>PSS</v>
          </cell>
          <cell r="AQ275">
            <v>2762729.1300000004</v>
          </cell>
        </row>
        <row r="276">
          <cell r="C276" t="str">
            <v>PSP</v>
          </cell>
          <cell r="AQ276">
            <v>314157.80000000005</v>
          </cell>
        </row>
        <row r="277">
          <cell r="C277" t="str">
            <v>ITODS</v>
          </cell>
          <cell r="AQ277">
            <v>652510.03999999992</v>
          </cell>
        </row>
        <row r="278">
          <cell r="C278" t="str">
            <v>ITODP</v>
          </cell>
          <cell r="AQ278">
            <v>6968666.6399999997</v>
          </cell>
        </row>
        <row r="279">
          <cell r="C279" t="str">
            <v>ITODP</v>
          </cell>
          <cell r="AQ279">
            <v>57561.89</v>
          </cell>
        </row>
        <row r="280">
          <cell r="C280" t="str">
            <v>LE</v>
          </cell>
          <cell r="AQ280">
            <v>135.04</v>
          </cell>
        </row>
        <row r="281">
          <cell r="C281" t="str">
            <v>LE</v>
          </cell>
          <cell r="AQ281">
            <v>8981.7799999999988</v>
          </cell>
        </row>
        <row r="282">
          <cell r="C282" t="str">
            <v>LE</v>
          </cell>
          <cell r="AQ282">
            <v>3855.8500000000004</v>
          </cell>
        </row>
        <row r="283">
          <cell r="C283" t="str">
            <v>TE</v>
          </cell>
          <cell r="AQ283">
            <v>14764.939999999999</v>
          </cell>
        </row>
        <row r="284">
          <cell r="C284" t="str">
            <v>TE</v>
          </cell>
          <cell r="AQ284">
            <v>5081.4600000000009</v>
          </cell>
        </row>
        <row r="285">
          <cell r="C285" t="str">
            <v>RS</v>
          </cell>
          <cell r="AQ285">
            <v>59101.820000000014</v>
          </cell>
        </row>
        <row r="286">
          <cell r="C286" t="str">
            <v>RS</v>
          </cell>
          <cell r="AQ286">
            <v>38703930.340000004</v>
          </cell>
        </row>
        <row r="287">
          <cell r="C287" t="str">
            <v>RS</v>
          </cell>
          <cell r="AQ287">
            <v>7522.42</v>
          </cell>
        </row>
        <row r="288">
          <cell r="C288" t="str">
            <v>VFD</v>
          </cell>
          <cell r="AQ288">
            <v>2737.4300000000003</v>
          </cell>
        </row>
        <row r="289">
          <cell r="C289" t="str">
            <v>RRP</v>
          </cell>
          <cell r="AQ289">
            <v>9074.380000000001</v>
          </cell>
        </row>
        <row r="290">
          <cell r="C290" t="str">
            <v>LEV</v>
          </cell>
          <cell r="AQ290">
            <v>384.18999999999994</v>
          </cell>
        </row>
        <row r="291">
          <cell r="C291" t="str">
            <v>FLSP</v>
          </cell>
          <cell r="AQ291">
            <v>0</v>
          </cell>
        </row>
        <row r="292">
          <cell r="C292" t="str">
            <v>FLST</v>
          </cell>
          <cell r="AQ292">
            <v>0</v>
          </cell>
        </row>
        <row r="293">
          <cell r="C293">
            <v>0</v>
          </cell>
          <cell r="AQ293">
            <v>0</v>
          </cell>
        </row>
        <row r="294">
          <cell r="C294" t="str">
            <v>GSS</v>
          </cell>
          <cell r="AQ294">
            <v>1934.48</v>
          </cell>
        </row>
        <row r="295">
          <cell r="C295" t="str">
            <v>GSS</v>
          </cell>
          <cell r="AQ295">
            <v>0</v>
          </cell>
        </row>
        <row r="296">
          <cell r="C296" t="str">
            <v>GSS</v>
          </cell>
          <cell r="AQ296">
            <v>4594592.870000001</v>
          </cell>
        </row>
        <row r="297">
          <cell r="C297" t="str">
            <v>GSS</v>
          </cell>
          <cell r="AQ297">
            <v>3077.86</v>
          </cell>
        </row>
        <row r="298">
          <cell r="C298" t="str">
            <v>GSS</v>
          </cell>
          <cell r="AQ298">
            <v>23321.66</v>
          </cell>
        </row>
        <row r="299">
          <cell r="C299" t="str">
            <v>GSRP</v>
          </cell>
          <cell r="AQ299">
            <v>736.97</v>
          </cell>
        </row>
        <row r="300">
          <cell r="C300" t="str">
            <v>GSS</v>
          </cell>
          <cell r="AQ300">
            <v>164.42</v>
          </cell>
        </row>
        <row r="301">
          <cell r="C301" t="str">
            <v>PSS</v>
          </cell>
          <cell r="AQ301">
            <v>14565079.050000001</v>
          </cell>
        </row>
        <row r="302">
          <cell r="C302" t="str">
            <v>PSP</v>
          </cell>
          <cell r="AQ302">
            <v>1531875.16</v>
          </cell>
        </row>
        <row r="303">
          <cell r="C303" t="str">
            <v>PSS</v>
          </cell>
          <cell r="AQ303">
            <v>20479.439999999995</v>
          </cell>
        </row>
        <row r="304">
          <cell r="C304" t="str">
            <v>CTODS</v>
          </cell>
          <cell r="AQ304">
            <v>2594980.1800000006</v>
          </cell>
        </row>
        <row r="305">
          <cell r="C305" t="str">
            <v>CTODP</v>
          </cell>
          <cell r="AQ305">
            <v>2412829.7199999997</v>
          </cell>
        </row>
        <row r="306">
          <cell r="C306" t="str">
            <v>GS3</v>
          </cell>
          <cell r="AQ306">
            <v>0</v>
          </cell>
        </row>
        <row r="307">
          <cell r="C307" t="str">
            <v>GS3</v>
          </cell>
          <cell r="AQ307">
            <v>9349980.75</v>
          </cell>
        </row>
        <row r="308">
          <cell r="C308" t="str">
            <v>GS3</v>
          </cell>
          <cell r="AQ308">
            <v>223168.63999999998</v>
          </cell>
        </row>
        <row r="309">
          <cell r="C309" t="str">
            <v>G3RP</v>
          </cell>
          <cell r="AQ309">
            <v>1501.78</v>
          </cell>
        </row>
        <row r="310">
          <cell r="C310" t="str">
            <v>GS3</v>
          </cell>
          <cell r="AQ310">
            <v>4636.0199999999995</v>
          </cell>
        </row>
        <row r="311">
          <cell r="C311" t="str">
            <v>LWC</v>
          </cell>
          <cell r="AQ311">
            <v>257350.58999999997</v>
          </cell>
        </row>
        <row r="312">
          <cell r="C312" t="str">
            <v>CSR</v>
          </cell>
          <cell r="AQ312">
            <v>0</v>
          </cell>
        </row>
        <row r="313">
          <cell r="C313" t="str">
            <v>CSR</v>
          </cell>
          <cell r="AQ313">
            <v>0</v>
          </cell>
        </row>
        <row r="314">
          <cell r="C314" t="str">
            <v>FK</v>
          </cell>
          <cell r="AQ314">
            <v>1301195.4500000004</v>
          </cell>
        </row>
        <row r="315">
          <cell r="C315" t="str">
            <v>RTS</v>
          </cell>
          <cell r="AQ315">
            <v>2440964.38</v>
          </cell>
        </row>
        <row r="316">
          <cell r="C316" t="str">
            <v>PSS</v>
          </cell>
          <cell r="AQ316">
            <v>3070994.7299999995</v>
          </cell>
        </row>
        <row r="317">
          <cell r="C317" t="str">
            <v>PSP</v>
          </cell>
          <cell r="AQ317">
            <v>296021.00000000006</v>
          </cell>
        </row>
        <row r="318">
          <cell r="C318" t="str">
            <v>ITODS</v>
          </cell>
          <cell r="AQ318">
            <v>762880.9</v>
          </cell>
        </row>
        <row r="319">
          <cell r="C319" t="str">
            <v>ITODP</v>
          </cell>
          <cell r="AQ319">
            <v>9169819.0499999989</v>
          </cell>
        </row>
        <row r="320">
          <cell r="C320" t="str">
            <v>ITODP</v>
          </cell>
          <cell r="AQ320">
            <v>61793.17</v>
          </cell>
        </row>
        <row r="321">
          <cell r="C321" t="str">
            <v>LE</v>
          </cell>
          <cell r="AQ321">
            <v>135.04</v>
          </cell>
        </row>
        <row r="322">
          <cell r="C322" t="str">
            <v>LE</v>
          </cell>
          <cell r="AQ322">
            <v>9333.9499999999989</v>
          </cell>
        </row>
        <row r="323">
          <cell r="C323" t="str">
            <v>LE</v>
          </cell>
          <cell r="AQ323">
            <v>4662.3799999999992</v>
          </cell>
        </row>
        <row r="324">
          <cell r="C324" t="str">
            <v>TE</v>
          </cell>
          <cell r="AQ324">
            <v>15002.530000000002</v>
          </cell>
        </row>
        <row r="325">
          <cell r="C325" t="str">
            <v>TE</v>
          </cell>
          <cell r="AQ325">
            <v>5081.4600000000009</v>
          </cell>
        </row>
        <row r="326">
          <cell r="C326" t="str">
            <v>RS</v>
          </cell>
          <cell r="AQ326">
            <v>57161.67</v>
          </cell>
        </row>
        <row r="327">
          <cell r="C327" t="str">
            <v>RS</v>
          </cell>
          <cell r="AQ327">
            <v>44850977.149999999</v>
          </cell>
        </row>
        <row r="328">
          <cell r="C328" t="str">
            <v>RS</v>
          </cell>
          <cell r="AQ328">
            <v>9181.0700000000033</v>
          </cell>
        </row>
        <row r="329">
          <cell r="C329" t="str">
            <v>VFD</v>
          </cell>
          <cell r="AQ329">
            <v>2956.63</v>
          </cell>
        </row>
        <row r="330">
          <cell r="C330" t="str">
            <v>RRP</v>
          </cell>
          <cell r="AQ330">
            <v>10179.41</v>
          </cell>
        </row>
        <row r="331">
          <cell r="C331" t="str">
            <v>LEV</v>
          </cell>
          <cell r="AQ331">
            <v>402.36999999999995</v>
          </cell>
        </row>
        <row r="332">
          <cell r="C332" t="str">
            <v>FLSP</v>
          </cell>
          <cell r="AQ332">
            <v>0</v>
          </cell>
        </row>
        <row r="333">
          <cell r="C333" t="str">
            <v>FLST</v>
          </cell>
          <cell r="AQ333">
            <v>0</v>
          </cell>
        </row>
        <row r="334">
          <cell r="C334">
            <v>0</v>
          </cell>
          <cell r="AQ334">
            <v>0</v>
          </cell>
        </row>
        <row r="335">
          <cell r="C335" t="str">
            <v>GSS</v>
          </cell>
          <cell r="AQ335">
            <v>1704.62</v>
          </cell>
        </row>
        <row r="336">
          <cell r="C336" t="str">
            <v>GSS</v>
          </cell>
          <cell r="AQ336">
            <v>0</v>
          </cell>
        </row>
        <row r="337">
          <cell r="C337" t="str">
            <v>GSS</v>
          </cell>
          <cell r="AQ337">
            <v>4094669.2100000004</v>
          </cell>
        </row>
        <row r="338">
          <cell r="C338" t="str">
            <v>GSS</v>
          </cell>
          <cell r="AQ338">
            <v>3020.86</v>
          </cell>
        </row>
        <row r="339">
          <cell r="C339" t="str">
            <v>GSS</v>
          </cell>
          <cell r="AQ339">
            <v>16420.560000000001</v>
          </cell>
        </row>
        <row r="340">
          <cell r="C340" t="str">
            <v>GSRP</v>
          </cell>
          <cell r="AQ340">
            <v>643.21</v>
          </cell>
        </row>
        <row r="341">
          <cell r="C341" t="str">
            <v>GSS</v>
          </cell>
          <cell r="AQ341">
            <v>86.69</v>
          </cell>
        </row>
        <row r="342">
          <cell r="C342" t="str">
            <v>PSS</v>
          </cell>
          <cell r="AQ342">
            <v>13729364.52</v>
          </cell>
        </row>
        <row r="343">
          <cell r="C343" t="str">
            <v>PSP</v>
          </cell>
          <cell r="AQ343">
            <v>1124397.2699999998</v>
          </cell>
        </row>
        <row r="344">
          <cell r="C344" t="str">
            <v>PSS</v>
          </cell>
          <cell r="AQ344">
            <v>0</v>
          </cell>
        </row>
        <row r="345">
          <cell r="C345" t="str">
            <v>CTODS</v>
          </cell>
          <cell r="AQ345">
            <v>2470908.3400000003</v>
          </cell>
        </row>
        <row r="346">
          <cell r="C346" t="str">
            <v>CTODP</v>
          </cell>
          <cell r="AQ346">
            <v>2367088.16</v>
          </cell>
        </row>
        <row r="347">
          <cell r="C347" t="str">
            <v>GS3</v>
          </cell>
          <cell r="AQ347">
            <v>0</v>
          </cell>
        </row>
        <row r="348">
          <cell r="C348" t="str">
            <v>GS3</v>
          </cell>
          <cell r="AQ348">
            <v>8445717.2800000012</v>
          </cell>
        </row>
        <row r="349">
          <cell r="C349" t="str">
            <v>GS3</v>
          </cell>
          <cell r="AQ349">
            <v>161510.55000000005</v>
          </cell>
        </row>
        <row r="350">
          <cell r="C350" t="str">
            <v>G3RP</v>
          </cell>
          <cell r="AQ350">
            <v>1046.5700000000002</v>
          </cell>
        </row>
        <row r="351">
          <cell r="C351" t="str">
            <v>GS3</v>
          </cell>
          <cell r="AQ351">
            <v>4119.5</v>
          </cell>
        </row>
        <row r="352">
          <cell r="C352" t="str">
            <v>LWC</v>
          </cell>
          <cell r="AQ352">
            <v>253709.84999999995</v>
          </cell>
        </row>
        <row r="353">
          <cell r="C353" t="str">
            <v>CSR</v>
          </cell>
          <cell r="AQ353">
            <v>0</v>
          </cell>
        </row>
        <row r="354">
          <cell r="C354" t="str">
            <v>CSR</v>
          </cell>
          <cell r="AQ354">
            <v>0</v>
          </cell>
        </row>
        <row r="355">
          <cell r="C355" t="str">
            <v>FK</v>
          </cell>
          <cell r="AQ355">
            <v>1210689.4800000002</v>
          </cell>
        </row>
        <row r="356">
          <cell r="C356" t="str">
            <v>RTS</v>
          </cell>
          <cell r="AQ356">
            <v>1612857.2</v>
          </cell>
        </row>
        <row r="357">
          <cell r="C357" t="str">
            <v>PSS</v>
          </cell>
          <cell r="AQ357">
            <v>2876111.7899999996</v>
          </cell>
        </row>
        <row r="358">
          <cell r="C358" t="str">
            <v>PSP</v>
          </cell>
          <cell r="AQ358">
            <v>315447.84000000003</v>
          </cell>
        </row>
        <row r="359">
          <cell r="C359" t="str">
            <v>ITODS</v>
          </cell>
          <cell r="AQ359">
            <v>798096.28000000014</v>
          </cell>
        </row>
        <row r="360">
          <cell r="C360" t="str">
            <v>ITODP</v>
          </cell>
          <cell r="AQ360">
            <v>7477911.6800000006</v>
          </cell>
        </row>
        <row r="361">
          <cell r="C361" t="str">
            <v>ITODP</v>
          </cell>
          <cell r="AQ361">
            <v>62135.100000000006</v>
          </cell>
        </row>
        <row r="362">
          <cell r="C362" t="str">
            <v>LE</v>
          </cell>
          <cell r="AQ362">
            <v>135.04000000000002</v>
          </cell>
        </row>
        <row r="363">
          <cell r="C363" t="str">
            <v>LE</v>
          </cell>
          <cell r="AQ363">
            <v>15155.270000000002</v>
          </cell>
        </row>
        <row r="364">
          <cell r="C364" t="str">
            <v>LE</v>
          </cell>
          <cell r="AQ364">
            <v>4896.0400000000009</v>
          </cell>
        </row>
        <row r="365">
          <cell r="C365" t="str">
            <v>TE</v>
          </cell>
          <cell r="AQ365">
            <v>15966.86</v>
          </cell>
        </row>
        <row r="366">
          <cell r="C366" t="str">
            <v>TE</v>
          </cell>
          <cell r="AQ366">
            <v>5081.4600000000009</v>
          </cell>
        </row>
        <row r="367">
          <cell r="C367" t="str">
            <v>RS</v>
          </cell>
          <cell r="AQ367">
            <v>57320.840000000011</v>
          </cell>
        </row>
        <row r="368">
          <cell r="C368" t="str">
            <v>RS</v>
          </cell>
          <cell r="AQ368">
            <v>34704375.430000007</v>
          </cell>
        </row>
        <row r="369">
          <cell r="C369" t="str">
            <v>RS</v>
          </cell>
          <cell r="AQ369">
            <v>6965.0000000000009</v>
          </cell>
        </row>
        <row r="370">
          <cell r="C370" t="str">
            <v>VFD</v>
          </cell>
          <cell r="AQ370">
            <v>2648.6299999999997</v>
          </cell>
        </row>
        <row r="371">
          <cell r="C371" t="str">
            <v>RRP</v>
          </cell>
          <cell r="AQ371">
            <v>7563.06</v>
          </cell>
        </row>
        <row r="372">
          <cell r="C372" t="str">
            <v>LEV</v>
          </cell>
          <cell r="AQ372">
            <v>330.38</v>
          </cell>
        </row>
        <row r="373">
          <cell r="C373" t="str">
            <v>FLSP</v>
          </cell>
          <cell r="AQ373">
            <v>0</v>
          </cell>
        </row>
        <row r="374">
          <cell r="C374" t="str">
            <v>FLST</v>
          </cell>
          <cell r="AQ374">
            <v>0</v>
          </cell>
        </row>
        <row r="375">
          <cell r="C375">
            <v>0</v>
          </cell>
          <cell r="AQ375">
            <v>0</v>
          </cell>
        </row>
        <row r="376">
          <cell r="C376" t="str">
            <v>GSS</v>
          </cell>
          <cell r="AQ376">
            <v>1437.49</v>
          </cell>
        </row>
        <row r="377">
          <cell r="C377" t="str">
            <v>GSS</v>
          </cell>
          <cell r="AQ377">
            <v>0</v>
          </cell>
        </row>
        <row r="378">
          <cell r="C378" t="str">
            <v>GSS</v>
          </cell>
          <cell r="AQ378">
            <v>3245239.84</v>
          </cell>
        </row>
        <row r="379">
          <cell r="C379" t="str">
            <v>GSS</v>
          </cell>
          <cell r="AQ379">
            <v>3020.86</v>
          </cell>
        </row>
        <row r="380">
          <cell r="C380" t="str">
            <v>GSS</v>
          </cell>
          <cell r="AQ380">
            <v>9267.0199999999986</v>
          </cell>
        </row>
        <row r="381">
          <cell r="C381" t="str">
            <v>GSRP</v>
          </cell>
          <cell r="AQ381">
            <v>367.11999999999995</v>
          </cell>
        </row>
        <row r="382">
          <cell r="C382" t="str">
            <v>GSS</v>
          </cell>
          <cell r="AQ382">
            <v>42.859999999999992</v>
          </cell>
        </row>
        <row r="383">
          <cell r="C383" t="str">
            <v>PSS</v>
          </cell>
          <cell r="AQ383">
            <v>11110906.700000001</v>
          </cell>
        </row>
        <row r="384">
          <cell r="C384" t="str">
            <v>PSP</v>
          </cell>
          <cell r="AQ384">
            <v>985246.82</v>
          </cell>
        </row>
        <row r="385">
          <cell r="C385" t="str">
            <v>PSS</v>
          </cell>
          <cell r="AQ385">
            <v>10990.599999999999</v>
          </cell>
        </row>
        <row r="386">
          <cell r="C386" t="str">
            <v>CTODS</v>
          </cell>
          <cell r="AQ386">
            <v>2189102.6799999997</v>
          </cell>
        </row>
        <row r="387">
          <cell r="C387" t="str">
            <v>CTODP</v>
          </cell>
          <cell r="AQ387">
            <v>2223841.0100000002</v>
          </cell>
        </row>
        <row r="388">
          <cell r="C388" t="str">
            <v>GS3</v>
          </cell>
          <cell r="AQ388">
            <v>0</v>
          </cell>
        </row>
        <row r="389">
          <cell r="C389" t="str">
            <v>GS3</v>
          </cell>
          <cell r="AQ389">
            <v>6560151.0799999991</v>
          </cell>
        </row>
        <row r="390">
          <cell r="C390" t="str">
            <v>GS3</v>
          </cell>
          <cell r="AQ390">
            <v>101806.56</v>
          </cell>
        </row>
        <row r="391">
          <cell r="C391" t="str">
            <v>G3RP</v>
          </cell>
          <cell r="AQ391">
            <v>398.68</v>
          </cell>
        </row>
        <row r="392">
          <cell r="C392" t="str">
            <v>GS3</v>
          </cell>
          <cell r="AQ392">
            <v>3218.51</v>
          </cell>
        </row>
        <row r="393">
          <cell r="C393" t="str">
            <v>LWC</v>
          </cell>
          <cell r="AQ393">
            <v>219882.74000000002</v>
          </cell>
        </row>
        <row r="394">
          <cell r="C394" t="str">
            <v>CSR</v>
          </cell>
          <cell r="AQ394">
            <v>0</v>
          </cell>
        </row>
        <row r="395">
          <cell r="C395" t="str">
            <v>CSR</v>
          </cell>
          <cell r="AQ395">
            <v>0</v>
          </cell>
        </row>
        <row r="396">
          <cell r="C396" t="str">
            <v>FK</v>
          </cell>
          <cell r="AQ396">
            <v>1718970.93</v>
          </cell>
        </row>
        <row r="397">
          <cell r="C397" t="str">
            <v>RTS</v>
          </cell>
          <cell r="AQ397">
            <v>2926600.1700000004</v>
          </cell>
        </row>
        <row r="398">
          <cell r="C398" t="str">
            <v>PSS</v>
          </cell>
          <cell r="AQ398">
            <v>2482504.1600000006</v>
          </cell>
        </row>
        <row r="399">
          <cell r="C399" t="str">
            <v>PSP</v>
          </cell>
          <cell r="AQ399">
            <v>275539.16000000003</v>
          </cell>
        </row>
        <row r="400">
          <cell r="C400" t="str">
            <v>ITODS</v>
          </cell>
          <cell r="AQ400">
            <v>774284.9</v>
          </cell>
        </row>
        <row r="401">
          <cell r="C401" t="str">
            <v>ITODP</v>
          </cell>
          <cell r="AQ401">
            <v>6721037.870000001</v>
          </cell>
        </row>
        <row r="402">
          <cell r="C402" t="str">
            <v>ITODP</v>
          </cell>
          <cell r="AQ402">
            <v>120455.01999999999</v>
          </cell>
        </row>
        <row r="403">
          <cell r="C403" t="str">
            <v>LE</v>
          </cell>
          <cell r="AQ403">
            <v>135.04000000000002</v>
          </cell>
        </row>
        <row r="404">
          <cell r="C404" t="str">
            <v>LE</v>
          </cell>
          <cell r="AQ404">
            <v>11533.42</v>
          </cell>
        </row>
        <row r="405">
          <cell r="C405" t="str">
            <v>LE</v>
          </cell>
          <cell r="AQ405">
            <v>5175.0899999999992</v>
          </cell>
        </row>
        <row r="406">
          <cell r="C406" t="str">
            <v>TE</v>
          </cell>
          <cell r="AQ406">
            <v>15591.92</v>
          </cell>
        </row>
        <row r="407">
          <cell r="C407" t="str">
            <v>TE</v>
          </cell>
          <cell r="AQ407">
            <v>5081.4600000000009</v>
          </cell>
        </row>
        <row r="408">
          <cell r="C408" t="str">
            <v>RS</v>
          </cell>
          <cell r="AQ408">
            <v>53488.350000000006</v>
          </cell>
        </row>
        <row r="409">
          <cell r="C409" t="str">
            <v>RS</v>
          </cell>
          <cell r="AQ409">
            <v>21115903.93</v>
          </cell>
        </row>
        <row r="410">
          <cell r="C410" t="str">
            <v>RS</v>
          </cell>
          <cell r="AQ410">
            <v>4555.6999999999989</v>
          </cell>
        </row>
        <row r="411">
          <cell r="C411" t="str">
            <v>VFD</v>
          </cell>
          <cell r="AQ411">
            <v>2019.6999999999998</v>
          </cell>
        </row>
        <row r="412">
          <cell r="C412" t="str">
            <v>RRP</v>
          </cell>
          <cell r="AQ412">
            <v>4636.04</v>
          </cell>
        </row>
        <row r="413">
          <cell r="C413" t="str">
            <v>LEV</v>
          </cell>
          <cell r="AQ413">
            <v>174.38</v>
          </cell>
        </row>
        <row r="414">
          <cell r="C414" t="str">
            <v>FLSP</v>
          </cell>
          <cell r="AQ414">
            <v>0</v>
          </cell>
        </row>
        <row r="415">
          <cell r="C415" t="str">
            <v>FLST</v>
          </cell>
          <cell r="AQ415">
            <v>0</v>
          </cell>
        </row>
        <row r="416">
          <cell r="C416">
            <v>0</v>
          </cell>
          <cell r="AQ416">
            <v>0</v>
          </cell>
        </row>
        <row r="417">
          <cell r="C417" t="str">
            <v>GSS</v>
          </cell>
          <cell r="AQ417">
            <v>1398.7399999999998</v>
          </cell>
        </row>
        <row r="418">
          <cell r="C418" t="str">
            <v>GSS</v>
          </cell>
          <cell r="AQ418">
            <v>0</v>
          </cell>
        </row>
        <row r="419">
          <cell r="C419" t="str">
            <v>GSS</v>
          </cell>
          <cell r="AQ419">
            <v>2974092.84</v>
          </cell>
        </row>
        <row r="420">
          <cell r="C420" t="str">
            <v>GSS</v>
          </cell>
          <cell r="AQ420">
            <v>3020.86</v>
          </cell>
        </row>
        <row r="421">
          <cell r="C421" t="str">
            <v>GSS</v>
          </cell>
          <cell r="AQ421">
            <v>10716.720000000003</v>
          </cell>
        </row>
        <row r="422">
          <cell r="C422" t="str">
            <v>GSRP</v>
          </cell>
          <cell r="AQ422">
            <v>366.19</v>
          </cell>
        </row>
        <row r="423">
          <cell r="C423" t="str">
            <v>GSS</v>
          </cell>
          <cell r="AQ423">
            <v>65.190000000000012</v>
          </cell>
        </row>
        <row r="424">
          <cell r="C424" t="str">
            <v>PSS</v>
          </cell>
          <cell r="AQ424">
            <v>9903884.7000000011</v>
          </cell>
        </row>
        <row r="425">
          <cell r="C425" t="str">
            <v>PSP</v>
          </cell>
          <cell r="AQ425">
            <v>797118.8400000002</v>
          </cell>
        </row>
        <row r="426">
          <cell r="C426" t="str">
            <v>PSS</v>
          </cell>
          <cell r="AQ426">
            <v>7589.329999999999</v>
          </cell>
        </row>
        <row r="427">
          <cell r="C427" t="str">
            <v>CTODS</v>
          </cell>
          <cell r="AQ427">
            <v>1990358.05</v>
          </cell>
        </row>
        <row r="428">
          <cell r="C428" t="str">
            <v>CTODP</v>
          </cell>
          <cell r="AQ428">
            <v>1599878.14</v>
          </cell>
        </row>
        <row r="429">
          <cell r="C429" t="str">
            <v>GS3</v>
          </cell>
          <cell r="AQ429">
            <v>0</v>
          </cell>
        </row>
        <row r="430">
          <cell r="C430" t="str">
            <v>GS3</v>
          </cell>
          <cell r="AQ430">
            <v>5659994.129999999</v>
          </cell>
        </row>
        <row r="431">
          <cell r="C431" t="str">
            <v>GS3</v>
          </cell>
          <cell r="AQ431">
            <v>104478.26000000002</v>
          </cell>
        </row>
        <row r="432">
          <cell r="C432" t="str">
            <v>G3RP</v>
          </cell>
          <cell r="AQ432">
            <v>294.24999999999994</v>
          </cell>
        </row>
        <row r="433">
          <cell r="C433" t="str">
            <v>GS3</v>
          </cell>
          <cell r="AQ433">
            <v>2832.0200000000004</v>
          </cell>
        </row>
        <row r="434">
          <cell r="C434" t="str">
            <v>LWC</v>
          </cell>
          <cell r="AQ434">
            <v>214996.03</v>
          </cell>
        </row>
        <row r="435">
          <cell r="C435" t="str">
            <v>CSR</v>
          </cell>
          <cell r="AQ435">
            <v>0</v>
          </cell>
        </row>
        <row r="436">
          <cell r="C436" t="str">
            <v>CSR</v>
          </cell>
          <cell r="AQ436">
            <v>0</v>
          </cell>
        </row>
        <row r="437">
          <cell r="C437" t="str">
            <v>FK</v>
          </cell>
          <cell r="AQ437">
            <v>741876.87000000011</v>
          </cell>
        </row>
        <row r="438">
          <cell r="C438" t="str">
            <v>RTS</v>
          </cell>
          <cell r="AQ438">
            <v>2303495.7399999998</v>
          </cell>
        </row>
        <row r="439">
          <cell r="C439" t="str">
            <v>PSS</v>
          </cell>
          <cell r="AQ439">
            <v>2276515.0499999998</v>
          </cell>
        </row>
        <row r="440">
          <cell r="C440" t="str">
            <v>PSP</v>
          </cell>
          <cell r="AQ440">
            <v>254747.53</v>
          </cell>
        </row>
        <row r="441">
          <cell r="C441" t="str">
            <v>ITODS</v>
          </cell>
          <cell r="AQ441">
            <v>719466.27</v>
          </cell>
        </row>
        <row r="442">
          <cell r="C442" t="str">
            <v>ITODP</v>
          </cell>
          <cell r="AQ442">
            <v>6447105.1299999999</v>
          </cell>
        </row>
        <row r="443">
          <cell r="C443" t="str">
            <v>ITODP</v>
          </cell>
          <cell r="AQ443">
            <v>60221.66</v>
          </cell>
        </row>
        <row r="444">
          <cell r="C444" t="str">
            <v>LE</v>
          </cell>
          <cell r="AQ444">
            <v>135.04</v>
          </cell>
        </row>
        <row r="445">
          <cell r="C445" t="str">
            <v>LE</v>
          </cell>
          <cell r="AQ445">
            <v>12547.100000000002</v>
          </cell>
        </row>
        <row r="446">
          <cell r="C446" t="str">
            <v>LE</v>
          </cell>
          <cell r="AQ446">
            <v>6094.79</v>
          </cell>
        </row>
        <row r="447">
          <cell r="C447" t="str">
            <v>TE</v>
          </cell>
          <cell r="AQ447">
            <v>15456.9</v>
          </cell>
        </row>
        <row r="448">
          <cell r="C448" t="str">
            <v>TE</v>
          </cell>
          <cell r="AQ448">
            <v>5081.4600000000009</v>
          </cell>
        </row>
        <row r="449">
          <cell r="C449" t="str">
            <v>RS</v>
          </cell>
          <cell r="AQ449">
            <v>56934.350000000006</v>
          </cell>
        </row>
        <row r="450">
          <cell r="C450" t="str">
            <v>RS</v>
          </cell>
          <cell r="AQ450">
            <v>19863658.379999999</v>
          </cell>
        </row>
        <row r="451">
          <cell r="C451" t="str">
            <v>RS</v>
          </cell>
          <cell r="AQ451">
            <v>5025.1299999999992</v>
          </cell>
        </row>
        <row r="452">
          <cell r="C452" t="str">
            <v>VFD</v>
          </cell>
          <cell r="AQ452">
            <v>1852.8000000000002</v>
          </cell>
        </row>
        <row r="453">
          <cell r="C453" t="str">
            <v>RRP</v>
          </cell>
          <cell r="AQ453">
            <v>4319.2000000000007</v>
          </cell>
        </row>
        <row r="454">
          <cell r="C454" t="str">
            <v>LEV</v>
          </cell>
          <cell r="AQ454">
            <v>124.19999999999999</v>
          </cell>
        </row>
        <row r="455">
          <cell r="C455" t="str">
            <v>FLSP</v>
          </cell>
          <cell r="AQ455">
            <v>0</v>
          </cell>
        </row>
        <row r="456">
          <cell r="C456" t="str">
            <v>FLST</v>
          </cell>
          <cell r="AQ456">
            <v>0</v>
          </cell>
        </row>
        <row r="457">
          <cell r="C457">
            <v>0</v>
          </cell>
          <cell r="AQ457">
            <v>0</v>
          </cell>
        </row>
        <row r="458">
          <cell r="C458" t="str">
            <v>GSS</v>
          </cell>
          <cell r="AQ458">
            <v>1416.5499999999997</v>
          </cell>
        </row>
        <row r="459">
          <cell r="C459" t="str">
            <v>GSS</v>
          </cell>
          <cell r="AQ459">
            <v>0</v>
          </cell>
        </row>
        <row r="460">
          <cell r="C460" t="str">
            <v>GSS</v>
          </cell>
          <cell r="AQ460">
            <v>3295406</v>
          </cell>
        </row>
        <row r="461">
          <cell r="C461" t="str">
            <v>GSS</v>
          </cell>
          <cell r="AQ461">
            <v>3020.86</v>
          </cell>
        </row>
        <row r="462">
          <cell r="C462" t="str">
            <v>GSS</v>
          </cell>
          <cell r="AQ462">
            <v>17984.440000000002</v>
          </cell>
        </row>
        <row r="463">
          <cell r="C463" t="str">
            <v>GSRP</v>
          </cell>
          <cell r="AQ463">
            <v>312.51</v>
          </cell>
        </row>
        <row r="464">
          <cell r="C464" t="str">
            <v>GSS</v>
          </cell>
          <cell r="AQ464">
            <v>140.63999999999999</v>
          </cell>
        </row>
        <row r="465">
          <cell r="C465" t="str">
            <v>PSS</v>
          </cell>
          <cell r="AQ465">
            <v>9965786.0600000005</v>
          </cell>
        </row>
        <row r="466">
          <cell r="C466" t="str">
            <v>PSP</v>
          </cell>
          <cell r="AQ466">
            <v>891797.47000000009</v>
          </cell>
        </row>
        <row r="467">
          <cell r="C467" t="str">
            <v>PSS</v>
          </cell>
          <cell r="AQ467">
            <v>7779.0300000000007</v>
          </cell>
        </row>
        <row r="468">
          <cell r="C468" t="str">
            <v>CTODS</v>
          </cell>
          <cell r="AQ468">
            <v>2046583.13</v>
          </cell>
        </row>
        <row r="469">
          <cell r="C469" t="str">
            <v>CTODP</v>
          </cell>
          <cell r="AQ469">
            <v>1875335.9400000002</v>
          </cell>
        </row>
        <row r="470">
          <cell r="C470" t="str">
            <v>GS3</v>
          </cell>
          <cell r="AQ470">
            <v>0</v>
          </cell>
        </row>
        <row r="471">
          <cell r="C471" t="str">
            <v>GS3</v>
          </cell>
          <cell r="AQ471">
            <v>6058386.0800000001</v>
          </cell>
        </row>
        <row r="472">
          <cell r="C472" t="str">
            <v>GS3</v>
          </cell>
          <cell r="AQ472">
            <v>160735.95000000001</v>
          </cell>
        </row>
        <row r="473">
          <cell r="C473" t="str">
            <v>G3RP</v>
          </cell>
          <cell r="AQ473">
            <v>330.37</v>
          </cell>
        </row>
        <row r="474">
          <cell r="C474" t="str">
            <v>GS3</v>
          </cell>
          <cell r="AQ474">
            <v>3257.8000000000006</v>
          </cell>
        </row>
        <row r="475">
          <cell r="C475" t="str">
            <v>LWC</v>
          </cell>
          <cell r="AQ475">
            <v>233890.67000000004</v>
          </cell>
        </row>
        <row r="476">
          <cell r="C476" t="str">
            <v>CSR</v>
          </cell>
          <cell r="AQ476">
            <v>0</v>
          </cell>
        </row>
        <row r="477">
          <cell r="C477" t="str">
            <v>CSR</v>
          </cell>
          <cell r="AQ477">
            <v>0</v>
          </cell>
        </row>
        <row r="478">
          <cell r="C478" t="str">
            <v>FK</v>
          </cell>
          <cell r="AQ478">
            <v>834333.23</v>
          </cell>
        </row>
        <row r="479">
          <cell r="C479" t="str">
            <v>RTS</v>
          </cell>
          <cell r="AQ479">
            <v>2359613.41</v>
          </cell>
        </row>
        <row r="480">
          <cell r="C480" t="str">
            <v>PSS</v>
          </cell>
          <cell r="AQ480">
            <v>2146075.5</v>
          </cell>
        </row>
        <row r="481">
          <cell r="C481" t="str">
            <v>PSP</v>
          </cell>
          <cell r="AQ481">
            <v>228963.48999999996</v>
          </cell>
        </row>
        <row r="482">
          <cell r="C482" t="str">
            <v>ITODS</v>
          </cell>
          <cell r="AQ482">
            <v>700828.34000000008</v>
          </cell>
        </row>
        <row r="483">
          <cell r="C483" t="str">
            <v>ITODP</v>
          </cell>
          <cell r="AQ483">
            <v>6043900.7100000009</v>
          </cell>
        </row>
        <row r="484">
          <cell r="C484" t="str">
            <v>ITODP</v>
          </cell>
          <cell r="AQ484">
            <v>63771.8</v>
          </cell>
        </row>
        <row r="485">
          <cell r="C485" t="str">
            <v>LE</v>
          </cell>
          <cell r="AQ485">
            <v>135.04000000000002</v>
          </cell>
        </row>
        <row r="486">
          <cell r="C486" t="str">
            <v>LE</v>
          </cell>
          <cell r="AQ486">
            <v>17030.100000000002</v>
          </cell>
        </row>
        <row r="487">
          <cell r="C487" t="str">
            <v>LE</v>
          </cell>
          <cell r="AQ487">
            <v>6112.4</v>
          </cell>
        </row>
        <row r="488">
          <cell r="C488" t="str">
            <v>TE</v>
          </cell>
          <cell r="AQ488">
            <v>12454.17</v>
          </cell>
        </row>
        <row r="489">
          <cell r="C489" t="str">
            <v>TE</v>
          </cell>
          <cell r="AQ489">
            <v>5081.4600000000009</v>
          </cell>
        </row>
        <row r="490">
          <cell r="C490" t="str">
            <v>RS</v>
          </cell>
          <cell r="AQ490">
            <v>70199.64</v>
          </cell>
        </row>
        <row r="491">
          <cell r="C491" t="str">
            <v>RS</v>
          </cell>
          <cell r="AQ491">
            <v>24349511.139999997</v>
          </cell>
        </row>
        <row r="492">
          <cell r="C492" t="str">
            <v>RS</v>
          </cell>
          <cell r="AQ492">
            <v>7243.6699999999992</v>
          </cell>
        </row>
        <row r="493">
          <cell r="C493" t="str">
            <v>VFD</v>
          </cell>
          <cell r="AQ493">
            <v>2149.5299999999997</v>
          </cell>
        </row>
        <row r="494">
          <cell r="C494" t="str">
            <v>RRP</v>
          </cell>
          <cell r="AQ494">
            <v>6017.0300000000007</v>
          </cell>
        </row>
        <row r="495">
          <cell r="C495" t="str">
            <v>LEV</v>
          </cell>
          <cell r="AQ495">
            <v>139.93000000000004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0"/>
      <sheetData sheetId="1" refreshError="1">
        <row r="12">
          <cell r="M12">
            <v>38541.687344907405</v>
          </cell>
          <cell r="O12">
            <v>38541.690394560188</v>
          </cell>
          <cell r="AE12">
            <v>38553.463117129628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1.1800000000000001E-3</v>
          </cell>
          <cell r="Q110">
            <v>2.0129999999999999E-2</v>
          </cell>
        </row>
        <row r="116">
          <cell r="O116">
            <v>2.01E-2</v>
          </cell>
        </row>
        <row r="118">
          <cell r="O118">
            <v>-2.503E-2</v>
          </cell>
          <cell r="Q118">
            <v>-1.23E-3</v>
          </cell>
        </row>
        <row r="120">
          <cell r="O120">
            <v>0</v>
          </cell>
        </row>
        <row r="122">
          <cell r="O122">
            <v>-4.1000000000000003E-3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7692007.3200000003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5898152.6699999999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2"/>
      <sheetData sheetId="3" refreshError="1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20464919.199999999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32710652.719999999</v>
          </cell>
          <cell r="P53">
            <v>16235936.130000001</v>
          </cell>
          <cell r="Q53">
            <v>12499764.76</v>
          </cell>
          <cell r="R53">
            <v>11846860.26</v>
          </cell>
          <cell r="S53">
            <v>16936580.149999999</v>
          </cell>
          <cell r="T53">
            <v>18296121.940000001</v>
          </cell>
          <cell r="U53">
            <v>18766331.129999999</v>
          </cell>
          <cell r="V53">
            <v>13809638.060000001</v>
          </cell>
          <cell r="W53">
            <v>10828554.73</v>
          </cell>
          <cell r="X53">
            <v>12787200.060000001</v>
          </cell>
          <cell r="Y53">
            <v>14573396.93</v>
          </cell>
          <cell r="Z53">
            <v>16416466.359999999</v>
          </cell>
          <cell r="AA53">
            <v>18968768.629999999</v>
          </cell>
          <cell r="AB53">
            <v>13553577.619999999</v>
          </cell>
          <cell r="AC53">
            <v>10145911.52</v>
          </cell>
          <cell r="AD53">
            <v>10416325.800000001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8597090.8499999996</v>
          </cell>
          <cell r="Q54">
            <v>6347891.0099999998</v>
          </cell>
          <cell r="R54">
            <v>5254660.68</v>
          </cell>
          <cell r="S54">
            <v>7040740.7300000004</v>
          </cell>
          <cell r="T54">
            <v>7614788.9100000001</v>
          </cell>
          <cell r="U54">
            <v>7897212.2199999997</v>
          </cell>
          <cell r="V54">
            <v>6062836.1699999999</v>
          </cell>
          <cell r="W54">
            <v>4954184.3</v>
          </cell>
          <cell r="X54">
            <v>6589052.0300000003</v>
          </cell>
          <cell r="Y54">
            <v>7916898.7599999998</v>
          </cell>
          <cell r="Z54">
            <v>9019161.6899999995</v>
          </cell>
          <cell r="AA54">
            <v>10584124.810000001</v>
          </cell>
          <cell r="AB54">
            <v>7062666.4699999997</v>
          </cell>
          <cell r="AC54">
            <v>5167909.67</v>
          </cell>
          <cell r="AD54">
            <v>4739439.1900000004</v>
          </cell>
          <cell r="AE54">
            <v>5712556.54</v>
          </cell>
          <cell r="AF54">
            <v>6666988.6299999999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2476991.7999999998</v>
          </cell>
          <cell r="Q55">
            <v>2166741.9500000002</v>
          </cell>
          <cell r="R55">
            <v>2213519.6800000002</v>
          </cell>
          <cell r="S55">
            <v>2554650.6800000002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2356621.9900000002</v>
          </cell>
          <cell r="AA55">
            <v>2566479.7999999998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16762352.449999999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16449577.039999999</v>
          </cell>
          <cell r="O56">
            <v>17457219.140000001</v>
          </cell>
          <cell r="P56">
            <v>13614619.1</v>
          </cell>
          <cell r="Q56">
            <v>12426107.529999999</v>
          </cell>
          <cell r="R56">
            <v>13444904.050000001</v>
          </cell>
          <cell r="S56">
            <v>15716397.289999999</v>
          </cell>
          <cell r="T56">
            <v>15467415.310000001</v>
          </cell>
          <cell r="U56">
            <v>15925212.710000001</v>
          </cell>
          <cell r="V56">
            <v>13397413.109999999</v>
          </cell>
          <cell r="W56">
            <v>11725292.460000001</v>
          </cell>
          <cell r="X56">
            <v>11796703.73</v>
          </cell>
          <cell r="Y56">
            <v>11884037</v>
          </cell>
          <cell r="Z56">
            <v>12421394.130000001</v>
          </cell>
          <cell r="AA56">
            <v>13020573.310000001</v>
          </cell>
          <cell r="AB56">
            <v>11786006.59</v>
          </cell>
          <cell r="AC56">
            <v>10807855.85</v>
          </cell>
          <cell r="AD56">
            <v>11334372.619999999</v>
          </cell>
          <cell r="AE56">
            <v>13056567.27</v>
          </cell>
          <cell r="AF56">
            <v>13629194.84</v>
          </cell>
          <cell r="AG56">
            <v>13486996.960000001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14553985.210000001</v>
          </cell>
          <cell r="N57">
            <v>14585415.550000001</v>
          </cell>
          <cell r="O57">
            <v>14544691.43</v>
          </cell>
          <cell r="P57">
            <v>16228258.310000001</v>
          </cell>
          <cell r="Q57">
            <v>16109820.720000001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14860339.189999999</v>
          </cell>
          <cell r="X57">
            <v>14756612.470000001</v>
          </cell>
          <cell r="Y57">
            <v>14289022.6</v>
          </cell>
          <cell r="Z57">
            <v>14254704.07</v>
          </cell>
          <cell r="AA57">
            <v>14021779.699999999</v>
          </cell>
          <cell r="AB57">
            <v>13209185.85</v>
          </cell>
          <cell r="AC57">
            <v>13295197.77</v>
          </cell>
          <cell r="AD57">
            <v>13580499.279999999</v>
          </cell>
          <cell r="AE57">
            <v>14148245.59</v>
          </cell>
          <cell r="AF57">
            <v>13826937.779999999</v>
          </cell>
          <cell r="AG57">
            <v>13904196.369999999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635168.93999999994</v>
          </cell>
          <cell r="U59">
            <v>667839.61</v>
          </cell>
          <cell r="V59">
            <v>620474.04</v>
          </cell>
          <cell r="W59">
            <v>583373.68999999994</v>
          </cell>
          <cell r="X59">
            <v>607165.69999999995</v>
          </cell>
          <cell r="Y59">
            <v>616013.56999999995</v>
          </cell>
          <cell r="Z59">
            <v>626361.01</v>
          </cell>
          <cell r="AA59">
            <v>580256.96</v>
          </cell>
          <cell r="AB59">
            <v>627346.43000000005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4466926.6100000003</v>
          </cell>
          <cell r="L60">
            <v>4325219.03</v>
          </cell>
          <cell r="M60">
            <v>4366182.5999999996</v>
          </cell>
          <cell r="N60">
            <v>4650938.8099999996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4778669.6500000004</v>
          </cell>
          <cell r="S60">
            <v>5719904.1600000001</v>
          </cell>
          <cell r="T60">
            <v>5225322.4000000004</v>
          </cell>
          <cell r="U60">
            <v>5235649.3099999996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4292654.4400000004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4466926.6100000003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281237.34000000003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290728.40999999997</v>
          </cell>
          <cell r="U61">
            <v>314170.81</v>
          </cell>
          <cell r="V61">
            <v>273920.21999999997</v>
          </cell>
          <cell r="W61">
            <v>253748.14</v>
          </cell>
          <cell r="X61">
            <v>267532.03000000003</v>
          </cell>
          <cell r="Y61">
            <v>271881.59999999998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7009536.4699999997</v>
          </cell>
          <cell r="K62">
            <v>6130903.1500000004</v>
          </cell>
          <cell r="L62">
            <v>5260523.2699999996</v>
          </cell>
          <cell r="M62">
            <v>5591777.0199999996</v>
          </cell>
          <cell r="N62">
            <v>5771234.29</v>
          </cell>
          <cell r="O62">
            <v>6273601.9800000004</v>
          </cell>
          <cell r="P62">
            <v>6141583.8099999996</v>
          </cell>
          <cell r="Q62">
            <v>5401431.7699999996</v>
          </cell>
          <cell r="R62">
            <v>6170107.5</v>
          </cell>
          <cell r="S62">
            <v>6554580.3300000001</v>
          </cell>
          <cell r="T62">
            <v>7878621.0300000003</v>
          </cell>
          <cell r="U62">
            <v>7964315.5999999996</v>
          </cell>
          <cell r="V62">
            <v>7156484.46</v>
          </cell>
          <cell r="W62">
            <v>6317860.3700000001</v>
          </cell>
          <cell r="X62">
            <v>5385005.6399999997</v>
          </cell>
          <cell r="Y62">
            <v>5794570.3300000001</v>
          </cell>
          <cell r="Z62">
            <v>5564802.5</v>
          </cell>
          <cell r="AA62">
            <v>6281490.3799999999</v>
          </cell>
          <cell r="AB62">
            <v>5963543.9100000001</v>
          </cell>
          <cell r="AC62">
            <v>5302029.71</v>
          </cell>
          <cell r="AD62">
            <v>5915411.8200000003</v>
          </cell>
          <cell r="AE62">
            <v>6184591.4500000002</v>
          </cell>
          <cell r="AF62">
            <v>7528415.1699999999</v>
          </cell>
          <cell r="AG62">
            <v>7618307.0599999996</v>
          </cell>
          <cell r="AH62">
            <v>6848105.7300000004</v>
          </cell>
          <cell r="AJ62">
            <v>6130903.1500000004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1207531.8700000001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332229.84999999998</v>
          </cell>
          <cell r="AA63">
            <v>1414278.93</v>
          </cell>
          <cell r="AB63">
            <v>6571678.71</v>
          </cell>
          <cell r="AC63">
            <v>5666536.9000000004</v>
          </cell>
          <cell r="AD63">
            <v>4186291</v>
          </cell>
          <cell r="AE63">
            <v>4915142.8499999996</v>
          </cell>
          <cell r="AF63">
            <v>4740956.63</v>
          </cell>
          <cell r="AG63">
            <v>5335694.2300000004</v>
          </cell>
          <cell r="AH63">
            <v>7478989.1500000004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6689749.7999999998</v>
          </cell>
          <cell r="N64">
            <v>6429160.2000000002</v>
          </cell>
          <cell r="O64">
            <v>7353810.5999999996</v>
          </cell>
          <cell r="P64">
            <v>4787488.5999999996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334413.96999999997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645976.43000000005</v>
          </cell>
          <cell r="AD79">
            <v>775434.05</v>
          </cell>
          <cell r="AE79">
            <v>1132802.31</v>
          </cell>
          <cell r="AF79">
            <v>1138550.1200000001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144095.85999999999</v>
          </cell>
          <cell r="AG81">
            <v>131382.98000000001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80342.100000000006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2225246.9500000002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1070602.4099999999</v>
          </cell>
          <cell r="P83">
            <v>-75003.350000000006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1177739.0900000001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1262853.1299999999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20735.689999999999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132532.42000000001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17489.990000000002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305265.21000000002</v>
          </cell>
          <cell r="N86">
            <v>402432.56</v>
          </cell>
          <cell r="O86">
            <v>304425.09000000003</v>
          </cell>
          <cell r="P86">
            <v>-18417.72</v>
          </cell>
          <cell r="Q86">
            <v>62280.480000000003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135865.39000000001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19223.830000000002</v>
          </cell>
          <cell r="T87">
            <v>8948.2900000000009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22191.599999999999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-571657.80000000005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90242.240000000005</v>
          </cell>
          <cell r="T93">
            <v>90210.77</v>
          </cell>
          <cell r="U93">
            <v>90988.479999999996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4536.8999999999996</v>
          </cell>
          <cell r="W94">
            <v>4517.04</v>
          </cell>
          <cell r="X94">
            <v>4976.24</v>
          </cell>
          <cell r="Y94">
            <v>5235.6499999999996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4322.2299999999996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32511.040000000001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560036.43000000005</v>
          </cell>
          <cell r="R118">
            <v>535417.67000000004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581709.94999999995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609599.32999999996</v>
          </cell>
          <cell r="AE118">
            <v>652817.88</v>
          </cell>
          <cell r="AF118">
            <v>684024.11</v>
          </cell>
          <cell r="AG118">
            <v>623247.56000000006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275254.96999999997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264908.71000000002</v>
          </cell>
          <cell r="AB119">
            <v>376510.84</v>
          </cell>
          <cell r="AC119">
            <v>316701.89</v>
          </cell>
          <cell r="AD119">
            <v>274755.15999999997</v>
          </cell>
          <cell r="AE119">
            <v>271376.77</v>
          </cell>
          <cell r="AF119">
            <v>281769.46999999997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92160.639999999999</v>
          </cell>
          <cell r="W120">
            <v>87158.49</v>
          </cell>
          <cell r="X120">
            <v>82451.08</v>
          </cell>
          <cell r="Y120">
            <v>78497.279999999999</v>
          </cell>
          <cell r="Z120">
            <v>70376.039999999994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80846.259999999995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559760.93999999994</v>
          </cell>
          <cell r="N121">
            <v>561608.56000000006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600942.06000000006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535455.31000000006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598573.92000000004</v>
          </cell>
          <cell r="S122">
            <v>536540.82999999996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539963.07999999996</v>
          </cell>
          <cell r="X122">
            <v>461650.65</v>
          </cell>
          <cell r="Y122">
            <v>405076.47999999998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559861.57999999996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73973.929999999993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72360.929999999993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83546.929999999993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73973.929999999993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36609.199999999997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34954.639999999999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144993.67000000001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166034.85999999999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161557.67000000001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8751.4500000000007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10193.030000000001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10117.700000000001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-528463.68999999994</v>
          </cell>
          <cell r="K131">
            <v>-452328.2</v>
          </cell>
          <cell r="L131">
            <v>-558820.05000000005</v>
          </cell>
          <cell r="M131">
            <v>-679004.48</v>
          </cell>
          <cell r="N131">
            <v>-714068.61</v>
          </cell>
          <cell r="O131">
            <v>-887608.31999999995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-306352.34999999998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-166413.07999999999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-165551.35999999999</v>
          </cell>
          <cell r="X132">
            <v>-188849.39</v>
          </cell>
          <cell r="Y132">
            <v>-229487.87</v>
          </cell>
          <cell r="Z132">
            <v>-263896.46999999997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-68619.600000000006</v>
          </cell>
          <cell r="T133">
            <v>-66375.19</v>
          </cell>
          <cell r="U133">
            <v>-66531.520000000004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-68232.600000000006</v>
          </cell>
          <cell r="Z133">
            <v>-73804.789999999994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-332026.90999999997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-332026.90999999997</v>
          </cell>
        </row>
        <row r="136">
          <cell r="J136">
            <v>-40210.910000000003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-40514.839999999997</v>
          </cell>
          <cell r="S136">
            <v>-42768.52</v>
          </cell>
          <cell r="T136">
            <v>-39186.949999999997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-35539.040000000001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-37309.279999999999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-23659.919999999998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-111695.67999999999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-134715.95000000001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-147140.07999999999</v>
          </cell>
          <cell r="P157">
            <v>-71039.08</v>
          </cell>
          <cell r="Q157">
            <v>-54012.480000000003</v>
          </cell>
          <cell r="R157">
            <v>-45446.53</v>
          </cell>
          <cell r="S157">
            <v>-58047.040000000001</v>
          </cell>
          <cell r="T157">
            <v>-75437.77</v>
          </cell>
          <cell r="U157">
            <v>-81181.460000000006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-35952.379999999997</v>
          </cell>
          <cell r="AE157">
            <v>-41852.879999999997</v>
          </cell>
          <cell r="AF157">
            <v>-57441.31</v>
          </cell>
          <cell r="AG157">
            <v>-60255.519999999997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-28677.279999999999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-9392.2900000000009</v>
          </cell>
          <cell r="R159">
            <v>-9804.14</v>
          </cell>
          <cell r="S159">
            <v>-9469.9599999999991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-8965.7999999999993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-75554.899999999994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-61063.199999999997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-37688.449999999997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-55734.080000000002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-39828.639999999999</v>
          </cell>
          <cell r="AF161">
            <v>-40349.449999999997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-4399.5200000000004</v>
          </cell>
          <cell r="AC162">
            <v>-5289.45</v>
          </cell>
          <cell r="AD162">
            <v>-5025.33</v>
          </cell>
          <cell r="AE162">
            <v>-4258.1899999999996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-2388.3000000000002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-20008.009999999998</v>
          </cell>
          <cell r="L164">
            <v>-17758.419999999998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-19279.150000000001</v>
          </cell>
          <cell r="U164">
            <v>-19319.72</v>
          </cell>
          <cell r="V164">
            <v>-18190.59</v>
          </cell>
          <cell r="W164">
            <v>-17950.849999999999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-20008.009999999998</v>
          </cell>
        </row>
        <row r="165">
          <cell r="J165">
            <v>-1222.1400000000001</v>
          </cell>
          <cell r="K165">
            <v>-1205.95</v>
          </cell>
          <cell r="L165">
            <v>-1088.42</v>
          </cell>
          <cell r="M165">
            <v>-1189.6600000000001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-1164.6400000000001</v>
          </cell>
          <cell r="S165">
            <v>-1049.57</v>
          </cell>
          <cell r="T165">
            <v>-1076.6199999999999</v>
          </cell>
          <cell r="U165">
            <v>-1171.48</v>
          </cell>
          <cell r="V165">
            <v>-1102.3900000000001</v>
          </cell>
          <cell r="W165">
            <v>-1101.3800000000001</v>
          </cell>
          <cell r="X165">
            <v>-1032.73</v>
          </cell>
          <cell r="Y165">
            <v>-1063.6300000000001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23739543.969999999</v>
          </cell>
          <cell r="M170">
            <v>25867345.999999996</v>
          </cell>
          <cell r="N170">
            <v>29467193.240000002</v>
          </cell>
          <cell r="O170">
            <v>34725724.880000003</v>
          </cell>
          <cell r="P170">
            <v>16552651.890000001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19114647.600000001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19081695.280000001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17598417.469999999</v>
          </cell>
          <cell r="AG170">
            <v>16698081.120000001</v>
          </cell>
          <cell r="AH170">
            <v>13347568.710000001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8765590.6999999993</v>
          </cell>
          <cell r="Q171">
            <v>6617874.0299999993</v>
          </cell>
          <cell r="R171">
            <v>5697108.2300000004</v>
          </cell>
          <cell r="S171">
            <v>7561886.7100000009</v>
          </cell>
          <cell r="T171">
            <v>7956582.2899999991</v>
          </cell>
          <cell r="U171">
            <v>8159870.0800000019</v>
          </cell>
          <cell r="V171">
            <v>6239529.0099999998</v>
          </cell>
          <cell r="W171">
            <v>5298028.68</v>
          </cell>
          <cell r="X171">
            <v>6909235.2700000014</v>
          </cell>
          <cell r="Y171">
            <v>8261500.7299999986</v>
          </cell>
          <cell r="Z171">
            <v>9174045.3299999982</v>
          </cell>
          <cell r="AA171">
            <v>10655488.980000002</v>
          </cell>
          <cell r="AB171">
            <v>7785103.7800000003</v>
          </cell>
          <cell r="AC171">
            <v>5752188.6499999985</v>
          </cell>
          <cell r="AD171">
            <v>5307237.6500000004</v>
          </cell>
          <cell r="AE171">
            <v>6362870.6099999994</v>
          </cell>
          <cell r="AF171">
            <v>7291937.21</v>
          </cell>
          <cell r="AG171">
            <v>7003354.0199999996</v>
          </cell>
          <cell r="AH171">
            <v>5812305.0500000007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2502775.4500000002</v>
          </cell>
          <cell r="Q172">
            <v>2227054.39</v>
          </cell>
          <cell r="R172">
            <v>2356701.8199999998</v>
          </cell>
          <cell r="S172">
            <v>2706600.69</v>
          </cell>
          <cell r="T172">
            <v>2591459.9</v>
          </cell>
          <cell r="U172">
            <v>2577954.7200000002</v>
          </cell>
          <cell r="V172">
            <v>2177425.16</v>
          </cell>
          <cell r="W172">
            <v>1971220.31</v>
          </cell>
          <cell r="X172">
            <v>2148090.0699999998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2326530.4700000002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17741014.390000001</v>
          </cell>
          <cell r="O173">
            <v>18424935</v>
          </cell>
          <cell r="P173">
            <v>13748218.759999998</v>
          </cell>
          <cell r="Q173">
            <v>12788009.390000001</v>
          </cell>
          <cell r="R173">
            <v>14410445.190000001</v>
          </cell>
          <cell r="S173">
            <v>16766103.459999999</v>
          </cell>
          <cell r="T173">
            <v>16035641.890000001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11889107.130000001</v>
          </cell>
          <cell r="AD173">
            <v>12566378.09</v>
          </cell>
          <cell r="AE173">
            <v>14454566.779999999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17529008.829999998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16319519.220000001</v>
          </cell>
          <cell r="Q174">
            <v>16578289.009999998</v>
          </cell>
          <cell r="R174">
            <v>17533585.250000004</v>
          </cell>
          <cell r="S174">
            <v>18933340.280000001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15325915.130000001</v>
          </cell>
          <cell r="AE174">
            <v>15970657.799999999</v>
          </cell>
          <cell r="AF174">
            <v>15311303.23</v>
          </cell>
          <cell r="AG174">
            <v>15264739.050000001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666617.06999999995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646054.80000000005</v>
          </cell>
          <cell r="U176">
            <v>676183.91</v>
          </cell>
          <cell r="V176">
            <v>626962.64</v>
          </cell>
          <cell r="W176">
            <v>596565.19999999995</v>
          </cell>
          <cell r="X176">
            <v>616647.31000000006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661971.44999999995</v>
          </cell>
          <cell r="AC176">
            <v>634135.22</v>
          </cell>
          <cell r="AD176">
            <v>616382.74</v>
          </cell>
          <cell r="AE176">
            <v>601275.56999999995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5351810.3400000008</v>
          </cell>
          <cell r="K177">
            <v>5005684.34</v>
          </cell>
          <cell r="L177">
            <v>4739050.3099999996</v>
          </cell>
          <cell r="M177">
            <v>4682393.9400000004</v>
          </cell>
          <cell r="N177">
            <v>5067668.2699999996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5138748.3499999996</v>
          </cell>
          <cell r="S177">
            <v>6130773.0999999996</v>
          </cell>
          <cell r="T177">
            <v>5422370.7400000002</v>
          </cell>
          <cell r="U177">
            <v>5367021.6900000004</v>
          </cell>
          <cell r="V177">
            <v>4682974.9800000004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4283912.8499999996</v>
          </cell>
          <cell r="AB177">
            <v>4413717.1500000004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4825054.1399999997</v>
          </cell>
          <cell r="AH177">
            <v>4512716.7699999996</v>
          </cell>
          <cell r="AJ177">
            <v>5005684.34</v>
          </cell>
        </row>
        <row r="178">
          <cell r="J178">
            <v>319905.90999999997</v>
          </cell>
          <cell r="K178">
            <v>291394.5</v>
          </cell>
          <cell r="L178">
            <v>293997.95</v>
          </cell>
          <cell r="M178">
            <v>291202.65999999997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281826.96000000002</v>
          </cell>
          <cell r="R178">
            <v>304568.14</v>
          </cell>
          <cell r="S178">
            <v>328918.71999999997</v>
          </cell>
          <cell r="T178">
            <v>301436.79999999999</v>
          </cell>
          <cell r="U178">
            <v>321792.81</v>
          </cell>
          <cell r="V178">
            <v>277970.03999999998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289915.34000000003</v>
          </cell>
          <cell r="AA178">
            <v>302968.21999999997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292722.59999999998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5950548.6600000001</v>
          </cell>
          <cell r="L179">
            <v>5045984.87</v>
          </cell>
          <cell r="M179">
            <v>5222517.6900000004</v>
          </cell>
          <cell r="N179">
            <v>5558027.7599999998</v>
          </cell>
          <cell r="O179">
            <v>5846160.8400000008</v>
          </cell>
          <cell r="P179">
            <v>5287845.87</v>
          </cell>
          <cell r="Q179">
            <v>4736324.04</v>
          </cell>
          <cell r="R179">
            <v>5660471.4199999999</v>
          </cell>
          <cell r="S179">
            <v>6016975.9400000004</v>
          </cell>
          <cell r="T179">
            <v>7176112.8799999999</v>
          </cell>
          <cell r="U179">
            <v>7186713.8499999996</v>
          </cell>
          <cell r="V179">
            <v>6328445.3600000003</v>
          </cell>
          <cell r="W179">
            <v>5763876.7400000002</v>
          </cell>
          <cell r="X179">
            <v>4784124.8499999996</v>
          </cell>
          <cell r="Y179">
            <v>5222912.53</v>
          </cell>
          <cell r="Z179">
            <v>4901201.96</v>
          </cell>
          <cell r="AA179">
            <v>5628014.4199999999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5429329.6200000001</v>
          </cell>
          <cell r="AF179">
            <v>6697026.5800000001</v>
          </cell>
          <cell r="AG179">
            <v>6825939.6199999992</v>
          </cell>
          <cell r="AH179">
            <v>6042471.0300000003</v>
          </cell>
          <cell r="AJ179">
            <v>5950548.6600000001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1207531.8700000001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332229.84999999998</v>
          </cell>
          <cell r="AA180">
            <v>1414278.93</v>
          </cell>
          <cell r="AB180">
            <v>6571678.71</v>
          </cell>
          <cell r="AC180">
            <v>5666536.9000000004</v>
          </cell>
          <cell r="AD180">
            <v>4186291</v>
          </cell>
          <cell r="AE180">
            <v>4915142.8499999996</v>
          </cell>
          <cell r="AF180">
            <v>4740956.63</v>
          </cell>
          <cell r="AG180">
            <v>5335694.2300000004</v>
          </cell>
          <cell r="AH180">
            <v>7478989.1500000004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6689749.7999999998</v>
          </cell>
          <cell r="N181">
            <v>6429160.2000000002</v>
          </cell>
          <cell r="O181">
            <v>7353810.5999999996</v>
          </cell>
          <cell r="P181">
            <v>4787488.5999999996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24186.560000000001</v>
          </cell>
          <cell r="R183">
            <v>24196.36</v>
          </cell>
          <cell r="S183">
            <v>29893.86</v>
          </cell>
          <cell r="T183">
            <v>-1255.3399999999999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35535.629999999997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1250298.4099999999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1065261.1399999999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647241.44999999995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24429864.309999999</v>
          </cell>
          <cell r="K188">
            <v>15769750.630000001</v>
          </cell>
          <cell r="L188">
            <v>-27183889.789999999</v>
          </cell>
          <cell r="M188">
            <v>681211.69</v>
          </cell>
          <cell r="N188">
            <v>-41548252.659999996</v>
          </cell>
          <cell r="O188">
            <v>-27839281.280000001</v>
          </cell>
          <cell r="P188">
            <v>39845051.590000004</v>
          </cell>
          <cell r="Q188">
            <v>25240248.879999999</v>
          </cell>
          <cell r="R188">
            <v>-13831776.050000001</v>
          </cell>
          <cell r="S188">
            <v>-58319134.539999999</v>
          </cell>
          <cell r="T188">
            <v>10308580.33</v>
          </cell>
          <cell r="U188">
            <v>31708881.780000001</v>
          </cell>
          <cell r="V188">
            <v>26350872.690000001</v>
          </cell>
          <cell r="W188">
            <v>5471390.2199999997</v>
          </cell>
          <cell r="X188">
            <v>-31387758.390000001</v>
          </cell>
          <cell r="Y188">
            <v>-21310240.52</v>
          </cell>
          <cell r="Z188">
            <v>-28586129.039999999</v>
          </cell>
          <cell r="AA188">
            <v>23148594.09</v>
          </cell>
          <cell r="AB188">
            <v>39649177.020000003</v>
          </cell>
          <cell r="AC188">
            <v>9036219.3599999994</v>
          </cell>
          <cell r="AD188">
            <v>-8854679.5500000007</v>
          </cell>
          <cell r="AE188">
            <v>-53693682.810000002</v>
          </cell>
          <cell r="AF188">
            <v>2415502.75</v>
          </cell>
          <cell r="AG188">
            <v>42060567.869999997</v>
          </cell>
          <cell r="AH188">
            <v>26864344.129999999</v>
          </cell>
          <cell r="AJ188">
            <v>15769750.630000001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25370112.129999999</v>
          </cell>
          <cell r="Q189">
            <v>22425720.02</v>
          </cell>
          <cell r="R189">
            <v>-1901697.62</v>
          </cell>
          <cell r="S189">
            <v>-24327042.559999999</v>
          </cell>
          <cell r="T189">
            <v>3386719.38</v>
          </cell>
          <cell r="U189">
            <v>10459687.09</v>
          </cell>
          <cell r="V189">
            <v>8902622.0700000003</v>
          </cell>
          <cell r="W189">
            <v>-5525334.3899999997</v>
          </cell>
          <cell r="X189">
            <v>-21512829.699999999</v>
          </cell>
          <cell r="Y189">
            <v>-13078017.43</v>
          </cell>
          <cell r="Z189">
            <v>-17800181.18</v>
          </cell>
          <cell r="AA189">
            <v>18373849.039999999</v>
          </cell>
          <cell r="AB189">
            <v>23708602.449999999</v>
          </cell>
          <cell r="AC189">
            <v>14554869.77</v>
          </cell>
          <cell r="AD189">
            <v>2851763.98</v>
          </cell>
          <cell r="AE189">
            <v>-21816016.879999999</v>
          </cell>
          <cell r="AF189">
            <v>-70472.44</v>
          </cell>
          <cell r="AG189">
            <v>14813302.380000001</v>
          </cell>
          <cell r="AH189">
            <v>8973207.1799999997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-5659357.2800000003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21691143.609999999</v>
          </cell>
          <cell r="K191">
            <v>14656861.91</v>
          </cell>
          <cell r="L191">
            <v>-19323074.039999999</v>
          </cell>
          <cell r="M191">
            <v>446286.01</v>
          </cell>
          <cell r="N191">
            <v>-25319764.579999998</v>
          </cell>
          <cell r="O191">
            <v>-15220044.75</v>
          </cell>
          <cell r="P191">
            <v>5376022.9800000004</v>
          </cell>
          <cell r="Q191">
            <v>6988512.0499999998</v>
          </cell>
          <cell r="R191">
            <v>14433358.51</v>
          </cell>
          <cell r="S191">
            <v>-40033182.090000004</v>
          </cell>
          <cell r="T191">
            <v>7351643.4800000004</v>
          </cell>
          <cell r="U191">
            <v>6810777.4500000002</v>
          </cell>
          <cell r="V191">
            <v>13040518.33</v>
          </cell>
          <cell r="W191">
            <v>31164198.629999999</v>
          </cell>
          <cell r="X191">
            <v>-10369257.93</v>
          </cell>
          <cell r="Y191">
            <v>-6550865.7999999998</v>
          </cell>
          <cell r="Z191">
            <v>-9769723.3200000003</v>
          </cell>
          <cell r="AA191">
            <v>-9254329.4100000001</v>
          </cell>
          <cell r="AB191">
            <v>-3879188.9</v>
          </cell>
          <cell r="AC191">
            <v>4027909.37</v>
          </cell>
          <cell r="AD191">
            <v>15352320.039999999</v>
          </cell>
          <cell r="AE191">
            <v>-27527205.829999998</v>
          </cell>
          <cell r="AF191">
            <v>-6640905.3600000003</v>
          </cell>
          <cell r="AG191">
            <v>13316602.99</v>
          </cell>
          <cell r="AH191">
            <v>22106059.440000001</v>
          </cell>
          <cell r="AJ191">
            <v>14656861.91</v>
          </cell>
        </row>
        <row r="192">
          <cell r="J192">
            <v>26308966.780000001</v>
          </cell>
          <cell r="K192">
            <v>19807534.170000002</v>
          </cell>
          <cell r="L192">
            <v>-25343209.850000001</v>
          </cell>
          <cell r="M192">
            <v>572179.29</v>
          </cell>
          <cell r="N192">
            <v>-30713604.629999999</v>
          </cell>
          <cell r="O192">
            <v>-16700633.07</v>
          </cell>
          <cell r="P192">
            <v>-14007908.51</v>
          </cell>
          <cell r="Q192">
            <v>32091873.859999999</v>
          </cell>
          <cell r="R192">
            <v>39683356.219999999</v>
          </cell>
          <cell r="S192">
            <v>-42236452.18</v>
          </cell>
          <cell r="T192">
            <v>16016819.08</v>
          </cell>
          <cell r="U192">
            <v>-18076838.359999999</v>
          </cell>
          <cell r="V192">
            <v>-3565749.24</v>
          </cell>
          <cell r="W192">
            <v>50892851.600000001</v>
          </cell>
          <cell r="X192">
            <v>-7721026.54</v>
          </cell>
          <cell r="Y192">
            <v>-1671722.45</v>
          </cell>
          <cell r="Z192">
            <v>5390085.0099999998</v>
          </cell>
          <cell r="AA192">
            <v>-36343412.07</v>
          </cell>
          <cell r="AB192">
            <v>-23587998.52</v>
          </cell>
          <cell r="AC192">
            <v>9141191.8499999996</v>
          </cell>
          <cell r="AD192">
            <v>41481693.119999997</v>
          </cell>
          <cell r="AE192">
            <v>-20602494.579999998</v>
          </cell>
          <cell r="AF192">
            <v>-1720755.46</v>
          </cell>
          <cell r="AG192">
            <v>-9071355.2300000004</v>
          </cell>
          <cell r="AH192">
            <v>6996556.2599999998</v>
          </cell>
          <cell r="AJ192">
            <v>19807534.170000002</v>
          </cell>
        </row>
        <row r="193">
          <cell r="J193">
            <v>2789990.36</v>
          </cell>
          <cell r="K193">
            <v>2137497.9300000002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6212280.9299999997</v>
          </cell>
          <cell r="R193">
            <v>5392621.4800000004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4451734.8499999996</v>
          </cell>
          <cell r="AD193">
            <v>5650611.6699999999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2137497.9300000002</v>
          </cell>
        </row>
        <row r="194">
          <cell r="J194">
            <v>248412.55</v>
          </cell>
          <cell r="K194">
            <v>189422.67</v>
          </cell>
          <cell r="L194">
            <v>-279087.21000000002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79712.179999999993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-572618.80000000005</v>
          </cell>
          <cell r="AB194">
            <v>-10.119999999999999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7313270.0300000003</v>
          </cell>
          <cell r="K195">
            <v>5125733.18</v>
          </cell>
          <cell r="L195">
            <v>-6591502.2999999998</v>
          </cell>
          <cell r="M195">
            <v>149063.29</v>
          </cell>
          <cell r="N195">
            <v>-8514374.3599999994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-10652855.119999999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-5384893.1799999997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547061.82999999996</v>
          </cell>
          <cell r="S196">
            <v>-710504.84</v>
          </cell>
          <cell r="T196">
            <v>-13994.08</v>
          </cell>
          <cell r="U196">
            <v>21945.200000000001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137325.04999999999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-2543848.0099999998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1198252.6200000001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-2179717.8199999998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1063981.6100000001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270746.28000000003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-613311.56000000006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72779.399999999994</v>
          </cell>
          <cell r="AG202">
            <v>656177.67000000004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-142430.92000000001</v>
          </cell>
          <cell r="Y203">
            <v>-74785.58</v>
          </cell>
          <cell r="Z203">
            <v>-81443.490000000005</v>
          </cell>
          <cell r="AA203">
            <v>46423.72</v>
          </cell>
          <cell r="AB203">
            <v>-9567.75</v>
          </cell>
          <cell r="AC203">
            <v>49473.279999999999</v>
          </cell>
          <cell r="AD203">
            <v>107938.78</v>
          </cell>
          <cell r="AE203">
            <v>-139305.01999999999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-532453.07999999996</v>
          </cell>
          <cell r="Y204">
            <v>-286979.61</v>
          </cell>
          <cell r="Z204">
            <v>-267727.21999999997</v>
          </cell>
          <cell r="AA204">
            <v>-185914.96</v>
          </cell>
          <cell r="AB204">
            <v>-393616.14</v>
          </cell>
          <cell r="AC204">
            <v>87260.160000000003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619633.42000000004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-1225430.3400000001</v>
          </cell>
          <cell r="AB205">
            <v>-779307.09</v>
          </cell>
          <cell r="AC205">
            <v>273801.53000000003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-139659.10999999999</v>
          </cell>
          <cell r="O206">
            <v>-138626.54</v>
          </cell>
          <cell r="P206">
            <v>-47201.919999999998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-71669.070000000007</v>
          </cell>
          <cell r="AB206">
            <v>-142159.34</v>
          </cell>
          <cell r="AC206">
            <v>158858.92000000001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78630.460000000006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-18660.150000000001</v>
          </cell>
          <cell r="P207">
            <v>12549.27</v>
          </cell>
          <cell r="Q207">
            <v>38896.559999999998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-23965.759999999998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37793.379999999997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144118.29999999999</v>
          </cell>
          <cell r="AE208">
            <v>-52464.959999999999</v>
          </cell>
          <cell r="AF208">
            <v>-105854.95</v>
          </cell>
          <cell r="AG208">
            <v>269136.28000000003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17811.099999999999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4172.7700000000004</v>
          </cell>
          <cell r="W209">
            <v>16694.419999999998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2267791537.5700002</v>
          </cell>
          <cell r="Q226">
            <v>1967499913.9000001</v>
          </cell>
          <cell r="R226">
            <v>1990300889.75</v>
          </cell>
          <cell r="S226">
            <v>1986463315.24</v>
          </cell>
          <cell r="T226">
            <v>2170761144.6300001</v>
          </cell>
          <cell r="U226">
            <v>2168125375.25</v>
          </cell>
          <cell r="V226">
            <v>2026105664.25</v>
          </cell>
          <cell r="W226">
            <v>1954265390.9200001</v>
          </cell>
          <cell r="X226">
            <v>1606236217.6900001</v>
          </cell>
          <cell r="Y226">
            <v>1821300431.6300001</v>
          </cell>
          <cell r="Z226">
            <v>1999786686.54</v>
          </cell>
          <cell r="AA226">
            <v>2357052016.1999998</v>
          </cell>
          <cell r="AB226">
            <v>2348637744.5500002</v>
          </cell>
          <cell r="AC226">
            <v>2008674747.0899999</v>
          </cell>
          <cell r="AD226">
            <v>1888883716.1900001</v>
          </cell>
          <cell r="AE226">
            <v>2024327675.46</v>
          </cell>
          <cell r="AF226">
            <v>2258213062.23</v>
          </cell>
          <cell r="AG226">
            <v>2315774283.4699998</v>
          </cell>
          <cell r="AH226">
            <v>2225264495.8499999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87571678.200000003</v>
          </cell>
          <cell r="Q227">
            <v>78490138.819999993</v>
          </cell>
          <cell r="R227">
            <v>76398536.030000001</v>
          </cell>
          <cell r="S227">
            <v>80195187.760000005</v>
          </cell>
          <cell r="T227">
            <v>92824456.75</v>
          </cell>
          <cell r="U227">
            <v>93357371.640000001</v>
          </cell>
          <cell r="V227">
            <v>84416894.819999993</v>
          </cell>
          <cell r="W227">
            <v>77301710.5</v>
          </cell>
          <cell r="X227">
            <v>70955916.689999998</v>
          </cell>
          <cell r="Y227">
            <v>77450769.810000002</v>
          </cell>
          <cell r="Z227">
            <v>82013807.900000006</v>
          </cell>
          <cell r="AA227">
            <v>82013807.900000006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88724989.409999996</v>
          </cell>
          <cell r="R228">
            <v>71961139.969999999</v>
          </cell>
          <cell r="S228">
            <v>63372074.719999999</v>
          </cell>
          <cell r="T228">
            <v>71151338.180000007</v>
          </cell>
          <cell r="U228">
            <v>70036204.420000002</v>
          </cell>
          <cell r="V228">
            <v>64338309.229999997</v>
          </cell>
          <cell r="W228">
            <v>66822999.060000002</v>
          </cell>
          <cell r="X228">
            <v>71792248.969999999</v>
          </cell>
          <cell r="Y228">
            <v>91085101.590000004</v>
          </cell>
          <cell r="Z228">
            <v>93516091.390000001</v>
          </cell>
          <cell r="AA228">
            <v>93516091.390000001</v>
          </cell>
          <cell r="AB228">
            <v>103544836.27</v>
          </cell>
          <cell r="AC228">
            <v>82446092.489999995</v>
          </cell>
          <cell r="AD228">
            <v>74061946.010000005</v>
          </cell>
          <cell r="AE228">
            <v>63075788.100000001</v>
          </cell>
          <cell r="AF228">
            <v>70111623.400000006</v>
          </cell>
          <cell r="AG228">
            <v>67125588.829999998</v>
          </cell>
          <cell r="AH228">
            <v>64921905.990000002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22682202.199999999</v>
          </cell>
          <cell r="K256">
            <v>23536609.100000001</v>
          </cell>
          <cell r="L256">
            <v>34557126</v>
          </cell>
          <cell r="M256">
            <v>38673608.399999999</v>
          </cell>
          <cell r="N256">
            <v>46001001.100000001</v>
          </cell>
          <cell r="O256">
            <v>56599201.100000001</v>
          </cell>
          <cell r="P256">
            <v>24268539.600000001</v>
          </cell>
          <cell r="Q256">
            <v>16106628.199999999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13677823.199999999</v>
          </cell>
          <cell r="V256">
            <v>10916709.9</v>
          </cell>
          <cell r="W256">
            <v>11844715.5</v>
          </cell>
          <cell r="X256">
            <v>17318571.399999999</v>
          </cell>
          <cell r="Y256">
            <v>22293856.100000001</v>
          </cell>
          <cell r="Z256">
            <v>24484778.5</v>
          </cell>
          <cell r="AA256">
            <v>30165005.100000001</v>
          </cell>
          <cell r="AB256">
            <v>22743858.699999999</v>
          </cell>
          <cell r="AC256">
            <v>14646482.800000001</v>
          </cell>
          <cell r="AD256">
            <v>12022023.699999999</v>
          </cell>
          <cell r="AE256">
            <v>11841886.300000001</v>
          </cell>
          <cell r="AF256">
            <v>13080196</v>
          </cell>
          <cell r="AG256">
            <v>12695306.6</v>
          </cell>
          <cell r="AH256">
            <v>11395703.800000001</v>
          </cell>
          <cell r="AJ256">
            <v>23536609.100000001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21756728.800000001</v>
          </cell>
          <cell r="Q257">
            <v>14851381.9</v>
          </cell>
          <cell r="R257">
            <v>10994785.1</v>
          </cell>
          <cell r="S257">
            <v>11413222.800000001</v>
          </cell>
          <cell r="T257">
            <v>12124208.1</v>
          </cell>
          <cell r="U257">
            <v>12558820.9</v>
          </cell>
          <cell r="V257">
            <v>10110751.800000001</v>
          </cell>
          <cell r="W257">
            <v>10955074</v>
          </cell>
          <cell r="X257">
            <v>16107482.1</v>
          </cell>
          <cell r="Y257">
            <v>20193869.699999999</v>
          </cell>
          <cell r="Z257">
            <v>22163305.800000001</v>
          </cell>
          <cell r="AA257">
            <v>27529797.600000001</v>
          </cell>
          <cell r="AB257">
            <v>19948317.100000001</v>
          </cell>
          <cell r="AC257">
            <v>13478321.9</v>
          </cell>
          <cell r="AD257">
            <v>11108859.199999999</v>
          </cell>
          <cell r="AE257">
            <v>10855516.199999999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4807305.0999999996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14207166.300000001</v>
          </cell>
          <cell r="M259">
            <v>15058682.800000001</v>
          </cell>
          <cell r="N259">
            <v>16454689.800000001</v>
          </cell>
          <cell r="O259">
            <v>18839702.5</v>
          </cell>
          <cell r="P259">
            <v>11763086.699999999</v>
          </cell>
          <cell r="Q259">
            <v>9590917.3000000007</v>
          </cell>
          <cell r="R259">
            <v>9731487.8000000007</v>
          </cell>
          <cell r="S259">
            <v>11175103.300000001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9790090.1999999993</v>
          </cell>
          <cell r="X259">
            <v>10386306.699999999</v>
          </cell>
          <cell r="Y259">
            <v>11261042.4</v>
          </cell>
          <cell r="Z259">
            <v>11961338.300000001</v>
          </cell>
          <cell r="AA259">
            <v>14135332.5</v>
          </cell>
          <cell r="AB259">
            <v>10915329.1</v>
          </cell>
          <cell r="AC259">
            <v>9473663.1999999993</v>
          </cell>
          <cell r="AD259">
            <v>9245880.9000000004</v>
          </cell>
          <cell r="AE259">
            <v>10607283.6</v>
          </cell>
          <cell r="AF259">
            <v>11258562.199999999</v>
          </cell>
          <cell r="AG259">
            <v>11282430.4</v>
          </cell>
          <cell r="AH259">
            <v>9977769.9000000004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2284728.7000000002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2465111.2999999998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16409117.800000001</v>
          </cell>
          <cell r="K261">
            <v>16120799.800000001</v>
          </cell>
          <cell r="L261">
            <v>17468045.800000001</v>
          </cell>
          <cell r="M261">
            <v>18398455.699999999</v>
          </cell>
          <cell r="N261">
            <v>19300740.399999999</v>
          </cell>
          <cell r="O261">
            <v>18591268.800000001</v>
          </cell>
          <cell r="P261">
            <v>19466412.399999999</v>
          </cell>
          <cell r="Q261">
            <v>18379769.5</v>
          </cell>
          <cell r="R261">
            <v>17880522.899999999</v>
          </cell>
          <cell r="S261">
            <v>18055827.199999999</v>
          </cell>
          <cell r="T261">
            <v>16818960.300000001</v>
          </cell>
          <cell r="U261">
            <v>15015802.300000001</v>
          </cell>
          <cell r="V261">
            <v>17103450.600000001</v>
          </cell>
          <cell r="W261">
            <v>17443617</v>
          </cell>
          <cell r="X261">
            <v>18439028.399999999</v>
          </cell>
          <cell r="Y261">
            <v>19568214.600000001</v>
          </cell>
          <cell r="Z261">
            <v>19660309.399999999</v>
          </cell>
          <cell r="AA261">
            <v>19526635.300000001</v>
          </cell>
          <cell r="AB261">
            <v>19303469.899999999</v>
          </cell>
          <cell r="AC261">
            <v>18097413.800000001</v>
          </cell>
          <cell r="AD261">
            <v>17749536.100000001</v>
          </cell>
          <cell r="AE261">
            <v>17337190.399999999</v>
          </cell>
          <cell r="AF261">
            <v>16844295.100000001</v>
          </cell>
          <cell r="AG261">
            <v>14637189.1</v>
          </cell>
          <cell r="AH261">
            <v>16736662.9</v>
          </cell>
          <cell r="AJ261">
            <v>16120799.800000001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264460.59999999998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280005.59999999998</v>
          </cell>
          <cell r="Z262">
            <v>267066.5</v>
          </cell>
          <cell r="AA262">
            <v>316897.59999999998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6145376.4000000004</v>
          </cell>
          <cell r="K263">
            <v>6288572.7000000002</v>
          </cell>
          <cell r="L263">
            <v>6688439.9000000004</v>
          </cell>
          <cell r="M263">
            <v>7838648.0999999996</v>
          </cell>
          <cell r="N263">
            <v>8771994.3000000007</v>
          </cell>
          <cell r="O263">
            <v>9445202.5999999996</v>
          </cell>
          <cell r="P263">
            <v>8171852.5999999996</v>
          </cell>
          <cell r="Q263">
            <v>6619561.5</v>
          </cell>
          <cell r="R263">
            <v>6032299.2000000002</v>
          </cell>
          <cell r="S263">
            <v>7109026.2999999998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6190122.0999999996</v>
          </cell>
          <cell r="X263">
            <v>6703383</v>
          </cell>
          <cell r="Y263">
            <v>7839876.2000000002</v>
          </cell>
          <cell r="Z263">
            <v>8331275.4000000004</v>
          </cell>
          <cell r="AA263">
            <v>9557583.6999999993</v>
          </cell>
          <cell r="AB263">
            <v>7009581.2999999998</v>
          </cell>
          <cell r="AC263">
            <v>6344099.7000000002</v>
          </cell>
          <cell r="AD263">
            <v>6025690.2999999998</v>
          </cell>
          <cell r="AE263">
            <v>6704971.5</v>
          </cell>
          <cell r="AF263">
            <v>5862144.2000000002</v>
          </cell>
          <cell r="AG263">
            <v>5467550.9000000004</v>
          </cell>
          <cell r="AH263">
            <v>5930915.7999999998</v>
          </cell>
          <cell r="AJ263">
            <v>6288572.7000000002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159421.79999999999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158984.29999999999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138167.20000000001</v>
          </cell>
          <cell r="AG264">
            <v>143654.79999999999</v>
          </cell>
          <cell r="AH264">
            <v>140652.70000000001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2489027.2000000002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628174.19999999995</v>
          </cell>
          <cell r="T269">
            <v>671108.5</v>
          </cell>
          <cell r="U269">
            <v>691117.6</v>
          </cell>
          <cell r="V269">
            <v>557772.19999999995</v>
          </cell>
          <cell r="W269">
            <v>602575.6</v>
          </cell>
          <cell r="X269">
            <v>858129.1</v>
          </cell>
          <cell r="Y269">
            <v>1072682.8999999999</v>
          </cell>
          <cell r="Z269">
            <v>1160379.1000000001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622209.69999999995</v>
          </cell>
          <cell r="AE269">
            <v>607530.69999999995</v>
          </cell>
          <cell r="AF269">
            <v>665229</v>
          </cell>
          <cell r="AG269">
            <v>647188.19999999995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564550.69999999995</v>
          </cell>
          <cell r="S270">
            <v>581537.80000000005</v>
          </cell>
          <cell r="T270">
            <v>615514.1</v>
          </cell>
          <cell r="U270">
            <v>639734.69999999995</v>
          </cell>
          <cell r="V270">
            <v>520523.2</v>
          </cell>
          <cell r="W270">
            <v>562306.80000000005</v>
          </cell>
          <cell r="X270">
            <v>801816.2</v>
          </cell>
          <cell r="Y270">
            <v>977144</v>
          </cell>
          <cell r="Z270">
            <v>1055401.1000000001</v>
          </cell>
          <cell r="AA270">
            <v>1301260.1000000001</v>
          </cell>
          <cell r="AB270">
            <v>978415.8</v>
          </cell>
          <cell r="AC270">
            <v>681180.8</v>
          </cell>
          <cell r="AD270">
            <v>578082.80000000005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235625.60000000001</v>
          </cell>
          <cell r="AC271">
            <v>163020.70000000001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831084.10000000009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584348.80000000005</v>
          </cell>
          <cell r="Q272">
            <v>485810.4</v>
          </cell>
          <cell r="R272">
            <v>481418.1</v>
          </cell>
          <cell r="S272">
            <v>553164.80000000005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596365.30000000005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556400.19999999995</v>
          </cell>
          <cell r="AG272">
            <v>552492.30000000005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166640.79999999999</v>
          </cell>
          <cell r="Q273">
            <v>145526.1</v>
          </cell>
          <cell r="R273">
            <v>67816.800000000003</v>
          </cell>
          <cell r="S273">
            <v>108898.9</v>
          </cell>
          <cell r="T273">
            <v>83106.399999999994</v>
          </cell>
          <cell r="U273">
            <v>141407.9</v>
          </cell>
          <cell r="V273">
            <v>135454.39999999999</v>
          </cell>
          <cell r="W273">
            <v>103492.2</v>
          </cell>
          <cell r="X273">
            <v>132406.29999999999</v>
          </cell>
          <cell r="Y273">
            <v>130411.7</v>
          </cell>
          <cell r="Z273">
            <v>149833.79999999999</v>
          </cell>
          <cell r="AA273">
            <v>141955.20000000001</v>
          </cell>
          <cell r="AB273">
            <v>207822.2</v>
          </cell>
          <cell r="AC273">
            <v>154569.60000000001</v>
          </cell>
          <cell r="AD273">
            <v>80807.399999999994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823865.70000000007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652378.69999999995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40320.400000000001</v>
          </cell>
          <cell r="K275">
            <v>39628.800000000003</v>
          </cell>
          <cell r="L275">
            <v>40467.9</v>
          </cell>
          <cell r="M275">
            <v>41030.400000000001</v>
          </cell>
          <cell r="N275">
            <v>39428.199999999997</v>
          </cell>
          <cell r="O275">
            <v>40625.699999999997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39825.599999999999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34640.800000000003</v>
          </cell>
          <cell r="AD275">
            <v>33775.300000000003</v>
          </cell>
          <cell r="AE275">
            <v>33686.800000000003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39628.800000000003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317195.40000000002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329828.90000000002</v>
          </cell>
          <cell r="AD276">
            <v>309269.2</v>
          </cell>
          <cell r="AE276">
            <v>341117.2</v>
          </cell>
          <cell r="AF276">
            <v>305632.40000000002</v>
          </cell>
          <cell r="AG276">
            <v>282410</v>
          </cell>
          <cell r="AH276">
            <v>313014.59999999998</v>
          </cell>
          <cell r="AJ276">
            <v>361578.5</v>
          </cell>
        </row>
        <row r="277">
          <cell r="J277">
            <v>9462.3000000000011</v>
          </cell>
          <cell r="K277">
            <v>8995.7999999999993</v>
          </cell>
          <cell r="L277">
            <v>9590.7000000000007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10366.200000000001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8642.7000000000007</v>
          </cell>
          <cell r="AA277">
            <v>10402.200000000001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8995.7999999999993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-39883.800000000003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-30028.400000000001</v>
          </cell>
          <cell r="R347">
            <v>-23141.200000000001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-27247.599999999999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-19924.099999999999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-39401.699999999997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-8410.2999999999993</v>
          </cell>
          <cell r="AA349">
            <v>-9708.7999999999993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-4420.1000000000004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-24723.200000000001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-18502.900000000001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-21470.400000000001</v>
          </cell>
          <cell r="V350">
            <v>-19848.7</v>
          </cell>
          <cell r="W350">
            <v>-18281.400000000001</v>
          </cell>
          <cell r="X350">
            <v>-19977.900000000001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-4741.8999999999996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-4633.6000000000004</v>
          </cell>
          <cell r="O351">
            <v>-4876.8999999999996</v>
          </cell>
          <cell r="P351">
            <v>-6095.2</v>
          </cell>
          <cell r="Q351">
            <v>-5332.6</v>
          </cell>
          <cell r="R351">
            <v>-2497.8000000000002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-4959.6000000000004</v>
          </cell>
          <cell r="W351">
            <v>-3797</v>
          </cell>
          <cell r="X351">
            <v>-4923.2</v>
          </cell>
          <cell r="Y351">
            <v>-4799.3999999999996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-23572.799999999999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-26105.200000000001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-17535.599999999999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-302.60000000000002</v>
          </cell>
          <cell r="AF353">
            <v>-288.2</v>
          </cell>
          <cell r="AG353">
            <v>-265.10000000000002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-17325.900000000001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-271.89999999999998</v>
          </cell>
          <cell r="L355">
            <v>-290.2</v>
          </cell>
          <cell r="M355">
            <v>-302.39999999999998</v>
          </cell>
          <cell r="N355">
            <v>-302.10000000000002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-310.39999999999998</v>
          </cell>
          <cell r="U355">
            <v>-323.60000000000002</v>
          </cell>
          <cell r="V355">
            <v>-301.5</v>
          </cell>
          <cell r="W355">
            <v>-289.8</v>
          </cell>
          <cell r="X355">
            <v>-307.10000000000002</v>
          </cell>
          <cell r="Y355">
            <v>-338.8</v>
          </cell>
          <cell r="Z355">
            <v>-326.10000000000002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-154.69999999999999</v>
          </cell>
          <cell r="AJ355">
            <v>-271.89999999999998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1296279.3999999999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583188.19999999995</v>
          </cell>
          <cell r="S386">
            <v>604261.19999999995</v>
          </cell>
          <cell r="T386">
            <v>645601.6</v>
          </cell>
          <cell r="U386">
            <v>664815.4</v>
          </cell>
          <cell r="V386">
            <v>536471.69999999995</v>
          </cell>
          <cell r="W386">
            <v>579594.69999999995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1081850.8999999999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649558.69999999995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592054.80000000005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564774.19999999995</v>
          </cell>
          <cell r="AE387">
            <v>547471.30000000005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159414.79999999999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806360.90000000014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562228.69999999995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573764.19999999995</v>
          </cell>
          <cell r="AA389">
            <v>661897.80000000005</v>
          </cell>
          <cell r="AB389">
            <v>529526.19999999995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542912.19999999995</v>
          </cell>
          <cell r="AG389">
            <v>538975.69999999995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166684.20000000001</v>
          </cell>
          <cell r="N390">
            <v>157808.79999999999</v>
          </cell>
          <cell r="O390">
            <v>164584.4</v>
          </cell>
          <cell r="P390">
            <v>160545.60000000001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144363.70000000001</v>
          </cell>
          <cell r="AA390">
            <v>136818.70000000001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801403.00000000012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628811.30000000005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639276.80000000005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38857.599999999999</v>
          </cell>
          <cell r="M392">
            <v>39414.699999999997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34032.300000000003</v>
          </cell>
          <cell r="S392">
            <v>14096.8</v>
          </cell>
          <cell r="T392">
            <v>37132.800000000003</v>
          </cell>
          <cell r="U392">
            <v>37970.5</v>
          </cell>
          <cell r="V392">
            <v>36538.400000000001</v>
          </cell>
          <cell r="W392">
            <v>36183</v>
          </cell>
          <cell r="X392">
            <v>36683</v>
          </cell>
          <cell r="Y392">
            <v>37821.699999999997</v>
          </cell>
          <cell r="Z392">
            <v>36312.699999999997</v>
          </cell>
          <cell r="AA392">
            <v>37023.699999999997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33384.199999999997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329515.90000000002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287802.40000000002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298609.40000000002</v>
          </cell>
          <cell r="AG393">
            <v>275859.8</v>
          </cell>
          <cell r="AH393">
            <v>306490.59999999998</v>
          </cell>
          <cell r="AJ393">
            <v>350737</v>
          </cell>
        </row>
        <row r="394">
          <cell r="J394">
            <v>9178.3000000000011</v>
          </cell>
          <cell r="K394">
            <v>8723.9</v>
          </cell>
          <cell r="L394">
            <v>9300.5</v>
          </cell>
          <cell r="M394">
            <v>9523.7000000000007</v>
          </cell>
          <cell r="N394">
            <v>9824</v>
          </cell>
          <cell r="O394">
            <v>11245.1</v>
          </cell>
          <cell r="P394">
            <v>9972</v>
          </cell>
          <cell r="Q394">
            <v>8478.7000000000007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8401.2999999999993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-8783.7000000000007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1064411.8999999999</v>
          </cell>
          <cell r="L404">
            <v>-2107388.2000000002</v>
          </cell>
          <cell r="M404">
            <v>52582.9</v>
          </cell>
          <cell r="N404">
            <v>-3356944</v>
          </cell>
          <cell r="O404">
            <v>-2260152.7000000002</v>
          </cell>
          <cell r="P404">
            <v>3782861.3</v>
          </cell>
          <cell r="Q404">
            <v>3330182.1</v>
          </cell>
          <cell r="R404">
            <v>1282169.6000000001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524532.19999999995</v>
          </cell>
          <cell r="AH404">
            <v>-654843</v>
          </cell>
          <cell r="AJ404">
            <v>1064411.8999999999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1213254.1000000001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2261720.2999999998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561406.19999999995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141426.29999999999</v>
          </cell>
          <cell r="W406">
            <v>188651.3</v>
          </cell>
          <cell r="X406">
            <v>-247119.2</v>
          </cell>
          <cell r="Y406">
            <v>-80311.199999999997</v>
          </cell>
          <cell r="Z406">
            <v>-287330.3</v>
          </cell>
          <cell r="AA406">
            <v>-222371.6</v>
          </cell>
          <cell r="AB406">
            <v>662790.40000000002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87587.199999999997</v>
          </cell>
          <cell r="AH406">
            <v>160149.79999999999</v>
          </cell>
          <cell r="AJ406">
            <v>0</v>
          </cell>
        </row>
        <row r="407">
          <cell r="J407">
            <v>827801.3</v>
          </cell>
          <cell r="K407">
            <v>600662.30000000005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158250.20000000001</v>
          </cell>
          <cell r="AC407">
            <v>656779.30000000005</v>
          </cell>
          <cell r="AD407">
            <v>684652.9</v>
          </cell>
          <cell r="AE407">
            <v>-1000600.7</v>
          </cell>
          <cell r="AF407">
            <v>-264495.09999999998</v>
          </cell>
          <cell r="AG407">
            <v>556528.9</v>
          </cell>
          <cell r="AH407">
            <v>232940.5</v>
          </cell>
          <cell r="AJ407">
            <v>600662.30000000005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-49599.199999999997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-271135.90000000002</v>
          </cell>
          <cell r="AH408">
            <v>34161.699999999997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25015.599999999999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1198016.6000000001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10069.700000000001</v>
          </cell>
          <cell r="L410">
            <v>-14766.3</v>
          </cell>
          <cell r="M410">
            <v>378.8</v>
          </cell>
          <cell r="N410">
            <v>-19299.099999999999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10069.700000000001</v>
          </cell>
        </row>
        <row r="411">
          <cell r="J411">
            <v>358148.3</v>
          </cell>
          <cell r="K411">
            <v>284392.40000000002</v>
          </cell>
          <cell r="L411">
            <v>-407879.4</v>
          </cell>
          <cell r="M411">
            <v>10657.9</v>
          </cell>
          <cell r="N411">
            <v>-640140.30000000005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-534666.80000000005</v>
          </cell>
          <cell r="AA411">
            <v>96352.9</v>
          </cell>
          <cell r="AB411">
            <v>-81292.3</v>
          </cell>
          <cell r="AC411">
            <v>547456.30000000005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284392.40000000002</v>
          </cell>
        </row>
        <row r="412">
          <cell r="J412">
            <v>9261.2000000000007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-626.29999999999995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-9384.7999999999993</v>
          </cell>
          <cell r="AF412">
            <v>-6275.7</v>
          </cell>
          <cell r="AG412">
            <v>-1130.4000000000001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79280.600000000006</v>
          </cell>
          <cell r="K417">
            <v>86994.6</v>
          </cell>
          <cell r="L417">
            <v>-88298.6</v>
          </cell>
          <cell r="M417">
            <v>18052.099999999999</v>
          </cell>
          <cell r="N417">
            <v>-172131.8</v>
          </cell>
          <cell r="O417">
            <v>-147753.79999999999</v>
          </cell>
          <cell r="P417">
            <v>169136.6</v>
          </cell>
          <cell r="Q417">
            <v>152849.70000000001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-40905.199999999997</v>
          </cell>
          <cell r="W417">
            <v>-53639.1</v>
          </cell>
          <cell r="X417">
            <v>-131836.9</v>
          </cell>
          <cell r="Y417">
            <v>-32565.200000000001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-39457.599999999999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139252.29999999999</v>
          </cell>
          <cell r="Q418">
            <v>141163</v>
          </cell>
          <cell r="R418">
            <v>52871.4</v>
          </cell>
          <cell r="S418">
            <v>-88867.199999999997</v>
          </cell>
          <cell r="T418">
            <v>13974.7</v>
          </cell>
          <cell r="U418">
            <v>37262.300000000003</v>
          </cell>
          <cell r="V418">
            <v>-37630.199999999997</v>
          </cell>
          <cell r="W418">
            <v>-52388.800000000003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132469.79999999999</v>
          </cell>
          <cell r="AC418">
            <v>100180.1</v>
          </cell>
          <cell r="AD418">
            <v>81259.600000000006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27738.799999999999</v>
          </cell>
          <cell r="R420">
            <v>38905.599999999999</v>
          </cell>
          <cell r="S420">
            <v>-67436.600000000006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-17058.599999999999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10196.200000000001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-8401.2000000000007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-1070.5999999999999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-4579.6000000000004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35577.800000000003</v>
          </cell>
          <cell r="L422">
            <v>-45630.9</v>
          </cell>
          <cell r="M422">
            <v>9260.2999999999993</v>
          </cell>
          <cell r="N422">
            <v>-65983.899999999994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-69514.899999999994</v>
          </cell>
          <cell r="T422">
            <v>63322.400000000001</v>
          </cell>
          <cell r="U422">
            <v>-78973.100000000006</v>
          </cell>
          <cell r="V422">
            <v>-17070.2</v>
          </cell>
          <cell r="W422">
            <v>65804.899999999994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35577.800000000003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-9972.2000000000007</v>
          </cell>
          <cell r="U423">
            <v>-1370.4</v>
          </cell>
          <cell r="V423">
            <v>-2633.5</v>
          </cell>
          <cell r="W423">
            <v>4671.8999999999996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-2346.8000000000002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19422.400000000001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-33111.800000000003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-36317.800000000003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265.60000000000002</v>
          </cell>
          <cell r="N425">
            <v>-508.2</v>
          </cell>
          <cell r="O425">
            <v>-898.7</v>
          </cell>
          <cell r="P425">
            <v>411.5</v>
          </cell>
          <cell r="Q425">
            <v>324.60000000000002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559.29999999999995</v>
          </cell>
          <cell r="X425">
            <v>-572.20000000000005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88724989.400000006</v>
          </cell>
          <cell r="R442">
            <v>71961140</v>
          </cell>
          <cell r="S442">
            <v>63372074.700000003</v>
          </cell>
          <cell r="T442">
            <v>71151338.200000003</v>
          </cell>
          <cell r="U442">
            <v>70036204.400000006</v>
          </cell>
          <cell r="V442">
            <v>64338309.200000003</v>
          </cell>
          <cell r="W442">
            <v>66822999.100000001</v>
          </cell>
          <cell r="X442">
            <v>71792249</v>
          </cell>
          <cell r="Y442">
            <v>91085101.599999994</v>
          </cell>
          <cell r="Z442">
            <v>93516091.400000006</v>
          </cell>
          <cell r="AA442">
            <v>93516091.400000006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63075788.100000001</v>
          </cell>
          <cell r="AF442">
            <v>70111623.400000006</v>
          </cell>
          <cell r="AG442">
            <v>67125588.799999997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5227676.4000000004</v>
          </cell>
          <cell r="R443">
            <v>4239950.4000000004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5509968.0999999996</v>
          </cell>
          <cell r="AA443">
            <v>5509968.0999999996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 refreshError="1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"/>
      <sheetName val="Oth"/>
      <sheetName val="Tot"/>
      <sheetName val="Pd"/>
      <sheetName val="408"/>
      <sheetName val="Intco"/>
      <sheetName val="Rp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1"/>
      <sheetName val="Sheet2"/>
      <sheetName val="Sheet3"/>
      <sheetName val="Rpt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Sch M-2.1"/>
      <sheetName val="Sch M-2.2-pg 1"/>
      <sheetName val="Sch M-2.2 pgs 2-14"/>
      <sheetName val="Sch M-2.2 pgs 15-21"/>
      <sheetName val="Sch M-2.3 pg 1-2"/>
      <sheetName val="Sch M-2.3 pgs 3-19"/>
      <sheetName val="Sch M-2.3 pgs 20-26"/>
      <sheetName val="Summaries==&gt;"/>
      <sheetName val="Rate Summary"/>
      <sheetName val="Class Summary"/>
      <sheetName val="Data==&gt;"/>
      <sheetName val="12MonResults"/>
      <sheetName val="12MonLights"/>
      <sheetName val="12MonPoles"/>
      <sheetName val="ECR in Base Rates"/>
      <sheetName val="Sources ==&gt;"/>
      <sheetName val="Rates"/>
      <sheetName val="LightingRates"/>
      <sheetName val="PoleRates"/>
      <sheetName val="1022"/>
      <sheetName val="1051"/>
      <sheetName val="1055"/>
      <sheetName val="SBR"/>
      <sheetName val="MiscData"/>
      <sheetName val="Power Factor"/>
      <sheetName val="LEV"/>
      <sheetName val="Lighting"/>
    </sheetNames>
    <sheetDataSet>
      <sheetData sheetId="0"/>
      <sheetData sheetId="1"/>
      <sheetData sheetId="2"/>
      <sheetData sheetId="3"/>
      <sheetData sheetId="4"/>
      <sheetData sheetId="5"/>
      <sheetData sheetId="6">
        <row r="179">
          <cell r="D179">
            <v>2259463.5425757286</v>
          </cell>
        </row>
        <row r="180">
          <cell r="D180">
            <v>2719904.618628988</v>
          </cell>
        </row>
        <row r="216">
          <cell r="D216">
            <v>184989.95738184021</v>
          </cell>
        </row>
        <row r="217">
          <cell r="D217">
            <v>215342.4303247839</v>
          </cell>
        </row>
        <row r="255">
          <cell r="D255">
            <v>2122416.0723105436</v>
          </cell>
        </row>
        <row r="405">
          <cell r="D405">
            <v>1917694</v>
          </cell>
        </row>
      </sheetData>
      <sheetData sheetId="7"/>
      <sheetData sheetId="8"/>
      <sheetData sheetId="9"/>
      <sheetData sheetId="10"/>
      <sheetData sheetId="11"/>
      <sheetData sheetId="12">
        <row r="4">
          <cell r="C4" t="str">
            <v>FLSP</v>
          </cell>
          <cell r="K4">
            <v>0</v>
          </cell>
        </row>
        <row r="5">
          <cell r="C5" t="str">
            <v>FLST</v>
          </cell>
          <cell r="K5">
            <v>0</v>
          </cell>
        </row>
        <row r="6">
          <cell r="C6" t="str">
            <v>GS</v>
          </cell>
          <cell r="K6">
            <v>0</v>
          </cell>
        </row>
        <row r="7">
          <cell r="C7" t="str">
            <v>GS</v>
          </cell>
          <cell r="K7">
            <v>0</v>
          </cell>
        </row>
        <row r="8">
          <cell r="C8" t="str">
            <v>GS</v>
          </cell>
          <cell r="K8">
            <v>0</v>
          </cell>
        </row>
        <row r="9">
          <cell r="C9" t="str">
            <v>GS</v>
          </cell>
          <cell r="K9">
            <v>0</v>
          </cell>
        </row>
        <row r="10">
          <cell r="C10" t="str">
            <v>GS</v>
          </cell>
          <cell r="K10">
            <v>0</v>
          </cell>
        </row>
        <row r="11">
          <cell r="C11" t="str">
            <v>GS</v>
          </cell>
          <cell r="K11">
            <v>0</v>
          </cell>
        </row>
        <row r="12">
          <cell r="C12" t="str">
            <v>PSS</v>
          </cell>
          <cell r="K12">
            <v>0</v>
          </cell>
        </row>
        <row r="13">
          <cell r="C13" t="str">
            <v>PSP</v>
          </cell>
          <cell r="K13">
            <v>0</v>
          </cell>
        </row>
        <row r="14">
          <cell r="C14" t="str">
            <v>PSS</v>
          </cell>
          <cell r="K14">
            <v>0</v>
          </cell>
        </row>
        <row r="15">
          <cell r="C15" t="str">
            <v>TODS</v>
          </cell>
          <cell r="K15">
            <v>118759</v>
          </cell>
        </row>
        <row r="16">
          <cell r="C16" t="str">
            <v>CTODP</v>
          </cell>
          <cell r="K16">
            <v>67143</v>
          </cell>
        </row>
        <row r="17">
          <cell r="C17" t="str">
            <v>GS3</v>
          </cell>
          <cell r="K17">
            <v>0</v>
          </cell>
        </row>
        <row r="18">
          <cell r="C18" t="str">
            <v>GS3</v>
          </cell>
          <cell r="K18">
            <v>202711</v>
          </cell>
        </row>
        <row r="19">
          <cell r="C19" t="str">
            <v>GS3</v>
          </cell>
          <cell r="K19">
            <v>0</v>
          </cell>
        </row>
        <row r="20">
          <cell r="C20" t="str">
            <v>GS3</v>
          </cell>
          <cell r="K20">
            <v>0</v>
          </cell>
        </row>
        <row r="21">
          <cell r="C21" t="str">
            <v>LWC</v>
          </cell>
          <cell r="K21">
            <v>0</v>
          </cell>
        </row>
        <row r="22">
          <cell r="C22" t="str">
            <v>CSR</v>
          </cell>
          <cell r="K22">
            <v>0</v>
          </cell>
        </row>
        <row r="23">
          <cell r="C23" t="str">
            <v>CSR</v>
          </cell>
          <cell r="K23">
            <v>0</v>
          </cell>
        </row>
        <row r="24">
          <cell r="C24" t="str">
            <v>FK</v>
          </cell>
          <cell r="K24">
            <v>0</v>
          </cell>
        </row>
        <row r="25">
          <cell r="C25" t="str">
            <v>RTS</v>
          </cell>
          <cell r="K25">
            <v>167002</v>
          </cell>
        </row>
        <row r="26">
          <cell r="C26" t="str">
            <v>PSS</v>
          </cell>
          <cell r="K26">
            <v>0</v>
          </cell>
        </row>
        <row r="27">
          <cell r="C27" t="str">
            <v>PSP</v>
          </cell>
          <cell r="K27">
            <v>0</v>
          </cell>
        </row>
        <row r="28">
          <cell r="C28" t="str">
            <v>TODS</v>
          </cell>
          <cell r="K28">
            <v>50459</v>
          </cell>
        </row>
        <row r="29">
          <cell r="C29" t="str">
            <v>ITODP</v>
          </cell>
          <cell r="K29">
            <v>328863</v>
          </cell>
        </row>
        <row r="30">
          <cell r="C30" t="str">
            <v>ITODP</v>
          </cell>
          <cell r="K30">
            <v>0</v>
          </cell>
        </row>
        <row r="31">
          <cell r="C31" t="str">
            <v>LE</v>
          </cell>
          <cell r="K31">
            <v>0</v>
          </cell>
        </row>
        <row r="32">
          <cell r="C32" t="str">
            <v>LE</v>
          </cell>
          <cell r="K32">
            <v>0</v>
          </cell>
        </row>
        <row r="33">
          <cell r="C33" t="str">
            <v>LE</v>
          </cell>
          <cell r="K33">
            <v>0</v>
          </cell>
        </row>
        <row r="34">
          <cell r="C34" t="str">
            <v>TE</v>
          </cell>
          <cell r="K34">
            <v>0</v>
          </cell>
        </row>
        <row r="35">
          <cell r="C35" t="str">
            <v>TE</v>
          </cell>
          <cell r="K35">
            <v>0</v>
          </cell>
        </row>
        <row r="36">
          <cell r="C36" t="str">
            <v>RS</v>
          </cell>
          <cell r="K36">
            <v>0</v>
          </cell>
        </row>
        <row r="37">
          <cell r="C37" t="str">
            <v>RS</v>
          </cell>
          <cell r="K37">
            <v>0</v>
          </cell>
        </row>
        <row r="38">
          <cell r="C38" t="str">
            <v>RS</v>
          </cell>
          <cell r="K38">
            <v>0</v>
          </cell>
        </row>
        <row r="39">
          <cell r="C39" t="str">
            <v>RS</v>
          </cell>
          <cell r="K39">
            <v>0</v>
          </cell>
        </row>
        <row r="40">
          <cell r="C40" t="str">
            <v>LEV</v>
          </cell>
          <cell r="K40">
            <v>0</v>
          </cell>
        </row>
        <row r="41">
          <cell r="C41" t="str">
            <v>LEV</v>
          </cell>
          <cell r="K41">
            <v>0</v>
          </cell>
        </row>
        <row r="42">
          <cell r="C42" t="str">
            <v>FLSP</v>
          </cell>
          <cell r="K42">
            <v>0</v>
          </cell>
        </row>
        <row r="43">
          <cell r="C43" t="str">
            <v>FLST</v>
          </cell>
          <cell r="K43">
            <v>0</v>
          </cell>
        </row>
        <row r="44">
          <cell r="C44" t="str">
            <v>GS</v>
          </cell>
          <cell r="K44">
            <v>0</v>
          </cell>
        </row>
        <row r="45">
          <cell r="C45" t="str">
            <v>GS</v>
          </cell>
          <cell r="K45">
            <v>0</v>
          </cell>
        </row>
        <row r="46">
          <cell r="C46" t="str">
            <v>GS</v>
          </cell>
          <cell r="K46">
            <v>0</v>
          </cell>
        </row>
        <row r="47">
          <cell r="C47" t="str">
            <v>GS</v>
          </cell>
          <cell r="K47">
            <v>0</v>
          </cell>
        </row>
        <row r="48">
          <cell r="C48" t="str">
            <v>GS</v>
          </cell>
          <cell r="K48">
            <v>0</v>
          </cell>
        </row>
        <row r="49">
          <cell r="C49" t="str">
            <v>GS</v>
          </cell>
          <cell r="K49">
            <v>0</v>
          </cell>
        </row>
        <row r="50">
          <cell r="C50" t="str">
            <v>PSS</v>
          </cell>
          <cell r="K50">
            <v>0</v>
          </cell>
        </row>
        <row r="51">
          <cell r="C51" t="str">
            <v>PSP</v>
          </cell>
          <cell r="K51">
            <v>0</v>
          </cell>
        </row>
        <row r="52">
          <cell r="C52" t="str">
            <v>PSS</v>
          </cell>
          <cell r="K52">
            <v>0</v>
          </cell>
        </row>
        <row r="53">
          <cell r="C53" t="str">
            <v>TODS</v>
          </cell>
          <cell r="K53">
            <v>135574</v>
          </cell>
        </row>
        <row r="54">
          <cell r="C54" t="str">
            <v>CTODP</v>
          </cell>
          <cell r="K54">
            <v>65290</v>
          </cell>
        </row>
        <row r="55">
          <cell r="C55" t="str">
            <v>GS3</v>
          </cell>
          <cell r="K55">
            <v>0</v>
          </cell>
        </row>
        <row r="56">
          <cell r="C56" t="str">
            <v>GS3</v>
          </cell>
          <cell r="K56">
            <v>197213</v>
          </cell>
        </row>
        <row r="57">
          <cell r="C57" t="str">
            <v>GS3</v>
          </cell>
          <cell r="K57">
            <v>0</v>
          </cell>
        </row>
        <row r="58">
          <cell r="C58" t="str">
            <v>GS3</v>
          </cell>
          <cell r="K58">
            <v>0</v>
          </cell>
        </row>
        <row r="59">
          <cell r="C59" t="str">
            <v>LWC</v>
          </cell>
          <cell r="K59">
            <v>0</v>
          </cell>
        </row>
        <row r="60">
          <cell r="C60" t="str">
            <v>CSR</v>
          </cell>
          <cell r="K60">
            <v>0</v>
          </cell>
        </row>
        <row r="61">
          <cell r="C61" t="str">
            <v>CSR</v>
          </cell>
          <cell r="K61">
            <v>0</v>
          </cell>
        </row>
        <row r="62">
          <cell r="C62" t="str">
            <v>FK</v>
          </cell>
          <cell r="K62">
            <v>0</v>
          </cell>
        </row>
        <row r="63">
          <cell r="C63" t="str">
            <v>RTS</v>
          </cell>
          <cell r="K63">
            <v>157758</v>
          </cell>
        </row>
        <row r="64">
          <cell r="C64" t="str">
            <v>PSS</v>
          </cell>
          <cell r="K64">
            <v>0</v>
          </cell>
        </row>
        <row r="65">
          <cell r="C65" t="str">
            <v>PSP</v>
          </cell>
          <cell r="K65">
            <v>0</v>
          </cell>
        </row>
        <row r="66">
          <cell r="C66" t="str">
            <v>TODS</v>
          </cell>
          <cell r="K66">
            <v>53949</v>
          </cell>
        </row>
        <row r="67">
          <cell r="C67" t="str">
            <v>ITODP</v>
          </cell>
          <cell r="K67">
            <v>318625</v>
          </cell>
        </row>
        <row r="68">
          <cell r="C68" t="str">
            <v>ITODP</v>
          </cell>
          <cell r="K68">
            <v>0</v>
          </cell>
        </row>
        <row r="69">
          <cell r="C69" t="str">
            <v>LE</v>
          </cell>
          <cell r="K69">
            <v>0</v>
          </cell>
        </row>
        <row r="70">
          <cell r="C70" t="str">
            <v>LE</v>
          </cell>
          <cell r="K70">
            <v>0</v>
          </cell>
        </row>
        <row r="71">
          <cell r="C71" t="str">
            <v>LE</v>
          </cell>
          <cell r="K71">
            <v>0</v>
          </cell>
        </row>
        <row r="72">
          <cell r="C72" t="str">
            <v>TE</v>
          </cell>
          <cell r="K72">
            <v>0</v>
          </cell>
        </row>
        <row r="73">
          <cell r="C73" t="str">
            <v>TE</v>
          </cell>
          <cell r="K73">
            <v>0</v>
          </cell>
        </row>
        <row r="74">
          <cell r="C74" t="str">
            <v>RS</v>
          </cell>
          <cell r="K74">
            <v>0</v>
          </cell>
        </row>
        <row r="75">
          <cell r="C75" t="str">
            <v>RS</v>
          </cell>
          <cell r="K75">
            <v>0</v>
          </cell>
        </row>
        <row r="76">
          <cell r="C76" t="str">
            <v>RS</v>
          </cell>
          <cell r="K76">
            <v>0</v>
          </cell>
        </row>
        <row r="77">
          <cell r="C77" t="str">
            <v>RS</v>
          </cell>
          <cell r="K77">
            <v>0</v>
          </cell>
        </row>
        <row r="78">
          <cell r="C78" t="str">
            <v>LEV</v>
          </cell>
          <cell r="K78">
            <v>0</v>
          </cell>
        </row>
        <row r="79">
          <cell r="C79" t="str">
            <v>LEV</v>
          </cell>
          <cell r="K79">
            <v>0</v>
          </cell>
        </row>
        <row r="80">
          <cell r="C80" t="str">
            <v>FLSP</v>
          </cell>
          <cell r="K80">
            <v>0</v>
          </cell>
        </row>
        <row r="81">
          <cell r="C81" t="str">
            <v>FLST</v>
          </cell>
          <cell r="K81">
            <v>0</v>
          </cell>
        </row>
        <row r="82">
          <cell r="C82" t="str">
            <v>GS</v>
          </cell>
          <cell r="K82">
            <v>0</v>
          </cell>
        </row>
        <row r="83">
          <cell r="C83" t="str">
            <v>GS</v>
          </cell>
          <cell r="K83">
            <v>0</v>
          </cell>
        </row>
        <row r="84">
          <cell r="C84" t="str">
            <v>GS</v>
          </cell>
          <cell r="K84">
            <v>0</v>
          </cell>
        </row>
        <row r="85">
          <cell r="C85" t="str">
            <v>GS</v>
          </cell>
          <cell r="K85">
            <v>0</v>
          </cell>
        </row>
        <row r="86">
          <cell r="C86" t="str">
            <v>GS</v>
          </cell>
          <cell r="K86">
            <v>0</v>
          </cell>
        </row>
        <row r="87">
          <cell r="C87" t="str">
            <v>GS</v>
          </cell>
          <cell r="K87">
            <v>0</v>
          </cell>
        </row>
        <row r="88">
          <cell r="C88" t="str">
            <v>PSS</v>
          </cell>
          <cell r="K88">
            <v>0</v>
          </cell>
        </row>
        <row r="89">
          <cell r="C89" t="str">
            <v>PSP</v>
          </cell>
          <cell r="K89">
            <v>0</v>
          </cell>
        </row>
        <row r="90">
          <cell r="C90" t="str">
            <v>PSS</v>
          </cell>
          <cell r="K90">
            <v>0</v>
          </cell>
        </row>
        <row r="91">
          <cell r="C91" t="str">
            <v>TODS</v>
          </cell>
          <cell r="K91">
            <v>130300</v>
          </cell>
        </row>
        <row r="92">
          <cell r="C92" t="str">
            <v>CTODP</v>
          </cell>
          <cell r="K92">
            <v>65971</v>
          </cell>
        </row>
        <row r="93">
          <cell r="C93" t="str">
            <v>GS3</v>
          </cell>
          <cell r="K93">
            <v>0</v>
          </cell>
        </row>
        <row r="94">
          <cell r="C94" t="str">
            <v>GS3</v>
          </cell>
          <cell r="K94">
            <v>197201</v>
          </cell>
        </row>
        <row r="95">
          <cell r="C95" t="str">
            <v>GS3</v>
          </cell>
          <cell r="K95">
            <v>0</v>
          </cell>
        </row>
        <row r="96">
          <cell r="C96" t="str">
            <v>GS3</v>
          </cell>
          <cell r="K96">
            <v>0</v>
          </cell>
        </row>
        <row r="97">
          <cell r="C97" t="str">
            <v>LWC</v>
          </cell>
          <cell r="K97">
            <v>0</v>
          </cell>
        </row>
        <row r="98">
          <cell r="C98" t="str">
            <v>CSR</v>
          </cell>
          <cell r="K98">
            <v>0</v>
          </cell>
        </row>
        <row r="99">
          <cell r="C99" t="str">
            <v>CSR</v>
          </cell>
          <cell r="K99">
            <v>0</v>
          </cell>
        </row>
        <row r="100">
          <cell r="C100" t="str">
            <v>FK</v>
          </cell>
          <cell r="K100">
            <v>0</v>
          </cell>
        </row>
        <row r="101">
          <cell r="C101" t="str">
            <v>RTS</v>
          </cell>
          <cell r="K101">
            <v>157141</v>
          </cell>
        </row>
        <row r="102">
          <cell r="C102" t="str">
            <v>PSS</v>
          </cell>
          <cell r="K102">
            <v>0</v>
          </cell>
        </row>
        <row r="103">
          <cell r="C103" t="str">
            <v>PSP</v>
          </cell>
          <cell r="K103">
            <v>0</v>
          </cell>
        </row>
        <row r="104">
          <cell r="C104" t="str">
            <v>TODS</v>
          </cell>
          <cell r="K104">
            <v>53453</v>
          </cell>
        </row>
        <row r="105">
          <cell r="C105" t="str">
            <v>ITODP</v>
          </cell>
          <cell r="K105">
            <v>325255</v>
          </cell>
        </row>
        <row r="106">
          <cell r="C106" t="str">
            <v>ITODP</v>
          </cell>
          <cell r="K106">
            <v>0</v>
          </cell>
        </row>
        <row r="107">
          <cell r="C107" t="str">
            <v>LE</v>
          </cell>
          <cell r="K107">
            <v>0</v>
          </cell>
        </row>
        <row r="108">
          <cell r="C108" t="str">
            <v>LE</v>
          </cell>
          <cell r="K108">
            <v>0</v>
          </cell>
        </row>
        <row r="109">
          <cell r="C109" t="str">
            <v>LE</v>
          </cell>
          <cell r="K109">
            <v>0</v>
          </cell>
        </row>
        <row r="110">
          <cell r="C110" t="str">
            <v>TE</v>
          </cell>
          <cell r="K110">
            <v>0</v>
          </cell>
        </row>
        <row r="111">
          <cell r="C111" t="str">
            <v>TE</v>
          </cell>
          <cell r="K111">
            <v>0</v>
          </cell>
        </row>
        <row r="112">
          <cell r="C112" t="str">
            <v>RS</v>
          </cell>
          <cell r="K112">
            <v>0</v>
          </cell>
        </row>
        <row r="113">
          <cell r="C113" t="str">
            <v>RS</v>
          </cell>
          <cell r="K113">
            <v>0</v>
          </cell>
        </row>
        <row r="114">
          <cell r="C114" t="str">
            <v>RS</v>
          </cell>
          <cell r="K114">
            <v>0</v>
          </cell>
        </row>
        <row r="115">
          <cell r="C115" t="str">
            <v>RS</v>
          </cell>
          <cell r="K115">
            <v>0</v>
          </cell>
        </row>
        <row r="116">
          <cell r="C116" t="str">
            <v>LEV</v>
          </cell>
          <cell r="K116">
            <v>0</v>
          </cell>
        </row>
        <row r="117">
          <cell r="C117" t="str">
            <v>LEV</v>
          </cell>
          <cell r="K117">
            <v>0</v>
          </cell>
        </row>
        <row r="118">
          <cell r="C118" t="str">
            <v>FLSP</v>
          </cell>
          <cell r="K118">
            <v>0</v>
          </cell>
        </row>
        <row r="119">
          <cell r="C119" t="str">
            <v>FLST</v>
          </cell>
          <cell r="K119">
            <v>0</v>
          </cell>
        </row>
        <row r="120">
          <cell r="C120" t="str">
            <v>GS</v>
          </cell>
          <cell r="K120">
            <v>0</v>
          </cell>
        </row>
        <row r="121">
          <cell r="C121" t="str">
            <v>GS</v>
          </cell>
          <cell r="K121">
            <v>0</v>
          </cell>
        </row>
        <row r="122">
          <cell r="C122" t="str">
            <v>GS</v>
          </cell>
          <cell r="K122">
            <v>0</v>
          </cell>
        </row>
        <row r="123">
          <cell r="C123" t="str">
            <v>GS</v>
          </cell>
          <cell r="K123">
            <v>0</v>
          </cell>
        </row>
        <row r="124">
          <cell r="C124" t="str">
            <v>GS</v>
          </cell>
          <cell r="K124">
            <v>0</v>
          </cell>
        </row>
        <row r="125">
          <cell r="C125" t="str">
            <v>GS</v>
          </cell>
          <cell r="K125">
            <v>0</v>
          </cell>
        </row>
        <row r="126">
          <cell r="C126" t="str">
            <v>PSS</v>
          </cell>
          <cell r="K126">
            <v>0</v>
          </cell>
        </row>
        <row r="127">
          <cell r="C127" t="str">
            <v>PSP</v>
          </cell>
          <cell r="K127">
            <v>0</v>
          </cell>
        </row>
        <row r="128">
          <cell r="C128" t="str">
            <v>PSS</v>
          </cell>
          <cell r="K128">
            <v>0</v>
          </cell>
        </row>
        <row r="129">
          <cell r="C129" t="str">
            <v>TODS</v>
          </cell>
          <cell r="K129">
            <v>138479</v>
          </cell>
        </row>
        <row r="130">
          <cell r="C130" t="str">
            <v>CTODP</v>
          </cell>
          <cell r="K130">
            <v>68635</v>
          </cell>
        </row>
        <row r="131">
          <cell r="C131" t="str">
            <v>GS3</v>
          </cell>
          <cell r="K131">
            <v>0</v>
          </cell>
        </row>
        <row r="132">
          <cell r="C132" t="str">
            <v>GS3</v>
          </cell>
          <cell r="K132">
            <v>214875</v>
          </cell>
        </row>
        <row r="133">
          <cell r="C133" t="str">
            <v>GS3</v>
          </cell>
          <cell r="K133">
            <v>0</v>
          </cell>
        </row>
        <row r="134">
          <cell r="C134" t="str">
            <v>GS3</v>
          </cell>
          <cell r="K134">
            <v>0</v>
          </cell>
        </row>
        <row r="135">
          <cell r="C135" t="str">
            <v>LWC</v>
          </cell>
          <cell r="K135">
            <v>0</v>
          </cell>
        </row>
        <row r="136">
          <cell r="C136" t="str">
            <v>CSR</v>
          </cell>
          <cell r="K136">
            <v>0</v>
          </cell>
        </row>
        <row r="137">
          <cell r="C137" t="str">
            <v>CSR</v>
          </cell>
          <cell r="K137">
            <v>0</v>
          </cell>
        </row>
        <row r="138">
          <cell r="C138" t="str">
            <v>FK</v>
          </cell>
          <cell r="K138">
            <v>0</v>
          </cell>
        </row>
        <row r="139">
          <cell r="C139" t="str">
            <v>RTS</v>
          </cell>
          <cell r="K139">
            <v>171798</v>
          </cell>
        </row>
        <row r="140">
          <cell r="C140" t="str">
            <v>PSS</v>
          </cell>
          <cell r="K140">
            <v>0</v>
          </cell>
        </row>
        <row r="141">
          <cell r="C141" t="str">
            <v>PSP</v>
          </cell>
          <cell r="K141">
            <v>0</v>
          </cell>
        </row>
        <row r="142">
          <cell r="C142" t="str">
            <v>TODS</v>
          </cell>
          <cell r="K142">
            <v>53481</v>
          </cell>
        </row>
        <row r="143">
          <cell r="C143" t="str">
            <v>ITODP</v>
          </cell>
          <cell r="K143">
            <v>333045</v>
          </cell>
        </row>
        <row r="144">
          <cell r="C144" t="str">
            <v>ITODP</v>
          </cell>
          <cell r="K144">
            <v>0</v>
          </cell>
        </row>
        <row r="145">
          <cell r="C145" t="str">
            <v>LE</v>
          </cell>
          <cell r="K145">
            <v>0</v>
          </cell>
        </row>
        <row r="146">
          <cell r="C146" t="str">
            <v>LE</v>
          </cell>
          <cell r="K146">
            <v>0</v>
          </cell>
        </row>
        <row r="147">
          <cell r="C147" t="str">
            <v>LE</v>
          </cell>
          <cell r="K147">
            <v>0</v>
          </cell>
        </row>
        <row r="148">
          <cell r="C148" t="str">
            <v>TE</v>
          </cell>
          <cell r="K148">
            <v>0</v>
          </cell>
        </row>
        <row r="149">
          <cell r="C149" t="str">
            <v>TE</v>
          </cell>
          <cell r="K149">
            <v>0</v>
          </cell>
        </row>
        <row r="150">
          <cell r="C150" t="str">
            <v>RS</v>
          </cell>
          <cell r="K150">
            <v>0</v>
          </cell>
        </row>
        <row r="151">
          <cell r="C151" t="str">
            <v>RS</v>
          </cell>
          <cell r="K151">
            <v>0</v>
          </cell>
        </row>
        <row r="152">
          <cell r="C152" t="str">
            <v>RS</v>
          </cell>
          <cell r="K152">
            <v>0</v>
          </cell>
        </row>
        <row r="153">
          <cell r="C153" t="str">
            <v>RS</v>
          </cell>
          <cell r="K153">
            <v>0</v>
          </cell>
        </row>
        <row r="154">
          <cell r="C154" t="str">
            <v>LEV</v>
          </cell>
          <cell r="K154">
            <v>0</v>
          </cell>
        </row>
        <row r="155">
          <cell r="C155" t="str">
            <v>LEV</v>
          </cell>
          <cell r="K155">
            <v>0</v>
          </cell>
        </row>
        <row r="156">
          <cell r="C156" t="str">
            <v>FLSP</v>
          </cell>
          <cell r="K156">
            <v>0</v>
          </cell>
        </row>
        <row r="157">
          <cell r="C157" t="str">
            <v>FLST</v>
          </cell>
          <cell r="K157">
            <v>0</v>
          </cell>
        </row>
        <row r="158">
          <cell r="C158" t="str">
            <v>GS</v>
          </cell>
          <cell r="K158">
            <v>0</v>
          </cell>
        </row>
        <row r="159">
          <cell r="C159" t="str">
            <v>GS</v>
          </cell>
          <cell r="K159">
            <v>0</v>
          </cell>
        </row>
        <row r="160">
          <cell r="C160" t="str">
            <v>GS</v>
          </cell>
          <cell r="K160">
            <v>0</v>
          </cell>
        </row>
        <row r="161">
          <cell r="C161" t="str">
            <v>GS</v>
          </cell>
          <cell r="K161">
            <v>0</v>
          </cell>
        </row>
        <row r="162">
          <cell r="C162" t="str">
            <v>GS</v>
          </cell>
          <cell r="K162">
            <v>0</v>
          </cell>
        </row>
        <row r="163">
          <cell r="C163" t="str">
            <v>GS</v>
          </cell>
          <cell r="K163">
            <v>0</v>
          </cell>
        </row>
        <row r="164">
          <cell r="C164" t="str">
            <v>PSS</v>
          </cell>
          <cell r="K164">
            <v>0</v>
          </cell>
        </row>
        <row r="165">
          <cell r="C165" t="str">
            <v>PSP</v>
          </cell>
          <cell r="K165">
            <v>0</v>
          </cell>
        </row>
        <row r="166">
          <cell r="C166" t="str">
            <v>PSS</v>
          </cell>
          <cell r="K166">
            <v>0</v>
          </cell>
        </row>
        <row r="167">
          <cell r="C167" t="str">
            <v>TODS</v>
          </cell>
          <cell r="K167">
            <v>139944</v>
          </cell>
        </row>
        <row r="168">
          <cell r="C168" t="str">
            <v>CTODP</v>
          </cell>
          <cell r="K168">
            <v>69868</v>
          </cell>
        </row>
        <row r="169">
          <cell r="C169" t="str">
            <v>GS3</v>
          </cell>
          <cell r="K169">
            <v>0</v>
          </cell>
        </row>
        <row r="170">
          <cell r="C170" t="str">
            <v>GS3</v>
          </cell>
          <cell r="K170">
            <v>220979</v>
          </cell>
        </row>
        <row r="171">
          <cell r="C171" t="str">
            <v>GS3</v>
          </cell>
          <cell r="K171">
            <v>0</v>
          </cell>
        </row>
        <row r="172">
          <cell r="C172" t="str">
            <v>GS3</v>
          </cell>
          <cell r="K172">
            <v>0</v>
          </cell>
        </row>
        <row r="173">
          <cell r="C173" t="str">
            <v>LWC</v>
          </cell>
          <cell r="K173">
            <v>0</v>
          </cell>
        </row>
        <row r="174">
          <cell r="C174" t="str">
            <v>CSR</v>
          </cell>
          <cell r="K174">
            <v>0</v>
          </cell>
        </row>
        <row r="175">
          <cell r="C175" t="str">
            <v>CSR</v>
          </cell>
          <cell r="K175">
            <v>0</v>
          </cell>
        </row>
        <row r="176">
          <cell r="C176" t="str">
            <v>FK</v>
          </cell>
          <cell r="K176">
            <v>0</v>
          </cell>
        </row>
        <row r="177">
          <cell r="C177" t="str">
            <v>RTS</v>
          </cell>
          <cell r="K177">
            <v>164840</v>
          </cell>
        </row>
        <row r="178">
          <cell r="C178" t="str">
            <v>PSS</v>
          </cell>
          <cell r="K178">
            <v>0</v>
          </cell>
        </row>
        <row r="179">
          <cell r="C179" t="str">
            <v>PSP</v>
          </cell>
          <cell r="K179">
            <v>0</v>
          </cell>
        </row>
        <row r="180">
          <cell r="C180" t="str">
            <v>TODS</v>
          </cell>
          <cell r="K180">
            <v>55168</v>
          </cell>
        </row>
        <row r="181">
          <cell r="C181" t="str">
            <v>ITODP</v>
          </cell>
          <cell r="K181">
            <v>342427</v>
          </cell>
        </row>
        <row r="182">
          <cell r="C182" t="str">
            <v>ITODP</v>
          </cell>
          <cell r="K182">
            <v>0</v>
          </cell>
        </row>
        <row r="183">
          <cell r="C183" t="str">
            <v>LE</v>
          </cell>
          <cell r="K183">
            <v>0</v>
          </cell>
        </row>
        <row r="184">
          <cell r="C184" t="str">
            <v>LE</v>
          </cell>
          <cell r="K184">
            <v>0</v>
          </cell>
        </row>
        <row r="185">
          <cell r="C185" t="str">
            <v>LE</v>
          </cell>
          <cell r="K185">
            <v>0</v>
          </cell>
        </row>
        <row r="186">
          <cell r="C186" t="str">
            <v>TE</v>
          </cell>
          <cell r="K186">
            <v>0</v>
          </cell>
        </row>
        <row r="187">
          <cell r="C187" t="str">
            <v>TE</v>
          </cell>
          <cell r="K187">
            <v>0</v>
          </cell>
        </row>
        <row r="188">
          <cell r="C188" t="str">
            <v>RS</v>
          </cell>
          <cell r="K188">
            <v>0</v>
          </cell>
        </row>
        <row r="189">
          <cell r="C189" t="str">
            <v>RS</v>
          </cell>
          <cell r="K189">
            <v>0</v>
          </cell>
        </row>
        <row r="190">
          <cell r="C190" t="str">
            <v>RS</v>
          </cell>
          <cell r="K190">
            <v>0</v>
          </cell>
        </row>
        <row r="191">
          <cell r="C191" t="str">
            <v>RS</v>
          </cell>
          <cell r="K191">
            <v>0</v>
          </cell>
        </row>
        <row r="192">
          <cell r="C192" t="str">
            <v>LEV</v>
          </cell>
          <cell r="K192">
            <v>0</v>
          </cell>
        </row>
        <row r="193">
          <cell r="C193" t="str">
            <v>LEV</v>
          </cell>
          <cell r="K193">
            <v>0</v>
          </cell>
        </row>
        <row r="194">
          <cell r="C194" t="str">
            <v>FLSP</v>
          </cell>
          <cell r="K194">
            <v>0</v>
          </cell>
        </row>
        <row r="195">
          <cell r="C195" t="str">
            <v>FLST</v>
          </cell>
          <cell r="K195">
            <v>0</v>
          </cell>
        </row>
        <row r="196">
          <cell r="C196" t="str">
            <v>GS</v>
          </cell>
          <cell r="K196">
            <v>0</v>
          </cell>
        </row>
        <row r="197">
          <cell r="C197" t="str">
            <v>GS</v>
          </cell>
          <cell r="K197">
            <v>0</v>
          </cell>
        </row>
        <row r="198">
          <cell r="C198" t="str">
            <v>GS</v>
          </cell>
          <cell r="K198">
            <v>0</v>
          </cell>
        </row>
        <row r="199">
          <cell r="C199" t="str">
            <v>GS</v>
          </cell>
          <cell r="K199">
            <v>0</v>
          </cell>
        </row>
        <row r="200">
          <cell r="C200" t="str">
            <v>GS</v>
          </cell>
          <cell r="K200">
            <v>0</v>
          </cell>
        </row>
        <row r="201">
          <cell r="C201" t="str">
            <v>GS</v>
          </cell>
          <cell r="K201">
            <v>0</v>
          </cell>
        </row>
        <row r="202">
          <cell r="C202" t="str">
            <v>PSS</v>
          </cell>
          <cell r="K202">
            <v>0</v>
          </cell>
        </row>
        <row r="203">
          <cell r="C203" t="str">
            <v>PSP</v>
          </cell>
          <cell r="K203">
            <v>0</v>
          </cell>
        </row>
        <row r="204">
          <cell r="C204" t="str">
            <v>PSS</v>
          </cell>
          <cell r="K204">
            <v>0</v>
          </cell>
        </row>
        <row r="205">
          <cell r="C205" t="str">
            <v>TODS</v>
          </cell>
          <cell r="K205">
            <v>155338</v>
          </cell>
        </row>
        <row r="206">
          <cell r="C206" t="str">
            <v>CTODP</v>
          </cell>
          <cell r="K206">
            <v>80665</v>
          </cell>
        </row>
        <row r="207">
          <cell r="C207" t="str">
            <v>GS3</v>
          </cell>
          <cell r="K207">
            <v>0</v>
          </cell>
        </row>
        <row r="208">
          <cell r="C208" t="str">
            <v>GS3</v>
          </cell>
          <cell r="K208">
            <v>216926</v>
          </cell>
        </row>
        <row r="209">
          <cell r="C209" t="str">
            <v>GS3</v>
          </cell>
          <cell r="K209">
            <v>0</v>
          </cell>
        </row>
        <row r="210">
          <cell r="C210" t="str">
            <v>GS3</v>
          </cell>
          <cell r="K210">
            <v>0</v>
          </cell>
        </row>
        <row r="211">
          <cell r="C211" t="str">
            <v>LWC</v>
          </cell>
          <cell r="K211">
            <v>0</v>
          </cell>
        </row>
        <row r="212">
          <cell r="C212" t="str">
            <v>CSR</v>
          </cell>
          <cell r="K212">
            <v>0</v>
          </cell>
        </row>
        <row r="213">
          <cell r="C213" t="str">
            <v>CSR</v>
          </cell>
          <cell r="K213">
            <v>0</v>
          </cell>
        </row>
        <row r="214">
          <cell r="C214" t="str">
            <v>FK</v>
          </cell>
          <cell r="K214">
            <v>0</v>
          </cell>
        </row>
        <row r="215">
          <cell r="C215" t="str">
            <v>RTS</v>
          </cell>
          <cell r="K215">
            <v>165068</v>
          </cell>
        </row>
        <row r="216">
          <cell r="C216" t="str">
            <v>PSS</v>
          </cell>
          <cell r="K216">
            <v>0</v>
          </cell>
        </row>
        <row r="217">
          <cell r="C217" t="str">
            <v>PSP</v>
          </cell>
          <cell r="K217">
            <v>0</v>
          </cell>
        </row>
        <row r="218">
          <cell r="C218" t="str">
            <v>TODS</v>
          </cell>
          <cell r="K218">
            <v>58439</v>
          </cell>
        </row>
        <row r="219">
          <cell r="C219" t="str">
            <v>ITODP</v>
          </cell>
          <cell r="K219">
            <v>369509</v>
          </cell>
        </row>
        <row r="220">
          <cell r="C220" t="str">
            <v>ITODP</v>
          </cell>
          <cell r="K220">
            <v>0</v>
          </cell>
        </row>
        <row r="221">
          <cell r="C221" t="str">
            <v>LE</v>
          </cell>
          <cell r="K221">
            <v>0</v>
          </cell>
        </row>
        <row r="222">
          <cell r="C222" t="str">
            <v>LE</v>
          </cell>
          <cell r="K222">
            <v>0</v>
          </cell>
        </row>
        <row r="223">
          <cell r="C223" t="str">
            <v>LE</v>
          </cell>
          <cell r="K223">
            <v>0</v>
          </cell>
        </row>
        <row r="224">
          <cell r="C224" t="str">
            <v>TE</v>
          </cell>
          <cell r="K224">
            <v>0</v>
          </cell>
        </row>
        <row r="225">
          <cell r="C225" t="str">
            <v>TE</v>
          </cell>
          <cell r="K225">
            <v>0</v>
          </cell>
        </row>
        <row r="226">
          <cell r="C226" t="str">
            <v>RS</v>
          </cell>
          <cell r="K226">
            <v>0</v>
          </cell>
        </row>
        <row r="227">
          <cell r="C227" t="str">
            <v>RS</v>
          </cell>
          <cell r="K227">
            <v>0</v>
          </cell>
        </row>
        <row r="228">
          <cell r="C228" t="str">
            <v>RS</v>
          </cell>
          <cell r="K228">
            <v>0</v>
          </cell>
        </row>
        <row r="229">
          <cell r="C229" t="str">
            <v>RS</v>
          </cell>
          <cell r="K229">
            <v>0</v>
          </cell>
        </row>
        <row r="230">
          <cell r="C230" t="str">
            <v>LEV</v>
          </cell>
          <cell r="K230">
            <v>0</v>
          </cell>
        </row>
        <row r="231">
          <cell r="C231" t="str">
            <v>LEV</v>
          </cell>
          <cell r="K231">
            <v>0</v>
          </cell>
        </row>
        <row r="232">
          <cell r="C232" t="str">
            <v>FLSP</v>
          </cell>
          <cell r="K232">
            <v>0</v>
          </cell>
        </row>
        <row r="233">
          <cell r="C233" t="str">
            <v>FLST</v>
          </cell>
          <cell r="K233">
            <v>0</v>
          </cell>
        </row>
        <row r="234">
          <cell r="C234" t="str">
            <v>GS</v>
          </cell>
          <cell r="K234">
            <v>0</v>
          </cell>
        </row>
        <row r="235">
          <cell r="C235" t="str">
            <v>GS</v>
          </cell>
          <cell r="K235">
            <v>0</v>
          </cell>
        </row>
        <row r="236">
          <cell r="C236" t="str">
            <v>GS</v>
          </cell>
          <cell r="K236">
            <v>0</v>
          </cell>
        </row>
        <row r="237">
          <cell r="C237" t="str">
            <v>GS</v>
          </cell>
          <cell r="K237">
            <v>0</v>
          </cell>
        </row>
        <row r="238">
          <cell r="C238" t="str">
            <v>GS</v>
          </cell>
          <cell r="K238">
            <v>0</v>
          </cell>
        </row>
        <row r="239">
          <cell r="C239" t="str">
            <v>GS</v>
          </cell>
          <cell r="K239">
            <v>0</v>
          </cell>
        </row>
        <row r="240">
          <cell r="C240" t="str">
            <v>PSS</v>
          </cell>
          <cell r="K240">
            <v>0</v>
          </cell>
        </row>
        <row r="241">
          <cell r="C241" t="str">
            <v>PSP</v>
          </cell>
          <cell r="K241">
            <v>0</v>
          </cell>
        </row>
        <row r="242">
          <cell r="C242" t="str">
            <v>PSS</v>
          </cell>
          <cell r="K242">
            <v>0</v>
          </cell>
        </row>
        <row r="243">
          <cell r="C243" t="str">
            <v>TODS</v>
          </cell>
          <cell r="K243">
            <v>156986</v>
          </cell>
        </row>
        <row r="244">
          <cell r="C244" t="str">
            <v>CTODP</v>
          </cell>
          <cell r="K244">
            <v>85062</v>
          </cell>
        </row>
        <row r="245">
          <cell r="C245" t="str">
            <v>GS3</v>
          </cell>
          <cell r="K245">
            <v>0</v>
          </cell>
        </row>
        <row r="246">
          <cell r="C246" t="str">
            <v>GS3</v>
          </cell>
          <cell r="K246">
            <v>238335</v>
          </cell>
        </row>
        <row r="247">
          <cell r="C247" t="str">
            <v>GS3</v>
          </cell>
          <cell r="K247">
            <v>0</v>
          </cell>
        </row>
        <row r="248">
          <cell r="C248" t="str">
            <v>GS3</v>
          </cell>
          <cell r="K248">
            <v>0</v>
          </cell>
        </row>
        <row r="249">
          <cell r="C249" t="str">
            <v>LWC</v>
          </cell>
          <cell r="K249">
            <v>0</v>
          </cell>
        </row>
        <row r="250">
          <cell r="C250" t="str">
            <v>CSR</v>
          </cell>
          <cell r="K250">
            <v>0</v>
          </cell>
        </row>
        <row r="251">
          <cell r="C251" t="str">
            <v>CSR</v>
          </cell>
          <cell r="K251">
            <v>0</v>
          </cell>
        </row>
        <row r="252">
          <cell r="C252" t="str">
            <v>FK</v>
          </cell>
          <cell r="K252">
            <v>0</v>
          </cell>
        </row>
        <row r="253">
          <cell r="C253" t="str">
            <v>RTS</v>
          </cell>
          <cell r="K253">
            <v>148471</v>
          </cell>
        </row>
        <row r="254">
          <cell r="C254" t="str">
            <v>PSS</v>
          </cell>
          <cell r="K254">
            <v>0</v>
          </cell>
        </row>
        <row r="255">
          <cell r="C255" t="str">
            <v>PSP</v>
          </cell>
          <cell r="K255">
            <v>0</v>
          </cell>
        </row>
        <row r="256">
          <cell r="C256" t="str">
            <v>TODS</v>
          </cell>
          <cell r="K256">
            <v>55144</v>
          </cell>
        </row>
        <row r="257">
          <cell r="C257" t="str">
            <v>ITODP</v>
          </cell>
          <cell r="K257">
            <v>355998</v>
          </cell>
        </row>
        <row r="258">
          <cell r="C258" t="str">
            <v>ITODP</v>
          </cell>
          <cell r="K258">
            <v>0</v>
          </cell>
        </row>
        <row r="259">
          <cell r="C259" t="str">
            <v>LE</v>
          </cell>
          <cell r="K259">
            <v>0</v>
          </cell>
        </row>
        <row r="260">
          <cell r="C260" t="str">
            <v>LE</v>
          </cell>
          <cell r="K260">
            <v>0</v>
          </cell>
        </row>
        <row r="261">
          <cell r="C261" t="str">
            <v>LE</v>
          </cell>
          <cell r="K261">
            <v>0</v>
          </cell>
        </row>
        <row r="262">
          <cell r="C262" t="str">
            <v>TE</v>
          </cell>
          <cell r="K262">
            <v>0</v>
          </cell>
        </row>
        <row r="263">
          <cell r="C263" t="str">
            <v>TE</v>
          </cell>
          <cell r="K263">
            <v>0</v>
          </cell>
        </row>
        <row r="264">
          <cell r="C264" t="str">
            <v>RS</v>
          </cell>
          <cell r="K264">
            <v>0</v>
          </cell>
        </row>
        <row r="265">
          <cell r="C265" t="str">
            <v>RS</v>
          </cell>
          <cell r="K265">
            <v>0</v>
          </cell>
        </row>
        <row r="266">
          <cell r="C266" t="str">
            <v>RS</v>
          </cell>
          <cell r="K266">
            <v>0</v>
          </cell>
        </row>
        <row r="267">
          <cell r="C267" t="str">
            <v>RS</v>
          </cell>
          <cell r="K267">
            <v>0</v>
          </cell>
        </row>
        <row r="268">
          <cell r="C268" t="str">
            <v>LEV</v>
          </cell>
          <cell r="K268">
            <v>0</v>
          </cell>
        </row>
        <row r="269">
          <cell r="C269" t="str">
            <v>LEV</v>
          </cell>
          <cell r="K269">
            <v>0</v>
          </cell>
        </row>
        <row r="270">
          <cell r="C270" t="str">
            <v>FLSP</v>
          </cell>
          <cell r="K270">
            <v>0</v>
          </cell>
        </row>
        <row r="271">
          <cell r="C271" t="str">
            <v>FLST</v>
          </cell>
          <cell r="K271">
            <v>0</v>
          </cell>
        </row>
        <row r="272">
          <cell r="C272" t="str">
            <v>GS</v>
          </cell>
          <cell r="K272">
            <v>0</v>
          </cell>
        </row>
        <row r="273">
          <cell r="C273" t="str">
            <v>GS</v>
          </cell>
          <cell r="K273">
            <v>0</v>
          </cell>
        </row>
        <row r="274">
          <cell r="C274" t="str">
            <v>GS</v>
          </cell>
          <cell r="K274">
            <v>0</v>
          </cell>
        </row>
        <row r="275">
          <cell r="C275" t="str">
            <v>GS</v>
          </cell>
          <cell r="K275">
            <v>0</v>
          </cell>
        </row>
        <row r="276">
          <cell r="C276" t="str">
            <v>GS</v>
          </cell>
          <cell r="K276">
            <v>0</v>
          </cell>
        </row>
        <row r="277">
          <cell r="C277" t="str">
            <v>GS</v>
          </cell>
          <cell r="K277">
            <v>0</v>
          </cell>
        </row>
        <row r="278">
          <cell r="C278" t="str">
            <v>PSS</v>
          </cell>
          <cell r="K278">
            <v>0</v>
          </cell>
        </row>
        <row r="279">
          <cell r="C279" t="str">
            <v>PSP</v>
          </cell>
          <cell r="K279">
            <v>0</v>
          </cell>
        </row>
        <row r="280">
          <cell r="C280" t="str">
            <v>PSS</v>
          </cell>
          <cell r="K280">
            <v>0</v>
          </cell>
        </row>
        <row r="281">
          <cell r="C281" t="str">
            <v>TODS</v>
          </cell>
          <cell r="K281">
            <v>162445</v>
          </cell>
        </row>
        <row r="282">
          <cell r="C282" t="str">
            <v>CTODP</v>
          </cell>
          <cell r="K282">
            <v>83741</v>
          </cell>
        </row>
        <row r="283">
          <cell r="C283" t="str">
            <v>GS3</v>
          </cell>
          <cell r="K283">
            <v>0</v>
          </cell>
        </row>
        <row r="284">
          <cell r="C284" t="str">
            <v>GS3</v>
          </cell>
          <cell r="K284">
            <v>239619</v>
          </cell>
        </row>
        <row r="285">
          <cell r="C285" t="str">
            <v>GS3</v>
          </cell>
          <cell r="K285">
            <v>0</v>
          </cell>
        </row>
        <row r="286">
          <cell r="C286" t="str">
            <v>GS3</v>
          </cell>
          <cell r="K286">
            <v>0</v>
          </cell>
        </row>
        <row r="287">
          <cell r="C287" t="str">
            <v>LWC</v>
          </cell>
          <cell r="K287">
            <v>0</v>
          </cell>
        </row>
        <row r="288">
          <cell r="C288" t="str">
            <v>CSR</v>
          </cell>
          <cell r="K288">
            <v>0</v>
          </cell>
        </row>
        <row r="289">
          <cell r="C289" t="str">
            <v>CSR</v>
          </cell>
          <cell r="K289">
            <v>0</v>
          </cell>
        </row>
        <row r="290">
          <cell r="C290" t="str">
            <v>FK</v>
          </cell>
          <cell r="K290">
            <v>0</v>
          </cell>
        </row>
        <row r="291">
          <cell r="C291" t="str">
            <v>RTS</v>
          </cell>
          <cell r="K291">
            <v>158091</v>
          </cell>
        </row>
        <row r="292">
          <cell r="C292" t="str">
            <v>PSS</v>
          </cell>
          <cell r="K292">
            <v>0</v>
          </cell>
        </row>
        <row r="293">
          <cell r="C293" t="str">
            <v>PSP</v>
          </cell>
          <cell r="K293">
            <v>0</v>
          </cell>
        </row>
        <row r="294">
          <cell r="C294" t="str">
            <v>TODS</v>
          </cell>
          <cell r="K294">
            <v>57193</v>
          </cell>
        </row>
        <row r="295">
          <cell r="C295" t="str">
            <v>ITODP</v>
          </cell>
          <cell r="K295">
            <v>380170</v>
          </cell>
        </row>
        <row r="296">
          <cell r="C296" t="str">
            <v>ITODP</v>
          </cell>
          <cell r="K296">
            <v>0</v>
          </cell>
        </row>
        <row r="297">
          <cell r="C297" t="str">
            <v>LE</v>
          </cell>
          <cell r="K297">
            <v>0</v>
          </cell>
        </row>
        <row r="298">
          <cell r="C298" t="str">
            <v>LE</v>
          </cell>
          <cell r="K298">
            <v>0</v>
          </cell>
        </row>
        <row r="299">
          <cell r="C299" t="str">
            <v>LE</v>
          </cell>
          <cell r="K299">
            <v>0</v>
          </cell>
        </row>
        <row r="300">
          <cell r="C300" t="str">
            <v>TE</v>
          </cell>
          <cell r="K300">
            <v>0</v>
          </cell>
        </row>
        <row r="301">
          <cell r="C301" t="str">
            <v>TE</v>
          </cell>
          <cell r="K301">
            <v>0</v>
          </cell>
        </row>
        <row r="302">
          <cell r="C302" t="str">
            <v>RS</v>
          </cell>
          <cell r="K302">
            <v>0</v>
          </cell>
        </row>
        <row r="303">
          <cell r="C303" t="str">
            <v>RS</v>
          </cell>
          <cell r="K303">
            <v>0</v>
          </cell>
        </row>
        <row r="304">
          <cell r="C304" t="str">
            <v>RS</v>
          </cell>
          <cell r="K304">
            <v>0</v>
          </cell>
        </row>
        <row r="305">
          <cell r="C305" t="str">
            <v>RS</v>
          </cell>
          <cell r="K305">
            <v>0</v>
          </cell>
        </row>
        <row r="306">
          <cell r="C306" t="str">
            <v>LEV</v>
          </cell>
          <cell r="K306">
            <v>0</v>
          </cell>
        </row>
        <row r="307">
          <cell r="C307" t="str">
            <v>LEV</v>
          </cell>
          <cell r="K307">
            <v>0</v>
          </cell>
        </row>
        <row r="308">
          <cell r="C308" t="str">
            <v>FLSP</v>
          </cell>
          <cell r="K308">
            <v>0</v>
          </cell>
        </row>
        <row r="309">
          <cell r="C309" t="str">
            <v>FLST</v>
          </cell>
          <cell r="K309">
            <v>0</v>
          </cell>
        </row>
        <row r="310">
          <cell r="C310" t="str">
            <v>GS</v>
          </cell>
          <cell r="K310">
            <v>0</v>
          </cell>
        </row>
        <row r="311">
          <cell r="C311" t="str">
            <v>GS</v>
          </cell>
          <cell r="K311">
            <v>0</v>
          </cell>
        </row>
        <row r="312">
          <cell r="C312" t="str">
            <v>GS</v>
          </cell>
          <cell r="K312">
            <v>0</v>
          </cell>
        </row>
        <row r="313">
          <cell r="C313" t="str">
            <v>GS</v>
          </cell>
          <cell r="K313">
            <v>0</v>
          </cell>
        </row>
        <row r="314">
          <cell r="C314" t="str">
            <v>GS</v>
          </cell>
          <cell r="K314">
            <v>0</v>
          </cell>
        </row>
        <row r="315">
          <cell r="C315" t="str">
            <v>GS</v>
          </cell>
          <cell r="K315">
            <v>0</v>
          </cell>
        </row>
        <row r="316">
          <cell r="C316" t="str">
            <v>PSS</v>
          </cell>
          <cell r="K316">
            <v>0</v>
          </cell>
        </row>
        <row r="317">
          <cell r="C317" t="str">
            <v>PSP</v>
          </cell>
          <cell r="K317">
            <v>0</v>
          </cell>
        </row>
        <row r="318">
          <cell r="C318" t="str">
            <v>PSS</v>
          </cell>
          <cell r="K318">
            <v>0</v>
          </cell>
        </row>
        <row r="319">
          <cell r="C319" t="str">
            <v>TODS</v>
          </cell>
          <cell r="K319">
            <v>156169</v>
          </cell>
        </row>
        <row r="320">
          <cell r="C320" t="str">
            <v>CTODP</v>
          </cell>
          <cell r="K320">
            <v>83488</v>
          </cell>
        </row>
        <row r="321">
          <cell r="C321" t="str">
            <v>GS3</v>
          </cell>
          <cell r="K321">
            <v>0</v>
          </cell>
        </row>
        <row r="322">
          <cell r="C322" t="str">
            <v>GS3</v>
          </cell>
          <cell r="K322">
            <v>227086</v>
          </cell>
        </row>
        <row r="323">
          <cell r="C323" t="str">
            <v>GS3</v>
          </cell>
          <cell r="K323">
            <v>0</v>
          </cell>
        </row>
        <row r="324">
          <cell r="C324" t="str">
            <v>GS3</v>
          </cell>
          <cell r="K324">
            <v>0</v>
          </cell>
        </row>
        <row r="325">
          <cell r="C325" t="str">
            <v>LWC</v>
          </cell>
          <cell r="K325">
            <v>0</v>
          </cell>
        </row>
        <row r="326">
          <cell r="C326" t="str">
            <v>CSR</v>
          </cell>
          <cell r="K326">
            <v>0</v>
          </cell>
        </row>
        <row r="327">
          <cell r="C327" t="str">
            <v>CSR</v>
          </cell>
          <cell r="K327">
            <v>0</v>
          </cell>
        </row>
        <row r="328">
          <cell r="C328" t="str">
            <v>FK</v>
          </cell>
          <cell r="K328">
            <v>0</v>
          </cell>
        </row>
        <row r="329">
          <cell r="C329" t="str">
            <v>RTS</v>
          </cell>
          <cell r="K329">
            <v>159696</v>
          </cell>
        </row>
        <row r="330">
          <cell r="C330" t="str">
            <v>PSS</v>
          </cell>
          <cell r="K330">
            <v>0</v>
          </cell>
        </row>
        <row r="331">
          <cell r="C331" t="str">
            <v>PSP</v>
          </cell>
          <cell r="K331">
            <v>0</v>
          </cell>
        </row>
        <row r="332">
          <cell r="C332" t="str">
            <v>TODS</v>
          </cell>
          <cell r="K332">
            <v>54409</v>
          </cell>
        </row>
        <row r="333">
          <cell r="C333" t="str">
            <v>ITODP</v>
          </cell>
          <cell r="K333">
            <v>362538</v>
          </cell>
        </row>
        <row r="334">
          <cell r="C334" t="str">
            <v>ITODP</v>
          </cell>
          <cell r="K334">
            <v>0</v>
          </cell>
        </row>
        <row r="335">
          <cell r="C335" t="str">
            <v>LE</v>
          </cell>
          <cell r="K335">
            <v>0</v>
          </cell>
        </row>
        <row r="336">
          <cell r="C336" t="str">
            <v>LE</v>
          </cell>
          <cell r="K336">
            <v>0</v>
          </cell>
        </row>
        <row r="337">
          <cell r="C337" t="str">
            <v>LE</v>
          </cell>
          <cell r="K337">
            <v>0</v>
          </cell>
        </row>
        <row r="338">
          <cell r="C338" t="str">
            <v>TE</v>
          </cell>
          <cell r="K338">
            <v>0</v>
          </cell>
        </row>
        <row r="339">
          <cell r="C339" t="str">
            <v>TE</v>
          </cell>
          <cell r="K339">
            <v>0</v>
          </cell>
        </row>
        <row r="340">
          <cell r="C340" t="str">
            <v>RS</v>
          </cell>
          <cell r="K340">
            <v>0</v>
          </cell>
        </row>
        <row r="341">
          <cell r="C341" t="str">
            <v>RS</v>
          </cell>
          <cell r="K341">
            <v>0</v>
          </cell>
        </row>
        <row r="342">
          <cell r="C342" t="str">
            <v>RS</v>
          </cell>
          <cell r="K342">
            <v>0</v>
          </cell>
        </row>
        <row r="343">
          <cell r="C343" t="str">
            <v>RS</v>
          </cell>
          <cell r="K343">
            <v>0</v>
          </cell>
        </row>
        <row r="344">
          <cell r="C344" t="str">
            <v>LEV</v>
          </cell>
          <cell r="K344">
            <v>0</v>
          </cell>
        </row>
        <row r="345">
          <cell r="C345" t="str">
            <v>LEV</v>
          </cell>
          <cell r="K345">
            <v>0</v>
          </cell>
        </row>
        <row r="346">
          <cell r="C346" t="str">
            <v>FLSP</v>
          </cell>
          <cell r="K346">
            <v>0</v>
          </cell>
        </row>
        <row r="347">
          <cell r="C347" t="str">
            <v>FLST</v>
          </cell>
          <cell r="K347">
            <v>0</v>
          </cell>
        </row>
        <row r="348">
          <cell r="C348" t="str">
            <v>GS</v>
          </cell>
          <cell r="K348">
            <v>0</v>
          </cell>
        </row>
        <row r="349">
          <cell r="C349" t="str">
            <v>GS</v>
          </cell>
          <cell r="K349">
            <v>0</v>
          </cell>
        </row>
        <row r="350">
          <cell r="C350" t="str">
            <v>GS</v>
          </cell>
          <cell r="K350">
            <v>0</v>
          </cell>
        </row>
        <row r="351">
          <cell r="C351" t="str">
            <v>GS</v>
          </cell>
          <cell r="K351">
            <v>0</v>
          </cell>
        </row>
        <row r="352">
          <cell r="C352" t="str">
            <v>GS</v>
          </cell>
          <cell r="K352">
            <v>0</v>
          </cell>
        </row>
        <row r="353">
          <cell r="C353" t="str">
            <v>GS</v>
          </cell>
          <cell r="K353">
            <v>0</v>
          </cell>
        </row>
        <row r="354">
          <cell r="C354" t="str">
            <v>PSS</v>
          </cell>
          <cell r="K354">
            <v>0</v>
          </cell>
        </row>
        <row r="355">
          <cell r="C355" t="str">
            <v>PSP</v>
          </cell>
          <cell r="K355">
            <v>0</v>
          </cell>
        </row>
        <row r="356">
          <cell r="C356" t="str">
            <v>PSS</v>
          </cell>
          <cell r="K356">
            <v>0</v>
          </cell>
        </row>
        <row r="357">
          <cell r="C357" t="str">
            <v>TODS</v>
          </cell>
          <cell r="K357">
            <v>143906</v>
          </cell>
        </row>
        <row r="358">
          <cell r="C358" t="str">
            <v>CTODP</v>
          </cell>
          <cell r="K358">
            <v>74509</v>
          </cell>
        </row>
        <row r="359">
          <cell r="C359" t="str">
            <v>GS3</v>
          </cell>
          <cell r="K359">
            <v>0</v>
          </cell>
        </row>
        <row r="360">
          <cell r="C360" t="str">
            <v>GS3</v>
          </cell>
          <cell r="K360">
            <v>215612</v>
          </cell>
        </row>
        <row r="361">
          <cell r="C361" t="str">
            <v>GS3</v>
          </cell>
          <cell r="K361">
            <v>0</v>
          </cell>
        </row>
        <row r="362">
          <cell r="C362" t="str">
            <v>GS3</v>
          </cell>
          <cell r="K362">
            <v>0</v>
          </cell>
        </row>
        <row r="363">
          <cell r="C363" t="str">
            <v>LWC</v>
          </cell>
          <cell r="K363">
            <v>0</v>
          </cell>
        </row>
        <row r="364">
          <cell r="C364" t="str">
            <v>CSR</v>
          </cell>
          <cell r="K364">
            <v>0</v>
          </cell>
        </row>
        <row r="365">
          <cell r="C365" t="str">
            <v>CSR</v>
          </cell>
          <cell r="K365">
            <v>0</v>
          </cell>
        </row>
        <row r="366">
          <cell r="C366" t="str">
            <v>FK</v>
          </cell>
          <cell r="K366">
            <v>0</v>
          </cell>
        </row>
        <row r="367">
          <cell r="C367" t="str">
            <v>RTS</v>
          </cell>
          <cell r="K367">
            <v>163502</v>
          </cell>
        </row>
        <row r="368">
          <cell r="C368" t="str">
            <v>PSS</v>
          </cell>
          <cell r="K368">
            <v>0</v>
          </cell>
        </row>
        <row r="369">
          <cell r="C369" t="str">
            <v>PSP</v>
          </cell>
          <cell r="K369">
            <v>0</v>
          </cell>
        </row>
        <row r="370">
          <cell r="C370" t="str">
            <v>TODS</v>
          </cell>
          <cell r="K370">
            <v>52059</v>
          </cell>
        </row>
        <row r="371">
          <cell r="C371" t="str">
            <v>ITODP</v>
          </cell>
          <cell r="K371">
            <v>332089</v>
          </cell>
        </row>
        <row r="372">
          <cell r="C372" t="str">
            <v>ITODP</v>
          </cell>
          <cell r="K372">
            <v>0</v>
          </cell>
        </row>
        <row r="373">
          <cell r="C373" t="str">
            <v>LE</v>
          </cell>
          <cell r="K373">
            <v>0</v>
          </cell>
        </row>
        <row r="374">
          <cell r="C374" t="str">
            <v>LE</v>
          </cell>
          <cell r="K374">
            <v>0</v>
          </cell>
        </row>
        <row r="375">
          <cell r="C375" t="str">
            <v>LE</v>
          </cell>
          <cell r="K375">
            <v>0</v>
          </cell>
        </row>
        <row r="376">
          <cell r="C376" t="str">
            <v>TE</v>
          </cell>
          <cell r="K376">
            <v>0</v>
          </cell>
        </row>
        <row r="377">
          <cell r="C377" t="str">
            <v>TE</v>
          </cell>
          <cell r="K377">
            <v>0</v>
          </cell>
        </row>
        <row r="378">
          <cell r="C378" t="str">
            <v>RS</v>
          </cell>
          <cell r="K378">
            <v>0</v>
          </cell>
        </row>
        <row r="379">
          <cell r="C379" t="str">
            <v>RS</v>
          </cell>
          <cell r="K379">
            <v>0</v>
          </cell>
        </row>
        <row r="380">
          <cell r="C380" t="str">
            <v>RS</v>
          </cell>
          <cell r="K380">
            <v>0</v>
          </cell>
        </row>
        <row r="381">
          <cell r="C381" t="str">
            <v>RS</v>
          </cell>
          <cell r="K381">
            <v>0</v>
          </cell>
        </row>
        <row r="382">
          <cell r="C382" t="str">
            <v>LEV</v>
          </cell>
          <cell r="K382">
            <v>0</v>
          </cell>
        </row>
        <row r="383">
          <cell r="C383" t="str">
            <v>LEV</v>
          </cell>
          <cell r="K383">
            <v>0</v>
          </cell>
        </row>
        <row r="384">
          <cell r="C384" t="str">
            <v>FLSP</v>
          </cell>
          <cell r="K384">
            <v>0</v>
          </cell>
        </row>
        <row r="385">
          <cell r="C385" t="str">
            <v>FLST</v>
          </cell>
          <cell r="K385">
            <v>0</v>
          </cell>
        </row>
        <row r="386">
          <cell r="C386" t="str">
            <v>GS</v>
          </cell>
          <cell r="K386">
            <v>0</v>
          </cell>
        </row>
        <row r="387">
          <cell r="C387" t="str">
            <v>GS</v>
          </cell>
          <cell r="K387">
            <v>0</v>
          </cell>
        </row>
        <row r="388">
          <cell r="C388" t="str">
            <v>GS</v>
          </cell>
          <cell r="K388">
            <v>0</v>
          </cell>
        </row>
        <row r="389">
          <cell r="C389" t="str">
            <v>GS</v>
          </cell>
          <cell r="K389">
            <v>0</v>
          </cell>
        </row>
        <row r="390">
          <cell r="C390" t="str">
            <v>GS</v>
          </cell>
          <cell r="K390">
            <v>0</v>
          </cell>
        </row>
        <row r="391">
          <cell r="C391" t="str">
            <v>GS</v>
          </cell>
          <cell r="K391">
            <v>0</v>
          </cell>
        </row>
        <row r="392">
          <cell r="C392" t="str">
            <v>PSS</v>
          </cell>
          <cell r="K392">
            <v>0</v>
          </cell>
        </row>
        <row r="393">
          <cell r="C393" t="str">
            <v>PSP</v>
          </cell>
          <cell r="K393">
            <v>0</v>
          </cell>
        </row>
        <row r="394">
          <cell r="C394" t="str">
            <v>PSS</v>
          </cell>
          <cell r="K394">
            <v>0</v>
          </cell>
        </row>
        <row r="395">
          <cell r="C395" t="str">
            <v>TODS</v>
          </cell>
          <cell r="K395">
            <v>137838</v>
          </cell>
        </row>
        <row r="396">
          <cell r="C396" t="str">
            <v>CTODP</v>
          </cell>
          <cell r="K396">
            <v>70146</v>
          </cell>
        </row>
        <row r="397">
          <cell r="C397" t="str">
            <v>GS3</v>
          </cell>
          <cell r="K397">
            <v>0</v>
          </cell>
        </row>
        <row r="398">
          <cell r="C398" t="str">
            <v>GS3</v>
          </cell>
          <cell r="K398">
            <v>211286</v>
          </cell>
        </row>
        <row r="399">
          <cell r="C399" t="str">
            <v>GS3</v>
          </cell>
          <cell r="K399">
            <v>0</v>
          </cell>
        </row>
        <row r="400">
          <cell r="C400" t="str">
            <v>GS3</v>
          </cell>
          <cell r="K400">
            <v>0</v>
          </cell>
        </row>
        <row r="401">
          <cell r="C401" t="str">
            <v>LWC</v>
          </cell>
          <cell r="K401">
            <v>0</v>
          </cell>
        </row>
        <row r="402">
          <cell r="C402" t="str">
            <v>CSR</v>
          </cell>
          <cell r="K402">
            <v>0</v>
          </cell>
        </row>
        <row r="403">
          <cell r="C403" t="str">
            <v>CSR</v>
          </cell>
          <cell r="K403">
            <v>0</v>
          </cell>
        </row>
        <row r="404">
          <cell r="C404" t="str">
            <v>FK</v>
          </cell>
          <cell r="K404">
            <v>0</v>
          </cell>
        </row>
        <row r="405">
          <cell r="C405" t="str">
            <v>RTS</v>
          </cell>
          <cell r="K405">
            <v>148975</v>
          </cell>
        </row>
        <row r="406">
          <cell r="C406" t="str">
            <v>PSS</v>
          </cell>
          <cell r="K406">
            <v>0</v>
          </cell>
        </row>
        <row r="407">
          <cell r="C407" t="str">
            <v>PSP</v>
          </cell>
          <cell r="K407">
            <v>0</v>
          </cell>
        </row>
        <row r="408">
          <cell r="C408" t="str">
            <v>TODS</v>
          </cell>
          <cell r="K408">
            <v>53247</v>
          </cell>
        </row>
        <row r="409">
          <cell r="C409" t="str">
            <v>ITODP</v>
          </cell>
          <cell r="K409">
            <v>322436</v>
          </cell>
        </row>
        <row r="410">
          <cell r="C410" t="str">
            <v>ITODP</v>
          </cell>
          <cell r="K410">
            <v>0</v>
          </cell>
        </row>
        <row r="411">
          <cell r="C411" t="str">
            <v>LE</v>
          </cell>
          <cell r="K411">
            <v>0</v>
          </cell>
        </row>
        <row r="412">
          <cell r="C412" t="str">
            <v>LE</v>
          </cell>
          <cell r="K412">
            <v>0</v>
          </cell>
        </row>
        <row r="413">
          <cell r="C413" t="str">
            <v>LE</v>
          </cell>
          <cell r="K413">
            <v>0</v>
          </cell>
        </row>
        <row r="414">
          <cell r="C414" t="str">
            <v>TE</v>
          </cell>
          <cell r="K414">
            <v>0</v>
          </cell>
        </row>
        <row r="415">
          <cell r="C415" t="str">
            <v>TE</v>
          </cell>
          <cell r="K415">
            <v>0</v>
          </cell>
        </row>
        <row r="416">
          <cell r="C416" t="str">
            <v>RS</v>
          </cell>
          <cell r="K416">
            <v>0</v>
          </cell>
        </row>
        <row r="417">
          <cell r="C417" t="str">
            <v>RS</v>
          </cell>
          <cell r="K417">
            <v>0</v>
          </cell>
        </row>
        <row r="418">
          <cell r="C418" t="str">
            <v>RS</v>
          </cell>
          <cell r="K418">
            <v>0</v>
          </cell>
        </row>
        <row r="419">
          <cell r="C419" t="str">
            <v>RS</v>
          </cell>
          <cell r="K419">
            <v>0</v>
          </cell>
        </row>
        <row r="420">
          <cell r="C420" t="str">
            <v>LEV</v>
          </cell>
          <cell r="K420">
            <v>0</v>
          </cell>
        </row>
        <row r="421">
          <cell r="C421" t="str">
            <v>LEV</v>
          </cell>
          <cell r="K421">
            <v>0</v>
          </cell>
        </row>
        <row r="422">
          <cell r="C422" t="str">
            <v>FLSP</v>
          </cell>
          <cell r="K422">
            <v>0</v>
          </cell>
        </row>
        <row r="423">
          <cell r="C423" t="str">
            <v>FLST</v>
          </cell>
          <cell r="K423">
            <v>0</v>
          </cell>
        </row>
        <row r="424">
          <cell r="C424" t="str">
            <v>GS</v>
          </cell>
          <cell r="K424">
            <v>0</v>
          </cell>
        </row>
        <row r="425">
          <cell r="C425" t="str">
            <v>GS</v>
          </cell>
          <cell r="K425">
            <v>0</v>
          </cell>
        </row>
        <row r="426">
          <cell r="C426" t="str">
            <v>GS</v>
          </cell>
          <cell r="K426">
            <v>0</v>
          </cell>
        </row>
        <row r="427">
          <cell r="C427" t="str">
            <v>GS</v>
          </cell>
          <cell r="K427">
            <v>0</v>
          </cell>
        </row>
        <row r="428">
          <cell r="C428" t="str">
            <v>GS</v>
          </cell>
          <cell r="K428">
            <v>0</v>
          </cell>
        </row>
        <row r="429">
          <cell r="C429" t="str">
            <v>GS</v>
          </cell>
          <cell r="K429">
            <v>0</v>
          </cell>
        </row>
        <row r="430">
          <cell r="C430" t="str">
            <v>PSS</v>
          </cell>
          <cell r="K430">
            <v>0</v>
          </cell>
        </row>
        <row r="431">
          <cell r="C431" t="str">
            <v>PSP</v>
          </cell>
          <cell r="K431">
            <v>0</v>
          </cell>
        </row>
        <row r="432">
          <cell r="C432" t="str">
            <v>PSS</v>
          </cell>
          <cell r="K432">
            <v>0</v>
          </cell>
        </row>
        <row r="433">
          <cell r="C433" t="str">
            <v>TODS</v>
          </cell>
          <cell r="K433">
            <v>139785</v>
          </cell>
        </row>
        <row r="434">
          <cell r="C434" t="str">
            <v>CTODP</v>
          </cell>
          <cell r="K434">
            <v>72450</v>
          </cell>
        </row>
        <row r="435">
          <cell r="C435" t="str">
            <v>GS3</v>
          </cell>
          <cell r="K435">
            <v>0</v>
          </cell>
        </row>
        <row r="436">
          <cell r="C436" t="str">
            <v>GS3</v>
          </cell>
          <cell r="K436">
            <v>192223</v>
          </cell>
        </row>
        <row r="437">
          <cell r="C437" t="str">
            <v>GS3</v>
          </cell>
          <cell r="K437">
            <v>0</v>
          </cell>
        </row>
        <row r="438">
          <cell r="C438" t="str">
            <v>GS3</v>
          </cell>
          <cell r="K438">
            <v>0</v>
          </cell>
        </row>
        <row r="439">
          <cell r="C439" t="str">
            <v>LWC</v>
          </cell>
          <cell r="K439">
            <v>0</v>
          </cell>
        </row>
        <row r="440">
          <cell r="C440" t="str">
            <v>CSR</v>
          </cell>
          <cell r="K440">
            <v>0</v>
          </cell>
        </row>
        <row r="441">
          <cell r="C441" t="str">
            <v>CSR</v>
          </cell>
          <cell r="K441">
            <v>0</v>
          </cell>
        </row>
        <row r="442">
          <cell r="C442" t="str">
            <v>FK</v>
          </cell>
          <cell r="K442">
            <v>0</v>
          </cell>
        </row>
        <row r="443">
          <cell r="C443" t="str">
            <v>RTS</v>
          </cell>
          <cell r="K443">
            <v>155352</v>
          </cell>
        </row>
        <row r="444">
          <cell r="C444" t="str">
            <v>PSS</v>
          </cell>
          <cell r="K444">
            <v>0</v>
          </cell>
        </row>
        <row r="445">
          <cell r="C445" t="str">
            <v>PSP</v>
          </cell>
          <cell r="K445">
            <v>0</v>
          </cell>
        </row>
        <row r="446">
          <cell r="C446" t="str">
            <v>TODS</v>
          </cell>
          <cell r="K446">
            <v>51840</v>
          </cell>
        </row>
        <row r="447">
          <cell r="C447" t="str">
            <v>ITODP</v>
          </cell>
          <cell r="K447">
            <v>333146</v>
          </cell>
        </row>
        <row r="448">
          <cell r="C448" t="str">
            <v>ITODP</v>
          </cell>
          <cell r="K448">
            <v>0</v>
          </cell>
        </row>
        <row r="449">
          <cell r="C449" t="str">
            <v>LE</v>
          </cell>
          <cell r="K449">
            <v>0</v>
          </cell>
        </row>
        <row r="450">
          <cell r="C450" t="str">
            <v>LE</v>
          </cell>
          <cell r="K450">
            <v>0</v>
          </cell>
        </row>
        <row r="451">
          <cell r="C451" t="str">
            <v>LE</v>
          </cell>
          <cell r="K451">
            <v>0</v>
          </cell>
        </row>
        <row r="452">
          <cell r="C452" t="str">
            <v>TE</v>
          </cell>
          <cell r="K452">
            <v>0</v>
          </cell>
        </row>
        <row r="453">
          <cell r="C453" t="str">
            <v>TE</v>
          </cell>
          <cell r="K453">
            <v>0</v>
          </cell>
        </row>
        <row r="454">
          <cell r="C454" t="str">
            <v>RS</v>
          </cell>
          <cell r="K454">
            <v>0</v>
          </cell>
        </row>
        <row r="455">
          <cell r="C455" t="str">
            <v>RS</v>
          </cell>
          <cell r="K455">
            <v>0</v>
          </cell>
        </row>
        <row r="456">
          <cell r="C456" t="str">
            <v>RS</v>
          </cell>
          <cell r="K456">
            <v>0</v>
          </cell>
        </row>
        <row r="457">
          <cell r="C457" t="str">
            <v>RS</v>
          </cell>
          <cell r="K457">
            <v>0</v>
          </cell>
        </row>
        <row r="458">
          <cell r="C458" t="str">
            <v>LEV</v>
          </cell>
          <cell r="K458">
            <v>0</v>
          </cell>
        </row>
        <row r="459">
          <cell r="C459" t="str">
            <v>LEV</v>
          </cell>
          <cell r="K459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">
          <cell r="Y10" t="str">
            <v>GS3</v>
          </cell>
        </row>
      </sheetData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68"/>
  <sheetViews>
    <sheetView view="pageBreakPreview" zoomScale="75" zoomScaleNormal="85" zoomScaleSheetLayoutView="75" workbookViewId="0">
      <pane xSplit="4" ySplit="4" topLeftCell="E122" activePane="bottomRight" state="frozen"/>
      <selection pane="topRight" activeCell="E1" sqref="E1"/>
      <selection pane="bottomLeft" activeCell="A4" sqref="A4"/>
      <selection pane="bottomRight"/>
    </sheetView>
  </sheetViews>
  <sheetFormatPr defaultColWidth="9.109375" defaultRowHeight="13.8" x14ac:dyDescent="0.25"/>
  <cols>
    <col min="1" max="1" width="7.6640625" style="45" customWidth="1"/>
    <col min="2" max="2" width="55.88671875" style="45" customWidth="1"/>
    <col min="3" max="3" width="14.44140625" style="45" customWidth="1"/>
    <col min="4" max="4" width="12.44140625" style="45" customWidth="1"/>
    <col min="5" max="5" width="2.6640625" style="45" customWidth="1"/>
    <col min="6" max="6" width="17.5546875" style="61" customWidth="1"/>
    <col min="7" max="7" width="2.109375" style="45" customWidth="1"/>
    <col min="8" max="8" width="20.44140625" style="45" bestFit="1" customWidth="1"/>
    <col min="9" max="9" width="19" style="45" bestFit="1" customWidth="1"/>
    <col min="10" max="11" width="18" style="45" customWidth="1"/>
    <col min="12" max="12" width="21.88671875" style="45" hidden="1" customWidth="1"/>
    <col min="13" max="13" width="22.33203125" style="45" hidden="1" customWidth="1"/>
    <col min="14" max="14" width="18.6640625" style="45" bestFit="1" customWidth="1"/>
    <col min="15" max="16" width="18.6640625" style="45" customWidth="1"/>
    <col min="17" max="17" width="17.5546875" style="45" hidden="1" customWidth="1"/>
    <col min="18" max="18" width="17.5546875" style="45" customWidth="1"/>
    <col min="19" max="19" width="16.33203125" style="45" customWidth="1"/>
    <col min="20" max="20" width="17.88671875" style="45" customWidth="1"/>
    <col min="21" max="21" width="16.33203125" style="45" customWidth="1"/>
    <col min="22" max="22" width="16.6640625" style="45" customWidth="1"/>
    <col min="23" max="23" width="16.6640625" style="44" customWidth="1"/>
    <col min="24" max="25" width="16.88671875" style="45" customWidth="1"/>
    <col min="26" max="28" width="17.5546875" style="45" customWidth="1"/>
    <col min="29" max="29" width="17.88671875" style="45" customWidth="1"/>
    <col min="30" max="30" width="15" style="45" customWidth="1"/>
    <col min="31" max="31" width="18.33203125" style="45" bestFit="1" customWidth="1"/>
    <col min="32" max="32" width="18.33203125" style="45" customWidth="1"/>
    <col min="33" max="33" width="14.6640625" style="45" customWidth="1"/>
    <col min="34" max="35" width="17.5546875" style="45" bestFit="1" customWidth="1"/>
    <col min="36" max="36" width="15.109375" style="45" bestFit="1" customWidth="1"/>
    <col min="37" max="37" width="17.5546875" style="45" bestFit="1" customWidth="1"/>
    <col min="38" max="16384" width="9.109375" style="45"/>
  </cols>
  <sheetData>
    <row r="1" spans="1:37" ht="14.4" thickBot="1" x14ac:dyDescent="0.3"/>
    <row r="2" spans="1:37" ht="14.4" hidden="1" thickBot="1" x14ac:dyDescent="0.3">
      <c r="A2" s="44"/>
      <c r="B2" s="44"/>
      <c r="C2" s="44">
        <v>1</v>
      </c>
      <c r="D2" s="44">
        <f>C2+1</f>
        <v>2</v>
      </c>
      <c r="E2" s="44">
        <f t="shared" ref="E2:AG2" si="0">D2+1</f>
        <v>3</v>
      </c>
      <c r="F2" s="78">
        <f t="shared" si="0"/>
        <v>4</v>
      </c>
      <c r="G2" s="44">
        <f t="shared" si="0"/>
        <v>5</v>
      </c>
      <c r="H2" s="44">
        <f t="shared" si="0"/>
        <v>6</v>
      </c>
      <c r="I2" s="44">
        <f t="shared" si="0"/>
        <v>7</v>
      </c>
      <c r="J2" s="44">
        <f t="shared" si="0"/>
        <v>8</v>
      </c>
      <c r="K2" s="44">
        <f t="shared" si="0"/>
        <v>9</v>
      </c>
      <c r="L2" s="44">
        <f t="shared" si="0"/>
        <v>10</v>
      </c>
      <c r="M2" s="44">
        <f t="shared" si="0"/>
        <v>11</v>
      </c>
      <c r="N2" s="44">
        <f t="shared" si="0"/>
        <v>12</v>
      </c>
      <c r="O2" s="44">
        <f t="shared" si="0"/>
        <v>13</v>
      </c>
      <c r="P2" s="44">
        <f t="shared" si="0"/>
        <v>14</v>
      </c>
      <c r="Q2" s="44">
        <f t="shared" si="0"/>
        <v>15</v>
      </c>
      <c r="R2" s="44">
        <f t="shared" si="0"/>
        <v>16</v>
      </c>
      <c r="S2" s="44">
        <f t="shared" si="0"/>
        <v>17</v>
      </c>
      <c r="T2" s="44">
        <f t="shared" si="0"/>
        <v>18</v>
      </c>
      <c r="U2" s="44">
        <f t="shared" si="0"/>
        <v>19</v>
      </c>
      <c r="V2" s="44">
        <f t="shared" si="0"/>
        <v>20</v>
      </c>
      <c r="W2" s="44">
        <f t="shared" si="0"/>
        <v>21</v>
      </c>
      <c r="X2" s="44">
        <f t="shared" si="0"/>
        <v>22</v>
      </c>
      <c r="Y2" s="44">
        <f t="shared" si="0"/>
        <v>23</v>
      </c>
      <c r="Z2" s="44">
        <f t="shared" si="0"/>
        <v>24</v>
      </c>
      <c r="AA2" s="44">
        <f t="shared" si="0"/>
        <v>25</v>
      </c>
      <c r="AB2" s="44">
        <f t="shared" si="0"/>
        <v>26</v>
      </c>
      <c r="AC2" s="44">
        <f t="shared" si="0"/>
        <v>27</v>
      </c>
      <c r="AD2" s="44">
        <f t="shared" si="0"/>
        <v>28</v>
      </c>
      <c r="AE2" s="44">
        <f t="shared" si="0"/>
        <v>29</v>
      </c>
      <c r="AF2" s="44">
        <f t="shared" si="0"/>
        <v>30</v>
      </c>
      <c r="AG2" s="44">
        <f t="shared" si="0"/>
        <v>31</v>
      </c>
    </row>
    <row r="3" spans="1:37" ht="48" customHeight="1" thickBot="1" x14ac:dyDescent="0.3">
      <c r="A3" s="46"/>
      <c r="B3" s="46"/>
      <c r="C3" s="47"/>
      <c r="D3" s="48" t="s">
        <v>943</v>
      </c>
      <c r="E3" s="47"/>
      <c r="F3" s="73" t="s">
        <v>944</v>
      </c>
      <c r="G3" s="47"/>
      <c r="H3" s="374" t="s">
        <v>347</v>
      </c>
      <c r="I3" s="375"/>
      <c r="J3" s="376"/>
      <c r="K3" s="51" t="s">
        <v>348</v>
      </c>
      <c r="L3" s="49"/>
      <c r="M3" s="50"/>
      <c r="N3" s="374" t="s">
        <v>176</v>
      </c>
      <c r="O3" s="377"/>
      <c r="P3" s="376"/>
      <c r="Q3" s="51" t="s">
        <v>350</v>
      </c>
      <c r="R3" s="51" t="s">
        <v>351</v>
      </c>
      <c r="S3" s="374" t="s">
        <v>358</v>
      </c>
      <c r="T3" s="375"/>
      <c r="U3" s="376"/>
      <c r="V3" s="372" t="s">
        <v>357</v>
      </c>
      <c r="W3" s="373"/>
      <c r="X3" s="372" t="s">
        <v>359</v>
      </c>
      <c r="Y3" s="373"/>
      <c r="Z3" s="51" t="s">
        <v>356</v>
      </c>
      <c r="AA3" s="51" t="s">
        <v>355</v>
      </c>
      <c r="AB3" s="51" t="s">
        <v>354</v>
      </c>
      <c r="AC3" s="51" t="s">
        <v>1047</v>
      </c>
      <c r="AD3" s="51" t="s">
        <v>353</v>
      </c>
      <c r="AE3" s="51" t="s">
        <v>352</v>
      </c>
      <c r="AF3" s="46"/>
      <c r="AG3" s="46"/>
    </row>
    <row r="4" spans="1:37" ht="14.4" thickBot="1" x14ac:dyDescent="0.3">
      <c r="A4" s="52" t="s">
        <v>947</v>
      </c>
      <c r="B4" s="52"/>
      <c r="C4" s="53" t="s">
        <v>948</v>
      </c>
      <c r="D4" s="53" t="s">
        <v>949</v>
      </c>
      <c r="E4" s="54"/>
      <c r="F4" s="74" t="s">
        <v>950</v>
      </c>
      <c r="G4" s="55"/>
      <c r="H4" s="54" t="s">
        <v>184</v>
      </c>
      <c r="I4" s="54" t="s">
        <v>1283</v>
      </c>
      <c r="J4" s="54" t="s">
        <v>1284</v>
      </c>
      <c r="K4" s="54"/>
      <c r="L4" s="54"/>
      <c r="M4" s="54"/>
      <c r="N4" s="54" t="s">
        <v>184</v>
      </c>
      <c r="O4" s="54" t="s">
        <v>1283</v>
      </c>
      <c r="P4" s="54" t="s">
        <v>1284</v>
      </c>
      <c r="Q4" s="54" t="s">
        <v>349</v>
      </c>
      <c r="R4" s="54" t="s">
        <v>206</v>
      </c>
      <c r="S4" s="54" t="s">
        <v>349</v>
      </c>
      <c r="T4" s="54" t="s">
        <v>951</v>
      </c>
      <c r="U4" s="54" t="s">
        <v>953</v>
      </c>
      <c r="V4" s="54" t="s">
        <v>951</v>
      </c>
      <c r="W4" s="54" t="s">
        <v>953</v>
      </c>
      <c r="X4" s="54" t="s">
        <v>951</v>
      </c>
      <c r="Y4" s="54" t="s">
        <v>953</v>
      </c>
      <c r="Z4" s="54" t="s">
        <v>953</v>
      </c>
      <c r="AA4" s="54"/>
      <c r="AB4" s="54"/>
      <c r="AC4" s="54"/>
      <c r="AD4" s="54"/>
      <c r="AE4" s="54"/>
      <c r="AF4" s="54" t="s">
        <v>954</v>
      </c>
      <c r="AG4" s="56" t="s">
        <v>955</v>
      </c>
    </row>
    <row r="5" spans="1:37" x14ac:dyDescent="0.25">
      <c r="F5" s="79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8"/>
      <c r="X5" s="57"/>
      <c r="Y5" s="57"/>
      <c r="Z5" s="57"/>
      <c r="AA5" s="57"/>
      <c r="AB5" s="57"/>
      <c r="AC5" s="57"/>
      <c r="AD5" s="57"/>
      <c r="AE5" s="57"/>
      <c r="AG5" s="59"/>
    </row>
    <row r="6" spans="1:37" x14ac:dyDescent="0.25">
      <c r="A6" s="229" t="s">
        <v>956</v>
      </c>
      <c r="F6" s="79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8"/>
      <c r="X6" s="57"/>
      <c r="Y6" s="57"/>
      <c r="Z6" s="57"/>
      <c r="AA6" s="57"/>
      <c r="AB6" s="57"/>
      <c r="AC6" s="57"/>
      <c r="AD6" s="57"/>
      <c r="AE6" s="57"/>
      <c r="AG6" s="59"/>
      <c r="AK6" s="259"/>
    </row>
    <row r="7" spans="1:37" x14ac:dyDescent="0.25">
      <c r="A7" s="61"/>
      <c r="AG7" s="59"/>
      <c r="AH7" s="45" t="s">
        <v>1314</v>
      </c>
      <c r="AJ7" s="75">
        <v>0.7</v>
      </c>
    </row>
    <row r="8" spans="1:37" x14ac:dyDescent="0.25">
      <c r="A8" s="60" t="s">
        <v>1155</v>
      </c>
      <c r="B8" s="61"/>
      <c r="AG8" s="59"/>
      <c r="AJ8" s="255"/>
    </row>
    <row r="9" spans="1:37" x14ac:dyDescent="0.25">
      <c r="A9" s="62">
        <v>301</v>
      </c>
      <c r="B9" s="61" t="s">
        <v>1158</v>
      </c>
      <c r="C9" s="45" t="s">
        <v>1159</v>
      </c>
      <c r="D9" s="45" t="s">
        <v>1186</v>
      </c>
      <c r="F9" s="77">
        <v>73343.910000000018</v>
      </c>
      <c r="H9" s="64">
        <f t="shared" ref="H9:Q13" si="1">IF(VLOOKUP($D9,$C$6:$AE$651,H$2,)=0,0,((VLOOKUP($D9,$C$6:$AE$651,H$2,)/VLOOKUP($D9,$C$6:$AE$651,4,))*$F9))</f>
        <v>14999.750876979819</v>
      </c>
      <c r="I9" s="64">
        <f t="shared" si="1"/>
        <v>14616.718510890718</v>
      </c>
      <c r="J9" s="64">
        <f t="shared" si="1"/>
        <v>13252.312245721025</v>
      </c>
      <c r="K9" s="64">
        <f t="shared" si="1"/>
        <v>0</v>
      </c>
      <c r="L9" s="64">
        <f t="shared" si="1"/>
        <v>0</v>
      </c>
      <c r="M9" s="64">
        <f t="shared" si="1"/>
        <v>0</v>
      </c>
      <c r="N9" s="64">
        <f t="shared" si="1"/>
        <v>2685.7318660263913</v>
      </c>
      <c r="O9" s="64">
        <f t="shared" si="1"/>
        <v>2617.1492449040784</v>
      </c>
      <c r="P9" s="64">
        <f t="shared" si="1"/>
        <v>2372.8498952264699</v>
      </c>
      <c r="Q9" s="64">
        <f t="shared" si="1"/>
        <v>0</v>
      </c>
      <c r="R9" s="64">
        <f t="shared" ref="R9:AE13" si="2">IF(VLOOKUP($D9,$C$6:$AE$651,R$2,)=0,0,((VLOOKUP($D9,$C$6:$AE$651,R$2,)/VLOOKUP($D9,$C$6:$AE$651,4,))*$F9))</f>
        <v>2717.5307071567349</v>
      </c>
      <c r="S9" s="64">
        <f t="shared" si="2"/>
        <v>0</v>
      </c>
      <c r="T9" s="64">
        <f t="shared" si="2"/>
        <v>3988.1180447340034</v>
      </c>
      <c r="U9" s="64">
        <f t="shared" si="2"/>
        <v>6480.3923396534919</v>
      </c>
      <c r="V9" s="64">
        <f t="shared" si="2"/>
        <v>1329.3726815780012</v>
      </c>
      <c r="W9" s="64">
        <f t="shared" si="2"/>
        <v>2160.1307798844973</v>
      </c>
      <c r="X9" s="64">
        <f t="shared" si="2"/>
        <v>1647.8815286851031</v>
      </c>
      <c r="Y9" s="64">
        <f t="shared" si="2"/>
        <v>1250.594013990092</v>
      </c>
      <c r="Z9" s="64">
        <f t="shared" si="2"/>
        <v>593.49173802363066</v>
      </c>
      <c r="AA9" s="64">
        <f t="shared" si="2"/>
        <v>783.8048252484665</v>
      </c>
      <c r="AB9" s="64">
        <f t="shared" si="2"/>
        <v>1848.0807012975008</v>
      </c>
      <c r="AC9" s="64">
        <f t="shared" si="2"/>
        <v>0</v>
      </c>
      <c r="AD9" s="64">
        <f t="shared" si="2"/>
        <v>0</v>
      </c>
      <c r="AE9" s="64">
        <f t="shared" si="2"/>
        <v>0</v>
      </c>
      <c r="AF9" s="64">
        <f>SUM(H9:AE9)</f>
        <v>73343.910000000033</v>
      </c>
      <c r="AG9" s="59" t="str">
        <f>IF(ABS(AF9-F9)&lt;1,"ok","err")</f>
        <v>ok</v>
      </c>
      <c r="AH9" s="45" t="s">
        <v>1315</v>
      </c>
      <c r="AJ9" s="75">
        <v>0.3</v>
      </c>
    </row>
    <row r="10" spans="1:37" x14ac:dyDescent="0.25">
      <c r="A10" s="62">
        <v>302</v>
      </c>
      <c r="B10" s="61" t="s">
        <v>1157</v>
      </c>
      <c r="C10" s="45" t="s">
        <v>1159</v>
      </c>
      <c r="D10" s="45" t="s">
        <v>1186</v>
      </c>
      <c r="F10" s="80">
        <v>0</v>
      </c>
      <c r="H10" s="64">
        <f t="shared" si="1"/>
        <v>0</v>
      </c>
      <c r="I10" s="64">
        <f t="shared" si="1"/>
        <v>0</v>
      </c>
      <c r="J10" s="64">
        <f t="shared" si="1"/>
        <v>0</v>
      </c>
      <c r="K10" s="64">
        <f t="shared" si="1"/>
        <v>0</v>
      </c>
      <c r="L10" s="64">
        <f t="shared" si="1"/>
        <v>0</v>
      </c>
      <c r="M10" s="64">
        <f t="shared" si="1"/>
        <v>0</v>
      </c>
      <c r="N10" s="64">
        <f t="shared" si="1"/>
        <v>0</v>
      </c>
      <c r="O10" s="64">
        <f t="shared" si="1"/>
        <v>0</v>
      </c>
      <c r="P10" s="64">
        <f t="shared" si="1"/>
        <v>0</v>
      </c>
      <c r="Q10" s="64">
        <f t="shared" si="1"/>
        <v>0</v>
      </c>
      <c r="R10" s="64">
        <f t="shared" si="2"/>
        <v>0</v>
      </c>
      <c r="S10" s="64">
        <f t="shared" si="2"/>
        <v>0</v>
      </c>
      <c r="T10" s="64">
        <f t="shared" si="2"/>
        <v>0</v>
      </c>
      <c r="U10" s="64">
        <f t="shared" si="2"/>
        <v>0</v>
      </c>
      <c r="V10" s="64">
        <f t="shared" si="2"/>
        <v>0</v>
      </c>
      <c r="W10" s="64">
        <f t="shared" si="2"/>
        <v>0</v>
      </c>
      <c r="X10" s="64">
        <f t="shared" si="2"/>
        <v>0</v>
      </c>
      <c r="Y10" s="64">
        <f t="shared" si="2"/>
        <v>0</v>
      </c>
      <c r="Z10" s="64">
        <f t="shared" si="2"/>
        <v>0</v>
      </c>
      <c r="AA10" s="64">
        <f t="shared" si="2"/>
        <v>0</v>
      </c>
      <c r="AB10" s="64">
        <f t="shared" si="2"/>
        <v>0</v>
      </c>
      <c r="AC10" s="64">
        <f t="shared" si="2"/>
        <v>0</v>
      </c>
      <c r="AD10" s="64">
        <f t="shared" si="2"/>
        <v>0</v>
      </c>
      <c r="AE10" s="64">
        <f t="shared" si="2"/>
        <v>0</v>
      </c>
      <c r="AF10" s="64">
        <f>SUM(H10:AE10)</f>
        <v>0</v>
      </c>
      <c r="AG10" s="59" t="str">
        <f>IF(ABS(AF10-F10)&lt;1,"ok","err")</f>
        <v>ok</v>
      </c>
    </row>
    <row r="11" spans="1:37" x14ac:dyDescent="0.25">
      <c r="A11" s="62">
        <v>303</v>
      </c>
      <c r="B11" s="61" t="s">
        <v>936</v>
      </c>
      <c r="C11" s="45" t="s">
        <v>1160</v>
      </c>
      <c r="D11" s="45" t="s">
        <v>1186</v>
      </c>
      <c r="F11" s="80">
        <v>0</v>
      </c>
      <c r="H11" s="64">
        <f t="shared" si="1"/>
        <v>0</v>
      </c>
      <c r="I11" s="64">
        <f t="shared" si="1"/>
        <v>0</v>
      </c>
      <c r="J11" s="64">
        <f t="shared" si="1"/>
        <v>0</v>
      </c>
      <c r="K11" s="64">
        <f t="shared" si="1"/>
        <v>0</v>
      </c>
      <c r="L11" s="64">
        <f t="shared" si="1"/>
        <v>0</v>
      </c>
      <c r="M11" s="64">
        <f t="shared" si="1"/>
        <v>0</v>
      </c>
      <c r="N11" s="64">
        <f t="shared" si="1"/>
        <v>0</v>
      </c>
      <c r="O11" s="64">
        <f t="shared" si="1"/>
        <v>0</v>
      </c>
      <c r="P11" s="64">
        <f t="shared" si="1"/>
        <v>0</v>
      </c>
      <c r="Q11" s="64">
        <f t="shared" si="1"/>
        <v>0</v>
      </c>
      <c r="R11" s="64">
        <f t="shared" si="2"/>
        <v>0</v>
      </c>
      <c r="S11" s="64">
        <f t="shared" si="2"/>
        <v>0</v>
      </c>
      <c r="T11" s="64">
        <f t="shared" si="2"/>
        <v>0</v>
      </c>
      <c r="U11" s="64">
        <f t="shared" si="2"/>
        <v>0</v>
      </c>
      <c r="V11" s="64">
        <f t="shared" si="2"/>
        <v>0</v>
      </c>
      <c r="W11" s="64">
        <f t="shared" si="2"/>
        <v>0</v>
      </c>
      <c r="X11" s="64">
        <f t="shared" si="2"/>
        <v>0</v>
      </c>
      <c r="Y11" s="64">
        <f t="shared" si="2"/>
        <v>0</v>
      </c>
      <c r="Z11" s="64">
        <f t="shared" si="2"/>
        <v>0</v>
      </c>
      <c r="AA11" s="64">
        <f t="shared" si="2"/>
        <v>0</v>
      </c>
      <c r="AB11" s="64">
        <f t="shared" si="2"/>
        <v>0</v>
      </c>
      <c r="AC11" s="64">
        <f t="shared" si="2"/>
        <v>0</v>
      </c>
      <c r="AD11" s="64">
        <f t="shared" si="2"/>
        <v>0</v>
      </c>
      <c r="AE11" s="64">
        <f t="shared" si="2"/>
        <v>0</v>
      </c>
      <c r="AF11" s="64">
        <f>SUM(H11:AE11)</f>
        <v>0</v>
      </c>
      <c r="AG11" s="59" t="str">
        <f>IF(ABS(AF11-F11)&lt;1,"ok","err")</f>
        <v>ok</v>
      </c>
    </row>
    <row r="12" spans="1:37" x14ac:dyDescent="0.25">
      <c r="A12" s="62">
        <v>301</v>
      </c>
      <c r="B12" s="61" t="s">
        <v>934</v>
      </c>
      <c r="C12" s="45" t="s">
        <v>1159</v>
      </c>
      <c r="D12" s="45" t="s">
        <v>1186</v>
      </c>
      <c r="F12" s="258">
        <v>0</v>
      </c>
      <c r="H12" s="64">
        <f t="shared" si="1"/>
        <v>0</v>
      </c>
      <c r="I12" s="64">
        <f t="shared" si="1"/>
        <v>0</v>
      </c>
      <c r="J12" s="64">
        <f t="shared" si="1"/>
        <v>0</v>
      </c>
      <c r="K12" s="64">
        <f t="shared" si="1"/>
        <v>0</v>
      </c>
      <c r="L12" s="64">
        <f t="shared" si="1"/>
        <v>0</v>
      </c>
      <c r="M12" s="64">
        <f t="shared" si="1"/>
        <v>0</v>
      </c>
      <c r="N12" s="64">
        <f t="shared" si="1"/>
        <v>0</v>
      </c>
      <c r="O12" s="64">
        <f t="shared" si="1"/>
        <v>0</v>
      </c>
      <c r="P12" s="64">
        <f t="shared" si="1"/>
        <v>0</v>
      </c>
      <c r="Q12" s="64">
        <f t="shared" si="1"/>
        <v>0</v>
      </c>
      <c r="R12" s="64">
        <f t="shared" si="2"/>
        <v>0</v>
      </c>
      <c r="S12" s="64">
        <f t="shared" si="2"/>
        <v>0</v>
      </c>
      <c r="T12" s="64">
        <f t="shared" si="2"/>
        <v>0</v>
      </c>
      <c r="U12" s="64">
        <f t="shared" si="2"/>
        <v>0</v>
      </c>
      <c r="V12" s="64">
        <f t="shared" si="2"/>
        <v>0</v>
      </c>
      <c r="W12" s="64">
        <f t="shared" si="2"/>
        <v>0</v>
      </c>
      <c r="X12" s="64">
        <f t="shared" si="2"/>
        <v>0</v>
      </c>
      <c r="Y12" s="64">
        <f t="shared" si="2"/>
        <v>0</v>
      </c>
      <c r="Z12" s="64">
        <f t="shared" si="2"/>
        <v>0</v>
      </c>
      <c r="AA12" s="64">
        <f t="shared" si="2"/>
        <v>0</v>
      </c>
      <c r="AB12" s="64">
        <f t="shared" si="2"/>
        <v>0</v>
      </c>
      <c r="AC12" s="64">
        <f t="shared" si="2"/>
        <v>0</v>
      </c>
      <c r="AD12" s="64">
        <f t="shared" si="2"/>
        <v>0</v>
      </c>
      <c r="AE12" s="64">
        <f t="shared" si="2"/>
        <v>0</v>
      </c>
      <c r="AF12" s="64">
        <f>SUM(H12:AE12)</f>
        <v>0</v>
      </c>
      <c r="AG12" s="59" t="str">
        <f>IF(ABS(AF12-F12)&lt;1,"ok","err")</f>
        <v>ok</v>
      </c>
    </row>
    <row r="13" spans="1:37" x14ac:dyDescent="0.25">
      <c r="A13" s="62">
        <v>302</v>
      </c>
      <c r="B13" s="61" t="s">
        <v>935</v>
      </c>
      <c r="C13" s="45" t="s">
        <v>1159</v>
      </c>
      <c r="D13" s="45" t="s">
        <v>1186</v>
      </c>
      <c r="F13" s="80">
        <v>0</v>
      </c>
      <c r="H13" s="64">
        <f t="shared" si="1"/>
        <v>0</v>
      </c>
      <c r="I13" s="64">
        <f t="shared" si="1"/>
        <v>0</v>
      </c>
      <c r="J13" s="64">
        <f t="shared" si="1"/>
        <v>0</v>
      </c>
      <c r="K13" s="64">
        <f t="shared" si="1"/>
        <v>0</v>
      </c>
      <c r="L13" s="64">
        <f t="shared" si="1"/>
        <v>0</v>
      </c>
      <c r="M13" s="64">
        <f t="shared" si="1"/>
        <v>0</v>
      </c>
      <c r="N13" s="64">
        <f t="shared" si="1"/>
        <v>0</v>
      </c>
      <c r="O13" s="64">
        <f t="shared" si="1"/>
        <v>0</v>
      </c>
      <c r="P13" s="64">
        <f t="shared" si="1"/>
        <v>0</v>
      </c>
      <c r="Q13" s="64">
        <f t="shared" si="1"/>
        <v>0</v>
      </c>
      <c r="R13" s="64">
        <f t="shared" si="2"/>
        <v>0</v>
      </c>
      <c r="S13" s="64">
        <f t="shared" si="2"/>
        <v>0</v>
      </c>
      <c r="T13" s="64">
        <f t="shared" si="2"/>
        <v>0</v>
      </c>
      <c r="U13" s="64">
        <f t="shared" si="2"/>
        <v>0</v>
      </c>
      <c r="V13" s="64">
        <f t="shared" si="2"/>
        <v>0</v>
      </c>
      <c r="W13" s="64">
        <f t="shared" si="2"/>
        <v>0</v>
      </c>
      <c r="X13" s="64">
        <f t="shared" si="2"/>
        <v>0</v>
      </c>
      <c r="Y13" s="64">
        <f t="shared" si="2"/>
        <v>0</v>
      </c>
      <c r="Z13" s="64">
        <f t="shared" si="2"/>
        <v>0</v>
      </c>
      <c r="AA13" s="64">
        <f t="shared" si="2"/>
        <v>0</v>
      </c>
      <c r="AB13" s="64">
        <f t="shared" si="2"/>
        <v>0</v>
      </c>
      <c r="AC13" s="64">
        <f t="shared" si="2"/>
        <v>0</v>
      </c>
      <c r="AD13" s="64">
        <f t="shared" si="2"/>
        <v>0</v>
      </c>
      <c r="AE13" s="64">
        <f t="shared" si="2"/>
        <v>0</v>
      </c>
      <c r="AF13" s="64">
        <f>SUM(H13:AE13)</f>
        <v>0</v>
      </c>
      <c r="AG13" s="59" t="str">
        <f>IF(ABS(AF13-F13)&lt;1,"ok","err")</f>
        <v>ok</v>
      </c>
    </row>
    <row r="14" spans="1:37" x14ac:dyDescent="0.25">
      <c r="A14" s="61"/>
      <c r="B14" s="61"/>
      <c r="AG14" s="59"/>
    </row>
    <row r="15" spans="1:37" x14ac:dyDescent="0.25">
      <c r="A15" s="61"/>
      <c r="B15" s="61" t="s">
        <v>958</v>
      </c>
      <c r="C15" s="45" t="s">
        <v>959</v>
      </c>
      <c r="F15" s="81">
        <f>SUM(F9:F14)</f>
        <v>73343.910000000018</v>
      </c>
      <c r="G15" s="65">
        <f>SUM(G9:G11)</f>
        <v>0</v>
      </c>
      <c r="H15" s="65">
        <f>SUM(H9:H13)</f>
        <v>14999.750876979819</v>
      </c>
      <c r="I15" s="65">
        <f>SUM(I9:I13)</f>
        <v>14616.718510890718</v>
      </c>
      <c r="J15" s="65">
        <f t="shared" ref="J15:AE15" si="3">SUM(J9:J13)</f>
        <v>13252.312245721025</v>
      </c>
      <c r="K15" s="65">
        <f t="shared" si="3"/>
        <v>0</v>
      </c>
      <c r="L15" s="65">
        <f t="shared" si="3"/>
        <v>0</v>
      </c>
      <c r="M15" s="65">
        <f t="shared" si="3"/>
        <v>0</v>
      </c>
      <c r="N15" s="65">
        <f t="shared" si="3"/>
        <v>2685.7318660263913</v>
      </c>
      <c r="O15" s="65">
        <f t="shared" si="3"/>
        <v>2617.1492449040784</v>
      </c>
      <c r="P15" s="65">
        <f t="shared" si="3"/>
        <v>2372.8498952264699</v>
      </c>
      <c r="Q15" s="65">
        <f t="shared" si="3"/>
        <v>0</v>
      </c>
      <c r="R15" s="65">
        <f t="shared" si="3"/>
        <v>2717.5307071567349</v>
      </c>
      <c r="S15" s="65">
        <f t="shared" si="3"/>
        <v>0</v>
      </c>
      <c r="T15" s="65">
        <f t="shared" si="3"/>
        <v>3988.1180447340034</v>
      </c>
      <c r="U15" s="65">
        <f t="shared" si="3"/>
        <v>6480.3923396534919</v>
      </c>
      <c r="V15" s="65">
        <f t="shared" si="3"/>
        <v>1329.3726815780012</v>
      </c>
      <c r="W15" s="65">
        <f t="shared" si="3"/>
        <v>2160.1307798844973</v>
      </c>
      <c r="X15" s="65">
        <f t="shared" si="3"/>
        <v>1647.8815286851031</v>
      </c>
      <c r="Y15" s="65">
        <f t="shared" si="3"/>
        <v>1250.594013990092</v>
      </c>
      <c r="Z15" s="65">
        <f t="shared" si="3"/>
        <v>593.49173802363066</v>
      </c>
      <c r="AA15" s="65">
        <f t="shared" si="3"/>
        <v>783.8048252484665</v>
      </c>
      <c r="AB15" s="65">
        <f t="shared" si="3"/>
        <v>1848.0807012975008</v>
      </c>
      <c r="AC15" s="65">
        <f t="shared" si="3"/>
        <v>0</v>
      </c>
      <c r="AD15" s="65">
        <f t="shared" si="3"/>
        <v>0</v>
      </c>
      <c r="AE15" s="65">
        <f t="shared" si="3"/>
        <v>0</v>
      </c>
      <c r="AF15" s="64">
        <f>SUM(H15:AE15)</f>
        <v>73343.910000000033</v>
      </c>
      <c r="AG15" s="59" t="str">
        <f>IF(ABS(AF15-F15)&lt;1,"ok","err")</f>
        <v>ok</v>
      </c>
    </row>
    <row r="16" spans="1:37" x14ac:dyDescent="0.25">
      <c r="A16" s="61"/>
      <c r="B16" s="61"/>
      <c r="F16" s="81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4"/>
      <c r="AG16" s="59"/>
    </row>
    <row r="17" spans="1:33" x14ac:dyDescent="0.25">
      <c r="A17" s="60" t="s">
        <v>195</v>
      </c>
      <c r="B17" s="61"/>
      <c r="W17" s="45"/>
      <c r="AG17" s="59"/>
    </row>
    <row r="18" spans="1:33" x14ac:dyDescent="0.25">
      <c r="A18" s="61"/>
      <c r="B18" s="61"/>
      <c r="F18" s="81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4"/>
      <c r="AG18" s="59"/>
    </row>
    <row r="19" spans="1:33" x14ac:dyDescent="0.25">
      <c r="A19" s="61"/>
      <c r="B19" s="61" t="s">
        <v>196</v>
      </c>
      <c r="C19" s="45" t="s">
        <v>197</v>
      </c>
      <c r="D19" s="45" t="s">
        <v>645</v>
      </c>
      <c r="F19" s="81">
        <v>1819674529.8146157</v>
      </c>
      <c r="G19" s="65"/>
      <c r="H19" s="64">
        <f t="shared" ref="H19:AE19" si="4">IF(VLOOKUP($D19,$C$6:$AE$651,H$2,)=0,0,((VLOOKUP($D19,$C$6:$AE$651,H$2,)/VLOOKUP($D19,$C$6:$AE$651,4,))*$F19))</f>
        <v>636702597.6548115</v>
      </c>
      <c r="I19" s="64">
        <f t="shared" si="4"/>
        <v>620443814.12734115</v>
      </c>
      <c r="J19" s="64">
        <f t="shared" si="4"/>
        <v>562528118.03246307</v>
      </c>
      <c r="K19" s="64">
        <f t="shared" si="4"/>
        <v>0</v>
      </c>
      <c r="L19" s="64">
        <f t="shared" si="4"/>
        <v>0</v>
      </c>
      <c r="M19" s="64">
        <f t="shared" si="4"/>
        <v>0</v>
      </c>
      <c r="N19" s="64">
        <f t="shared" si="4"/>
        <v>0</v>
      </c>
      <c r="O19" s="64">
        <f t="shared" si="4"/>
        <v>0</v>
      </c>
      <c r="P19" s="64">
        <f t="shared" si="4"/>
        <v>0</v>
      </c>
      <c r="Q19" s="64">
        <f t="shared" si="4"/>
        <v>0</v>
      </c>
      <c r="R19" s="64">
        <f t="shared" si="4"/>
        <v>0</v>
      </c>
      <c r="S19" s="64">
        <f t="shared" si="4"/>
        <v>0</v>
      </c>
      <c r="T19" s="64">
        <f t="shared" si="4"/>
        <v>0</v>
      </c>
      <c r="U19" s="64">
        <f t="shared" si="4"/>
        <v>0</v>
      </c>
      <c r="V19" s="64">
        <f t="shared" si="4"/>
        <v>0</v>
      </c>
      <c r="W19" s="64">
        <f t="shared" si="4"/>
        <v>0</v>
      </c>
      <c r="X19" s="64">
        <f t="shared" si="4"/>
        <v>0</v>
      </c>
      <c r="Y19" s="64">
        <f t="shared" si="4"/>
        <v>0</v>
      </c>
      <c r="Z19" s="64">
        <f t="shared" si="4"/>
        <v>0</v>
      </c>
      <c r="AA19" s="64">
        <f t="shared" si="4"/>
        <v>0</v>
      </c>
      <c r="AB19" s="64">
        <f t="shared" si="4"/>
        <v>0</v>
      </c>
      <c r="AC19" s="64">
        <f t="shared" si="4"/>
        <v>0</v>
      </c>
      <c r="AD19" s="64">
        <f t="shared" si="4"/>
        <v>0</v>
      </c>
      <c r="AE19" s="64">
        <f t="shared" si="4"/>
        <v>0</v>
      </c>
      <c r="AF19" s="64">
        <f>SUM(H19:AE19)</f>
        <v>1819674529.8146157</v>
      </c>
      <c r="AG19" s="59" t="str">
        <f>IF(ABS(AF19-F19)&lt;1,"ok","err")</f>
        <v>ok</v>
      </c>
    </row>
    <row r="20" spans="1:33" x14ac:dyDescent="0.25">
      <c r="A20" s="61"/>
      <c r="B20" s="61"/>
      <c r="AG20" s="59"/>
    </row>
    <row r="21" spans="1:33" x14ac:dyDescent="0.25">
      <c r="A21" s="60" t="s">
        <v>303</v>
      </c>
      <c r="B21" s="61"/>
      <c r="W21" s="45"/>
      <c r="AG21" s="59"/>
    </row>
    <row r="22" spans="1:33" x14ac:dyDescent="0.25">
      <c r="A22" s="61"/>
      <c r="B22" s="61"/>
      <c r="F22" s="81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4"/>
      <c r="AG22" s="59"/>
    </row>
    <row r="23" spans="1:33" x14ac:dyDescent="0.25">
      <c r="A23" s="61"/>
      <c r="B23" s="61" t="s">
        <v>304</v>
      </c>
      <c r="C23" s="45" t="s">
        <v>305</v>
      </c>
      <c r="D23" s="45" t="s">
        <v>645</v>
      </c>
      <c r="F23" s="81">
        <v>112960056.2453845</v>
      </c>
      <c r="G23" s="65"/>
      <c r="H23" s="64">
        <f t="shared" ref="H23:AE23" si="5">IF(VLOOKUP($D23,$C$6:$AE$651,H$2,)=0,0,((VLOOKUP($D23,$C$6:$AE$651,H$2,)/VLOOKUP($D23,$C$6:$AE$651,4,))*$F23))</f>
        <v>39524629.302800193</v>
      </c>
      <c r="I23" s="64">
        <f t="shared" si="5"/>
        <v>38515331.721473001</v>
      </c>
      <c r="J23" s="64">
        <f t="shared" si="5"/>
        <v>34920095.221111298</v>
      </c>
      <c r="K23" s="64">
        <f t="shared" si="5"/>
        <v>0</v>
      </c>
      <c r="L23" s="64">
        <f t="shared" si="5"/>
        <v>0</v>
      </c>
      <c r="M23" s="64">
        <f t="shared" si="5"/>
        <v>0</v>
      </c>
      <c r="N23" s="64">
        <f t="shared" si="5"/>
        <v>0</v>
      </c>
      <c r="O23" s="64">
        <f t="shared" si="5"/>
        <v>0</v>
      </c>
      <c r="P23" s="64">
        <f t="shared" si="5"/>
        <v>0</v>
      </c>
      <c r="Q23" s="64">
        <f t="shared" si="5"/>
        <v>0</v>
      </c>
      <c r="R23" s="64">
        <f t="shared" si="5"/>
        <v>0</v>
      </c>
      <c r="S23" s="64">
        <f t="shared" si="5"/>
        <v>0</v>
      </c>
      <c r="T23" s="64">
        <f t="shared" si="5"/>
        <v>0</v>
      </c>
      <c r="U23" s="64">
        <f t="shared" si="5"/>
        <v>0</v>
      </c>
      <c r="V23" s="64">
        <f t="shared" si="5"/>
        <v>0</v>
      </c>
      <c r="W23" s="64">
        <f t="shared" si="5"/>
        <v>0</v>
      </c>
      <c r="X23" s="64">
        <f t="shared" si="5"/>
        <v>0</v>
      </c>
      <c r="Y23" s="64">
        <f t="shared" si="5"/>
        <v>0</v>
      </c>
      <c r="Z23" s="64">
        <f t="shared" si="5"/>
        <v>0</v>
      </c>
      <c r="AA23" s="64">
        <f t="shared" si="5"/>
        <v>0</v>
      </c>
      <c r="AB23" s="64">
        <f t="shared" si="5"/>
        <v>0</v>
      </c>
      <c r="AC23" s="64">
        <f t="shared" si="5"/>
        <v>0</v>
      </c>
      <c r="AD23" s="64">
        <f t="shared" si="5"/>
        <v>0</v>
      </c>
      <c r="AE23" s="64">
        <f t="shared" si="5"/>
        <v>0</v>
      </c>
      <c r="AF23" s="64">
        <f>SUM(H23:AE23)</f>
        <v>112960056.24538448</v>
      </c>
      <c r="AG23" s="59" t="str">
        <f>IF(ABS(AF23-F23)&lt;1,"ok","err")</f>
        <v>ok</v>
      </c>
    </row>
    <row r="24" spans="1:33" x14ac:dyDescent="0.25">
      <c r="A24" s="61"/>
      <c r="B24" s="61"/>
      <c r="AG24" s="59"/>
    </row>
    <row r="25" spans="1:33" x14ac:dyDescent="0.25">
      <c r="A25" s="60" t="s">
        <v>198</v>
      </c>
      <c r="B25" s="61"/>
      <c r="W25" s="45"/>
      <c r="AG25" s="59"/>
    </row>
    <row r="26" spans="1:33" x14ac:dyDescent="0.25">
      <c r="A26" s="61"/>
      <c r="B26" s="61"/>
      <c r="F26" s="81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4"/>
      <c r="AG26" s="59"/>
    </row>
    <row r="27" spans="1:33" x14ac:dyDescent="0.25">
      <c r="A27" s="61"/>
      <c r="B27" s="61" t="s">
        <v>199</v>
      </c>
      <c r="C27" s="45" t="s">
        <v>200</v>
      </c>
      <c r="D27" s="45" t="s">
        <v>645</v>
      </c>
      <c r="F27" s="81">
        <v>379370791.76846159</v>
      </c>
      <c r="G27" s="65"/>
      <c r="H27" s="64">
        <f t="shared" ref="H27:AE27" si="6">IF(VLOOKUP($D27,$C$6:$AE$651,H$2,)=0,0,((VLOOKUP($D27,$C$6:$AE$651,H$2,)/VLOOKUP($D27,$C$6:$AE$651,4,))*$F27))</f>
        <v>132741523.07772878</v>
      </c>
      <c r="I27" s="64">
        <f t="shared" si="6"/>
        <v>129351846.80378717</v>
      </c>
      <c r="J27" s="64">
        <f t="shared" si="6"/>
        <v>117277421.88694564</v>
      </c>
      <c r="K27" s="64">
        <f t="shared" si="6"/>
        <v>0</v>
      </c>
      <c r="L27" s="64">
        <f t="shared" si="6"/>
        <v>0</v>
      </c>
      <c r="M27" s="64">
        <f t="shared" si="6"/>
        <v>0</v>
      </c>
      <c r="N27" s="64">
        <f t="shared" si="6"/>
        <v>0</v>
      </c>
      <c r="O27" s="64">
        <f t="shared" si="6"/>
        <v>0</v>
      </c>
      <c r="P27" s="64">
        <f t="shared" si="6"/>
        <v>0</v>
      </c>
      <c r="Q27" s="64">
        <f t="shared" si="6"/>
        <v>0</v>
      </c>
      <c r="R27" s="64">
        <f t="shared" si="6"/>
        <v>0</v>
      </c>
      <c r="S27" s="64">
        <f t="shared" si="6"/>
        <v>0</v>
      </c>
      <c r="T27" s="64">
        <f t="shared" si="6"/>
        <v>0</v>
      </c>
      <c r="U27" s="64">
        <f t="shared" si="6"/>
        <v>0</v>
      </c>
      <c r="V27" s="64">
        <f t="shared" si="6"/>
        <v>0</v>
      </c>
      <c r="W27" s="64">
        <f t="shared" si="6"/>
        <v>0</v>
      </c>
      <c r="X27" s="64">
        <f t="shared" si="6"/>
        <v>0</v>
      </c>
      <c r="Y27" s="64">
        <f t="shared" si="6"/>
        <v>0</v>
      </c>
      <c r="Z27" s="64">
        <f t="shared" si="6"/>
        <v>0</v>
      </c>
      <c r="AA27" s="64">
        <f t="shared" si="6"/>
        <v>0</v>
      </c>
      <c r="AB27" s="64">
        <f t="shared" si="6"/>
        <v>0</v>
      </c>
      <c r="AC27" s="64">
        <f t="shared" si="6"/>
        <v>0</v>
      </c>
      <c r="AD27" s="64">
        <f t="shared" si="6"/>
        <v>0</v>
      </c>
      <c r="AE27" s="64">
        <f t="shared" si="6"/>
        <v>0</v>
      </c>
      <c r="AF27" s="64">
        <f>SUM(H27:AE27)</f>
        <v>379370791.76846159</v>
      </c>
      <c r="AG27" s="59" t="str">
        <f>IF(ABS(AF27-F27)&lt;1,"ok","err")</f>
        <v>ok</v>
      </c>
    </row>
    <row r="28" spans="1:33" x14ac:dyDescent="0.25">
      <c r="A28" s="61"/>
      <c r="B28" s="61"/>
      <c r="AG28" s="59"/>
    </row>
    <row r="29" spans="1:33" x14ac:dyDescent="0.25">
      <c r="A29" s="61"/>
      <c r="B29" s="66" t="s">
        <v>201</v>
      </c>
      <c r="C29" s="45" t="s">
        <v>202</v>
      </c>
      <c r="F29" s="81">
        <f>F19+F23+F27</f>
        <v>2312005377.8284616</v>
      </c>
      <c r="G29" s="65"/>
      <c r="H29" s="65">
        <f t="shared" ref="H29:AE29" si="7">H19+H23+H27</f>
        <v>808968750.03534043</v>
      </c>
      <c r="I29" s="65">
        <f t="shared" si="7"/>
        <v>788310992.65260124</v>
      </c>
      <c r="J29" s="65">
        <f t="shared" si="7"/>
        <v>714725635.14051998</v>
      </c>
      <c r="K29" s="65">
        <f t="shared" si="7"/>
        <v>0</v>
      </c>
      <c r="L29" s="65">
        <f t="shared" si="7"/>
        <v>0</v>
      </c>
      <c r="M29" s="65">
        <f t="shared" si="7"/>
        <v>0</v>
      </c>
      <c r="N29" s="65">
        <f t="shared" si="7"/>
        <v>0</v>
      </c>
      <c r="O29" s="65">
        <f>O19+O23+O27</f>
        <v>0</v>
      </c>
      <c r="P29" s="65">
        <f>P19+P23+P27</f>
        <v>0</v>
      </c>
      <c r="Q29" s="65">
        <f t="shared" si="7"/>
        <v>0</v>
      </c>
      <c r="R29" s="65"/>
      <c r="S29" s="65">
        <f t="shared" si="7"/>
        <v>0</v>
      </c>
      <c r="T29" s="65">
        <f t="shared" si="7"/>
        <v>0</v>
      </c>
      <c r="U29" s="65"/>
      <c r="V29" s="65"/>
      <c r="W29" s="65"/>
      <c r="X29" s="65">
        <f t="shared" si="7"/>
        <v>0</v>
      </c>
      <c r="Y29" s="65">
        <f t="shared" si="7"/>
        <v>0</v>
      </c>
      <c r="Z29" s="65"/>
      <c r="AA29" s="65"/>
      <c r="AB29" s="65">
        <f t="shared" si="7"/>
        <v>0</v>
      </c>
      <c r="AC29" s="65">
        <f t="shared" si="7"/>
        <v>0</v>
      </c>
      <c r="AD29" s="65">
        <f t="shared" si="7"/>
        <v>0</v>
      </c>
      <c r="AE29" s="65">
        <f t="shared" si="7"/>
        <v>0</v>
      </c>
      <c r="AF29" s="64">
        <f>SUM(H29:AE29)</f>
        <v>2312005377.8284616</v>
      </c>
      <c r="AG29" s="59" t="str">
        <f>IF(ABS(AF29-F29)&lt;1,"ok","err")</f>
        <v>ok</v>
      </c>
    </row>
    <row r="30" spans="1:33" x14ac:dyDescent="0.25">
      <c r="A30" s="61"/>
      <c r="B30" s="61"/>
      <c r="AG30" s="59"/>
    </row>
    <row r="31" spans="1:33" x14ac:dyDescent="0.25">
      <c r="A31" s="60" t="s">
        <v>1153</v>
      </c>
      <c r="B31" s="61"/>
      <c r="W31" s="45"/>
      <c r="AG31" s="59"/>
    </row>
    <row r="32" spans="1:33" x14ac:dyDescent="0.25">
      <c r="A32" s="61"/>
      <c r="B32" s="61"/>
      <c r="W32" s="45"/>
      <c r="AF32" s="64"/>
      <c r="AG32" s="59"/>
    </row>
    <row r="33" spans="1:33" x14ac:dyDescent="0.25">
      <c r="A33" s="61"/>
      <c r="B33" s="61" t="s">
        <v>1156</v>
      </c>
      <c r="C33" s="45" t="s">
        <v>1184</v>
      </c>
      <c r="D33" s="45" t="s">
        <v>1185</v>
      </c>
      <c r="F33" s="81">
        <v>413968643.11846131</v>
      </c>
      <c r="G33" s="65"/>
      <c r="H33" s="64">
        <f t="shared" ref="H33:AE33" si="8">IF(VLOOKUP($D33,$C$6:$AE$651,H$2,)=0,0,((VLOOKUP($D33,$C$6:$AE$651,H$2,)/VLOOKUP($D33,$C$6:$AE$651,4,))*$F33))</f>
        <v>0</v>
      </c>
      <c r="I33" s="64">
        <f t="shared" si="8"/>
        <v>0</v>
      </c>
      <c r="J33" s="64">
        <f t="shared" si="8"/>
        <v>0</v>
      </c>
      <c r="K33" s="64">
        <f t="shared" si="8"/>
        <v>0</v>
      </c>
      <c r="L33" s="64">
        <f t="shared" si="8"/>
        <v>0</v>
      </c>
      <c r="M33" s="64">
        <f t="shared" si="8"/>
        <v>0</v>
      </c>
      <c r="N33" s="64">
        <f t="shared" si="8"/>
        <v>144847282.35879323</v>
      </c>
      <c r="O33" s="64">
        <f t="shared" si="8"/>
        <v>141148474.4426823</v>
      </c>
      <c r="P33" s="64">
        <f t="shared" si="8"/>
        <v>127972886.31698579</v>
      </c>
      <c r="Q33" s="64">
        <f t="shared" si="8"/>
        <v>0</v>
      </c>
      <c r="R33" s="64">
        <f t="shared" si="8"/>
        <v>0</v>
      </c>
      <c r="S33" s="64">
        <f t="shared" si="8"/>
        <v>0</v>
      </c>
      <c r="T33" s="64">
        <f t="shared" si="8"/>
        <v>0</v>
      </c>
      <c r="U33" s="64">
        <f t="shared" si="8"/>
        <v>0</v>
      </c>
      <c r="V33" s="64">
        <f t="shared" si="8"/>
        <v>0</v>
      </c>
      <c r="W33" s="64">
        <f t="shared" si="8"/>
        <v>0</v>
      </c>
      <c r="X33" s="64">
        <f t="shared" si="8"/>
        <v>0</v>
      </c>
      <c r="Y33" s="64">
        <f t="shared" si="8"/>
        <v>0</v>
      </c>
      <c r="Z33" s="64">
        <f t="shared" si="8"/>
        <v>0</v>
      </c>
      <c r="AA33" s="64">
        <f t="shared" si="8"/>
        <v>0</v>
      </c>
      <c r="AB33" s="64">
        <f t="shared" si="8"/>
        <v>0</v>
      </c>
      <c r="AC33" s="64">
        <f t="shared" si="8"/>
        <v>0</v>
      </c>
      <c r="AD33" s="64">
        <f t="shared" si="8"/>
        <v>0</v>
      </c>
      <c r="AE33" s="64">
        <f t="shared" si="8"/>
        <v>0</v>
      </c>
      <c r="AF33" s="64">
        <f>SUM(H33:AE33)</f>
        <v>413968643.11846131</v>
      </c>
      <c r="AG33" s="59" t="str">
        <f>IF(ABS(AF33-F33)&lt;1,"ok","err")</f>
        <v>ok</v>
      </c>
    </row>
    <row r="34" spans="1:33" x14ac:dyDescent="0.25">
      <c r="A34" s="61"/>
      <c r="B34" s="61"/>
      <c r="W34" s="45"/>
      <c r="AG34" s="59"/>
    </row>
    <row r="35" spans="1:33" x14ac:dyDescent="0.25">
      <c r="A35" s="60" t="s">
        <v>960</v>
      </c>
      <c r="B35" s="61"/>
      <c r="W35" s="45"/>
      <c r="AG35" s="59"/>
    </row>
    <row r="36" spans="1:33" x14ac:dyDescent="0.25">
      <c r="A36" s="299"/>
      <c r="B36" s="43" t="s">
        <v>306</v>
      </c>
      <c r="C36" s="45" t="s">
        <v>961</v>
      </c>
      <c r="D36" s="45" t="s">
        <v>962</v>
      </c>
      <c r="F36" s="77">
        <v>146562262.09230772</v>
      </c>
      <c r="H36" s="64">
        <f t="shared" ref="H36:Q44" si="9">IF(VLOOKUP($D36,$C$6:$AE$651,H$2,)=0,0,((VLOOKUP($D36,$C$6:$AE$651,H$2,)/VLOOKUP($D36,$C$6:$AE$651,4,))*$F36))</f>
        <v>0</v>
      </c>
      <c r="I36" s="64">
        <f t="shared" si="9"/>
        <v>0</v>
      </c>
      <c r="J36" s="64">
        <f t="shared" si="9"/>
        <v>0</v>
      </c>
      <c r="K36" s="64">
        <f t="shared" si="9"/>
        <v>0</v>
      </c>
      <c r="L36" s="64">
        <f t="shared" si="9"/>
        <v>0</v>
      </c>
      <c r="M36" s="64">
        <f t="shared" si="9"/>
        <v>0</v>
      </c>
      <c r="N36" s="64">
        <f t="shared" si="9"/>
        <v>0</v>
      </c>
      <c r="O36" s="64">
        <f t="shared" si="9"/>
        <v>0</v>
      </c>
      <c r="P36" s="64">
        <f t="shared" si="9"/>
        <v>0</v>
      </c>
      <c r="Q36" s="64">
        <f t="shared" si="9"/>
        <v>0</v>
      </c>
      <c r="R36" s="64">
        <f t="shared" ref="R36:AE44" si="10">IF(VLOOKUP($D36,$C$6:$AE$651,R$2,)=0,0,((VLOOKUP($D36,$C$6:$AE$651,R$2,)/VLOOKUP($D36,$C$6:$AE$651,4,))*$F36))</f>
        <v>146562262.09230772</v>
      </c>
      <c r="S36" s="64">
        <f t="shared" si="10"/>
        <v>0</v>
      </c>
      <c r="T36" s="64">
        <f t="shared" si="10"/>
        <v>0</v>
      </c>
      <c r="U36" s="64">
        <f t="shared" si="10"/>
        <v>0</v>
      </c>
      <c r="V36" s="64">
        <f t="shared" si="10"/>
        <v>0</v>
      </c>
      <c r="W36" s="64">
        <f t="shared" si="10"/>
        <v>0</v>
      </c>
      <c r="X36" s="64">
        <f t="shared" si="10"/>
        <v>0</v>
      </c>
      <c r="Y36" s="64">
        <f t="shared" si="10"/>
        <v>0</v>
      </c>
      <c r="Z36" s="64">
        <f t="shared" si="10"/>
        <v>0</v>
      </c>
      <c r="AA36" s="64">
        <f t="shared" si="10"/>
        <v>0</v>
      </c>
      <c r="AB36" s="64">
        <f t="shared" si="10"/>
        <v>0</v>
      </c>
      <c r="AC36" s="64">
        <f t="shared" si="10"/>
        <v>0</v>
      </c>
      <c r="AD36" s="64">
        <f t="shared" si="10"/>
        <v>0</v>
      </c>
      <c r="AE36" s="64">
        <f t="shared" si="10"/>
        <v>0</v>
      </c>
      <c r="AF36" s="64">
        <f t="shared" ref="AF36:AF43" si="11">SUM(H36:AE36)</f>
        <v>146562262.09230772</v>
      </c>
      <c r="AG36" s="59" t="str">
        <f t="shared" ref="AG36:AG44" si="12">IF(ABS(AF36-F36)&lt;1,"ok","err")</f>
        <v>ok</v>
      </c>
    </row>
    <row r="37" spans="1:33" x14ac:dyDescent="0.25">
      <c r="A37" s="299"/>
      <c r="B37" s="43" t="s">
        <v>307</v>
      </c>
      <c r="C37" s="45" t="s">
        <v>964</v>
      </c>
      <c r="D37" s="45" t="s">
        <v>965</v>
      </c>
      <c r="F37" s="80">
        <v>477433059.93538362</v>
      </c>
      <c r="H37" s="64">
        <f t="shared" si="9"/>
        <v>0</v>
      </c>
      <c r="I37" s="64">
        <f t="shared" si="9"/>
        <v>0</v>
      </c>
      <c r="J37" s="64">
        <f t="shared" si="9"/>
        <v>0</v>
      </c>
      <c r="K37" s="64">
        <f t="shared" si="9"/>
        <v>0</v>
      </c>
      <c r="L37" s="64">
        <f t="shared" si="9"/>
        <v>0</v>
      </c>
      <c r="M37" s="64">
        <f t="shared" si="9"/>
        <v>0</v>
      </c>
      <c r="N37" s="64">
        <f t="shared" si="9"/>
        <v>0</v>
      </c>
      <c r="O37" s="64">
        <f t="shared" si="9"/>
        <v>0</v>
      </c>
      <c r="P37" s="64">
        <f t="shared" si="9"/>
        <v>0</v>
      </c>
      <c r="Q37" s="64">
        <f t="shared" si="9"/>
        <v>0</v>
      </c>
      <c r="R37" s="64">
        <f t="shared" si="10"/>
        <v>0</v>
      </c>
      <c r="S37" s="64">
        <f t="shared" si="10"/>
        <v>0</v>
      </c>
      <c r="T37" s="64">
        <f t="shared" si="10"/>
        <v>153112782.32127753</v>
      </c>
      <c r="U37" s="64">
        <f t="shared" si="10"/>
        <v>204962012.6302602</v>
      </c>
      <c r="V37" s="64">
        <f t="shared" si="10"/>
        <v>51037594.107092507</v>
      </c>
      <c r="W37" s="64">
        <f t="shared" si="10"/>
        <v>68320670.876753405</v>
      </c>
      <c r="X37" s="64">
        <f t="shared" si="10"/>
        <v>0</v>
      </c>
      <c r="Y37" s="64">
        <f t="shared" si="10"/>
        <v>0</v>
      </c>
      <c r="Z37" s="64">
        <f t="shared" si="10"/>
        <v>0</v>
      </c>
      <c r="AA37" s="64">
        <f t="shared" si="10"/>
        <v>0</v>
      </c>
      <c r="AB37" s="64">
        <f t="shared" si="10"/>
        <v>0</v>
      </c>
      <c r="AC37" s="64">
        <f t="shared" si="10"/>
        <v>0</v>
      </c>
      <c r="AD37" s="64">
        <f t="shared" si="10"/>
        <v>0</v>
      </c>
      <c r="AE37" s="64">
        <f t="shared" si="10"/>
        <v>0</v>
      </c>
      <c r="AF37" s="64">
        <f t="shared" si="11"/>
        <v>477433059.93538362</v>
      </c>
      <c r="AG37" s="59" t="str">
        <f t="shared" si="12"/>
        <v>ok</v>
      </c>
    </row>
    <row r="38" spans="1:33" x14ac:dyDescent="0.25">
      <c r="A38" s="299"/>
      <c r="B38" s="43" t="s">
        <v>308</v>
      </c>
      <c r="C38" s="45" t="s">
        <v>967</v>
      </c>
      <c r="D38" s="45" t="s">
        <v>966</v>
      </c>
      <c r="F38" s="80">
        <v>275352576.7369231</v>
      </c>
      <c r="H38" s="64">
        <f t="shared" si="9"/>
        <v>0</v>
      </c>
      <c r="I38" s="64">
        <f t="shared" si="9"/>
        <v>0</v>
      </c>
      <c r="J38" s="64">
        <f t="shared" si="9"/>
        <v>0</v>
      </c>
      <c r="K38" s="64">
        <f t="shared" si="9"/>
        <v>0</v>
      </c>
      <c r="L38" s="64">
        <f t="shared" si="9"/>
        <v>0</v>
      </c>
      <c r="M38" s="64">
        <f t="shared" si="9"/>
        <v>0</v>
      </c>
      <c r="N38" s="64">
        <f t="shared" si="9"/>
        <v>0</v>
      </c>
      <c r="O38" s="64">
        <f t="shared" si="9"/>
        <v>0</v>
      </c>
      <c r="P38" s="64">
        <f t="shared" si="9"/>
        <v>0</v>
      </c>
      <c r="Q38" s="64">
        <f t="shared" si="9"/>
        <v>0</v>
      </c>
      <c r="R38" s="64">
        <f t="shared" si="10"/>
        <v>0</v>
      </c>
      <c r="S38" s="64">
        <f t="shared" si="10"/>
        <v>0</v>
      </c>
      <c r="T38" s="64">
        <f t="shared" si="10"/>
        <v>61974981.209062956</v>
      </c>
      <c r="U38" s="64">
        <f t="shared" si="10"/>
        <v>144539451.34362936</v>
      </c>
      <c r="V38" s="64">
        <f t="shared" si="10"/>
        <v>20658327.069687653</v>
      </c>
      <c r="W38" s="64">
        <f t="shared" si="10"/>
        <v>48179817.114543118</v>
      </c>
      <c r="X38" s="64">
        <f t="shared" si="10"/>
        <v>0</v>
      </c>
      <c r="Y38" s="64">
        <f t="shared" si="10"/>
        <v>0</v>
      </c>
      <c r="Z38" s="64">
        <f t="shared" si="10"/>
        <v>0</v>
      </c>
      <c r="AA38" s="64">
        <f t="shared" si="10"/>
        <v>0</v>
      </c>
      <c r="AB38" s="64">
        <f t="shared" si="10"/>
        <v>0</v>
      </c>
      <c r="AC38" s="64">
        <f t="shared" si="10"/>
        <v>0</v>
      </c>
      <c r="AD38" s="64">
        <f t="shared" si="10"/>
        <v>0</v>
      </c>
      <c r="AE38" s="64">
        <f t="shared" si="10"/>
        <v>0</v>
      </c>
      <c r="AF38" s="64">
        <f t="shared" si="11"/>
        <v>275352576.7369231</v>
      </c>
      <c r="AG38" s="59" t="str">
        <f t="shared" si="12"/>
        <v>ok</v>
      </c>
    </row>
    <row r="39" spans="1:33" x14ac:dyDescent="0.25">
      <c r="A39" s="299"/>
      <c r="B39" s="43" t="s">
        <v>309</v>
      </c>
      <c r="C39" s="45" t="s">
        <v>968</v>
      </c>
      <c r="D39" s="45" t="s">
        <v>969</v>
      </c>
      <c r="F39" s="80">
        <v>156321005.32846153</v>
      </c>
      <c r="H39" s="64">
        <f t="shared" si="9"/>
        <v>0</v>
      </c>
      <c r="I39" s="64">
        <f t="shared" si="9"/>
        <v>0</v>
      </c>
      <c r="J39" s="64">
        <f t="shared" si="9"/>
        <v>0</v>
      </c>
      <c r="K39" s="64">
        <f t="shared" si="9"/>
        <v>0</v>
      </c>
      <c r="L39" s="64">
        <f t="shared" si="9"/>
        <v>0</v>
      </c>
      <c r="M39" s="64">
        <f t="shared" si="9"/>
        <v>0</v>
      </c>
      <c r="N39" s="64">
        <f t="shared" si="9"/>
        <v>0</v>
      </c>
      <c r="O39" s="64">
        <f t="shared" si="9"/>
        <v>0</v>
      </c>
      <c r="P39" s="64">
        <f t="shared" si="9"/>
        <v>0</v>
      </c>
      <c r="Q39" s="64">
        <f t="shared" si="9"/>
        <v>0</v>
      </c>
      <c r="R39" s="64">
        <f t="shared" si="10"/>
        <v>0</v>
      </c>
      <c r="S39" s="64">
        <f t="shared" si="10"/>
        <v>0</v>
      </c>
      <c r="T39" s="64">
        <f t="shared" si="10"/>
        <v>0</v>
      </c>
      <c r="U39" s="64">
        <f t="shared" si="10"/>
        <v>0</v>
      </c>
      <c r="V39" s="64">
        <f t="shared" si="10"/>
        <v>0</v>
      </c>
      <c r="W39" s="64">
        <f t="shared" si="10"/>
        <v>0</v>
      </c>
      <c r="X39" s="64">
        <f t="shared" si="10"/>
        <v>88873786.731525287</v>
      </c>
      <c r="Y39" s="64">
        <f t="shared" si="10"/>
        <v>67447218.596936226</v>
      </c>
      <c r="Z39" s="64">
        <f t="shared" si="10"/>
        <v>0</v>
      </c>
      <c r="AA39" s="64">
        <f t="shared" si="10"/>
        <v>0</v>
      </c>
      <c r="AB39" s="64">
        <f t="shared" si="10"/>
        <v>0</v>
      </c>
      <c r="AC39" s="64">
        <f t="shared" si="10"/>
        <v>0</v>
      </c>
      <c r="AD39" s="64">
        <f t="shared" si="10"/>
        <v>0</v>
      </c>
      <c r="AE39" s="64">
        <f t="shared" si="10"/>
        <v>0</v>
      </c>
      <c r="AF39" s="64">
        <f t="shared" si="11"/>
        <v>156321005.32846153</v>
      </c>
      <c r="AG39" s="59" t="str">
        <f t="shared" si="12"/>
        <v>ok</v>
      </c>
    </row>
    <row r="40" spans="1:33" x14ac:dyDescent="0.25">
      <c r="A40" s="299"/>
      <c r="B40" s="43" t="s">
        <v>310</v>
      </c>
      <c r="C40" s="45" t="s">
        <v>970</v>
      </c>
      <c r="D40" s="45" t="s">
        <v>971</v>
      </c>
      <c r="F40" s="80">
        <v>32008282.897692304</v>
      </c>
      <c r="H40" s="64">
        <f t="shared" si="9"/>
        <v>0</v>
      </c>
      <c r="I40" s="64">
        <f t="shared" si="9"/>
        <v>0</v>
      </c>
      <c r="J40" s="64">
        <f t="shared" si="9"/>
        <v>0</v>
      </c>
      <c r="K40" s="64">
        <f t="shared" si="9"/>
        <v>0</v>
      </c>
      <c r="L40" s="64">
        <f t="shared" si="9"/>
        <v>0</v>
      </c>
      <c r="M40" s="64">
        <f t="shared" si="9"/>
        <v>0</v>
      </c>
      <c r="N40" s="64">
        <f t="shared" si="9"/>
        <v>0</v>
      </c>
      <c r="O40" s="64">
        <f t="shared" si="9"/>
        <v>0</v>
      </c>
      <c r="P40" s="64">
        <f t="shared" si="9"/>
        <v>0</v>
      </c>
      <c r="Q40" s="64">
        <f t="shared" si="9"/>
        <v>0</v>
      </c>
      <c r="R40" s="64">
        <f t="shared" si="10"/>
        <v>0</v>
      </c>
      <c r="S40" s="64">
        <f t="shared" si="10"/>
        <v>0</v>
      </c>
      <c r="T40" s="64">
        <f t="shared" si="10"/>
        <v>0</v>
      </c>
      <c r="U40" s="64">
        <f t="shared" si="10"/>
        <v>0</v>
      </c>
      <c r="V40" s="64">
        <f t="shared" si="10"/>
        <v>0</v>
      </c>
      <c r="W40" s="64">
        <f t="shared" si="10"/>
        <v>0</v>
      </c>
      <c r="X40" s="64">
        <f t="shared" si="10"/>
        <v>0</v>
      </c>
      <c r="Y40" s="64">
        <f t="shared" si="10"/>
        <v>0</v>
      </c>
      <c r="Z40" s="64">
        <f t="shared" si="10"/>
        <v>32008282.897692304</v>
      </c>
      <c r="AA40" s="64">
        <f t="shared" si="10"/>
        <v>0</v>
      </c>
      <c r="AB40" s="64">
        <f t="shared" si="10"/>
        <v>0</v>
      </c>
      <c r="AC40" s="64">
        <f t="shared" si="10"/>
        <v>0</v>
      </c>
      <c r="AD40" s="64">
        <f t="shared" si="10"/>
        <v>0</v>
      </c>
      <c r="AE40" s="64">
        <f t="shared" si="10"/>
        <v>0</v>
      </c>
      <c r="AF40" s="64">
        <f t="shared" si="11"/>
        <v>32008282.897692304</v>
      </c>
      <c r="AG40" s="59" t="str">
        <f t="shared" si="12"/>
        <v>ok</v>
      </c>
    </row>
    <row r="41" spans="1:33" x14ac:dyDescent="0.25">
      <c r="A41" s="299"/>
      <c r="B41" s="43" t="s">
        <v>311</v>
      </c>
      <c r="C41" s="45" t="s">
        <v>972</v>
      </c>
      <c r="D41" s="45" t="s">
        <v>973</v>
      </c>
      <c r="F41" s="80">
        <v>42272276.049999997</v>
      </c>
      <c r="H41" s="64">
        <f t="shared" si="9"/>
        <v>0</v>
      </c>
      <c r="I41" s="64">
        <f t="shared" si="9"/>
        <v>0</v>
      </c>
      <c r="J41" s="64">
        <f t="shared" si="9"/>
        <v>0</v>
      </c>
      <c r="K41" s="64">
        <f t="shared" si="9"/>
        <v>0</v>
      </c>
      <c r="L41" s="64">
        <f t="shared" si="9"/>
        <v>0</v>
      </c>
      <c r="M41" s="64">
        <f t="shared" si="9"/>
        <v>0</v>
      </c>
      <c r="N41" s="64">
        <f t="shared" si="9"/>
        <v>0</v>
      </c>
      <c r="O41" s="64">
        <f t="shared" si="9"/>
        <v>0</v>
      </c>
      <c r="P41" s="64">
        <f t="shared" si="9"/>
        <v>0</v>
      </c>
      <c r="Q41" s="64">
        <f t="shared" si="9"/>
        <v>0</v>
      </c>
      <c r="R41" s="64">
        <f t="shared" si="10"/>
        <v>0</v>
      </c>
      <c r="S41" s="64">
        <f t="shared" si="10"/>
        <v>0</v>
      </c>
      <c r="T41" s="64">
        <f t="shared" si="10"/>
        <v>0</v>
      </c>
      <c r="U41" s="64">
        <f t="shared" si="10"/>
        <v>0</v>
      </c>
      <c r="V41" s="64">
        <f t="shared" si="10"/>
        <v>0</v>
      </c>
      <c r="W41" s="64">
        <f t="shared" si="10"/>
        <v>0</v>
      </c>
      <c r="X41" s="64">
        <f t="shared" si="10"/>
        <v>0</v>
      </c>
      <c r="Y41" s="64">
        <f t="shared" si="10"/>
        <v>0</v>
      </c>
      <c r="Z41" s="64">
        <f t="shared" si="10"/>
        <v>0</v>
      </c>
      <c r="AA41" s="64">
        <f t="shared" si="10"/>
        <v>42272276.049999997</v>
      </c>
      <c r="AB41" s="64">
        <f t="shared" si="10"/>
        <v>0</v>
      </c>
      <c r="AC41" s="64">
        <f t="shared" si="10"/>
        <v>0</v>
      </c>
      <c r="AD41" s="64">
        <f t="shared" si="10"/>
        <v>0</v>
      </c>
      <c r="AE41" s="64">
        <f t="shared" si="10"/>
        <v>0</v>
      </c>
      <c r="AF41" s="64">
        <f t="shared" si="11"/>
        <v>42272276.049999997</v>
      </c>
      <c r="AG41" s="59" t="str">
        <f t="shared" si="12"/>
        <v>ok</v>
      </c>
    </row>
    <row r="42" spans="1:33" x14ac:dyDescent="0.25">
      <c r="A42" s="299"/>
      <c r="B42" s="43" t="s">
        <v>312</v>
      </c>
      <c r="C42" s="45" t="s">
        <v>974</v>
      </c>
      <c r="D42" s="45" t="s">
        <v>976</v>
      </c>
      <c r="F42" s="80">
        <v>0</v>
      </c>
      <c r="H42" s="64">
        <f t="shared" si="9"/>
        <v>0</v>
      </c>
      <c r="I42" s="64">
        <f t="shared" si="9"/>
        <v>0</v>
      </c>
      <c r="J42" s="64">
        <f t="shared" si="9"/>
        <v>0</v>
      </c>
      <c r="K42" s="64">
        <f t="shared" si="9"/>
        <v>0</v>
      </c>
      <c r="L42" s="64">
        <f t="shared" si="9"/>
        <v>0</v>
      </c>
      <c r="M42" s="64">
        <f t="shared" si="9"/>
        <v>0</v>
      </c>
      <c r="N42" s="64">
        <f t="shared" si="9"/>
        <v>0</v>
      </c>
      <c r="O42" s="64">
        <f t="shared" si="9"/>
        <v>0</v>
      </c>
      <c r="P42" s="64">
        <f t="shared" si="9"/>
        <v>0</v>
      </c>
      <c r="Q42" s="64">
        <f t="shared" si="9"/>
        <v>0</v>
      </c>
      <c r="R42" s="64">
        <f t="shared" si="10"/>
        <v>0</v>
      </c>
      <c r="S42" s="64">
        <f t="shared" si="10"/>
        <v>0</v>
      </c>
      <c r="T42" s="64">
        <f t="shared" si="10"/>
        <v>0</v>
      </c>
      <c r="U42" s="64">
        <f t="shared" si="10"/>
        <v>0</v>
      </c>
      <c r="V42" s="64">
        <f t="shared" si="10"/>
        <v>0</v>
      </c>
      <c r="W42" s="64">
        <f t="shared" si="10"/>
        <v>0</v>
      </c>
      <c r="X42" s="64">
        <f t="shared" si="10"/>
        <v>0</v>
      </c>
      <c r="Y42" s="64">
        <f t="shared" si="10"/>
        <v>0</v>
      </c>
      <c r="Z42" s="64">
        <f t="shared" si="10"/>
        <v>0</v>
      </c>
      <c r="AA42" s="64">
        <f t="shared" si="10"/>
        <v>0</v>
      </c>
      <c r="AB42" s="64">
        <f t="shared" si="10"/>
        <v>0</v>
      </c>
      <c r="AC42" s="64">
        <f t="shared" si="10"/>
        <v>0</v>
      </c>
      <c r="AD42" s="64">
        <f t="shared" si="10"/>
        <v>0</v>
      </c>
      <c r="AE42" s="64">
        <f t="shared" si="10"/>
        <v>0</v>
      </c>
      <c r="AF42" s="64">
        <f t="shared" si="11"/>
        <v>0</v>
      </c>
      <c r="AG42" s="59" t="str">
        <f t="shared" si="12"/>
        <v>ok</v>
      </c>
    </row>
    <row r="43" spans="1:33" x14ac:dyDescent="0.25">
      <c r="A43" s="299"/>
      <c r="B43" s="43" t="s">
        <v>313</v>
      </c>
      <c r="C43" s="45" t="s">
        <v>975</v>
      </c>
      <c r="D43" s="45" t="s">
        <v>976</v>
      </c>
      <c r="F43" s="80">
        <v>99670957.681538448</v>
      </c>
      <c r="H43" s="64">
        <f t="shared" si="9"/>
        <v>0</v>
      </c>
      <c r="I43" s="64">
        <f t="shared" si="9"/>
        <v>0</v>
      </c>
      <c r="J43" s="64">
        <f t="shared" si="9"/>
        <v>0</v>
      </c>
      <c r="K43" s="64">
        <f t="shared" si="9"/>
        <v>0</v>
      </c>
      <c r="L43" s="64">
        <f t="shared" si="9"/>
        <v>0</v>
      </c>
      <c r="M43" s="64">
        <f t="shared" si="9"/>
        <v>0</v>
      </c>
      <c r="N43" s="64">
        <f t="shared" si="9"/>
        <v>0</v>
      </c>
      <c r="O43" s="64">
        <f t="shared" si="9"/>
        <v>0</v>
      </c>
      <c r="P43" s="64">
        <f t="shared" si="9"/>
        <v>0</v>
      </c>
      <c r="Q43" s="64">
        <f t="shared" si="9"/>
        <v>0</v>
      </c>
      <c r="R43" s="64">
        <f t="shared" si="10"/>
        <v>0</v>
      </c>
      <c r="S43" s="64">
        <f t="shared" si="10"/>
        <v>0</v>
      </c>
      <c r="T43" s="64">
        <f t="shared" si="10"/>
        <v>0</v>
      </c>
      <c r="U43" s="64">
        <f t="shared" si="10"/>
        <v>0</v>
      </c>
      <c r="V43" s="64">
        <f t="shared" si="10"/>
        <v>0</v>
      </c>
      <c r="W43" s="64">
        <f t="shared" si="10"/>
        <v>0</v>
      </c>
      <c r="X43" s="64">
        <f t="shared" si="10"/>
        <v>0</v>
      </c>
      <c r="Y43" s="64">
        <f t="shared" si="10"/>
        <v>0</v>
      </c>
      <c r="Z43" s="64">
        <f t="shared" si="10"/>
        <v>0</v>
      </c>
      <c r="AA43" s="64">
        <f t="shared" si="10"/>
        <v>0</v>
      </c>
      <c r="AB43" s="64">
        <f t="shared" si="10"/>
        <v>99670957.681538448</v>
      </c>
      <c r="AC43" s="64">
        <f t="shared" si="10"/>
        <v>0</v>
      </c>
      <c r="AD43" s="64">
        <f t="shared" si="10"/>
        <v>0</v>
      </c>
      <c r="AE43" s="64">
        <f t="shared" si="10"/>
        <v>0</v>
      </c>
      <c r="AF43" s="64">
        <f t="shared" si="11"/>
        <v>99670957.681538448</v>
      </c>
      <c r="AG43" s="59" t="str">
        <f t="shared" si="12"/>
        <v>ok</v>
      </c>
    </row>
    <row r="44" spans="1:33" x14ac:dyDescent="0.25">
      <c r="A44" s="299"/>
      <c r="B44" s="43" t="s">
        <v>933</v>
      </c>
      <c r="C44" s="61" t="s">
        <v>1330</v>
      </c>
      <c r="D44" s="61" t="s">
        <v>965</v>
      </c>
      <c r="F44" s="80">
        <v>0</v>
      </c>
      <c r="H44" s="64">
        <f t="shared" si="9"/>
        <v>0</v>
      </c>
      <c r="I44" s="64">
        <f t="shared" si="9"/>
        <v>0</v>
      </c>
      <c r="J44" s="64">
        <f t="shared" si="9"/>
        <v>0</v>
      </c>
      <c r="K44" s="64">
        <f t="shared" si="9"/>
        <v>0</v>
      </c>
      <c r="L44" s="64">
        <f t="shared" si="9"/>
        <v>0</v>
      </c>
      <c r="M44" s="64">
        <f t="shared" si="9"/>
        <v>0</v>
      </c>
      <c r="N44" s="64">
        <f t="shared" si="9"/>
        <v>0</v>
      </c>
      <c r="O44" s="64">
        <f t="shared" si="9"/>
        <v>0</v>
      </c>
      <c r="P44" s="64">
        <f t="shared" si="9"/>
        <v>0</v>
      </c>
      <c r="Q44" s="64">
        <f t="shared" si="9"/>
        <v>0</v>
      </c>
      <c r="R44" s="64">
        <f t="shared" si="10"/>
        <v>0</v>
      </c>
      <c r="S44" s="64">
        <f t="shared" si="10"/>
        <v>0</v>
      </c>
      <c r="T44" s="64">
        <f t="shared" si="10"/>
        <v>0</v>
      </c>
      <c r="U44" s="64">
        <f t="shared" si="10"/>
        <v>0</v>
      </c>
      <c r="V44" s="64">
        <f t="shared" si="10"/>
        <v>0</v>
      </c>
      <c r="W44" s="64">
        <f t="shared" si="10"/>
        <v>0</v>
      </c>
      <c r="X44" s="64">
        <f t="shared" si="10"/>
        <v>0</v>
      </c>
      <c r="Y44" s="64">
        <f t="shared" si="10"/>
        <v>0</v>
      </c>
      <c r="Z44" s="64">
        <f t="shared" si="10"/>
        <v>0</v>
      </c>
      <c r="AA44" s="64">
        <f t="shared" si="10"/>
        <v>0</v>
      </c>
      <c r="AB44" s="64">
        <f t="shared" si="10"/>
        <v>0</v>
      </c>
      <c r="AC44" s="64">
        <f t="shared" si="10"/>
        <v>0</v>
      </c>
      <c r="AD44" s="64">
        <f t="shared" si="10"/>
        <v>0</v>
      </c>
      <c r="AE44" s="64">
        <f t="shared" si="10"/>
        <v>0</v>
      </c>
      <c r="AF44" s="64">
        <f>SUM(H44:AE44)</f>
        <v>0</v>
      </c>
      <c r="AG44" s="59" t="str">
        <f t="shared" si="12"/>
        <v>ok</v>
      </c>
    </row>
    <row r="45" spans="1:33" x14ac:dyDescent="0.25">
      <c r="A45" s="61"/>
      <c r="B45" s="61"/>
      <c r="W45" s="45"/>
      <c r="AF45" s="64"/>
      <c r="AG45" s="59"/>
    </row>
    <row r="46" spans="1:33" x14ac:dyDescent="0.25">
      <c r="A46" s="61"/>
      <c r="B46" s="61" t="s">
        <v>977</v>
      </c>
      <c r="C46" s="45" t="s">
        <v>957</v>
      </c>
      <c r="F46" s="77">
        <f>SUM(F36:F45)</f>
        <v>1229620420.7223065</v>
      </c>
      <c r="G46" s="67"/>
      <c r="H46" s="63">
        <f t="shared" ref="H46:M46" si="13">SUM(H36:H45)</f>
        <v>0</v>
      </c>
      <c r="I46" s="63">
        <f t="shared" si="13"/>
        <v>0</v>
      </c>
      <c r="J46" s="63">
        <f t="shared" si="13"/>
        <v>0</v>
      </c>
      <c r="K46" s="63">
        <f t="shared" si="13"/>
        <v>0</v>
      </c>
      <c r="L46" s="63">
        <f t="shared" si="13"/>
        <v>0</v>
      </c>
      <c r="M46" s="63">
        <f t="shared" si="13"/>
        <v>0</v>
      </c>
      <c r="N46" s="63">
        <f>SUM(N36:N45)</f>
        <v>0</v>
      </c>
      <c r="O46" s="63">
        <f>SUM(O36:O45)</f>
        <v>0</v>
      </c>
      <c r="P46" s="63">
        <f>SUM(P36:P45)</f>
        <v>0</v>
      </c>
      <c r="Q46" s="63">
        <f t="shared" ref="Q46:AE46" si="14">SUM(Q36:Q45)</f>
        <v>0</v>
      </c>
      <c r="R46" s="63">
        <f t="shared" si="14"/>
        <v>146562262.09230772</v>
      </c>
      <c r="S46" s="63">
        <f t="shared" si="14"/>
        <v>0</v>
      </c>
      <c r="T46" s="63">
        <f t="shared" si="14"/>
        <v>215087763.53034049</v>
      </c>
      <c r="U46" s="63">
        <f>SUM(U36:U45)</f>
        <v>349501463.97388959</v>
      </c>
      <c r="V46" s="63">
        <f>SUM(V36:V45)</f>
        <v>71695921.176780164</v>
      </c>
      <c r="W46" s="63">
        <f>SUM(W36:W45)</f>
        <v>116500487.99129653</v>
      </c>
      <c r="X46" s="63">
        <f t="shared" si="14"/>
        <v>88873786.731525287</v>
      </c>
      <c r="Y46" s="63">
        <f t="shared" si="14"/>
        <v>67447218.596936226</v>
      </c>
      <c r="Z46" s="63">
        <f>SUM(Z36:Z45)</f>
        <v>32008282.897692304</v>
      </c>
      <c r="AA46" s="63">
        <f>SUM(AA36:AA45)</f>
        <v>42272276.049999997</v>
      </c>
      <c r="AB46" s="63">
        <f t="shared" si="14"/>
        <v>99670957.681538448</v>
      </c>
      <c r="AC46" s="63">
        <f t="shared" si="14"/>
        <v>0</v>
      </c>
      <c r="AD46" s="63">
        <f t="shared" si="14"/>
        <v>0</v>
      </c>
      <c r="AE46" s="63">
        <f t="shared" si="14"/>
        <v>0</v>
      </c>
      <c r="AF46" s="64">
        <f>SUM(H46:AE46)</f>
        <v>1229620420.7223067</v>
      </c>
      <c r="AG46" s="59" t="str">
        <f>IF(ABS(AF46-F46)&lt;1,"ok","err")</f>
        <v>ok</v>
      </c>
    </row>
    <row r="47" spans="1:33" x14ac:dyDescent="0.25">
      <c r="A47" s="61"/>
      <c r="B47" s="61"/>
      <c r="W47" s="45"/>
      <c r="AG47" s="59"/>
    </row>
    <row r="48" spans="1:33" x14ac:dyDescent="0.25">
      <c r="A48" s="61"/>
      <c r="B48" s="66" t="s">
        <v>905</v>
      </c>
      <c r="C48" s="45" t="s">
        <v>1186</v>
      </c>
      <c r="F48" s="81">
        <f>F29+F33+F46</f>
        <v>3955594441.6692295</v>
      </c>
      <c r="G48" s="65"/>
      <c r="H48" s="65">
        <f t="shared" ref="H48:AE48" si="15">H29+H33+H46</f>
        <v>808968750.03534043</v>
      </c>
      <c r="I48" s="65">
        <f t="shared" si="15"/>
        <v>788310992.65260124</v>
      </c>
      <c r="J48" s="65">
        <f t="shared" si="15"/>
        <v>714725635.14051998</v>
      </c>
      <c r="K48" s="65">
        <f t="shared" si="15"/>
        <v>0</v>
      </c>
      <c r="L48" s="65">
        <f t="shared" si="15"/>
        <v>0</v>
      </c>
      <c r="M48" s="65">
        <f t="shared" si="15"/>
        <v>0</v>
      </c>
      <c r="N48" s="65">
        <f t="shared" si="15"/>
        <v>144847282.35879323</v>
      </c>
      <c r="O48" s="65">
        <f t="shared" si="15"/>
        <v>141148474.4426823</v>
      </c>
      <c r="P48" s="65">
        <f t="shared" si="15"/>
        <v>127972886.31698579</v>
      </c>
      <c r="Q48" s="65">
        <f t="shared" si="15"/>
        <v>0</v>
      </c>
      <c r="R48" s="65">
        <f t="shared" si="15"/>
        <v>146562262.09230772</v>
      </c>
      <c r="S48" s="65">
        <f t="shared" si="15"/>
        <v>0</v>
      </c>
      <c r="T48" s="65">
        <f t="shared" si="15"/>
        <v>215087763.53034049</v>
      </c>
      <c r="U48" s="65">
        <f t="shared" si="15"/>
        <v>349501463.97388959</v>
      </c>
      <c r="V48" s="65">
        <f t="shared" si="15"/>
        <v>71695921.176780164</v>
      </c>
      <c r="W48" s="65">
        <f t="shared" si="15"/>
        <v>116500487.99129653</v>
      </c>
      <c r="X48" s="65">
        <f t="shared" si="15"/>
        <v>88873786.731525287</v>
      </c>
      <c r="Y48" s="65">
        <f t="shared" si="15"/>
        <v>67447218.596936226</v>
      </c>
      <c r="Z48" s="65">
        <f t="shared" si="15"/>
        <v>32008282.897692304</v>
      </c>
      <c r="AA48" s="65">
        <f t="shared" si="15"/>
        <v>42272276.049999997</v>
      </c>
      <c r="AB48" s="65">
        <f t="shared" si="15"/>
        <v>99670957.681538448</v>
      </c>
      <c r="AC48" s="65">
        <f t="shared" si="15"/>
        <v>0</v>
      </c>
      <c r="AD48" s="65">
        <f t="shared" si="15"/>
        <v>0</v>
      </c>
      <c r="AE48" s="65">
        <f t="shared" si="15"/>
        <v>0</v>
      </c>
      <c r="AF48" s="64">
        <f>SUM(H48:AE48)</f>
        <v>3955594441.66923</v>
      </c>
      <c r="AG48" s="59" t="str">
        <f>IF(ABS(AF48-F48)&lt;1,"ok","err")</f>
        <v>ok</v>
      </c>
    </row>
    <row r="49" spans="1:33" x14ac:dyDescent="0.25">
      <c r="A49" s="61"/>
      <c r="B49" s="61"/>
      <c r="W49" s="45"/>
      <c r="AG49" s="59"/>
    </row>
    <row r="50" spans="1:33" x14ac:dyDescent="0.25">
      <c r="A50" s="61"/>
      <c r="B50" s="61"/>
      <c r="F50" s="81"/>
      <c r="W50" s="45"/>
      <c r="AG50" s="59"/>
    </row>
    <row r="51" spans="1:33" x14ac:dyDescent="0.25">
      <c r="A51" s="61"/>
      <c r="B51" s="61"/>
      <c r="F51" s="81"/>
      <c r="W51" s="45"/>
      <c r="AG51" s="59"/>
    </row>
    <row r="52" spans="1:33" x14ac:dyDescent="0.25">
      <c r="A52" s="61"/>
      <c r="B52" s="61"/>
      <c r="W52" s="45"/>
      <c r="AG52" s="59"/>
    </row>
    <row r="53" spans="1:33" x14ac:dyDescent="0.25">
      <c r="A53" s="61"/>
      <c r="B53" s="61"/>
      <c r="W53" s="45"/>
      <c r="AG53" s="59"/>
    </row>
    <row r="54" spans="1:33" x14ac:dyDescent="0.25">
      <c r="A54" s="60" t="s">
        <v>1163</v>
      </c>
      <c r="B54" s="61"/>
      <c r="W54" s="45"/>
      <c r="AG54" s="59"/>
    </row>
    <row r="55" spans="1:33" x14ac:dyDescent="0.25">
      <c r="A55" s="61"/>
      <c r="B55" s="61"/>
      <c r="F55" s="81"/>
      <c r="W55" s="45"/>
      <c r="AG55" s="59"/>
    </row>
    <row r="56" spans="1:33" x14ac:dyDescent="0.25">
      <c r="A56" s="60" t="s">
        <v>978</v>
      </c>
      <c r="B56" s="61"/>
      <c r="F56" s="81"/>
      <c r="W56" s="45"/>
      <c r="AG56" s="59"/>
    </row>
    <row r="57" spans="1:33" x14ac:dyDescent="0.25">
      <c r="A57" s="61"/>
      <c r="B57" s="61"/>
      <c r="W57" s="45"/>
      <c r="AF57" s="64"/>
      <c r="AG57" s="59"/>
    </row>
    <row r="58" spans="1:33" x14ac:dyDescent="0.25">
      <c r="A58" s="61"/>
      <c r="B58" s="61" t="s">
        <v>979</v>
      </c>
      <c r="C58" s="45" t="s">
        <v>980</v>
      </c>
      <c r="D58" s="45" t="s">
        <v>1186</v>
      </c>
      <c r="F58" s="77">
        <v>18647864.072307684</v>
      </c>
      <c r="G58" s="63"/>
      <c r="H58" s="64">
        <f t="shared" ref="H58:AE58" si="16">IF(VLOOKUP($D58,$C$6:$AE$651,H$2,)=0,0,((VLOOKUP($D58,$C$6:$AE$651,H$2,)/VLOOKUP($D58,$C$6:$AE$651,4,))*$F58))</f>
        <v>3813722.4409279185</v>
      </c>
      <c r="I58" s="64">
        <f t="shared" si="16"/>
        <v>3716335.5481630801</v>
      </c>
      <c r="J58" s="64">
        <f t="shared" si="16"/>
        <v>3369432.0005844273</v>
      </c>
      <c r="K58" s="64">
        <f t="shared" si="16"/>
        <v>0</v>
      </c>
      <c r="L58" s="64">
        <f t="shared" si="16"/>
        <v>0</v>
      </c>
      <c r="M58" s="64">
        <f t="shared" si="16"/>
        <v>0</v>
      </c>
      <c r="N58" s="64">
        <f t="shared" si="16"/>
        <v>682853.73349096603</v>
      </c>
      <c r="O58" s="64">
        <f t="shared" si="16"/>
        <v>665416.43847340473</v>
      </c>
      <c r="P58" s="64">
        <f t="shared" si="16"/>
        <v>603302.74606538878</v>
      </c>
      <c r="Q58" s="64">
        <f t="shared" si="16"/>
        <v>0</v>
      </c>
      <c r="R58" s="64">
        <f t="shared" si="16"/>
        <v>690938.66470141779</v>
      </c>
      <c r="S58" s="64">
        <f t="shared" si="16"/>
        <v>0</v>
      </c>
      <c r="T58" s="64">
        <f t="shared" si="16"/>
        <v>1013988.5261437135</v>
      </c>
      <c r="U58" s="64">
        <f t="shared" si="16"/>
        <v>1647655.2107064137</v>
      </c>
      <c r="V58" s="64">
        <f t="shared" si="16"/>
        <v>337996.17538123782</v>
      </c>
      <c r="W58" s="64">
        <f t="shared" si="16"/>
        <v>549218.40356880461</v>
      </c>
      <c r="X58" s="64">
        <f t="shared" si="16"/>
        <v>418977.80953028536</v>
      </c>
      <c r="Y58" s="64">
        <f t="shared" si="16"/>
        <v>317966.51122811536</v>
      </c>
      <c r="Z58" s="64">
        <f t="shared" si="16"/>
        <v>150896.69010968061</v>
      </c>
      <c r="AA58" s="64">
        <f t="shared" si="16"/>
        <v>199284.24651006851</v>
      </c>
      <c r="AB58" s="64">
        <f t="shared" si="16"/>
        <v>469878.92672276194</v>
      </c>
      <c r="AC58" s="64">
        <f t="shared" si="16"/>
        <v>0</v>
      </c>
      <c r="AD58" s="64">
        <f t="shared" si="16"/>
        <v>0</v>
      </c>
      <c r="AE58" s="64">
        <f t="shared" si="16"/>
        <v>0</v>
      </c>
      <c r="AF58" s="64">
        <f>SUM(H58:AE58)</f>
        <v>18647864.072307684</v>
      </c>
      <c r="AG58" s="59" t="str">
        <f>IF(ABS(AF58-F58)&lt;1,"ok","err")</f>
        <v>ok</v>
      </c>
    </row>
    <row r="59" spans="1:33" x14ac:dyDescent="0.25">
      <c r="A59" s="61"/>
      <c r="B59" s="61"/>
      <c r="F59" s="81"/>
      <c r="O59" s="64"/>
      <c r="P59" s="64"/>
      <c r="W59" s="45"/>
      <c r="AF59" s="64"/>
      <c r="AG59" s="59"/>
    </row>
    <row r="60" spans="1:33" x14ac:dyDescent="0.25">
      <c r="A60" s="61"/>
      <c r="B60" s="61" t="s">
        <v>203</v>
      </c>
      <c r="C60" s="45" t="s">
        <v>204</v>
      </c>
      <c r="D60" s="45" t="s">
        <v>1186</v>
      </c>
      <c r="F60" s="77">
        <v>198761866.97876918</v>
      </c>
      <c r="H60" s="64">
        <f t="shared" ref="H60:Q65" si="17">IF(VLOOKUP($D60,$C$6:$AE$651,H$2,)=0,0,((VLOOKUP($D60,$C$6:$AE$651,H$2,)/VLOOKUP($D60,$C$6:$AE$651,4,))*$F60))</f>
        <v>40649298.469701692</v>
      </c>
      <c r="I60" s="64">
        <f t="shared" si="17"/>
        <v>39611281.431924932</v>
      </c>
      <c r="J60" s="64">
        <f t="shared" si="17"/>
        <v>35913742.855338849</v>
      </c>
      <c r="K60" s="64">
        <f t="shared" si="17"/>
        <v>0</v>
      </c>
      <c r="L60" s="64">
        <f t="shared" si="17"/>
        <v>0</v>
      </c>
      <c r="M60" s="64">
        <f t="shared" si="17"/>
        <v>0</v>
      </c>
      <c r="N60" s="64">
        <f t="shared" si="17"/>
        <v>7278328.6287270337</v>
      </c>
      <c r="O60" s="64">
        <f t="shared" si="17"/>
        <v>7092469.8462245949</v>
      </c>
      <c r="P60" s="64">
        <f t="shared" si="17"/>
        <v>6430419.0386848738</v>
      </c>
      <c r="Q60" s="64">
        <f t="shared" si="17"/>
        <v>0</v>
      </c>
      <c r="R60" s="64">
        <f t="shared" ref="R60:AE65" si="18">IF(VLOOKUP($D60,$C$6:$AE$651,R$2,)=0,0,((VLOOKUP($D60,$C$6:$AE$651,R$2,)/VLOOKUP($D60,$C$6:$AE$651,4,))*$F60))</f>
        <v>7364503.4322087187</v>
      </c>
      <c r="S60" s="64">
        <f t="shared" si="18"/>
        <v>0</v>
      </c>
      <c r="T60" s="64">
        <f t="shared" si="18"/>
        <v>10807792.880186629</v>
      </c>
      <c r="U60" s="64">
        <f t="shared" si="18"/>
        <v>17561851.831794102</v>
      </c>
      <c r="V60" s="64">
        <f t="shared" si="18"/>
        <v>3602597.626728876</v>
      </c>
      <c r="W60" s="64">
        <f t="shared" si="18"/>
        <v>5853950.6105980342</v>
      </c>
      <c r="X60" s="64">
        <f t="shared" si="18"/>
        <v>4465756.0416574357</v>
      </c>
      <c r="Y60" s="64">
        <f t="shared" si="18"/>
        <v>3389107.5762547101</v>
      </c>
      <c r="Z60" s="64">
        <f t="shared" si="18"/>
        <v>1608361.5652076823</v>
      </c>
      <c r="AA60" s="64">
        <f t="shared" si="18"/>
        <v>2124109.6965426728</v>
      </c>
      <c r="AB60" s="64">
        <f t="shared" si="18"/>
        <v>5008295.4469883628</v>
      </c>
      <c r="AC60" s="64">
        <f t="shared" si="18"/>
        <v>0</v>
      </c>
      <c r="AD60" s="64">
        <f t="shared" si="18"/>
        <v>0</v>
      </c>
      <c r="AE60" s="64">
        <f t="shared" si="18"/>
        <v>0</v>
      </c>
      <c r="AF60" s="64">
        <f t="shared" ref="AF60:AF65" si="19">SUM(H60:AE60)</f>
        <v>198761866.97876918</v>
      </c>
      <c r="AG60" s="59" t="str">
        <f t="shared" ref="AG60:AG65" si="20">IF(ABS(AF60-F60)&lt;1,"ok","err")</f>
        <v>ok</v>
      </c>
    </row>
    <row r="61" spans="1:33" x14ac:dyDescent="0.25">
      <c r="A61" s="62">
        <v>106</v>
      </c>
      <c r="B61" s="61" t="s">
        <v>1161</v>
      </c>
      <c r="C61" s="45" t="s">
        <v>1162</v>
      </c>
      <c r="D61" s="45" t="s">
        <v>1186</v>
      </c>
      <c r="F61" s="80">
        <v>0</v>
      </c>
      <c r="H61" s="64">
        <f t="shared" si="17"/>
        <v>0</v>
      </c>
      <c r="I61" s="64">
        <f t="shared" si="17"/>
        <v>0</v>
      </c>
      <c r="J61" s="64">
        <f t="shared" si="17"/>
        <v>0</v>
      </c>
      <c r="K61" s="64">
        <f t="shared" si="17"/>
        <v>0</v>
      </c>
      <c r="L61" s="64">
        <f t="shared" si="17"/>
        <v>0</v>
      </c>
      <c r="M61" s="64">
        <f t="shared" si="17"/>
        <v>0</v>
      </c>
      <c r="N61" s="64">
        <f t="shared" si="17"/>
        <v>0</v>
      </c>
      <c r="O61" s="64">
        <f t="shared" si="17"/>
        <v>0</v>
      </c>
      <c r="P61" s="64">
        <f t="shared" si="17"/>
        <v>0</v>
      </c>
      <c r="Q61" s="64">
        <f t="shared" si="17"/>
        <v>0</v>
      </c>
      <c r="R61" s="64">
        <f t="shared" si="18"/>
        <v>0</v>
      </c>
      <c r="S61" s="64">
        <f t="shared" si="18"/>
        <v>0</v>
      </c>
      <c r="T61" s="64">
        <f t="shared" si="18"/>
        <v>0</v>
      </c>
      <c r="U61" s="64">
        <f t="shared" si="18"/>
        <v>0</v>
      </c>
      <c r="V61" s="64">
        <f t="shared" si="18"/>
        <v>0</v>
      </c>
      <c r="W61" s="64">
        <f t="shared" si="18"/>
        <v>0</v>
      </c>
      <c r="X61" s="64">
        <f t="shared" si="18"/>
        <v>0</v>
      </c>
      <c r="Y61" s="64">
        <f t="shared" si="18"/>
        <v>0</v>
      </c>
      <c r="Z61" s="64">
        <f t="shared" si="18"/>
        <v>0</v>
      </c>
      <c r="AA61" s="64">
        <f t="shared" si="18"/>
        <v>0</v>
      </c>
      <c r="AB61" s="64">
        <f t="shared" si="18"/>
        <v>0</v>
      </c>
      <c r="AC61" s="64">
        <f t="shared" si="18"/>
        <v>0</v>
      </c>
      <c r="AD61" s="64">
        <f t="shared" si="18"/>
        <v>0</v>
      </c>
      <c r="AE61" s="64">
        <f t="shared" si="18"/>
        <v>0</v>
      </c>
      <c r="AF61" s="64">
        <f t="shared" si="19"/>
        <v>0</v>
      </c>
      <c r="AG61" s="59" t="str">
        <f t="shared" si="20"/>
        <v>ok</v>
      </c>
    </row>
    <row r="62" spans="1:33" x14ac:dyDescent="0.25">
      <c r="A62" s="62">
        <v>105</v>
      </c>
      <c r="B62" s="61" t="s">
        <v>1317</v>
      </c>
      <c r="C62" s="45" t="s">
        <v>141</v>
      </c>
      <c r="D62" s="45" t="s">
        <v>957</v>
      </c>
      <c r="F62" s="80">
        <v>5684517.7999999998</v>
      </c>
      <c r="H62" s="64">
        <f t="shared" si="17"/>
        <v>0</v>
      </c>
      <c r="I62" s="64">
        <f t="shared" si="17"/>
        <v>0</v>
      </c>
      <c r="J62" s="64">
        <f t="shared" si="17"/>
        <v>0</v>
      </c>
      <c r="K62" s="64">
        <f t="shared" si="17"/>
        <v>0</v>
      </c>
      <c r="L62" s="64">
        <f t="shared" si="17"/>
        <v>0</v>
      </c>
      <c r="M62" s="64">
        <f t="shared" si="17"/>
        <v>0</v>
      </c>
      <c r="N62" s="64">
        <f t="shared" si="17"/>
        <v>0</v>
      </c>
      <c r="O62" s="64">
        <f t="shared" si="17"/>
        <v>0</v>
      </c>
      <c r="P62" s="64">
        <f t="shared" si="17"/>
        <v>0</v>
      </c>
      <c r="Q62" s="64">
        <f t="shared" si="17"/>
        <v>0</v>
      </c>
      <c r="R62" s="64">
        <f t="shared" si="18"/>
        <v>677555.2630970343</v>
      </c>
      <c r="S62" s="64">
        <f t="shared" si="18"/>
        <v>0</v>
      </c>
      <c r="T62" s="64">
        <f t="shared" si="18"/>
        <v>994347.68628207035</v>
      </c>
      <c r="U62" s="64">
        <f t="shared" si="18"/>
        <v>1615740.3208370388</v>
      </c>
      <c r="V62" s="64">
        <f t="shared" si="18"/>
        <v>331449.22876069008</v>
      </c>
      <c r="W62" s="64">
        <f t="shared" si="18"/>
        <v>538580.10694567964</v>
      </c>
      <c r="X62" s="64">
        <f t="shared" si="18"/>
        <v>410862.25807147124</v>
      </c>
      <c r="Y62" s="64">
        <f t="shared" si="18"/>
        <v>311807.5368734966</v>
      </c>
      <c r="Z62" s="64">
        <f t="shared" si="18"/>
        <v>147973.83876601935</v>
      </c>
      <c r="AA62" s="64">
        <f t="shared" si="18"/>
        <v>195424.1338246339</v>
      </c>
      <c r="AB62" s="64">
        <f t="shared" si="18"/>
        <v>460777.42654186691</v>
      </c>
      <c r="AC62" s="64">
        <f t="shared" si="18"/>
        <v>0</v>
      </c>
      <c r="AD62" s="64">
        <f t="shared" si="18"/>
        <v>0</v>
      </c>
      <c r="AE62" s="64">
        <f t="shared" si="18"/>
        <v>0</v>
      </c>
      <c r="AF62" s="64">
        <f t="shared" si="19"/>
        <v>5684517.8000000007</v>
      </c>
      <c r="AG62" s="59" t="str">
        <f t="shared" si="20"/>
        <v>ok</v>
      </c>
    </row>
    <row r="63" spans="1:33" x14ac:dyDescent="0.25">
      <c r="A63" s="62">
        <v>105</v>
      </c>
      <c r="B63" s="61" t="s">
        <v>1318</v>
      </c>
      <c r="C63" s="45" t="s">
        <v>141</v>
      </c>
      <c r="D63" s="45" t="s">
        <v>645</v>
      </c>
      <c r="F63" s="80">
        <v>0</v>
      </c>
      <c r="H63" s="64">
        <f t="shared" si="17"/>
        <v>0</v>
      </c>
      <c r="I63" s="64">
        <f t="shared" si="17"/>
        <v>0</v>
      </c>
      <c r="J63" s="64">
        <f t="shared" si="17"/>
        <v>0</v>
      </c>
      <c r="K63" s="64">
        <f t="shared" si="17"/>
        <v>0</v>
      </c>
      <c r="L63" s="64">
        <f t="shared" si="17"/>
        <v>0</v>
      </c>
      <c r="M63" s="64">
        <f t="shared" si="17"/>
        <v>0</v>
      </c>
      <c r="N63" s="64">
        <f t="shared" si="17"/>
        <v>0</v>
      </c>
      <c r="O63" s="64">
        <f t="shared" si="17"/>
        <v>0</v>
      </c>
      <c r="P63" s="64">
        <f t="shared" si="17"/>
        <v>0</v>
      </c>
      <c r="Q63" s="64">
        <f t="shared" si="17"/>
        <v>0</v>
      </c>
      <c r="R63" s="64">
        <f t="shared" si="18"/>
        <v>0</v>
      </c>
      <c r="S63" s="64">
        <f t="shared" si="18"/>
        <v>0</v>
      </c>
      <c r="T63" s="64">
        <f t="shared" si="18"/>
        <v>0</v>
      </c>
      <c r="U63" s="64">
        <f t="shared" si="18"/>
        <v>0</v>
      </c>
      <c r="V63" s="64">
        <f t="shared" si="18"/>
        <v>0</v>
      </c>
      <c r="W63" s="64">
        <f t="shared" si="18"/>
        <v>0</v>
      </c>
      <c r="X63" s="64">
        <f t="shared" si="18"/>
        <v>0</v>
      </c>
      <c r="Y63" s="64">
        <f t="shared" si="18"/>
        <v>0</v>
      </c>
      <c r="Z63" s="64">
        <f t="shared" si="18"/>
        <v>0</v>
      </c>
      <c r="AA63" s="64">
        <f t="shared" si="18"/>
        <v>0</v>
      </c>
      <c r="AB63" s="64">
        <f t="shared" si="18"/>
        <v>0</v>
      </c>
      <c r="AC63" s="64">
        <f t="shared" si="18"/>
        <v>0</v>
      </c>
      <c r="AD63" s="64">
        <f t="shared" si="18"/>
        <v>0</v>
      </c>
      <c r="AE63" s="64">
        <f t="shared" si="18"/>
        <v>0</v>
      </c>
      <c r="AF63" s="64">
        <f t="shared" si="19"/>
        <v>0</v>
      </c>
      <c r="AG63" s="59" t="str">
        <f t="shared" si="20"/>
        <v>ok</v>
      </c>
    </row>
    <row r="64" spans="1:33" x14ac:dyDescent="0.25">
      <c r="A64" s="61"/>
      <c r="B64" s="61" t="s">
        <v>764</v>
      </c>
      <c r="D64" s="45" t="s">
        <v>645</v>
      </c>
      <c r="F64" s="80">
        <v>0</v>
      </c>
      <c r="H64" s="45">
        <f t="shared" si="17"/>
        <v>0</v>
      </c>
      <c r="I64" s="45">
        <f t="shared" si="17"/>
        <v>0</v>
      </c>
      <c r="J64" s="45">
        <f t="shared" si="17"/>
        <v>0</v>
      </c>
      <c r="K64" s="45">
        <f t="shared" si="17"/>
        <v>0</v>
      </c>
      <c r="L64" s="45">
        <f t="shared" si="17"/>
        <v>0</v>
      </c>
      <c r="M64" s="45">
        <f t="shared" si="17"/>
        <v>0</v>
      </c>
      <c r="N64" s="45">
        <f t="shared" si="17"/>
        <v>0</v>
      </c>
      <c r="O64" s="64">
        <f t="shared" si="17"/>
        <v>0</v>
      </c>
      <c r="P64" s="64">
        <f t="shared" si="17"/>
        <v>0</v>
      </c>
      <c r="Q64" s="45">
        <f t="shared" si="17"/>
        <v>0</v>
      </c>
      <c r="R64" s="45">
        <f t="shared" si="18"/>
        <v>0</v>
      </c>
      <c r="S64" s="45">
        <f t="shared" si="18"/>
        <v>0</v>
      </c>
      <c r="T64" s="45">
        <f t="shared" si="18"/>
        <v>0</v>
      </c>
      <c r="U64" s="45">
        <f t="shared" si="18"/>
        <v>0</v>
      </c>
      <c r="V64" s="45">
        <f t="shared" si="18"/>
        <v>0</v>
      </c>
      <c r="W64" s="45">
        <f t="shared" si="18"/>
        <v>0</v>
      </c>
      <c r="X64" s="45">
        <f t="shared" si="18"/>
        <v>0</v>
      </c>
      <c r="Y64" s="45">
        <f t="shared" si="18"/>
        <v>0</v>
      </c>
      <c r="Z64" s="45">
        <f t="shared" si="18"/>
        <v>0</v>
      </c>
      <c r="AA64" s="45">
        <f t="shared" si="18"/>
        <v>0</v>
      </c>
      <c r="AB64" s="45">
        <f t="shared" si="18"/>
        <v>0</v>
      </c>
      <c r="AC64" s="45">
        <f t="shared" si="18"/>
        <v>0</v>
      </c>
      <c r="AD64" s="45">
        <f t="shared" si="18"/>
        <v>0</v>
      </c>
      <c r="AE64" s="45">
        <f t="shared" si="18"/>
        <v>0</v>
      </c>
      <c r="AF64" s="64">
        <f t="shared" si="19"/>
        <v>0</v>
      </c>
      <c r="AG64" s="59" t="str">
        <f t="shared" si="20"/>
        <v>ok</v>
      </c>
    </row>
    <row r="65" spans="1:33" x14ac:dyDescent="0.25">
      <c r="A65" s="62"/>
      <c r="B65" s="61" t="s">
        <v>23</v>
      </c>
      <c r="D65" s="45" t="s">
        <v>957</v>
      </c>
      <c r="F65" s="77">
        <v>0</v>
      </c>
      <c r="H65" s="64">
        <f t="shared" si="17"/>
        <v>0</v>
      </c>
      <c r="I65" s="64">
        <f t="shared" si="17"/>
        <v>0</v>
      </c>
      <c r="J65" s="64">
        <f t="shared" si="17"/>
        <v>0</v>
      </c>
      <c r="K65" s="64">
        <f t="shared" si="17"/>
        <v>0</v>
      </c>
      <c r="L65" s="64">
        <f t="shared" si="17"/>
        <v>0</v>
      </c>
      <c r="M65" s="64">
        <f t="shared" si="17"/>
        <v>0</v>
      </c>
      <c r="N65" s="64">
        <f t="shared" si="17"/>
        <v>0</v>
      </c>
      <c r="O65" s="64">
        <f t="shared" si="17"/>
        <v>0</v>
      </c>
      <c r="P65" s="64">
        <f t="shared" si="17"/>
        <v>0</v>
      </c>
      <c r="Q65" s="64">
        <f t="shared" si="17"/>
        <v>0</v>
      </c>
      <c r="R65" s="64">
        <f t="shared" si="18"/>
        <v>0</v>
      </c>
      <c r="S65" s="64">
        <f t="shared" si="18"/>
        <v>0</v>
      </c>
      <c r="T65" s="64">
        <f t="shared" si="18"/>
        <v>0</v>
      </c>
      <c r="U65" s="64">
        <f t="shared" si="18"/>
        <v>0</v>
      </c>
      <c r="V65" s="64">
        <f t="shared" si="18"/>
        <v>0</v>
      </c>
      <c r="W65" s="64">
        <f t="shared" si="18"/>
        <v>0</v>
      </c>
      <c r="X65" s="64">
        <f t="shared" si="18"/>
        <v>0</v>
      </c>
      <c r="Y65" s="64">
        <f t="shared" si="18"/>
        <v>0</v>
      </c>
      <c r="Z65" s="64">
        <f t="shared" si="18"/>
        <v>0</v>
      </c>
      <c r="AA65" s="64">
        <f t="shared" si="18"/>
        <v>0</v>
      </c>
      <c r="AB65" s="64">
        <f t="shared" si="18"/>
        <v>0</v>
      </c>
      <c r="AC65" s="64">
        <f t="shared" si="18"/>
        <v>0</v>
      </c>
      <c r="AD65" s="64">
        <f t="shared" si="18"/>
        <v>0</v>
      </c>
      <c r="AE65" s="64">
        <f t="shared" si="18"/>
        <v>0</v>
      </c>
      <c r="AF65" s="64">
        <f t="shared" si="19"/>
        <v>0</v>
      </c>
      <c r="AG65" s="59" t="str">
        <f t="shared" si="20"/>
        <v>ok</v>
      </c>
    </row>
    <row r="66" spans="1:33" x14ac:dyDescent="0.25">
      <c r="A66" s="61"/>
      <c r="B66" s="61"/>
      <c r="W66" s="45"/>
      <c r="AF66" s="64"/>
      <c r="AG66" s="59"/>
    </row>
    <row r="67" spans="1:33" s="61" customFormat="1" x14ac:dyDescent="0.25">
      <c r="B67" s="61" t="s">
        <v>981</v>
      </c>
      <c r="C67" s="61" t="s">
        <v>982</v>
      </c>
      <c r="F67" s="81">
        <f>F15+SUM(F48:F65)</f>
        <v>4178762034.4303064</v>
      </c>
      <c r="G67" s="81"/>
      <c r="H67" s="81">
        <f t="shared" ref="H67:AE67" si="21">H15+SUM(H48:H65)</f>
        <v>853446770.69684696</v>
      </c>
      <c r="I67" s="81">
        <f t="shared" si="21"/>
        <v>831653226.3512001</v>
      </c>
      <c r="J67" s="81">
        <f t="shared" si="21"/>
        <v>754022062.308689</v>
      </c>
      <c r="K67" s="81">
        <f t="shared" si="21"/>
        <v>0</v>
      </c>
      <c r="L67" s="81">
        <f t="shared" si="21"/>
        <v>0</v>
      </c>
      <c r="M67" s="81">
        <f t="shared" si="21"/>
        <v>0</v>
      </c>
      <c r="N67" s="81">
        <f t="shared" si="21"/>
        <v>152811150.45287725</v>
      </c>
      <c r="O67" s="81">
        <f t="shared" si="21"/>
        <v>148908977.87662521</v>
      </c>
      <c r="P67" s="81">
        <f t="shared" si="21"/>
        <v>135008980.95163128</v>
      </c>
      <c r="Q67" s="81">
        <f t="shared" si="21"/>
        <v>0</v>
      </c>
      <c r="R67" s="81">
        <f t="shared" si="21"/>
        <v>155297976.98302206</v>
      </c>
      <c r="S67" s="81">
        <f t="shared" si="21"/>
        <v>0</v>
      </c>
      <c r="T67" s="81">
        <f t="shared" si="21"/>
        <v>227907880.74099761</v>
      </c>
      <c r="U67" s="81">
        <f t="shared" si="21"/>
        <v>370333191.72956675</v>
      </c>
      <c r="V67" s="81">
        <f t="shared" si="21"/>
        <v>75969293.580332547</v>
      </c>
      <c r="W67" s="81">
        <f t="shared" si="21"/>
        <v>123444397.24318892</v>
      </c>
      <c r="X67" s="81">
        <f t="shared" si="21"/>
        <v>94171030.722313166</v>
      </c>
      <c r="Y67" s="81">
        <f t="shared" si="21"/>
        <v>71467350.815306529</v>
      </c>
      <c r="Z67" s="81">
        <f t="shared" si="21"/>
        <v>33916108.483513705</v>
      </c>
      <c r="AA67" s="81">
        <f t="shared" si="21"/>
        <v>44791877.931702614</v>
      </c>
      <c r="AB67" s="81">
        <f t="shared" si="21"/>
        <v>105611757.56249273</v>
      </c>
      <c r="AC67" s="81">
        <f t="shared" si="21"/>
        <v>0</v>
      </c>
      <c r="AD67" s="81">
        <f t="shared" si="21"/>
        <v>0</v>
      </c>
      <c r="AE67" s="81">
        <f t="shared" si="21"/>
        <v>0</v>
      </c>
      <c r="AF67" s="81">
        <f>SUM(H67:AE67)</f>
        <v>4178762034.4303069</v>
      </c>
      <c r="AG67" s="94" t="str">
        <f>IF(ABS(AF67-F67)&lt;1,"ok","err")</f>
        <v>ok</v>
      </c>
    </row>
    <row r="68" spans="1:33" x14ac:dyDescent="0.25">
      <c r="A68" s="61"/>
      <c r="B68" s="61"/>
      <c r="AG68" s="59"/>
    </row>
    <row r="69" spans="1:33" x14ac:dyDescent="0.25">
      <c r="A69" s="60"/>
      <c r="B69" s="61"/>
      <c r="AG69" s="59"/>
    </row>
    <row r="70" spans="1:33" x14ac:dyDescent="0.25">
      <c r="A70" s="60" t="s">
        <v>983</v>
      </c>
      <c r="B70" s="61"/>
      <c r="AG70" s="59"/>
    </row>
    <row r="71" spans="1:33" x14ac:dyDescent="0.25">
      <c r="A71" s="60"/>
      <c r="B71" s="61"/>
      <c r="AG71" s="59"/>
    </row>
    <row r="72" spans="1:33" x14ac:dyDescent="0.25">
      <c r="A72" s="61"/>
      <c r="B72" s="61" t="s">
        <v>321</v>
      </c>
      <c r="C72" s="45" t="s">
        <v>123</v>
      </c>
      <c r="D72" s="45" t="s">
        <v>645</v>
      </c>
      <c r="F72" s="77">
        <v>46347392.66538465</v>
      </c>
      <c r="H72" s="64">
        <f t="shared" ref="H72:Q75" si="22">IF(VLOOKUP($D72,$C$6:$AE$651,H$2,)=0,0,((VLOOKUP($D72,$C$6:$AE$651,H$2,)/VLOOKUP($D72,$C$6:$AE$651,4,))*$F72))</f>
        <v>16216913.970645249</v>
      </c>
      <c r="I72" s="64">
        <f t="shared" si="22"/>
        <v>15802800.231038239</v>
      </c>
      <c r="J72" s="64">
        <f t="shared" si="22"/>
        <v>14327678.463701162</v>
      </c>
      <c r="K72" s="64">
        <f t="shared" si="22"/>
        <v>0</v>
      </c>
      <c r="L72" s="64">
        <f t="shared" si="22"/>
        <v>0</v>
      </c>
      <c r="M72" s="64">
        <f t="shared" si="22"/>
        <v>0</v>
      </c>
      <c r="N72" s="64">
        <f t="shared" si="22"/>
        <v>0</v>
      </c>
      <c r="O72" s="64">
        <f t="shared" si="22"/>
        <v>0</v>
      </c>
      <c r="P72" s="64">
        <f t="shared" si="22"/>
        <v>0</v>
      </c>
      <c r="Q72" s="64">
        <f t="shared" si="22"/>
        <v>0</v>
      </c>
      <c r="R72" s="64">
        <f t="shared" ref="R72:AE75" si="23">IF(VLOOKUP($D72,$C$6:$AE$651,R$2,)=0,0,((VLOOKUP($D72,$C$6:$AE$651,R$2,)/VLOOKUP($D72,$C$6:$AE$651,4,))*$F72))</f>
        <v>0</v>
      </c>
      <c r="S72" s="64">
        <f t="shared" si="23"/>
        <v>0</v>
      </c>
      <c r="T72" s="64">
        <f t="shared" si="23"/>
        <v>0</v>
      </c>
      <c r="U72" s="64">
        <f t="shared" si="23"/>
        <v>0</v>
      </c>
      <c r="V72" s="64">
        <f t="shared" si="23"/>
        <v>0</v>
      </c>
      <c r="W72" s="64">
        <f t="shared" si="23"/>
        <v>0</v>
      </c>
      <c r="X72" s="64">
        <f t="shared" si="23"/>
        <v>0</v>
      </c>
      <c r="Y72" s="64">
        <f t="shared" si="23"/>
        <v>0</v>
      </c>
      <c r="Z72" s="64">
        <f t="shared" si="23"/>
        <v>0</v>
      </c>
      <c r="AA72" s="64">
        <f t="shared" si="23"/>
        <v>0</v>
      </c>
      <c r="AB72" s="64">
        <f t="shared" si="23"/>
        <v>0</v>
      </c>
      <c r="AC72" s="64">
        <f t="shared" si="23"/>
        <v>0</v>
      </c>
      <c r="AD72" s="64">
        <f t="shared" si="23"/>
        <v>0</v>
      </c>
      <c r="AE72" s="64">
        <f t="shared" si="23"/>
        <v>0</v>
      </c>
      <c r="AF72" s="64">
        <f>SUM(H72:AE72)</f>
        <v>46347392.66538465</v>
      </c>
      <c r="AG72" s="59" t="str">
        <f>IF(ABS(AF72-F72)&lt;1,"ok","err")</f>
        <v>ok</v>
      </c>
    </row>
    <row r="73" spans="1:33" x14ac:dyDescent="0.25">
      <c r="A73" s="61"/>
      <c r="B73" s="61" t="s">
        <v>24</v>
      </c>
      <c r="C73" s="45" t="s">
        <v>124</v>
      </c>
      <c r="D73" s="45" t="s">
        <v>1185</v>
      </c>
      <c r="F73" s="80">
        <v>3929933.6715384624</v>
      </c>
      <c r="H73" s="64">
        <f t="shared" si="22"/>
        <v>0</v>
      </c>
      <c r="I73" s="64">
        <f t="shared" si="22"/>
        <v>0</v>
      </c>
      <c r="J73" s="64">
        <f t="shared" si="22"/>
        <v>0</v>
      </c>
      <c r="K73" s="64">
        <f t="shared" si="22"/>
        <v>0</v>
      </c>
      <c r="L73" s="64">
        <f t="shared" si="22"/>
        <v>0</v>
      </c>
      <c r="M73" s="64">
        <f t="shared" si="22"/>
        <v>0</v>
      </c>
      <c r="N73" s="64">
        <f t="shared" si="22"/>
        <v>1375080.5082349358</v>
      </c>
      <c r="O73" s="64">
        <f t="shared" si="22"/>
        <v>1339966.5690134147</v>
      </c>
      <c r="P73" s="64">
        <f t="shared" si="22"/>
        <v>1214886.5942901119</v>
      </c>
      <c r="Q73" s="64">
        <f t="shared" si="22"/>
        <v>0</v>
      </c>
      <c r="R73" s="64">
        <f t="shared" si="23"/>
        <v>0</v>
      </c>
      <c r="S73" s="64">
        <f t="shared" si="23"/>
        <v>0</v>
      </c>
      <c r="T73" s="64">
        <f t="shared" si="23"/>
        <v>0</v>
      </c>
      <c r="U73" s="64">
        <f t="shared" si="23"/>
        <v>0</v>
      </c>
      <c r="V73" s="64">
        <f t="shared" si="23"/>
        <v>0</v>
      </c>
      <c r="W73" s="64">
        <f t="shared" si="23"/>
        <v>0</v>
      </c>
      <c r="X73" s="64">
        <f t="shared" si="23"/>
        <v>0</v>
      </c>
      <c r="Y73" s="64">
        <f t="shared" si="23"/>
        <v>0</v>
      </c>
      <c r="Z73" s="64">
        <f t="shared" si="23"/>
        <v>0</v>
      </c>
      <c r="AA73" s="64">
        <f t="shared" si="23"/>
        <v>0</v>
      </c>
      <c r="AB73" s="64">
        <f t="shared" si="23"/>
        <v>0</v>
      </c>
      <c r="AC73" s="64">
        <f t="shared" si="23"/>
        <v>0</v>
      </c>
      <c r="AD73" s="64">
        <f t="shared" si="23"/>
        <v>0</v>
      </c>
      <c r="AE73" s="64">
        <f t="shared" si="23"/>
        <v>0</v>
      </c>
      <c r="AF73" s="64">
        <f>SUM(H73:AE73)</f>
        <v>3929933.6715384629</v>
      </c>
      <c r="AG73" s="59" t="str">
        <f>IF(ABS(AF73-F73)&lt;1,"ok","err")</f>
        <v>ok</v>
      </c>
    </row>
    <row r="74" spans="1:33" x14ac:dyDescent="0.25">
      <c r="A74" s="61"/>
      <c r="B74" s="61" t="s">
        <v>1316</v>
      </c>
      <c r="C74" s="45" t="s">
        <v>125</v>
      </c>
      <c r="D74" s="45" t="s">
        <v>957</v>
      </c>
      <c r="F74" s="80">
        <v>20107033.163846157</v>
      </c>
      <c r="H74" s="64">
        <f t="shared" si="22"/>
        <v>0</v>
      </c>
      <c r="I74" s="64">
        <f t="shared" si="22"/>
        <v>0</v>
      </c>
      <c r="J74" s="64">
        <f t="shared" si="22"/>
        <v>0</v>
      </c>
      <c r="K74" s="64">
        <f t="shared" si="22"/>
        <v>0</v>
      </c>
      <c r="L74" s="64">
        <f t="shared" si="22"/>
        <v>0</v>
      </c>
      <c r="M74" s="64">
        <f t="shared" si="22"/>
        <v>0</v>
      </c>
      <c r="N74" s="64">
        <f t="shared" si="22"/>
        <v>0</v>
      </c>
      <c r="O74" s="64">
        <f t="shared" si="22"/>
        <v>0</v>
      </c>
      <c r="P74" s="64">
        <f t="shared" si="22"/>
        <v>0</v>
      </c>
      <c r="Q74" s="64">
        <f t="shared" si="22"/>
        <v>0</v>
      </c>
      <c r="R74" s="64">
        <f t="shared" si="23"/>
        <v>2396619.4890674064</v>
      </c>
      <c r="S74" s="64">
        <f t="shared" si="23"/>
        <v>0</v>
      </c>
      <c r="T74" s="64">
        <f t="shared" si="23"/>
        <v>3517164.0951616485</v>
      </c>
      <c r="U74" s="64">
        <f t="shared" si="23"/>
        <v>5715127.5373319741</v>
      </c>
      <c r="V74" s="64">
        <f t="shared" si="23"/>
        <v>1172388.0317205493</v>
      </c>
      <c r="W74" s="64">
        <f t="shared" si="23"/>
        <v>1905042.5124439914</v>
      </c>
      <c r="X74" s="64">
        <f t="shared" si="23"/>
        <v>1453284.4015046959</v>
      </c>
      <c r="Y74" s="64">
        <f t="shared" si="23"/>
        <v>1102912.2794993413</v>
      </c>
      <c r="Z74" s="64">
        <f t="shared" si="23"/>
        <v>523406.73178118566</v>
      </c>
      <c r="AA74" s="64">
        <f t="shared" si="23"/>
        <v>691245.88541667047</v>
      </c>
      <c r="AB74" s="64">
        <f t="shared" si="23"/>
        <v>1629842.1999186992</v>
      </c>
      <c r="AC74" s="64">
        <f t="shared" si="23"/>
        <v>0</v>
      </c>
      <c r="AD74" s="64">
        <f t="shared" si="23"/>
        <v>0</v>
      </c>
      <c r="AE74" s="64">
        <f t="shared" si="23"/>
        <v>0</v>
      </c>
      <c r="AF74" s="64">
        <f>SUM(H74:AE74)</f>
        <v>20107033.163846161</v>
      </c>
      <c r="AG74" s="59" t="str">
        <f>IF(ABS(AF74-F74)&lt;1,"ok","err")</f>
        <v>ok</v>
      </c>
    </row>
    <row r="75" spans="1:33" x14ac:dyDescent="0.25">
      <c r="A75" s="61"/>
      <c r="B75" s="61" t="s">
        <v>1355</v>
      </c>
      <c r="C75" s="45" t="s">
        <v>126</v>
      </c>
      <c r="D75" s="45" t="s">
        <v>1186</v>
      </c>
      <c r="F75" s="80">
        <v>10163121.252153838</v>
      </c>
      <c r="H75" s="64">
        <f t="shared" si="22"/>
        <v>2078485.9562961224</v>
      </c>
      <c r="I75" s="64">
        <f t="shared" si="22"/>
        <v>2025409.9152170073</v>
      </c>
      <c r="J75" s="64">
        <f t="shared" si="22"/>
        <v>1836346.8244966196</v>
      </c>
      <c r="K75" s="64">
        <f t="shared" si="22"/>
        <v>0</v>
      </c>
      <c r="L75" s="64">
        <f t="shared" si="22"/>
        <v>0</v>
      </c>
      <c r="M75" s="64">
        <f t="shared" si="22"/>
        <v>0</v>
      </c>
      <c r="N75" s="64">
        <f t="shared" si="22"/>
        <v>372156.57857891126</v>
      </c>
      <c r="O75" s="64">
        <f t="shared" si="22"/>
        <v>362653.21975530079</v>
      </c>
      <c r="P75" s="64">
        <f t="shared" si="22"/>
        <v>328801.13970399369</v>
      </c>
      <c r="Q75" s="64">
        <f t="shared" si="22"/>
        <v>0</v>
      </c>
      <c r="R75" s="64">
        <f t="shared" si="23"/>
        <v>376562.88140740321</v>
      </c>
      <c r="S75" s="64">
        <f t="shared" si="23"/>
        <v>0</v>
      </c>
      <c r="T75" s="64">
        <f t="shared" si="23"/>
        <v>552625.66798708099</v>
      </c>
      <c r="U75" s="64">
        <f t="shared" si="23"/>
        <v>897975.21170370269</v>
      </c>
      <c r="V75" s="64">
        <f t="shared" si="23"/>
        <v>184208.55599569366</v>
      </c>
      <c r="W75" s="64">
        <f t="shared" si="23"/>
        <v>299325.0705679009</v>
      </c>
      <c r="X75" s="64">
        <f t="shared" si="23"/>
        <v>228343.70004559783</v>
      </c>
      <c r="Y75" s="64">
        <f t="shared" si="23"/>
        <v>173292.3510813519</v>
      </c>
      <c r="Z75" s="64">
        <f t="shared" si="23"/>
        <v>82238.982018898067</v>
      </c>
      <c r="AA75" s="64">
        <f t="shared" si="23"/>
        <v>108610.29193866831</v>
      </c>
      <c r="AB75" s="64">
        <f t="shared" si="23"/>
        <v>256084.90535958603</v>
      </c>
      <c r="AC75" s="64">
        <f t="shared" si="23"/>
        <v>0</v>
      </c>
      <c r="AD75" s="64">
        <f t="shared" si="23"/>
        <v>0</v>
      </c>
      <c r="AE75" s="64">
        <f t="shared" si="23"/>
        <v>0</v>
      </c>
      <c r="AF75" s="64">
        <f>SUM(H75:AE75)</f>
        <v>10163121.25215384</v>
      </c>
      <c r="AG75" s="59" t="str">
        <f>IF(ABS(AF75-F75)&lt;1,"ok","err")</f>
        <v>ok</v>
      </c>
    </row>
    <row r="76" spans="1:33" x14ac:dyDescent="0.25">
      <c r="A76" s="61"/>
      <c r="B76" s="61"/>
      <c r="F76" s="80"/>
      <c r="AF76" s="64"/>
      <c r="AG76" s="59"/>
    </row>
    <row r="77" spans="1:33" x14ac:dyDescent="0.25">
      <c r="A77" s="300" t="s">
        <v>984</v>
      </c>
      <c r="B77" s="61"/>
      <c r="C77" s="45" t="s">
        <v>985</v>
      </c>
      <c r="F77" s="77">
        <f>SUM(F72:F75)</f>
        <v>80547480.752923116</v>
      </c>
      <c r="G77" s="63"/>
      <c r="H77" s="63">
        <f t="shared" ref="H77:AE77" si="24">SUM(H72:H75)</f>
        <v>18295399.926941372</v>
      </c>
      <c r="I77" s="63">
        <f t="shared" si="24"/>
        <v>17828210.146255247</v>
      </c>
      <c r="J77" s="63">
        <f t="shared" si="24"/>
        <v>16164025.288197782</v>
      </c>
      <c r="K77" s="63">
        <f t="shared" si="24"/>
        <v>0</v>
      </c>
      <c r="L77" s="63">
        <f t="shared" si="24"/>
        <v>0</v>
      </c>
      <c r="M77" s="63">
        <f t="shared" si="24"/>
        <v>0</v>
      </c>
      <c r="N77" s="63">
        <f t="shared" si="24"/>
        <v>1747237.0868138471</v>
      </c>
      <c r="O77" s="63">
        <f t="shared" si="24"/>
        <v>1702619.7887687155</v>
      </c>
      <c r="P77" s="63">
        <f t="shared" si="24"/>
        <v>1543687.7339941056</v>
      </c>
      <c r="Q77" s="63">
        <f t="shared" si="24"/>
        <v>0</v>
      </c>
      <c r="R77" s="63">
        <f t="shared" si="24"/>
        <v>2773182.3704748098</v>
      </c>
      <c r="S77" s="63">
        <f t="shared" si="24"/>
        <v>0</v>
      </c>
      <c r="T77" s="63">
        <f t="shared" si="24"/>
        <v>4069789.7631487297</v>
      </c>
      <c r="U77" s="63">
        <f t="shared" si="24"/>
        <v>6613102.7490356769</v>
      </c>
      <c r="V77" s="63">
        <f t="shared" si="24"/>
        <v>1356596.587716243</v>
      </c>
      <c r="W77" s="63">
        <f t="shared" si="24"/>
        <v>2204367.5830118922</v>
      </c>
      <c r="X77" s="63">
        <f t="shared" si="24"/>
        <v>1681628.1015502936</v>
      </c>
      <c r="Y77" s="63">
        <f t="shared" si="24"/>
        <v>1276204.6305806933</v>
      </c>
      <c r="Z77" s="63">
        <f t="shared" si="24"/>
        <v>605645.71380008373</v>
      </c>
      <c r="AA77" s="63">
        <f t="shared" si="24"/>
        <v>799856.17735533882</v>
      </c>
      <c r="AB77" s="63">
        <f t="shared" si="24"/>
        <v>1885927.1052782852</v>
      </c>
      <c r="AC77" s="63">
        <f t="shared" si="24"/>
        <v>0</v>
      </c>
      <c r="AD77" s="63">
        <f t="shared" si="24"/>
        <v>0</v>
      </c>
      <c r="AE77" s="63">
        <f t="shared" si="24"/>
        <v>0</v>
      </c>
      <c r="AF77" s="64">
        <f>SUM(H77:AE77)</f>
        <v>80547480.752923116</v>
      </c>
      <c r="AG77" s="59" t="str">
        <f>IF(ABS(AF77-F77)&lt;1,"ok","err")</f>
        <v>ok</v>
      </c>
    </row>
    <row r="78" spans="1:33" x14ac:dyDescent="0.25">
      <c r="A78" s="300"/>
      <c r="B78" s="61"/>
      <c r="F78" s="77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4"/>
      <c r="AG78" s="59"/>
    </row>
    <row r="79" spans="1:33" x14ac:dyDescent="0.25">
      <c r="A79" s="66" t="s">
        <v>1164</v>
      </c>
      <c r="B79" s="61"/>
      <c r="F79" s="77">
        <f>F67+F77</f>
        <v>4259309515.1832294</v>
      </c>
      <c r="G79" s="63"/>
      <c r="H79" s="63">
        <f t="shared" ref="H79:AE79" si="25">H67+H77</f>
        <v>871742170.62378836</v>
      </c>
      <c r="I79" s="63">
        <f t="shared" si="25"/>
        <v>849481436.49745536</v>
      </c>
      <c r="J79" s="63">
        <f t="shared" si="25"/>
        <v>770186087.59688675</v>
      </c>
      <c r="K79" s="63">
        <f t="shared" si="25"/>
        <v>0</v>
      </c>
      <c r="L79" s="63">
        <f t="shared" si="25"/>
        <v>0</v>
      </c>
      <c r="M79" s="63">
        <f t="shared" si="25"/>
        <v>0</v>
      </c>
      <c r="N79" s="63">
        <f t="shared" si="25"/>
        <v>154558387.53969109</v>
      </c>
      <c r="O79" s="63">
        <f t="shared" si="25"/>
        <v>150611597.66539392</v>
      </c>
      <c r="P79" s="63">
        <f t="shared" si="25"/>
        <v>136552668.68562537</v>
      </c>
      <c r="Q79" s="63">
        <f t="shared" si="25"/>
        <v>0</v>
      </c>
      <c r="R79" s="63">
        <f t="shared" si="25"/>
        <v>158071159.35349688</v>
      </c>
      <c r="S79" s="63">
        <f t="shared" si="25"/>
        <v>0</v>
      </c>
      <c r="T79" s="63">
        <f t="shared" si="25"/>
        <v>231977670.50414634</v>
      </c>
      <c r="U79" s="63">
        <f t="shared" si="25"/>
        <v>376946294.47860241</v>
      </c>
      <c r="V79" s="63">
        <f t="shared" si="25"/>
        <v>77325890.168048784</v>
      </c>
      <c r="W79" s="63">
        <f t="shared" si="25"/>
        <v>125648764.82620081</v>
      </c>
      <c r="X79" s="63">
        <f t="shared" si="25"/>
        <v>95852658.823863462</v>
      </c>
      <c r="Y79" s="63">
        <f t="shared" si="25"/>
        <v>72743555.445887223</v>
      </c>
      <c r="Z79" s="63">
        <f t="shared" si="25"/>
        <v>34521754.197313786</v>
      </c>
      <c r="AA79" s="63">
        <f t="shared" si="25"/>
        <v>45591734.109057955</v>
      </c>
      <c r="AB79" s="63">
        <f t="shared" si="25"/>
        <v>107497684.66777101</v>
      </c>
      <c r="AC79" s="63">
        <f t="shared" si="25"/>
        <v>0</v>
      </c>
      <c r="AD79" s="63">
        <f t="shared" si="25"/>
        <v>0</v>
      </c>
      <c r="AE79" s="63">
        <f t="shared" si="25"/>
        <v>0</v>
      </c>
      <c r="AF79" s="64">
        <f>SUM(H79:AE79)</f>
        <v>4259309515.1832294</v>
      </c>
      <c r="AG79" s="59" t="str">
        <f>IF(ABS(AF79-F79)&lt;1,"ok","err")</f>
        <v>ok</v>
      </c>
    </row>
    <row r="80" spans="1:33" x14ac:dyDescent="0.25">
      <c r="A80" s="66"/>
      <c r="B80" s="61"/>
      <c r="F80" s="77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4"/>
      <c r="AG80" s="59"/>
    </row>
    <row r="81" spans="1:37" x14ac:dyDescent="0.25">
      <c r="A81" s="66"/>
      <c r="B81" s="61"/>
      <c r="F81" s="77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5"/>
      <c r="AA81" s="65">
        <f>R79+T79+U79+V79+W79+X79+Y79+Z79+AA79</f>
        <v>1218679481.9066176</v>
      </c>
      <c r="AB81" s="63"/>
      <c r="AC81" s="63"/>
      <c r="AD81" s="63"/>
      <c r="AE81" s="63"/>
      <c r="AF81" s="64"/>
      <c r="AG81" s="59"/>
    </row>
    <row r="82" spans="1:37" x14ac:dyDescent="0.25">
      <c r="A82" s="66"/>
      <c r="B82" s="61"/>
      <c r="F82" s="77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4"/>
      <c r="AG82" s="59"/>
    </row>
    <row r="83" spans="1:37" x14ac:dyDescent="0.25">
      <c r="A83" s="66"/>
      <c r="B83" s="61"/>
      <c r="F83" s="77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4"/>
      <c r="AG83" s="59"/>
    </row>
    <row r="84" spans="1:37" x14ac:dyDescent="0.25">
      <c r="A84" s="66"/>
      <c r="B84" s="61"/>
      <c r="F84" s="77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4"/>
      <c r="AG84" s="59"/>
    </row>
    <row r="85" spans="1:37" x14ac:dyDescent="0.25">
      <c r="A85" s="66"/>
      <c r="B85" s="61"/>
      <c r="F85" s="77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4"/>
      <c r="AG85" s="59"/>
    </row>
    <row r="86" spans="1:37" x14ac:dyDescent="0.25">
      <c r="A86" s="66"/>
      <c r="B86" s="61"/>
      <c r="F86" s="77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4"/>
      <c r="AG86" s="59"/>
    </row>
    <row r="87" spans="1:37" x14ac:dyDescent="0.25">
      <c r="A87" s="66"/>
      <c r="B87" s="61"/>
      <c r="F87" s="77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4"/>
      <c r="AG87" s="59"/>
    </row>
    <row r="88" spans="1:37" x14ac:dyDescent="0.25">
      <c r="A88" s="66"/>
      <c r="B88" s="61"/>
      <c r="F88" s="77"/>
      <c r="G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4"/>
      <c r="AG88" s="59"/>
      <c r="AH88" s="63"/>
      <c r="AI88" s="63"/>
      <c r="AJ88" s="63"/>
      <c r="AK88" s="63"/>
    </row>
    <row r="89" spans="1:37" x14ac:dyDescent="0.25">
      <c r="A89" s="61"/>
      <c r="B89" s="61"/>
      <c r="AG89" s="59"/>
      <c r="AH89" s="65"/>
    </row>
    <row r="90" spans="1:37" x14ac:dyDescent="0.25">
      <c r="A90" s="60" t="s">
        <v>987</v>
      </c>
      <c r="B90" s="61"/>
      <c r="AG90" s="59"/>
      <c r="AH90" s="65"/>
      <c r="AI90" s="65"/>
    </row>
    <row r="91" spans="1:37" x14ac:dyDescent="0.25">
      <c r="A91" s="61"/>
      <c r="B91" s="61"/>
      <c r="AG91" s="59"/>
      <c r="AI91" s="65"/>
    </row>
    <row r="92" spans="1:37" x14ac:dyDescent="0.25">
      <c r="A92" s="60" t="s">
        <v>988</v>
      </c>
      <c r="B92" s="61"/>
      <c r="AG92" s="59"/>
    </row>
    <row r="93" spans="1:37" x14ac:dyDescent="0.25">
      <c r="A93" s="61" t="s">
        <v>956</v>
      </c>
      <c r="B93" s="61"/>
      <c r="F93" s="81">
        <f>F67</f>
        <v>4178762034.4303064</v>
      </c>
      <c r="G93" s="65"/>
      <c r="H93" s="65">
        <f t="shared" ref="H93:M93" si="26">H67</f>
        <v>853446770.69684696</v>
      </c>
      <c r="I93" s="65">
        <f t="shared" si="26"/>
        <v>831653226.3512001</v>
      </c>
      <c r="J93" s="65">
        <f t="shared" si="26"/>
        <v>754022062.308689</v>
      </c>
      <c r="K93" s="65">
        <f t="shared" si="26"/>
        <v>0</v>
      </c>
      <c r="L93" s="65">
        <f t="shared" si="26"/>
        <v>0</v>
      </c>
      <c r="M93" s="65">
        <f t="shared" si="26"/>
        <v>0</v>
      </c>
      <c r="N93" s="65">
        <f>N67</f>
        <v>152811150.45287725</v>
      </c>
      <c r="O93" s="65">
        <f>O67</f>
        <v>148908977.87662521</v>
      </c>
      <c r="P93" s="65">
        <f>P67</f>
        <v>135008980.95163128</v>
      </c>
      <c r="Q93" s="65">
        <f t="shared" ref="Q93:AB93" si="27">Q67</f>
        <v>0</v>
      </c>
      <c r="R93" s="65">
        <f t="shared" si="27"/>
        <v>155297976.98302206</v>
      </c>
      <c r="S93" s="65">
        <f t="shared" si="27"/>
        <v>0</v>
      </c>
      <c r="T93" s="65">
        <f t="shared" si="27"/>
        <v>227907880.74099761</v>
      </c>
      <c r="U93" s="65">
        <f t="shared" si="27"/>
        <v>370333191.72956675</v>
      </c>
      <c r="V93" s="65">
        <f t="shared" si="27"/>
        <v>75969293.580332547</v>
      </c>
      <c r="W93" s="65">
        <f t="shared" si="27"/>
        <v>123444397.24318892</v>
      </c>
      <c r="X93" s="65">
        <f t="shared" si="27"/>
        <v>94171030.722313166</v>
      </c>
      <c r="Y93" s="65">
        <f t="shared" si="27"/>
        <v>71467350.815306529</v>
      </c>
      <c r="Z93" s="65">
        <f t="shared" si="27"/>
        <v>33916108.483513705</v>
      </c>
      <c r="AA93" s="65">
        <f t="shared" si="27"/>
        <v>44791877.931702614</v>
      </c>
      <c r="AB93" s="65">
        <f t="shared" si="27"/>
        <v>105611757.56249273</v>
      </c>
      <c r="AC93" s="65">
        <f>AC67</f>
        <v>0</v>
      </c>
      <c r="AD93" s="65">
        <f>AD67</f>
        <v>0</v>
      </c>
      <c r="AE93" s="65">
        <f>AE67</f>
        <v>0</v>
      </c>
      <c r="AF93" s="64">
        <f>SUM(H93:AE93)</f>
        <v>4178762034.4303069</v>
      </c>
      <c r="AG93" s="59" t="str">
        <f>IF(ABS(AF93-F93)&lt;1,"ok","err")</f>
        <v>ok</v>
      </c>
    </row>
    <row r="94" spans="1:37" x14ac:dyDescent="0.25">
      <c r="A94" s="61" t="s">
        <v>983</v>
      </c>
      <c r="B94" s="61"/>
      <c r="F94" s="80">
        <f>F77</f>
        <v>80547480.752923116</v>
      </c>
      <c r="G94" s="68"/>
      <c r="H94" s="68">
        <f t="shared" ref="H94:AE94" si="28">H77</f>
        <v>18295399.926941372</v>
      </c>
      <c r="I94" s="68">
        <f t="shared" si="28"/>
        <v>17828210.146255247</v>
      </c>
      <c r="J94" s="68">
        <f t="shared" si="28"/>
        <v>16164025.288197782</v>
      </c>
      <c r="K94" s="68">
        <f>K77</f>
        <v>0</v>
      </c>
      <c r="L94" s="68">
        <f t="shared" si="28"/>
        <v>0</v>
      </c>
      <c r="M94" s="68">
        <f t="shared" si="28"/>
        <v>0</v>
      </c>
      <c r="N94" s="68">
        <f>N77</f>
        <v>1747237.0868138471</v>
      </c>
      <c r="O94" s="68">
        <f>O77</f>
        <v>1702619.7887687155</v>
      </c>
      <c r="P94" s="68">
        <f>P77</f>
        <v>1543687.7339941056</v>
      </c>
      <c r="Q94" s="68">
        <f t="shared" si="28"/>
        <v>0</v>
      </c>
      <c r="R94" s="68">
        <f>R77</f>
        <v>2773182.3704748098</v>
      </c>
      <c r="S94" s="68">
        <f t="shared" si="28"/>
        <v>0</v>
      </c>
      <c r="T94" s="68">
        <f t="shared" si="28"/>
        <v>4069789.7631487297</v>
      </c>
      <c r="U94" s="68">
        <f>U77</f>
        <v>6613102.7490356769</v>
      </c>
      <c r="V94" s="68">
        <f>V77</f>
        <v>1356596.587716243</v>
      </c>
      <c r="W94" s="68">
        <f>W77</f>
        <v>2204367.5830118922</v>
      </c>
      <c r="X94" s="68">
        <f t="shared" si="28"/>
        <v>1681628.1015502936</v>
      </c>
      <c r="Y94" s="68">
        <f t="shared" si="28"/>
        <v>1276204.6305806933</v>
      </c>
      <c r="Z94" s="68">
        <f>Z77</f>
        <v>605645.71380008373</v>
      </c>
      <c r="AA94" s="68">
        <f>AA77</f>
        <v>799856.17735533882</v>
      </c>
      <c r="AB94" s="68">
        <f t="shared" si="28"/>
        <v>1885927.1052782852</v>
      </c>
      <c r="AC94" s="68">
        <f t="shared" si="28"/>
        <v>0</v>
      </c>
      <c r="AD94" s="68">
        <f t="shared" si="28"/>
        <v>0</v>
      </c>
      <c r="AE94" s="64">
        <f t="shared" si="28"/>
        <v>0</v>
      </c>
      <c r="AF94" s="64">
        <f>SUM(H94:AE94)</f>
        <v>80547480.752923116</v>
      </c>
      <c r="AG94" s="59" t="str">
        <f>IF(ABS(AF94-F94)&lt;1,"ok","err")</f>
        <v>ok</v>
      </c>
    </row>
    <row r="95" spans="1:37" x14ac:dyDescent="0.25">
      <c r="A95" s="61"/>
      <c r="B95" s="61"/>
      <c r="W95" s="45"/>
      <c r="AF95" s="64"/>
      <c r="AG95" s="59"/>
    </row>
    <row r="96" spans="1:37" x14ac:dyDescent="0.25">
      <c r="A96" s="300" t="s">
        <v>989</v>
      </c>
      <c r="B96" s="61"/>
      <c r="C96" s="45" t="s">
        <v>990</v>
      </c>
      <c r="F96" s="81">
        <f>F93+F94</f>
        <v>4259309515.1832294</v>
      </c>
      <c r="G96" s="65"/>
      <c r="H96" s="65">
        <f t="shared" ref="H96:AE96" si="29">H93+H94</f>
        <v>871742170.62378836</v>
      </c>
      <c r="I96" s="65">
        <f t="shared" si="29"/>
        <v>849481436.49745536</v>
      </c>
      <c r="J96" s="65">
        <f t="shared" si="29"/>
        <v>770186087.59688675</v>
      </c>
      <c r="K96" s="65">
        <f>K93+K94</f>
        <v>0</v>
      </c>
      <c r="L96" s="65">
        <f t="shared" si="29"/>
        <v>0</v>
      </c>
      <c r="M96" s="65">
        <f t="shared" si="29"/>
        <v>0</v>
      </c>
      <c r="N96" s="65">
        <f t="shared" si="29"/>
        <v>154558387.53969109</v>
      </c>
      <c r="O96" s="65">
        <f>O93+O94</f>
        <v>150611597.66539392</v>
      </c>
      <c r="P96" s="65">
        <f>P93+P94</f>
        <v>136552668.68562537</v>
      </c>
      <c r="Q96" s="65">
        <f t="shared" si="29"/>
        <v>0</v>
      </c>
      <c r="R96" s="65">
        <f>R93+R94</f>
        <v>158071159.35349688</v>
      </c>
      <c r="S96" s="65">
        <f t="shared" si="29"/>
        <v>0</v>
      </c>
      <c r="T96" s="65">
        <f t="shared" si="29"/>
        <v>231977670.50414634</v>
      </c>
      <c r="U96" s="65">
        <f>U93+U94</f>
        <v>376946294.47860241</v>
      </c>
      <c r="V96" s="65">
        <f>V93+V94</f>
        <v>77325890.168048784</v>
      </c>
      <c r="W96" s="65">
        <f>W93+W94</f>
        <v>125648764.82620081</v>
      </c>
      <c r="X96" s="65">
        <f t="shared" si="29"/>
        <v>95852658.823863462</v>
      </c>
      <c r="Y96" s="65">
        <f t="shared" si="29"/>
        <v>72743555.445887223</v>
      </c>
      <c r="Z96" s="65">
        <f>Z93+Z94</f>
        <v>34521754.197313786</v>
      </c>
      <c r="AA96" s="65">
        <f>AA93+AA94</f>
        <v>45591734.109057955</v>
      </c>
      <c r="AB96" s="65">
        <f t="shared" si="29"/>
        <v>107497684.66777101</v>
      </c>
      <c r="AC96" s="65">
        <f t="shared" si="29"/>
        <v>0</v>
      </c>
      <c r="AD96" s="65">
        <f t="shared" si="29"/>
        <v>0</v>
      </c>
      <c r="AE96" s="65">
        <f t="shared" si="29"/>
        <v>0</v>
      </c>
      <c r="AF96" s="64">
        <f>SUM(H96:AE96)</f>
        <v>4259309515.1832294</v>
      </c>
      <c r="AG96" s="59" t="str">
        <f>IF(ABS(AF96-F96)&lt;1,"ok","err")</f>
        <v>ok</v>
      </c>
    </row>
    <row r="97" spans="1:33" x14ac:dyDescent="0.25">
      <c r="A97" s="61"/>
      <c r="B97" s="61"/>
      <c r="W97" s="45"/>
      <c r="AG97" s="59"/>
    </row>
    <row r="98" spans="1:33" x14ac:dyDescent="0.25">
      <c r="A98" s="301" t="s">
        <v>765</v>
      </c>
      <c r="B98" s="61"/>
      <c r="W98" s="45"/>
      <c r="AG98" s="59"/>
    </row>
    <row r="99" spans="1:33" x14ac:dyDescent="0.25">
      <c r="A99" s="69" t="s">
        <v>628</v>
      </c>
      <c r="B99" s="61"/>
      <c r="C99" s="45" t="s">
        <v>2</v>
      </c>
      <c r="D99" s="45" t="s">
        <v>645</v>
      </c>
      <c r="F99" s="77">
        <v>952228396.15821803</v>
      </c>
      <c r="H99" s="64">
        <f t="shared" ref="H99:Q103" si="30">IF(VLOOKUP($D99,$C$6:$AE$651,H$2,)=0,0,((VLOOKUP($D99,$C$6:$AE$651,H$2,)/VLOOKUP($D99,$C$6:$AE$651,4,))*$F99))</f>
        <v>333183920.23455942</v>
      </c>
      <c r="I99" s="64">
        <f t="shared" si="30"/>
        <v>324675763.90870041</v>
      </c>
      <c r="J99" s="64">
        <f t="shared" si="30"/>
        <v>294368712.0149582</v>
      </c>
      <c r="K99" s="64">
        <f t="shared" si="30"/>
        <v>0</v>
      </c>
      <c r="L99" s="64">
        <f t="shared" si="30"/>
        <v>0</v>
      </c>
      <c r="M99" s="64">
        <f t="shared" si="30"/>
        <v>0</v>
      </c>
      <c r="N99" s="64">
        <f t="shared" si="30"/>
        <v>0</v>
      </c>
      <c r="O99" s="64">
        <f t="shared" si="30"/>
        <v>0</v>
      </c>
      <c r="P99" s="64">
        <f t="shared" si="30"/>
        <v>0</v>
      </c>
      <c r="Q99" s="64">
        <f t="shared" si="30"/>
        <v>0</v>
      </c>
      <c r="R99" s="64">
        <f t="shared" ref="R99:AE103" si="31">IF(VLOOKUP($D99,$C$6:$AE$651,R$2,)=0,0,((VLOOKUP($D99,$C$6:$AE$651,R$2,)/VLOOKUP($D99,$C$6:$AE$651,4,))*$F99))</f>
        <v>0</v>
      </c>
      <c r="S99" s="64">
        <f t="shared" si="31"/>
        <v>0</v>
      </c>
      <c r="T99" s="64">
        <f t="shared" si="31"/>
        <v>0</v>
      </c>
      <c r="U99" s="64">
        <f t="shared" si="31"/>
        <v>0</v>
      </c>
      <c r="V99" s="64">
        <f t="shared" si="31"/>
        <v>0</v>
      </c>
      <c r="W99" s="64">
        <f t="shared" si="31"/>
        <v>0</v>
      </c>
      <c r="X99" s="64">
        <f t="shared" si="31"/>
        <v>0</v>
      </c>
      <c r="Y99" s="64">
        <f t="shared" si="31"/>
        <v>0</v>
      </c>
      <c r="Z99" s="64">
        <f t="shared" si="31"/>
        <v>0</v>
      </c>
      <c r="AA99" s="64">
        <f t="shared" si="31"/>
        <v>0</v>
      </c>
      <c r="AB99" s="64">
        <f t="shared" si="31"/>
        <v>0</v>
      </c>
      <c r="AC99" s="64">
        <f t="shared" si="31"/>
        <v>0</v>
      </c>
      <c r="AD99" s="64">
        <f t="shared" si="31"/>
        <v>0</v>
      </c>
      <c r="AE99" s="64">
        <f t="shared" si="31"/>
        <v>0</v>
      </c>
      <c r="AF99" s="64">
        <f>SUM(H99:AE99)</f>
        <v>952228396.15821791</v>
      </c>
      <c r="AG99" s="59" t="str">
        <f>IF(ABS(AF99-F99)&lt;1,"ok","err")</f>
        <v>ok</v>
      </c>
    </row>
    <row r="100" spans="1:33" x14ac:dyDescent="0.25">
      <c r="A100" s="61" t="s">
        <v>624</v>
      </c>
      <c r="B100" s="61"/>
      <c r="C100" s="45" t="s">
        <v>3</v>
      </c>
      <c r="D100" s="45" t="s">
        <v>1184</v>
      </c>
      <c r="F100" s="80">
        <v>153569620.03692299</v>
      </c>
      <c r="H100" s="64">
        <f t="shared" si="30"/>
        <v>0</v>
      </c>
      <c r="I100" s="64">
        <f t="shared" si="30"/>
        <v>0</v>
      </c>
      <c r="J100" s="64">
        <f t="shared" si="30"/>
        <v>0</v>
      </c>
      <c r="K100" s="64">
        <f t="shared" si="30"/>
        <v>0</v>
      </c>
      <c r="L100" s="64">
        <f t="shared" si="30"/>
        <v>0</v>
      </c>
      <c r="M100" s="64">
        <f t="shared" si="30"/>
        <v>0</v>
      </c>
      <c r="N100" s="64">
        <f t="shared" si="30"/>
        <v>53733881.744408809</v>
      </c>
      <c r="O100" s="64">
        <f t="shared" si="30"/>
        <v>52361737.897986673</v>
      </c>
      <c r="P100" s="64">
        <f t="shared" si="30"/>
        <v>47474000.394527502</v>
      </c>
      <c r="Q100" s="64">
        <f t="shared" si="30"/>
        <v>0</v>
      </c>
      <c r="R100" s="64">
        <f t="shared" si="31"/>
        <v>0</v>
      </c>
      <c r="S100" s="64">
        <f t="shared" si="31"/>
        <v>0</v>
      </c>
      <c r="T100" s="64">
        <f t="shared" si="31"/>
        <v>0</v>
      </c>
      <c r="U100" s="64">
        <f t="shared" si="31"/>
        <v>0</v>
      </c>
      <c r="V100" s="64">
        <f t="shared" si="31"/>
        <v>0</v>
      </c>
      <c r="W100" s="64">
        <f t="shared" si="31"/>
        <v>0</v>
      </c>
      <c r="X100" s="64">
        <f t="shared" si="31"/>
        <v>0</v>
      </c>
      <c r="Y100" s="64">
        <f t="shared" si="31"/>
        <v>0</v>
      </c>
      <c r="Z100" s="64">
        <f t="shared" si="31"/>
        <v>0</v>
      </c>
      <c r="AA100" s="64">
        <f t="shared" si="31"/>
        <v>0</v>
      </c>
      <c r="AB100" s="64">
        <f t="shared" si="31"/>
        <v>0</v>
      </c>
      <c r="AC100" s="64">
        <f t="shared" si="31"/>
        <v>0</v>
      </c>
      <c r="AD100" s="64">
        <f t="shared" si="31"/>
        <v>0</v>
      </c>
      <c r="AE100" s="64">
        <f t="shared" si="31"/>
        <v>0</v>
      </c>
      <c r="AF100" s="64">
        <f>SUM(H100:AE100)</f>
        <v>153569620.03692299</v>
      </c>
      <c r="AG100" s="59" t="str">
        <f>IF(ABS(AF100-F100)&lt;1,"ok","err")</f>
        <v>ok</v>
      </c>
    </row>
    <row r="101" spans="1:33" x14ac:dyDescent="0.25">
      <c r="A101" s="61" t="s">
        <v>320</v>
      </c>
      <c r="B101" s="61"/>
      <c r="C101" s="45" t="s">
        <v>25</v>
      </c>
      <c r="D101" s="45" t="s">
        <v>957</v>
      </c>
      <c r="F101" s="80">
        <f>483072654.071365+121196</f>
        <v>483193850.071365</v>
      </c>
      <c r="H101" s="64">
        <f t="shared" si="30"/>
        <v>0</v>
      </c>
      <c r="I101" s="64">
        <f t="shared" si="30"/>
        <v>0</v>
      </c>
      <c r="J101" s="64">
        <f t="shared" si="30"/>
        <v>0</v>
      </c>
      <c r="K101" s="64">
        <f t="shared" si="30"/>
        <v>0</v>
      </c>
      <c r="L101" s="64">
        <f t="shared" si="30"/>
        <v>0</v>
      </c>
      <c r="M101" s="64">
        <f t="shared" si="30"/>
        <v>0</v>
      </c>
      <c r="N101" s="64">
        <f t="shared" si="30"/>
        <v>0</v>
      </c>
      <c r="O101" s="64">
        <f t="shared" si="30"/>
        <v>0</v>
      </c>
      <c r="P101" s="64">
        <f t="shared" si="30"/>
        <v>0</v>
      </c>
      <c r="Q101" s="64">
        <f t="shared" si="30"/>
        <v>0</v>
      </c>
      <c r="R101" s="64">
        <f t="shared" si="31"/>
        <v>57593369.874217421</v>
      </c>
      <c r="S101" s="64">
        <f t="shared" si="31"/>
        <v>0</v>
      </c>
      <c r="T101" s="64">
        <f t="shared" si="31"/>
        <v>84521274.054975674</v>
      </c>
      <c r="U101" s="64">
        <f t="shared" si="31"/>
        <v>137340723.31355727</v>
      </c>
      <c r="V101" s="64">
        <f t="shared" si="31"/>
        <v>28173758.018325225</v>
      </c>
      <c r="W101" s="64">
        <f t="shared" si="31"/>
        <v>45780241.104519092</v>
      </c>
      <c r="X101" s="64">
        <f t="shared" si="31"/>
        <v>34924002.934174813</v>
      </c>
      <c r="Y101" s="64">
        <f t="shared" si="31"/>
        <v>26504180.217919968</v>
      </c>
      <c r="Z101" s="64">
        <f t="shared" si="31"/>
        <v>12578032.364186158</v>
      </c>
      <c r="AA101" s="64">
        <f t="shared" si="31"/>
        <v>16611389.557015112</v>
      </c>
      <c r="AB101" s="64">
        <f t="shared" si="31"/>
        <v>39166878.632474378</v>
      </c>
      <c r="AC101" s="64">
        <f t="shared" si="31"/>
        <v>0</v>
      </c>
      <c r="AD101" s="64">
        <f t="shared" si="31"/>
        <v>0</v>
      </c>
      <c r="AE101" s="64">
        <f t="shared" si="31"/>
        <v>0</v>
      </c>
      <c r="AF101" s="64">
        <f>SUM(H101:AE101)</f>
        <v>483193850.07136506</v>
      </c>
      <c r="AG101" s="59" t="str">
        <f>IF(ABS(AF101-F101)&lt;1,"ok","err")</f>
        <v>ok</v>
      </c>
    </row>
    <row r="102" spans="1:33" x14ac:dyDescent="0.25">
      <c r="A102" s="69" t="s">
        <v>625</v>
      </c>
      <c r="B102" s="61"/>
      <c r="C102" s="45" t="s">
        <v>26</v>
      </c>
      <c r="D102" s="45" t="s">
        <v>1186</v>
      </c>
      <c r="F102" s="80">
        <v>123073416.19769301</v>
      </c>
      <c r="H102" s="64">
        <f t="shared" si="30"/>
        <v>25170059.552923311</v>
      </c>
      <c r="I102" s="64">
        <f t="shared" si="30"/>
        <v>24527319.047148924</v>
      </c>
      <c r="J102" s="64">
        <f t="shared" si="30"/>
        <v>22237801.892473511</v>
      </c>
      <c r="K102" s="64">
        <f t="shared" si="30"/>
        <v>0</v>
      </c>
      <c r="L102" s="64">
        <f t="shared" si="30"/>
        <v>0</v>
      </c>
      <c r="M102" s="64">
        <f t="shared" si="30"/>
        <v>0</v>
      </c>
      <c r="N102" s="64">
        <f t="shared" si="30"/>
        <v>4506743.582976046</v>
      </c>
      <c r="O102" s="64">
        <f t="shared" si="30"/>
        <v>4391659.7611111477</v>
      </c>
      <c r="P102" s="64">
        <f t="shared" si="30"/>
        <v>3981717.6740353699</v>
      </c>
      <c r="Q102" s="64">
        <f t="shared" si="30"/>
        <v>0</v>
      </c>
      <c r="R102" s="64">
        <f t="shared" si="31"/>
        <v>4560103.0508451452</v>
      </c>
      <c r="S102" s="64">
        <f t="shared" si="31"/>
        <v>0</v>
      </c>
      <c r="T102" s="64">
        <f t="shared" si="31"/>
        <v>6692189.0578928441</v>
      </c>
      <c r="U102" s="64">
        <f t="shared" si="31"/>
        <v>10874304.67700066</v>
      </c>
      <c r="V102" s="64">
        <f t="shared" si="31"/>
        <v>2230729.6859642812</v>
      </c>
      <c r="W102" s="64">
        <f t="shared" si="31"/>
        <v>3624768.2256668871</v>
      </c>
      <c r="X102" s="64">
        <f t="shared" si="31"/>
        <v>2765197.672504128</v>
      </c>
      <c r="Y102" s="64">
        <f t="shared" si="31"/>
        <v>2098536.5734952781</v>
      </c>
      <c r="Z102" s="64">
        <f t="shared" si="31"/>
        <v>995898.03275656374</v>
      </c>
      <c r="AA102" s="64">
        <f t="shared" si="31"/>
        <v>1315249.4525525642</v>
      </c>
      <c r="AB102" s="64">
        <f t="shared" si="31"/>
        <v>3101138.2583463527</v>
      </c>
      <c r="AC102" s="64">
        <f t="shared" si="31"/>
        <v>0</v>
      </c>
      <c r="AD102" s="64">
        <f t="shared" si="31"/>
        <v>0</v>
      </c>
      <c r="AE102" s="64">
        <f t="shared" si="31"/>
        <v>0</v>
      </c>
      <c r="AF102" s="64">
        <f>SUM(H102:AE102)</f>
        <v>123073416.19769301</v>
      </c>
      <c r="AG102" s="59" t="str">
        <f>IF(ABS(AF102-F102)&lt;1,"ok","err")</f>
        <v>ok</v>
      </c>
    </row>
    <row r="103" spans="1:33" x14ac:dyDescent="0.25">
      <c r="A103" s="69" t="s">
        <v>319</v>
      </c>
      <c r="B103" s="61"/>
      <c r="C103" s="45" t="s">
        <v>991</v>
      </c>
      <c r="D103" s="45" t="s">
        <v>1186</v>
      </c>
      <c r="F103" s="80">
        <v>0</v>
      </c>
      <c r="H103" s="64">
        <f t="shared" si="30"/>
        <v>0</v>
      </c>
      <c r="I103" s="64">
        <f t="shared" si="30"/>
        <v>0</v>
      </c>
      <c r="J103" s="64">
        <f t="shared" si="30"/>
        <v>0</v>
      </c>
      <c r="K103" s="64">
        <f t="shared" si="30"/>
        <v>0</v>
      </c>
      <c r="L103" s="64">
        <f t="shared" si="30"/>
        <v>0</v>
      </c>
      <c r="M103" s="64">
        <f t="shared" si="30"/>
        <v>0</v>
      </c>
      <c r="N103" s="64">
        <f t="shared" si="30"/>
        <v>0</v>
      </c>
      <c r="O103" s="64">
        <f t="shared" si="30"/>
        <v>0</v>
      </c>
      <c r="P103" s="64">
        <f t="shared" si="30"/>
        <v>0</v>
      </c>
      <c r="Q103" s="64">
        <f t="shared" si="30"/>
        <v>0</v>
      </c>
      <c r="R103" s="64">
        <f t="shared" si="31"/>
        <v>0</v>
      </c>
      <c r="S103" s="64">
        <f t="shared" si="31"/>
        <v>0</v>
      </c>
      <c r="T103" s="64">
        <f t="shared" si="31"/>
        <v>0</v>
      </c>
      <c r="U103" s="64">
        <f t="shared" si="31"/>
        <v>0</v>
      </c>
      <c r="V103" s="64">
        <f t="shared" si="31"/>
        <v>0</v>
      </c>
      <c r="W103" s="64">
        <f t="shared" si="31"/>
        <v>0</v>
      </c>
      <c r="X103" s="64">
        <f t="shared" si="31"/>
        <v>0</v>
      </c>
      <c r="Y103" s="64">
        <f t="shared" si="31"/>
        <v>0</v>
      </c>
      <c r="Z103" s="64">
        <f t="shared" si="31"/>
        <v>0</v>
      </c>
      <c r="AA103" s="64">
        <f t="shared" si="31"/>
        <v>0</v>
      </c>
      <c r="AB103" s="64">
        <f t="shared" si="31"/>
        <v>0</v>
      </c>
      <c r="AC103" s="64">
        <f t="shared" si="31"/>
        <v>0</v>
      </c>
      <c r="AD103" s="64">
        <f t="shared" si="31"/>
        <v>0</v>
      </c>
      <c r="AE103" s="64">
        <f t="shared" si="31"/>
        <v>0</v>
      </c>
      <c r="AF103" s="64">
        <f>SUM(H103:AE103)</f>
        <v>0</v>
      </c>
      <c r="AG103" s="59" t="str">
        <f>IF(ABS(AF103-F103)&lt;1,"ok","err")</f>
        <v>ok</v>
      </c>
    </row>
    <row r="104" spans="1:33" x14ac:dyDescent="0.25">
      <c r="A104" s="61"/>
      <c r="B104" s="61"/>
      <c r="W104" s="45"/>
      <c r="AF104" s="64"/>
      <c r="AG104" s="59"/>
    </row>
    <row r="105" spans="1:33" x14ac:dyDescent="0.25">
      <c r="A105" s="61" t="s">
        <v>992</v>
      </c>
      <c r="B105" s="61"/>
      <c r="C105" s="45" t="s">
        <v>993</v>
      </c>
      <c r="F105" s="81">
        <f>SUM(F99:F103)</f>
        <v>1712065282.4641993</v>
      </c>
      <c r="G105" s="65"/>
      <c r="H105" s="65">
        <f t="shared" ref="H105:M105" si="32">SUM(H99:H103)</f>
        <v>358353979.78748274</v>
      </c>
      <c r="I105" s="65">
        <f t="shared" si="32"/>
        <v>349203082.95584935</v>
      </c>
      <c r="J105" s="65">
        <f t="shared" si="32"/>
        <v>316606513.90743172</v>
      </c>
      <c r="K105" s="65">
        <f t="shared" si="32"/>
        <v>0</v>
      </c>
      <c r="L105" s="65">
        <f t="shared" si="32"/>
        <v>0</v>
      </c>
      <c r="M105" s="65">
        <f t="shared" si="32"/>
        <v>0</v>
      </c>
      <c r="N105" s="65">
        <f>SUM(N99:N103)</f>
        <v>58240625.327384852</v>
      </c>
      <c r="O105" s="65">
        <f>SUM(O99:O103)</f>
        <v>56753397.659097821</v>
      </c>
      <c r="P105" s="65">
        <f>SUM(P99:P103)</f>
        <v>51455718.068562873</v>
      </c>
      <c r="Q105" s="65">
        <f t="shared" ref="Q105:AB105" si="33">SUM(Q99:Q103)</f>
        <v>0</v>
      </c>
      <c r="R105" s="65">
        <f t="shared" si="33"/>
        <v>62153472.925062567</v>
      </c>
      <c r="S105" s="65">
        <f t="shared" si="33"/>
        <v>0</v>
      </c>
      <c r="T105" s="65">
        <f t="shared" si="33"/>
        <v>91213463.112868518</v>
      </c>
      <c r="U105" s="65">
        <f t="shared" si="33"/>
        <v>148215027.99055794</v>
      </c>
      <c r="V105" s="65">
        <f t="shared" si="33"/>
        <v>30404487.704289507</v>
      </c>
      <c r="W105" s="65">
        <f t="shared" si="33"/>
        <v>49405009.33018598</v>
      </c>
      <c r="X105" s="65">
        <f t="shared" si="33"/>
        <v>37689200.60667894</v>
      </c>
      <c r="Y105" s="65">
        <f t="shared" si="33"/>
        <v>28602716.791415244</v>
      </c>
      <c r="Z105" s="65">
        <f t="shared" si="33"/>
        <v>13573930.396942722</v>
      </c>
      <c r="AA105" s="65">
        <f t="shared" si="33"/>
        <v>17926639.009567674</v>
      </c>
      <c r="AB105" s="65">
        <f t="shared" si="33"/>
        <v>42268016.890820727</v>
      </c>
      <c r="AC105" s="65">
        <f>SUM(AC99:AC103)</f>
        <v>0</v>
      </c>
      <c r="AD105" s="65">
        <f>SUM(AD99:AD103)</f>
        <v>0</v>
      </c>
      <c r="AE105" s="65">
        <f>SUM(AE99:AE103)</f>
        <v>0</v>
      </c>
      <c r="AF105" s="64">
        <f>SUM(H105:AE105)</f>
        <v>1712065282.4641993</v>
      </c>
      <c r="AG105" s="59" t="str">
        <f>IF(ABS(AF105-F105)&lt;1,"ok","err")</f>
        <v>ok</v>
      </c>
    </row>
    <row r="106" spans="1:33" x14ac:dyDescent="0.25">
      <c r="A106" s="61"/>
      <c r="B106" s="61"/>
      <c r="F106" s="81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4"/>
      <c r="AG106" s="59"/>
    </row>
    <row r="107" spans="1:33" x14ac:dyDescent="0.25">
      <c r="A107" s="60" t="s">
        <v>994</v>
      </c>
      <c r="B107" s="61"/>
      <c r="C107" s="45" t="s">
        <v>995</v>
      </c>
      <c r="F107" s="81">
        <f>F96-F105</f>
        <v>2547244232.7190304</v>
      </c>
      <c r="G107" s="65"/>
      <c r="H107" s="65">
        <f t="shared" ref="H107:M107" si="34">H96-H105</f>
        <v>513388190.83630562</v>
      </c>
      <c r="I107" s="65">
        <f t="shared" si="34"/>
        <v>500278353.54160601</v>
      </c>
      <c r="J107" s="65">
        <f t="shared" si="34"/>
        <v>453579573.68945503</v>
      </c>
      <c r="K107" s="65">
        <f t="shared" si="34"/>
        <v>0</v>
      </c>
      <c r="L107" s="65">
        <f t="shared" si="34"/>
        <v>0</v>
      </c>
      <c r="M107" s="65">
        <f t="shared" si="34"/>
        <v>0</v>
      </c>
      <c r="N107" s="65">
        <f>N96-N105</f>
        <v>96317762.212306231</v>
      </c>
      <c r="O107" s="65">
        <f>O96-O105</f>
        <v>93858200.006296098</v>
      </c>
      <c r="P107" s="65">
        <f>P96-P105</f>
        <v>85096950.617062509</v>
      </c>
      <c r="Q107" s="65">
        <f t="shared" ref="Q107:AB107" si="35">Q96-Q105</f>
        <v>0</v>
      </c>
      <c r="R107" s="65">
        <f t="shared" si="35"/>
        <v>95917686.428434312</v>
      </c>
      <c r="S107" s="65">
        <f t="shared" si="35"/>
        <v>0</v>
      </c>
      <c r="T107" s="65">
        <f t="shared" si="35"/>
        <v>140764207.39127782</v>
      </c>
      <c r="U107" s="65">
        <f t="shared" si="35"/>
        <v>228731266.48804447</v>
      </c>
      <c r="V107" s="65">
        <f t="shared" si="35"/>
        <v>46921402.463759273</v>
      </c>
      <c r="W107" s="65">
        <f t="shared" si="35"/>
        <v>76243755.496014833</v>
      </c>
      <c r="X107" s="65">
        <f t="shared" si="35"/>
        <v>58163458.217184521</v>
      </c>
      <c r="Y107" s="65">
        <f t="shared" si="35"/>
        <v>44140838.654471979</v>
      </c>
      <c r="Z107" s="65">
        <f t="shared" si="35"/>
        <v>20947823.800371066</v>
      </c>
      <c r="AA107" s="65">
        <f t="shared" si="35"/>
        <v>27665095.099490281</v>
      </c>
      <c r="AB107" s="65">
        <f t="shared" si="35"/>
        <v>65229667.776950285</v>
      </c>
      <c r="AC107" s="65">
        <f>AC96-AC105</f>
        <v>0</v>
      </c>
      <c r="AD107" s="65">
        <f>AD96-AD105</f>
        <v>0</v>
      </c>
      <c r="AE107" s="65">
        <f>AE96-AE105</f>
        <v>0</v>
      </c>
      <c r="AF107" s="64">
        <f>SUM(H107:AE107)</f>
        <v>2547244232.7190309</v>
      </c>
      <c r="AG107" s="59" t="str">
        <f>IF(ABS(AF107-F107)&lt;1,"ok","err")</f>
        <v>ok</v>
      </c>
    </row>
    <row r="108" spans="1:33" x14ac:dyDescent="0.25">
      <c r="A108" s="61"/>
      <c r="B108" s="61"/>
      <c r="W108" s="45"/>
      <c r="AG108" s="59"/>
    </row>
    <row r="109" spans="1:33" x14ac:dyDescent="0.25">
      <c r="A109" s="60" t="s">
        <v>996</v>
      </c>
      <c r="B109" s="61"/>
      <c r="W109" s="45"/>
      <c r="AG109" s="59"/>
    </row>
    <row r="110" spans="1:33" x14ac:dyDescent="0.25">
      <c r="A110" s="61" t="s">
        <v>20</v>
      </c>
      <c r="B110" s="61"/>
      <c r="C110" s="45" t="s">
        <v>998</v>
      </c>
      <c r="D110" s="45" t="s">
        <v>999</v>
      </c>
      <c r="F110" s="77">
        <v>80312762.803111494</v>
      </c>
      <c r="G110" s="63"/>
      <c r="H110" s="64">
        <f t="shared" ref="H110:Q113" si="36">IF(VLOOKUP($D110,$C$6:$AE$651,H$2,)=0,0,((VLOOKUP($D110,$C$6:$AE$651,H$2,)/VLOOKUP($D110,$C$6:$AE$651,4,))*$F110))</f>
        <v>4044911.2788433288</v>
      </c>
      <c r="I110" s="64">
        <f t="shared" si="36"/>
        <v>3941620.7675233302</v>
      </c>
      <c r="J110" s="64">
        <f t="shared" si="36"/>
        <v>3573687.8374251854</v>
      </c>
      <c r="K110" s="64">
        <f t="shared" si="36"/>
        <v>54582124.401785523</v>
      </c>
      <c r="L110" s="64">
        <f t="shared" si="36"/>
        <v>0</v>
      </c>
      <c r="M110" s="64">
        <f t="shared" si="36"/>
        <v>0</v>
      </c>
      <c r="N110" s="64">
        <f t="shared" si="36"/>
        <v>933045.22891062708</v>
      </c>
      <c r="O110" s="64">
        <f t="shared" si="36"/>
        <v>909219.06508771528</v>
      </c>
      <c r="P110" s="64">
        <f t="shared" si="36"/>
        <v>824347.47178904875</v>
      </c>
      <c r="Q110" s="64">
        <f t="shared" si="36"/>
        <v>0</v>
      </c>
      <c r="R110" s="64">
        <f t="shared" ref="R110:AE113" si="37">IF(VLOOKUP($D110,$C$6:$AE$651,R$2,)=0,0,((VLOOKUP($D110,$C$6:$AE$651,R$2,)/VLOOKUP($D110,$C$6:$AE$651,4,))*$F110))</f>
        <v>859736.4333189741</v>
      </c>
      <c r="S110" s="64">
        <f t="shared" si="37"/>
        <v>0</v>
      </c>
      <c r="T110" s="64">
        <f t="shared" si="37"/>
        <v>1769686.5925036445</v>
      </c>
      <c r="U110" s="64">
        <f t="shared" si="37"/>
        <v>2526180.2274413919</v>
      </c>
      <c r="V110" s="64">
        <f t="shared" si="37"/>
        <v>589895.53083454818</v>
      </c>
      <c r="W110" s="64">
        <f t="shared" si="37"/>
        <v>842060.07581379719</v>
      </c>
      <c r="X110" s="64">
        <f t="shared" si="37"/>
        <v>130006.1970412853</v>
      </c>
      <c r="Y110" s="64">
        <f t="shared" si="37"/>
        <v>98663.022171975841</v>
      </c>
      <c r="Z110" s="64">
        <f t="shared" si="37"/>
        <v>31409.934413534684</v>
      </c>
      <c r="AA110" s="64">
        <f t="shared" si="37"/>
        <v>1656975.2218310747</v>
      </c>
      <c r="AB110" s="64">
        <f t="shared" si="37"/>
        <v>156373.44129865858</v>
      </c>
      <c r="AC110" s="64">
        <f t="shared" si="37"/>
        <v>2493400.3566691312</v>
      </c>
      <c r="AD110" s="64">
        <f t="shared" si="37"/>
        <v>349419.71840870695</v>
      </c>
      <c r="AE110" s="64">
        <f t="shared" si="37"/>
        <v>0</v>
      </c>
      <c r="AF110" s="64">
        <f>SUM(H110:AE110)</f>
        <v>80312762.803111479</v>
      </c>
      <c r="AG110" s="59" t="str">
        <f>IF(ABS(AF110-F110)&lt;1,"ok","err")</f>
        <v>ok</v>
      </c>
    </row>
    <row r="111" spans="1:33" x14ac:dyDescent="0.25">
      <c r="A111" s="61" t="s">
        <v>986</v>
      </c>
      <c r="B111" s="61"/>
      <c r="C111" s="45" t="s">
        <v>4</v>
      </c>
      <c r="D111" s="45" t="s">
        <v>982</v>
      </c>
      <c r="F111" s="80">
        <v>28316606.484293766</v>
      </c>
      <c r="G111" s="64"/>
      <c r="H111" s="64">
        <f t="shared" si="36"/>
        <v>5783223.8739597378</v>
      </c>
      <c r="I111" s="64">
        <f t="shared" si="36"/>
        <v>5635543.959657602</v>
      </c>
      <c r="J111" s="64">
        <f t="shared" si="36"/>
        <v>5109490.7637595655</v>
      </c>
      <c r="K111" s="64">
        <f t="shared" si="36"/>
        <v>0</v>
      </c>
      <c r="L111" s="64">
        <f t="shared" si="36"/>
        <v>0</v>
      </c>
      <c r="M111" s="64">
        <f t="shared" si="36"/>
        <v>0</v>
      </c>
      <c r="N111" s="64">
        <f t="shared" si="36"/>
        <v>1035496.4408439328</v>
      </c>
      <c r="O111" s="64">
        <f t="shared" si="36"/>
        <v>1009054.0915631857</v>
      </c>
      <c r="P111" s="64">
        <f t="shared" si="36"/>
        <v>914863.33846096776</v>
      </c>
      <c r="Q111" s="64">
        <f t="shared" si="36"/>
        <v>0</v>
      </c>
      <c r="R111" s="64">
        <f t="shared" si="37"/>
        <v>1052347.9599466263</v>
      </c>
      <c r="S111" s="64">
        <f t="shared" si="37"/>
        <v>0</v>
      </c>
      <c r="T111" s="64">
        <f t="shared" si="37"/>
        <v>1544375.5161071296</v>
      </c>
      <c r="U111" s="64">
        <f t="shared" si="37"/>
        <v>2509494.240609061</v>
      </c>
      <c r="V111" s="64">
        <f t="shared" si="37"/>
        <v>514791.83870237664</v>
      </c>
      <c r="W111" s="64">
        <f t="shared" si="37"/>
        <v>836498.08020302025</v>
      </c>
      <c r="X111" s="64">
        <f t="shared" si="37"/>
        <v>638132.5371516688</v>
      </c>
      <c r="Y111" s="64">
        <f t="shared" si="37"/>
        <v>484285.25789167132</v>
      </c>
      <c r="Z111" s="64">
        <f t="shared" si="37"/>
        <v>229826.22353062648</v>
      </c>
      <c r="AA111" s="64">
        <f t="shared" si="37"/>
        <v>303523.85961060371</v>
      </c>
      <c r="AB111" s="64">
        <f t="shared" si="37"/>
        <v>715658.50229599129</v>
      </c>
      <c r="AC111" s="64">
        <f t="shared" si="37"/>
        <v>0</v>
      </c>
      <c r="AD111" s="64">
        <f t="shared" si="37"/>
        <v>0</v>
      </c>
      <c r="AE111" s="64">
        <f t="shared" si="37"/>
        <v>0</v>
      </c>
      <c r="AF111" s="64">
        <f>SUM(H111:AE111)</f>
        <v>28316606.484293763</v>
      </c>
      <c r="AG111" s="59" t="str">
        <f>IF(ABS(AF111-F111)&lt;1,"ok","err")</f>
        <v>ok</v>
      </c>
    </row>
    <row r="112" spans="1:33" x14ac:dyDescent="0.25">
      <c r="A112" s="61" t="s">
        <v>1000</v>
      </c>
      <c r="B112" s="61"/>
      <c r="C112" s="45" t="s">
        <v>1001</v>
      </c>
      <c r="D112" s="45" t="s">
        <v>982</v>
      </c>
      <c r="F112" s="80">
        <v>5537585.1506020222</v>
      </c>
      <c r="H112" s="64">
        <f t="shared" si="36"/>
        <v>1130965.1340039545</v>
      </c>
      <c r="I112" s="64">
        <f t="shared" si="36"/>
        <v>1102084.9042724967</v>
      </c>
      <c r="J112" s="64">
        <f t="shared" si="36"/>
        <v>999210.13473937928</v>
      </c>
      <c r="K112" s="64">
        <f t="shared" si="36"/>
        <v>0</v>
      </c>
      <c r="L112" s="64">
        <f t="shared" si="36"/>
        <v>0</v>
      </c>
      <c r="M112" s="64">
        <f t="shared" si="36"/>
        <v>0</v>
      </c>
      <c r="N112" s="64">
        <f t="shared" si="36"/>
        <v>202501.30316636426</v>
      </c>
      <c r="O112" s="64">
        <f t="shared" si="36"/>
        <v>197330.24706522742</v>
      </c>
      <c r="P112" s="64">
        <f t="shared" si="36"/>
        <v>178910.3380273217</v>
      </c>
      <c r="Q112" s="64">
        <f t="shared" si="36"/>
        <v>0</v>
      </c>
      <c r="R112" s="64">
        <f t="shared" si="37"/>
        <v>205796.78004492036</v>
      </c>
      <c r="S112" s="64">
        <f t="shared" si="37"/>
        <v>0</v>
      </c>
      <c r="T112" s="64">
        <f t="shared" si="37"/>
        <v>302017.50798393629</v>
      </c>
      <c r="U112" s="64">
        <f t="shared" si="37"/>
        <v>490755.77082394954</v>
      </c>
      <c r="V112" s="64">
        <f t="shared" si="37"/>
        <v>100672.50266131212</v>
      </c>
      <c r="W112" s="64">
        <f t="shared" si="37"/>
        <v>163585.2569413165</v>
      </c>
      <c r="X112" s="64">
        <f t="shared" si="37"/>
        <v>124792.96429136387</v>
      </c>
      <c r="Y112" s="64">
        <f t="shared" si="37"/>
        <v>94706.646936802776</v>
      </c>
      <c r="Z112" s="64">
        <f t="shared" si="37"/>
        <v>44944.731754776149</v>
      </c>
      <c r="AA112" s="64">
        <f t="shared" si="37"/>
        <v>59357.01436418121</v>
      </c>
      <c r="AB112" s="64">
        <f t="shared" si="37"/>
        <v>139953.91352471962</v>
      </c>
      <c r="AC112" s="64">
        <f t="shared" si="37"/>
        <v>0</v>
      </c>
      <c r="AD112" s="64">
        <f t="shared" si="37"/>
        <v>0</v>
      </c>
      <c r="AE112" s="64">
        <f t="shared" si="37"/>
        <v>0</v>
      </c>
      <c r="AF112" s="64">
        <f>SUM(H112:AE112)</f>
        <v>5537585.1506020231</v>
      </c>
      <c r="AG112" s="59" t="str">
        <f>IF(ABS(AF112-F112)&lt;1,"ok","err")</f>
        <v>ok</v>
      </c>
    </row>
    <row r="113" spans="1:33" x14ac:dyDescent="0.25">
      <c r="A113" s="61" t="s">
        <v>1354</v>
      </c>
      <c r="B113" s="61"/>
      <c r="D113" s="45" t="s">
        <v>645</v>
      </c>
      <c r="F113" s="80">
        <v>49176007.99988997</v>
      </c>
      <c r="H113" s="64">
        <f t="shared" si="36"/>
        <v>17206644.112897255</v>
      </c>
      <c r="I113" s="64">
        <f t="shared" si="36"/>
        <v>16767256.708328363</v>
      </c>
      <c r="J113" s="64">
        <f t="shared" si="36"/>
        <v>15202107.178664353</v>
      </c>
      <c r="K113" s="64">
        <f t="shared" si="36"/>
        <v>0</v>
      </c>
      <c r="L113" s="64">
        <f t="shared" si="36"/>
        <v>0</v>
      </c>
      <c r="M113" s="64">
        <f t="shared" si="36"/>
        <v>0</v>
      </c>
      <c r="N113" s="64">
        <f t="shared" si="36"/>
        <v>0</v>
      </c>
      <c r="O113" s="64">
        <f t="shared" si="36"/>
        <v>0</v>
      </c>
      <c r="P113" s="64">
        <f t="shared" si="36"/>
        <v>0</v>
      </c>
      <c r="Q113" s="64">
        <f t="shared" si="36"/>
        <v>0</v>
      </c>
      <c r="R113" s="64">
        <f t="shared" si="37"/>
        <v>0</v>
      </c>
      <c r="S113" s="64">
        <f t="shared" si="37"/>
        <v>0</v>
      </c>
      <c r="T113" s="64">
        <f t="shared" si="37"/>
        <v>0</v>
      </c>
      <c r="U113" s="64">
        <f t="shared" si="37"/>
        <v>0</v>
      </c>
      <c r="V113" s="64">
        <f t="shared" si="37"/>
        <v>0</v>
      </c>
      <c r="W113" s="64">
        <f t="shared" si="37"/>
        <v>0</v>
      </c>
      <c r="X113" s="64">
        <f t="shared" si="37"/>
        <v>0</v>
      </c>
      <c r="Y113" s="64">
        <f t="shared" si="37"/>
        <v>0</v>
      </c>
      <c r="Z113" s="64">
        <f t="shared" si="37"/>
        <v>0</v>
      </c>
      <c r="AA113" s="64">
        <f t="shared" si="37"/>
        <v>0</v>
      </c>
      <c r="AB113" s="64">
        <f t="shared" si="37"/>
        <v>0</v>
      </c>
      <c r="AC113" s="64">
        <f t="shared" si="37"/>
        <v>0</v>
      </c>
      <c r="AD113" s="64">
        <f t="shared" si="37"/>
        <v>0</v>
      </c>
      <c r="AE113" s="64">
        <f t="shared" si="37"/>
        <v>0</v>
      </c>
      <c r="AF113" s="64">
        <f>SUM(H113:AE113)</f>
        <v>49176007.99988997</v>
      </c>
      <c r="AG113" s="59" t="str">
        <f>IF(ABS(AF113-F113)&lt;1,"ok","err")</f>
        <v>ok</v>
      </c>
    </row>
    <row r="114" spans="1:33" x14ac:dyDescent="0.25">
      <c r="A114" s="69" t="s">
        <v>1002</v>
      </c>
      <c r="B114" s="61"/>
      <c r="C114" s="45" t="s">
        <v>1003</v>
      </c>
      <c r="F114" s="81">
        <f>SUM(F110:F113)</f>
        <v>163342962.43789726</v>
      </c>
      <c r="G114" s="65"/>
      <c r="H114" s="65">
        <f t="shared" ref="H114:M114" si="38">SUM(H110:H113)</f>
        <v>28165744.399704278</v>
      </c>
      <c r="I114" s="65">
        <f t="shared" si="38"/>
        <v>27446506.339781791</v>
      </c>
      <c r="J114" s="65">
        <f t="shared" si="38"/>
        <v>24884495.914588481</v>
      </c>
      <c r="K114" s="65">
        <f t="shared" si="38"/>
        <v>54582124.401785523</v>
      </c>
      <c r="L114" s="65">
        <f t="shared" si="38"/>
        <v>0</v>
      </c>
      <c r="M114" s="65">
        <f t="shared" si="38"/>
        <v>0</v>
      </c>
      <c r="N114" s="65">
        <f>SUM(N110:N113)</f>
        <v>2171042.972920924</v>
      </c>
      <c r="O114" s="65">
        <f>SUM(O110:O113)</f>
        <v>2115603.4037161283</v>
      </c>
      <c r="P114" s="65">
        <f>SUM(P110:P113)</f>
        <v>1918121.1482773381</v>
      </c>
      <c r="Q114" s="65">
        <f t="shared" ref="Q114:AB114" si="39">SUM(Q110:Q113)</f>
        <v>0</v>
      </c>
      <c r="R114" s="65">
        <f t="shared" si="39"/>
        <v>2117881.1733105206</v>
      </c>
      <c r="S114" s="65">
        <f t="shared" si="39"/>
        <v>0</v>
      </c>
      <c r="T114" s="65">
        <f t="shared" si="39"/>
        <v>3616079.6165947109</v>
      </c>
      <c r="U114" s="65">
        <f t="shared" si="39"/>
        <v>5526430.2388744028</v>
      </c>
      <c r="V114" s="65">
        <f t="shared" si="39"/>
        <v>1205359.8721982371</v>
      </c>
      <c r="W114" s="65">
        <f t="shared" si="39"/>
        <v>1842143.4129581337</v>
      </c>
      <c r="X114" s="65">
        <f t="shared" si="39"/>
        <v>892931.69848431798</v>
      </c>
      <c r="Y114" s="65">
        <f t="shared" si="39"/>
        <v>677654.92700044997</v>
      </c>
      <c r="Z114" s="65">
        <f t="shared" si="39"/>
        <v>306180.8896989373</v>
      </c>
      <c r="AA114" s="65">
        <f t="shared" si="39"/>
        <v>2019856.0958058597</v>
      </c>
      <c r="AB114" s="65">
        <f t="shared" si="39"/>
        <v>1011985.8571193696</v>
      </c>
      <c r="AC114" s="65">
        <f>SUM(AC110:AC113)</f>
        <v>2493400.3566691312</v>
      </c>
      <c r="AD114" s="65">
        <f>SUM(AD110:AD113)</f>
        <v>349419.71840870695</v>
      </c>
      <c r="AE114" s="65">
        <f>SUM(AE110:AE113)</f>
        <v>0</v>
      </c>
      <c r="AF114" s="64">
        <f>SUM(H114:AE114)</f>
        <v>163342962.43789724</v>
      </c>
      <c r="AG114" s="59" t="str">
        <f>IF(ABS(AF114-F114)&lt;1,"ok","err")</f>
        <v>ok</v>
      </c>
    </row>
    <row r="115" spans="1:33" x14ac:dyDescent="0.25">
      <c r="A115" s="61"/>
      <c r="B115" s="61"/>
      <c r="W115" s="45"/>
      <c r="AG115" s="59"/>
    </row>
    <row r="116" spans="1:33" x14ac:dyDescent="0.25">
      <c r="A116" s="60" t="s">
        <v>44</v>
      </c>
      <c r="B116" s="61"/>
      <c r="I116" s="67"/>
      <c r="W116" s="45"/>
      <c r="AG116" s="59"/>
    </row>
    <row r="117" spans="1:33" x14ac:dyDescent="0.25">
      <c r="A117" s="61" t="s">
        <v>143</v>
      </c>
      <c r="B117" s="61"/>
      <c r="C117" s="45" t="s">
        <v>144</v>
      </c>
      <c r="D117" s="45" t="s">
        <v>99</v>
      </c>
      <c r="F117" s="77">
        <v>0</v>
      </c>
      <c r="H117" s="64">
        <f t="shared" ref="H117:Q118" si="40">IF(VLOOKUP($D117,$C$6:$AE$651,H$2,)=0,0,((VLOOKUP($D117,$C$6:$AE$651,H$2,)/VLOOKUP($D117,$C$6:$AE$651,4,))*$F117))</f>
        <v>0</v>
      </c>
      <c r="I117" s="64">
        <f t="shared" si="40"/>
        <v>0</v>
      </c>
      <c r="J117" s="64">
        <f t="shared" si="40"/>
        <v>0</v>
      </c>
      <c r="K117" s="64">
        <f t="shared" si="40"/>
        <v>0</v>
      </c>
      <c r="L117" s="64">
        <f t="shared" si="40"/>
        <v>0</v>
      </c>
      <c r="M117" s="64">
        <f t="shared" si="40"/>
        <v>0</v>
      </c>
      <c r="N117" s="64">
        <f t="shared" si="40"/>
        <v>0</v>
      </c>
      <c r="O117" s="64">
        <f t="shared" si="40"/>
        <v>0</v>
      </c>
      <c r="P117" s="64">
        <f t="shared" si="40"/>
        <v>0</v>
      </c>
      <c r="Q117" s="64">
        <f t="shared" si="40"/>
        <v>0</v>
      </c>
      <c r="R117" s="64">
        <f t="shared" ref="R117:AE118" si="41">IF(VLOOKUP($D117,$C$6:$AE$651,R$2,)=0,0,((VLOOKUP($D117,$C$6:$AE$651,R$2,)/VLOOKUP($D117,$C$6:$AE$651,4,))*$F117))</f>
        <v>0</v>
      </c>
      <c r="S117" s="64">
        <f t="shared" si="41"/>
        <v>0</v>
      </c>
      <c r="T117" s="64">
        <f t="shared" si="41"/>
        <v>0</v>
      </c>
      <c r="U117" s="64">
        <f t="shared" si="41"/>
        <v>0</v>
      </c>
      <c r="V117" s="64">
        <f t="shared" si="41"/>
        <v>0</v>
      </c>
      <c r="W117" s="64">
        <f t="shared" si="41"/>
        <v>0</v>
      </c>
      <c r="X117" s="64">
        <f t="shared" si="41"/>
        <v>0</v>
      </c>
      <c r="Y117" s="64">
        <f t="shared" si="41"/>
        <v>0</v>
      </c>
      <c r="Z117" s="64">
        <f t="shared" si="41"/>
        <v>0</v>
      </c>
      <c r="AA117" s="64">
        <f t="shared" si="41"/>
        <v>0</v>
      </c>
      <c r="AB117" s="64">
        <f t="shared" si="41"/>
        <v>0</v>
      </c>
      <c r="AC117" s="64">
        <f t="shared" si="41"/>
        <v>0</v>
      </c>
      <c r="AD117" s="64">
        <f t="shared" si="41"/>
        <v>0</v>
      </c>
      <c r="AE117" s="64">
        <f t="shared" si="41"/>
        <v>0</v>
      </c>
      <c r="AF117" s="64">
        <f>SUM(H117:AE117)</f>
        <v>0</v>
      </c>
      <c r="AG117" s="59" t="str">
        <f>IF(ABS(AF117-F117)&lt;1,"ok","err")</f>
        <v>ok</v>
      </c>
    </row>
    <row r="118" spans="1:33" x14ac:dyDescent="0.25">
      <c r="A118" s="61" t="s">
        <v>159</v>
      </c>
      <c r="B118" s="61"/>
      <c r="C118" s="45" t="s">
        <v>5</v>
      </c>
      <c r="D118" s="45" t="s">
        <v>18</v>
      </c>
      <c r="F118" s="80">
        <v>0</v>
      </c>
      <c r="H118" s="64">
        <f t="shared" si="40"/>
        <v>0</v>
      </c>
      <c r="I118" s="64">
        <f t="shared" si="40"/>
        <v>0</v>
      </c>
      <c r="J118" s="64">
        <f t="shared" si="40"/>
        <v>0</v>
      </c>
      <c r="K118" s="64">
        <f t="shared" si="40"/>
        <v>0</v>
      </c>
      <c r="L118" s="64">
        <f t="shared" si="40"/>
        <v>0</v>
      </c>
      <c r="M118" s="64">
        <f t="shared" si="40"/>
        <v>0</v>
      </c>
      <c r="N118" s="64">
        <f t="shared" si="40"/>
        <v>0</v>
      </c>
      <c r="O118" s="64">
        <f t="shared" si="40"/>
        <v>0</v>
      </c>
      <c r="P118" s="64">
        <f t="shared" si="40"/>
        <v>0</v>
      </c>
      <c r="Q118" s="64">
        <f t="shared" si="40"/>
        <v>0</v>
      </c>
      <c r="R118" s="64">
        <f t="shared" si="41"/>
        <v>0</v>
      </c>
      <c r="S118" s="64">
        <f t="shared" si="41"/>
        <v>0</v>
      </c>
      <c r="T118" s="64">
        <f t="shared" si="41"/>
        <v>0</v>
      </c>
      <c r="U118" s="64">
        <f t="shared" si="41"/>
        <v>0</v>
      </c>
      <c r="V118" s="64">
        <f t="shared" si="41"/>
        <v>0</v>
      </c>
      <c r="W118" s="64">
        <f t="shared" si="41"/>
        <v>0</v>
      </c>
      <c r="X118" s="64">
        <f t="shared" si="41"/>
        <v>0</v>
      </c>
      <c r="Y118" s="64">
        <f t="shared" si="41"/>
        <v>0</v>
      </c>
      <c r="Z118" s="64">
        <f t="shared" si="41"/>
        <v>0</v>
      </c>
      <c r="AA118" s="64">
        <f t="shared" si="41"/>
        <v>0</v>
      </c>
      <c r="AB118" s="64">
        <f t="shared" si="41"/>
        <v>0</v>
      </c>
      <c r="AC118" s="64">
        <f t="shared" si="41"/>
        <v>0</v>
      </c>
      <c r="AD118" s="64">
        <f t="shared" si="41"/>
        <v>0</v>
      </c>
      <c r="AE118" s="64">
        <f t="shared" si="41"/>
        <v>0</v>
      </c>
      <c r="AF118" s="64">
        <f>SUM(H118:AE118)</f>
        <v>0</v>
      </c>
      <c r="AG118" s="59" t="str">
        <f>IF(ABS(AF118-F118)&lt;1,"ok","err")</f>
        <v>ok</v>
      </c>
    </row>
    <row r="119" spans="1:33" x14ac:dyDescent="0.25">
      <c r="A119" s="61"/>
      <c r="B119" s="61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59"/>
    </row>
    <row r="120" spans="1:33" x14ac:dyDescent="0.25">
      <c r="A120" s="61" t="s">
        <v>1165</v>
      </c>
      <c r="B120" s="61"/>
      <c r="F120" s="81">
        <f t="shared" ref="F120:M120" si="42">SUM(F117:F118)</f>
        <v>0</v>
      </c>
      <c r="G120" s="65"/>
      <c r="H120" s="65">
        <f t="shared" si="42"/>
        <v>0</v>
      </c>
      <c r="I120" s="65">
        <f t="shared" si="42"/>
        <v>0</v>
      </c>
      <c r="J120" s="65">
        <f t="shared" si="42"/>
        <v>0</v>
      </c>
      <c r="K120" s="65">
        <f t="shared" si="42"/>
        <v>0</v>
      </c>
      <c r="L120" s="65">
        <f t="shared" si="42"/>
        <v>0</v>
      </c>
      <c r="M120" s="65">
        <f t="shared" si="42"/>
        <v>0</v>
      </c>
      <c r="N120" s="65">
        <f>SUM(N117:N118)</f>
        <v>0</v>
      </c>
      <c r="O120" s="65">
        <f>SUM(O117:O118)</f>
        <v>0</v>
      </c>
      <c r="P120" s="65">
        <f>SUM(P117:P118)</f>
        <v>0</v>
      </c>
      <c r="Q120" s="65">
        <f t="shared" ref="Q120:AB120" si="43">SUM(Q117:Q118)</f>
        <v>0</v>
      </c>
      <c r="R120" s="65">
        <f t="shared" si="43"/>
        <v>0</v>
      </c>
      <c r="S120" s="65">
        <f t="shared" si="43"/>
        <v>0</v>
      </c>
      <c r="T120" s="65">
        <f t="shared" si="43"/>
        <v>0</v>
      </c>
      <c r="U120" s="65">
        <f t="shared" si="43"/>
        <v>0</v>
      </c>
      <c r="V120" s="65">
        <f t="shared" si="43"/>
        <v>0</v>
      </c>
      <c r="W120" s="65">
        <f t="shared" si="43"/>
        <v>0</v>
      </c>
      <c r="X120" s="65">
        <f t="shared" si="43"/>
        <v>0</v>
      </c>
      <c r="Y120" s="65">
        <f t="shared" si="43"/>
        <v>0</v>
      </c>
      <c r="Z120" s="65">
        <f t="shared" si="43"/>
        <v>0</v>
      </c>
      <c r="AA120" s="65">
        <f t="shared" si="43"/>
        <v>0</v>
      </c>
      <c r="AB120" s="65">
        <f t="shared" si="43"/>
        <v>0</v>
      </c>
      <c r="AC120" s="65">
        <f>SUM(AC117:AC118)</f>
        <v>0</v>
      </c>
      <c r="AD120" s="65">
        <f>SUM(AD117:AD118)</f>
        <v>0</v>
      </c>
      <c r="AE120" s="65">
        <f>SUM(AE117:AE118)</f>
        <v>0</v>
      </c>
      <c r="AF120" s="64">
        <f>SUM(H120:AE120)</f>
        <v>0</v>
      </c>
      <c r="AG120" s="59" t="str">
        <f>IF(ABS(AF120-F120)&lt;1,"ok","err")</f>
        <v>ok</v>
      </c>
    </row>
    <row r="121" spans="1:33" x14ac:dyDescent="0.25">
      <c r="A121" s="61" t="s">
        <v>626</v>
      </c>
      <c r="B121" s="61"/>
      <c r="C121" s="45" t="s">
        <v>1004</v>
      </c>
      <c r="D121" s="45" t="s">
        <v>906</v>
      </c>
      <c r="F121" s="77">
        <v>1631543.5</v>
      </c>
      <c r="H121" s="64">
        <f t="shared" ref="H121:AE121" si="44">IF(VLOOKUP($D121,$C$6:$AE$651,H$2,)=0,0,((VLOOKUP($D121,$C$6:$AE$651,H$2,)/VLOOKUP($D121,$C$6:$AE$651,4,))*$F121))</f>
        <v>0</v>
      </c>
      <c r="I121" s="64">
        <f t="shared" si="44"/>
        <v>0</v>
      </c>
      <c r="J121" s="64">
        <f t="shared" si="44"/>
        <v>0</v>
      </c>
      <c r="K121" s="64">
        <f t="shared" si="44"/>
        <v>0</v>
      </c>
      <c r="L121" s="64">
        <f t="shared" si="44"/>
        <v>0</v>
      </c>
      <c r="M121" s="64">
        <f t="shared" si="44"/>
        <v>0</v>
      </c>
      <c r="N121" s="64">
        <f t="shared" si="44"/>
        <v>0</v>
      </c>
      <c r="O121" s="64">
        <f t="shared" si="44"/>
        <v>0</v>
      </c>
      <c r="P121" s="64">
        <f t="shared" si="44"/>
        <v>0</v>
      </c>
      <c r="Q121" s="64">
        <f t="shared" si="44"/>
        <v>0</v>
      </c>
      <c r="R121" s="64">
        <f t="shared" si="44"/>
        <v>0</v>
      </c>
      <c r="S121" s="64">
        <f t="shared" si="44"/>
        <v>0</v>
      </c>
      <c r="T121" s="64">
        <f t="shared" si="44"/>
        <v>466168.62147998757</v>
      </c>
      <c r="U121" s="64">
        <f t="shared" si="44"/>
        <v>757489.00352001237</v>
      </c>
      <c r="V121" s="64">
        <f t="shared" si="44"/>
        <v>155389.54049332923</v>
      </c>
      <c r="W121" s="64">
        <f t="shared" si="44"/>
        <v>252496.33450667077</v>
      </c>
      <c r="X121" s="64">
        <f t="shared" si="44"/>
        <v>0</v>
      </c>
      <c r="Y121" s="64">
        <f t="shared" si="44"/>
        <v>0</v>
      </c>
      <c r="Z121" s="64">
        <f t="shared" si="44"/>
        <v>0</v>
      </c>
      <c r="AA121" s="64">
        <f t="shared" si="44"/>
        <v>0</v>
      </c>
      <c r="AB121" s="64">
        <f t="shared" si="44"/>
        <v>0</v>
      </c>
      <c r="AC121" s="64">
        <f t="shared" si="44"/>
        <v>0</v>
      </c>
      <c r="AD121" s="64">
        <f t="shared" si="44"/>
        <v>0</v>
      </c>
      <c r="AE121" s="64">
        <f t="shared" si="44"/>
        <v>0</v>
      </c>
      <c r="AF121" s="64">
        <f>SUM(H121:AE121)</f>
        <v>1631543.5</v>
      </c>
      <c r="AG121" s="59" t="str">
        <f>IF(ABS(AF121-F121)&lt;1,"ok","err")</f>
        <v>ok</v>
      </c>
    </row>
    <row r="122" spans="1:33" x14ac:dyDescent="0.25">
      <c r="A122" s="61" t="s">
        <v>722</v>
      </c>
      <c r="B122" s="61"/>
      <c r="F122" s="77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59"/>
    </row>
    <row r="123" spans="1:33" x14ac:dyDescent="0.25">
      <c r="A123" s="69" t="s">
        <v>1188</v>
      </c>
      <c r="B123" s="61"/>
      <c r="C123" s="45" t="s">
        <v>627</v>
      </c>
      <c r="D123" s="45" t="s">
        <v>982</v>
      </c>
      <c r="F123" s="77">
        <v>458923962.12801999</v>
      </c>
      <c r="H123" s="64">
        <f t="shared" ref="H123:Q126" si="45">IF(VLOOKUP($D123,$C$6:$AE$651,H$2,)=0,0,((VLOOKUP($D123,$C$6:$AE$651,H$2,)/VLOOKUP($D123,$C$6:$AE$651,4,))*$F123))</f>
        <v>93728039.607538223</v>
      </c>
      <c r="I123" s="64">
        <f t="shared" si="45"/>
        <v>91334608.338298574</v>
      </c>
      <c r="J123" s="64">
        <f t="shared" si="45"/>
        <v>82808925.111195058</v>
      </c>
      <c r="K123" s="64">
        <f t="shared" si="45"/>
        <v>0</v>
      </c>
      <c r="L123" s="64">
        <f t="shared" si="45"/>
        <v>0</v>
      </c>
      <c r="M123" s="64">
        <f t="shared" si="45"/>
        <v>0</v>
      </c>
      <c r="N123" s="64">
        <f t="shared" si="45"/>
        <v>16782170.902616639</v>
      </c>
      <c r="O123" s="64">
        <f t="shared" si="45"/>
        <v>16353622.809940903</v>
      </c>
      <c r="P123" s="64">
        <f t="shared" si="45"/>
        <v>14827084.182034764</v>
      </c>
      <c r="Q123" s="64">
        <f t="shared" si="45"/>
        <v>0</v>
      </c>
      <c r="R123" s="64">
        <f t="shared" ref="R123:AE126" si="46">IF(VLOOKUP($D123,$C$6:$AE$651,R$2,)=0,0,((VLOOKUP($D123,$C$6:$AE$651,R$2,)/VLOOKUP($D123,$C$6:$AE$651,4,))*$F123))</f>
        <v>17055281.521248631</v>
      </c>
      <c r="S123" s="64">
        <f t="shared" si="46"/>
        <v>0</v>
      </c>
      <c r="T123" s="64">
        <f t="shared" si="46"/>
        <v>25029515.145415079</v>
      </c>
      <c r="U123" s="64">
        <f t="shared" si="46"/>
        <v>40671082.549264744</v>
      </c>
      <c r="V123" s="64">
        <f t="shared" si="46"/>
        <v>8343171.7151383609</v>
      </c>
      <c r="W123" s="64">
        <f t="shared" si="46"/>
        <v>13557027.516421579</v>
      </c>
      <c r="X123" s="64">
        <f t="shared" si="46"/>
        <v>10342140.131618025</v>
      </c>
      <c r="Y123" s="64">
        <f t="shared" si="46"/>
        <v>7848755.0927089425</v>
      </c>
      <c r="Z123" s="64">
        <f t="shared" si="46"/>
        <v>3724766.990073374</v>
      </c>
      <c r="AA123" s="64">
        <f t="shared" si="46"/>
        <v>4919176.0435753092</v>
      </c>
      <c r="AB123" s="64">
        <f t="shared" si="46"/>
        <v>11598594.470931793</v>
      </c>
      <c r="AC123" s="64">
        <f t="shared" si="46"/>
        <v>0</v>
      </c>
      <c r="AD123" s="64">
        <f t="shared" si="46"/>
        <v>0</v>
      </c>
      <c r="AE123" s="64">
        <f t="shared" si="46"/>
        <v>0</v>
      </c>
      <c r="AF123" s="64">
        <f>SUM(H123:AE123)</f>
        <v>458923962.12801993</v>
      </c>
      <c r="AG123" s="59" t="str">
        <f>IF(ABS(AF123-F123)&lt;1,"ok","err")</f>
        <v>ok</v>
      </c>
    </row>
    <row r="124" spans="1:33" s="61" customFormat="1" x14ac:dyDescent="0.25">
      <c r="A124" s="69" t="s">
        <v>1189</v>
      </c>
      <c r="C124" s="61" t="s">
        <v>627</v>
      </c>
      <c r="D124" s="61" t="s">
        <v>982</v>
      </c>
      <c r="F124" s="77">
        <v>0</v>
      </c>
      <c r="H124" s="80">
        <f t="shared" si="45"/>
        <v>0</v>
      </c>
      <c r="I124" s="80">
        <f t="shared" si="45"/>
        <v>0</v>
      </c>
      <c r="J124" s="80">
        <f t="shared" si="45"/>
        <v>0</v>
      </c>
      <c r="K124" s="80">
        <f t="shared" si="45"/>
        <v>0</v>
      </c>
      <c r="L124" s="80">
        <f t="shared" si="45"/>
        <v>0</v>
      </c>
      <c r="M124" s="80">
        <f t="shared" si="45"/>
        <v>0</v>
      </c>
      <c r="N124" s="80">
        <f t="shared" si="45"/>
        <v>0</v>
      </c>
      <c r="O124" s="80">
        <f t="shared" si="45"/>
        <v>0</v>
      </c>
      <c r="P124" s="80">
        <f t="shared" si="45"/>
        <v>0</v>
      </c>
      <c r="Q124" s="80">
        <f t="shared" si="45"/>
        <v>0</v>
      </c>
      <c r="R124" s="80">
        <f t="shared" si="46"/>
        <v>0</v>
      </c>
      <c r="S124" s="80">
        <f t="shared" si="46"/>
        <v>0</v>
      </c>
      <c r="T124" s="80">
        <f t="shared" si="46"/>
        <v>0</v>
      </c>
      <c r="U124" s="80">
        <f t="shared" si="46"/>
        <v>0</v>
      </c>
      <c r="V124" s="80">
        <f t="shared" si="46"/>
        <v>0</v>
      </c>
      <c r="W124" s="80">
        <f t="shared" si="46"/>
        <v>0</v>
      </c>
      <c r="X124" s="80">
        <f t="shared" si="46"/>
        <v>0</v>
      </c>
      <c r="Y124" s="80">
        <f t="shared" si="46"/>
        <v>0</v>
      </c>
      <c r="Z124" s="80">
        <f t="shared" si="46"/>
        <v>0</v>
      </c>
      <c r="AA124" s="80">
        <f t="shared" si="46"/>
        <v>0</v>
      </c>
      <c r="AB124" s="80">
        <f t="shared" si="46"/>
        <v>0</v>
      </c>
      <c r="AC124" s="80">
        <f t="shared" si="46"/>
        <v>0</v>
      </c>
      <c r="AD124" s="80">
        <f t="shared" si="46"/>
        <v>0</v>
      </c>
      <c r="AE124" s="80">
        <f t="shared" si="46"/>
        <v>0</v>
      </c>
      <c r="AF124" s="80">
        <f>SUM(H124:AE124)</f>
        <v>0</v>
      </c>
      <c r="AG124" s="94" t="str">
        <f>IF(ABS(AF124-F124)&lt;1,"ok","err")</f>
        <v>ok</v>
      </c>
    </row>
    <row r="125" spans="1:33" s="61" customFormat="1" x14ac:dyDescent="0.25">
      <c r="A125" s="69" t="s">
        <v>1190</v>
      </c>
      <c r="C125" s="61" t="s">
        <v>627</v>
      </c>
      <c r="D125" s="61" t="s">
        <v>982</v>
      </c>
      <c r="F125" s="77">
        <v>0</v>
      </c>
      <c r="H125" s="80">
        <f t="shared" si="45"/>
        <v>0</v>
      </c>
      <c r="I125" s="80">
        <f t="shared" si="45"/>
        <v>0</v>
      </c>
      <c r="J125" s="80">
        <f t="shared" si="45"/>
        <v>0</v>
      </c>
      <c r="K125" s="80">
        <f t="shared" si="45"/>
        <v>0</v>
      </c>
      <c r="L125" s="80">
        <f t="shared" si="45"/>
        <v>0</v>
      </c>
      <c r="M125" s="80">
        <f t="shared" si="45"/>
        <v>0</v>
      </c>
      <c r="N125" s="80">
        <f t="shared" si="45"/>
        <v>0</v>
      </c>
      <c r="O125" s="80">
        <f t="shared" si="45"/>
        <v>0</v>
      </c>
      <c r="P125" s="80">
        <f t="shared" si="45"/>
        <v>0</v>
      </c>
      <c r="Q125" s="80">
        <f t="shared" si="45"/>
        <v>0</v>
      </c>
      <c r="R125" s="80">
        <f t="shared" si="46"/>
        <v>0</v>
      </c>
      <c r="S125" s="80">
        <f t="shared" si="46"/>
        <v>0</v>
      </c>
      <c r="T125" s="80">
        <f t="shared" si="46"/>
        <v>0</v>
      </c>
      <c r="U125" s="80">
        <f t="shared" si="46"/>
        <v>0</v>
      </c>
      <c r="V125" s="80">
        <f t="shared" si="46"/>
        <v>0</v>
      </c>
      <c r="W125" s="80">
        <f t="shared" si="46"/>
        <v>0</v>
      </c>
      <c r="X125" s="80">
        <f t="shared" si="46"/>
        <v>0</v>
      </c>
      <c r="Y125" s="80">
        <f t="shared" si="46"/>
        <v>0</v>
      </c>
      <c r="Z125" s="80">
        <f t="shared" si="46"/>
        <v>0</v>
      </c>
      <c r="AA125" s="80">
        <f t="shared" si="46"/>
        <v>0</v>
      </c>
      <c r="AB125" s="80">
        <f t="shared" si="46"/>
        <v>0</v>
      </c>
      <c r="AC125" s="80">
        <f t="shared" si="46"/>
        <v>0</v>
      </c>
      <c r="AD125" s="80">
        <f t="shared" si="46"/>
        <v>0</v>
      </c>
      <c r="AE125" s="80">
        <f t="shared" si="46"/>
        <v>0</v>
      </c>
      <c r="AF125" s="80">
        <f>SUM(H125:AE125)</f>
        <v>0</v>
      </c>
      <c r="AG125" s="94" t="str">
        <f>IF(ABS(AF125-F125)&lt;1,"ok","err")</f>
        <v>ok</v>
      </c>
    </row>
    <row r="126" spans="1:33" s="61" customFormat="1" x14ac:dyDescent="0.25">
      <c r="A126" s="69" t="s">
        <v>1191</v>
      </c>
      <c r="C126" s="61" t="s">
        <v>627</v>
      </c>
      <c r="D126" s="61" t="s">
        <v>982</v>
      </c>
      <c r="F126" s="77">
        <v>0</v>
      </c>
      <c r="H126" s="80">
        <f t="shared" si="45"/>
        <v>0</v>
      </c>
      <c r="I126" s="80">
        <f t="shared" si="45"/>
        <v>0</v>
      </c>
      <c r="J126" s="80">
        <f t="shared" si="45"/>
        <v>0</v>
      </c>
      <c r="K126" s="80">
        <f t="shared" si="45"/>
        <v>0</v>
      </c>
      <c r="L126" s="80">
        <f t="shared" si="45"/>
        <v>0</v>
      </c>
      <c r="M126" s="80">
        <f t="shared" si="45"/>
        <v>0</v>
      </c>
      <c r="N126" s="80">
        <f t="shared" si="45"/>
        <v>0</v>
      </c>
      <c r="O126" s="80">
        <f t="shared" si="45"/>
        <v>0</v>
      </c>
      <c r="P126" s="80">
        <f t="shared" si="45"/>
        <v>0</v>
      </c>
      <c r="Q126" s="80">
        <f t="shared" si="45"/>
        <v>0</v>
      </c>
      <c r="R126" s="80">
        <f t="shared" si="46"/>
        <v>0</v>
      </c>
      <c r="S126" s="80">
        <f t="shared" si="46"/>
        <v>0</v>
      </c>
      <c r="T126" s="80">
        <f t="shared" si="46"/>
        <v>0</v>
      </c>
      <c r="U126" s="80">
        <f t="shared" si="46"/>
        <v>0</v>
      </c>
      <c r="V126" s="80">
        <f t="shared" si="46"/>
        <v>0</v>
      </c>
      <c r="W126" s="80">
        <f t="shared" si="46"/>
        <v>0</v>
      </c>
      <c r="X126" s="80">
        <f t="shared" si="46"/>
        <v>0</v>
      </c>
      <c r="Y126" s="80">
        <f t="shared" si="46"/>
        <v>0</v>
      </c>
      <c r="Z126" s="80">
        <f t="shared" si="46"/>
        <v>0</v>
      </c>
      <c r="AA126" s="80">
        <f t="shared" si="46"/>
        <v>0</v>
      </c>
      <c r="AB126" s="80">
        <f t="shared" si="46"/>
        <v>0</v>
      </c>
      <c r="AC126" s="80">
        <f t="shared" si="46"/>
        <v>0</v>
      </c>
      <c r="AD126" s="80">
        <f t="shared" si="46"/>
        <v>0</v>
      </c>
      <c r="AE126" s="80">
        <f t="shared" si="46"/>
        <v>0</v>
      </c>
      <c r="AF126" s="80">
        <f>SUM(H126:AE126)</f>
        <v>0</v>
      </c>
      <c r="AG126" s="94" t="str">
        <f>IF(ABS(AF126-F126)&lt;1,"ok","err")</f>
        <v>ok</v>
      </c>
    </row>
    <row r="127" spans="1:33" s="61" customFormat="1" x14ac:dyDescent="0.25">
      <c r="A127" s="69"/>
      <c r="F127" s="77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94"/>
    </row>
    <row r="128" spans="1:33" x14ac:dyDescent="0.25">
      <c r="A128" s="61" t="s">
        <v>727</v>
      </c>
      <c r="B128" s="61"/>
      <c r="F128" s="77">
        <f>SUM(F123:F126)</f>
        <v>458923962.12801999</v>
      </c>
      <c r="G128" s="77"/>
      <c r="H128" s="77">
        <f t="shared" ref="H128:AE128" si="47">SUM(H123:H126)</f>
        <v>93728039.607538223</v>
      </c>
      <c r="I128" s="77">
        <f t="shared" si="47"/>
        <v>91334608.338298574</v>
      </c>
      <c r="J128" s="77">
        <f t="shared" si="47"/>
        <v>82808925.111195058</v>
      </c>
      <c r="K128" s="77">
        <f t="shared" si="47"/>
        <v>0</v>
      </c>
      <c r="L128" s="77">
        <f t="shared" si="47"/>
        <v>0</v>
      </c>
      <c r="M128" s="77">
        <f t="shared" si="47"/>
        <v>0</v>
      </c>
      <c r="N128" s="77">
        <f t="shared" si="47"/>
        <v>16782170.902616639</v>
      </c>
      <c r="O128" s="77">
        <f t="shared" si="47"/>
        <v>16353622.809940903</v>
      </c>
      <c r="P128" s="77">
        <f t="shared" si="47"/>
        <v>14827084.182034764</v>
      </c>
      <c r="Q128" s="77">
        <f t="shared" si="47"/>
        <v>0</v>
      </c>
      <c r="R128" s="77">
        <f t="shared" si="47"/>
        <v>17055281.521248631</v>
      </c>
      <c r="S128" s="77">
        <f t="shared" si="47"/>
        <v>0</v>
      </c>
      <c r="T128" s="77">
        <f t="shared" si="47"/>
        <v>25029515.145415079</v>
      </c>
      <c r="U128" s="77">
        <f t="shared" si="47"/>
        <v>40671082.549264744</v>
      </c>
      <c r="V128" s="77">
        <f t="shared" si="47"/>
        <v>8343171.7151383609</v>
      </c>
      <c r="W128" s="77">
        <f t="shared" si="47"/>
        <v>13557027.516421579</v>
      </c>
      <c r="X128" s="77">
        <f t="shared" si="47"/>
        <v>10342140.131618025</v>
      </c>
      <c r="Y128" s="77">
        <f t="shared" si="47"/>
        <v>7848755.0927089425</v>
      </c>
      <c r="Z128" s="77">
        <f t="shared" si="47"/>
        <v>3724766.990073374</v>
      </c>
      <c r="AA128" s="77">
        <f t="shared" si="47"/>
        <v>4919176.0435753092</v>
      </c>
      <c r="AB128" s="77">
        <f t="shared" si="47"/>
        <v>11598594.470931793</v>
      </c>
      <c r="AC128" s="77">
        <f t="shared" si="47"/>
        <v>0</v>
      </c>
      <c r="AD128" s="77">
        <f t="shared" si="47"/>
        <v>0</v>
      </c>
      <c r="AE128" s="77">
        <f t="shared" si="47"/>
        <v>0</v>
      </c>
      <c r="AF128" s="64">
        <f>SUM(H128:AE128)</f>
        <v>458923962.12801993</v>
      </c>
      <c r="AG128" s="59" t="str">
        <f>IF(ABS(AF128-F128)&lt;1,"ok","err")</f>
        <v>ok</v>
      </c>
    </row>
    <row r="129" spans="1:33" x14ac:dyDescent="0.25">
      <c r="A129" s="61"/>
      <c r="B129" s="61"/>
      <c r="F129" s="77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4"/>
      <c r="AG129" s="59"/>
    </row>
    <row r="130" spans="1:33" x14ac:dyDescent="0.25">
      <c r="A130" s="61" t="s">
        <v>728</v>
      </c>
      <c r="B130" s="61"/>
      <c r="F130" s="77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4"/>
      <c r="AG130" s="59"/>
    </row>
    <row r="131" spans="1:33" x14ac:dyDescent="0.25">
      <c r="A131" s="69" t="s">
        <v>724</v>
      </c>
      <c r="B131" s="61"/>
      <c r="C131" s="45" t="s">
        <v>627</v>
      </c>
      <c r="D131" s="45" t="s">
        <v>645</v>
      </c>
      <c r="F131" s="77">
        <v>0</v>
      </c>
      <c r="H131" s="64">
        <f t="shared" ref="H131:Q134" si="48">IF(VLOOKUP($D131,$C$6:$AE$651,H$2,)=0,0,((VLOOKUP($D131,$C$6:$AE$651,H$2,)/VLOOKUP($D131,$C$6:$AE$651,4,))*$F131))</f>
        <v>0</v>
      </c>
      <c r="I131" s="64">
        <f t="shared" si="48"/>
        <v>0</v>
      </c>
      <c r="J131" s="64">
        <f t="shared" si="48"/>
        <v>0</v>
      </c>
      <c r="K131" s="64">
        <f t="shared" si="48"/>
        <v>0</v>
      </c>
      <c r="L131" s="64">
        <f t="shared" si="48"/>
        <v>0</v>
      </c>
      <c r="M131" s="64">
        <f t="shared" si="48"/>
        <v>0</v>
      </c>
      <c r="N131" s="64">
        <f t="shared" si="48"/>
        <v>0</v>
      </c>
      <c r="O131" s="64">
        <f t="shared" si="48"/>
        <v>0</v>
      </c>
      <c r="P131" s="64">
        <f t="shared" si="48"/>
        <v>0</v>
      </c>
      <c r="Q131" s="64">
        <f t="shared" si="48"/>
        <v>0</v>
      </c>
      <c r="R131" s="64">
        <f t="shared" ref="R131:AE134" si="49">IF(VLOOKUP($D131,$C$6:$AE$651,R$2,)=0,0,((VLOOKUP($D131,$C$6:$AE$651,R$2,)/VLOOKUP($D131,$C$6:$AE$651,4,))*$F131))</f>
        <v>0</v>
      </c>
      <c r="S131" s="64">
        <f t="shared" si="49"/>
        <v>0</v>
      </c>
      <c r="T131" s="64">
        <f t="shared" si="49"/>
        <v>0</v>
      </c>
      <c r="U131" s="64">
        <f t="shared" si="49"/>
        <v>0</v>
      </c>
      <c r="V131" s="64">
        <f t="shared" si="49"/>
        <v>0</v>
      </c>
      <c r="W131" s="64">
        <f t="shared" si="49"/>
        <v>0</v>
      </c>
      <c r="X131" s="64">
        <f t="shared" si="49"/>
        <v>0</v>
      </c>
      <c r="Y131" s="64">
        <f t="shared" si="49"/>
        <v>0</v>
      </c>
      <c r="Z131" s="64">
        <f t="shared" si="49"/>
        <v>0</v>
      </c>
      <c r="AA131" s="64">
        <f t="shared" si="49"/>
        <v>0</v>
      </c>
      <c r="AB131" s="64">
        <f t="shared" si="49"/>
        <v>0</v>
      </c>
      <c r="AC131" s="64">
        <f t="shared" si="49"/>
        <v>0</v>
      </c>
      <c r="AD131" s="64">
        <f t="shared" si="49"/>
        <v>0</v>
      </c>
      <c r="AE131" s="64">
        <f t="shared" si="49"/>
        <v>0</v>
      </c>
      <c r="AF131" s="64">
        <f>SUM(H131:AE131)</f>
        <v>0</v>
      </c>
      <c r="AG131" s="59" t="str">
        <f>IF(ABS(AF131-F131)&lt;1,"ok","err")</f>
        <v>ok</v>
      </c>
    </row>
    <row r="132" spans="1:33" x14ac:dyDescent="0.25">
      <c r="A132" s="69" t="s">
        <v>723</v>
      </c>
      <c r="B132" s="61"/>
      <c r="C132" s="45" t="s">
        <v>627</v>
      </c>
      <c r="D132" s="45" t="s">
        <v>1184</v>
      </c>
      <c r="F132" s="80">
        <v>0</v>
      </c>
      <c r="H132" s="64">
        <f t="shared" si="48"/>
        <v>0</v>
      </c>
      <c r="I132" s="64">
        <f t="shared" si="48"/>
        <v>0</v>
      </c>
      <c r="J132" s="64">
        <f t="shared" si="48"/>
        <v>0</v>
      </c>
      <c r="K132" s="64">
        <f t="shared" si="48"/>
        <v>0</v>
      </c>
      <c r="L132" s="64">
        <f t="shared" si="48"/>
        <v>0</v>
      </c>
      <c r="M132" s="64">
        <f t="shared" si="48"/>
        <v>0</v>
      </c>
      <c r="N132" s="64">
        <f t="shared" si="48"/>
        <v>0</v>
      </c>
      <c r="O132" s="64">
        <f t="shared" si="48"/>
        <v>0</v>
      </c>
      <c r="P132" s="64">
        <f t="shared" si="48"/>
        <v>0</v>
      </c>
      <c r="Q132" s="64">
        <f t="shared" si="48"/>
        <v>0</v>
      </c>
      <c r="R132" s="64">
        <f t="shared" si="49"/>
        <v>0</v>
      </c>
      <c r="S132" s="64">
        <f t="shared" si="49"/>
        <v>0</v>
      </c>
      <c r="T132" s="64">
        <f t="shared" si="49"/>
        <v>0</v>
      </c>
      <c r="U132" s="64">
        <f t="shared" si="49"/>
        <v>0</v>
      </c>
      <c r="V132" s="64">
        <f t="shared" si="49"/>
        <v>0</v>
      </c>
      <c r="W132" s="64">
        <f t="shared" si="49"/>
        <v>0</v>
      </c>
      <c r="X132" s="64">
        <f t="shared" si="49"/>
        <v>0</v>
      </c>
      <c r="Y132" s="64">
        <f t="shared" si="49"/>
        <v>0</v>
      </c>
      <c r="Z132" s="64">
        <f t="shared" si="49"/>
        <v>0</v>
      </c>
      <c r="AA132" s="64">
        <f t="shared" si="49"/>
        <v>0</v>
      </c>
      <c r="AB132" s="64">
        <f t="shared" si="49"/>
        <v>0</v>
      </c>
      <c r="AC132" s="64">
        <f t="shared" si="49"/>
        <v>0</v>
      </c>
      <c r="AD132" s="64">
        <f t="shared" si="49"/>
        <v>0</v>
      </c>
      <c r="AE132" s="64">
        <f t="shared" si="49"/>
        <v>0</v>
      </c>
      <c r="AF132" s="64">
        <f>SUM(H132:AE132)</f>
        <v>0</v>
      </c>
      <c r="AG132" s="59" t="str">
        <f>IF(ABS(AF132-F132)&lt;1,"ok","err")</f>
        <v>ok</v>
      </c>
    </row>
    <row r="133" spans="1:33" x14ac:dyDescent="0.25">
      <c r="A133" s="69" t="s">
        <v>725</v>
      </c>
      <c r="B133" s="61"/>
      <c r="C133" s="45" t="s">
        <v>627</v>
      </c>
      <c r="D133" s="45" t="s">
        <v>957</v>
      </c>
      <c r="F133" s="80">
        <v>0</v>
      </c>
      <c r="H133" s="64">
        <f t="shared" si="48"/>
        <v>0</v>
      </c>
      <c r="I133" s="64">
        <f t="shared" si="48"/>
        <v>0</v>
      </c>
      <c r="J133" s="64">
        <f t="shared" si="48"/>
        <v>0</v>
      </c>
      <c r="K133" s="64">
        <f t="shared" si="48"/>
        <v>0</v>
      </c>
      <c r="L133" s="64">
        <f t="shared" si="48"/>
        <v>0</v>
      </c>
      <c r="M133" s="64">
        <f t="shared" si="48"/>
        <v>0</v>
      </c>
      <c r="N133" s="64">
        <f t="shared" si="48"/>
        <v>0</v>
      </c>
      <c r="O133" s="64">
        <f t="shared" si="48"/>
        <v>0</v>
      </c>
      <c r="P133" s="64">
        <f t="shared" si="48"/>
        <v>0</v>
      </c>
      <c r="Q133" s="64">
        <f t="shared" si="48"/>
        <v>0</v>
      </c>
      <c r="R133" s="64">
        <f t="shared" si="49"/>
        <v>0</v>
      </c>
      <c r="S133" s="64">
        <f t="shared" si="49"/>
        <v>0</v>
      </c>
      <c r="T133" s="64">
        <f t="shared" si="49"/>
        <v>0</v>
      </c>
      <c r="U133" s="64">
        <f t="shared" si="49"/>
        <v>0</v>
      </c>
      <c r="V133" s="64">
        <f t="shared" si="49"/>
        <v>0</v>
      </c>
      <c r="W133" s="64">
        <f t="shared" si="49"/>
        <v>0</v>
      </c>
      <c r="X133" s="64">
        <f t="shared" si="49"/>
        <v>0</v>
      </c>
      <c r="Y133" s="64">
        <f t="shared" si="49"/>
        <v>0</v>
      </c>
      <c r="Z133" s="64">
        <f t="shared" si="49"/>
        <v>0</v>
      </c>
      <c r="AA133" s="64">
        <f t="shared" si="49"/>
        <v>0</v>
      </c>
      <c r="AB133" s="64">
        <f t="shared" si="49"/>
        <v>0</v>
      </c>
      <c r="AC133" s="64">
        <f t="shared" si="49"/>
        <v>0</v>
      </c>
      <c r="AD133" s="64">
        <f t="shared" si="49"/>
        <v>0</v>
      </c>
      <c r="AE133" s="64">
        <f t="shared" si="49"/>
        <v>0</v>
      </c>
      <c r="AF133" s="64">
        <f>SUM(H133:AE133)</f>
        <v>0</v>
      </c>
      <c r="AG133" s="59" t="str">
        <f>IF(ABS(AF133-F133)&lt;1,"ok","err")</f>
        <v>ok</v>
      </c>
    </row>
    <row r="134" spans="1:33" x14ac:dyDescent="0.25">
      <c r="A134" s="69" t="s">
        <v>726</v>
      </c>
      <c r="B134" s="61"/>
      <c r="C134" s="45" t="s">
        <v>627</v>
      </c>
      <c r="D134" s="45" t="s">
        <v>1186</v>
      </c>
      <c r="F134" s="80">
        <v>0</v>
      </c>
      <c r="H134" s="64">
        <f t="shared" si="48"/>
        <v>0</v>
      </c>
      <c r="I134" s="64">
        <f t="shared" si="48"/>
        <v>0</v>
      </c>
      <c r="J134" s="64">
        <f t="shared" si="48"/>
        <v>0</v>
      </c>
      <c r="K134" s="64">
        <f t="shared" si="48"/>
        <v>0</v>
      </c>
      <c r="L134" s="64">
        <f t="shared" si="48"/>
        <v>0</v>
      </c>
      <c r="M134" s="64">
        <f t="shared" si="48"/>
        <v>0</v>
      </c>
      <c r="N134" s="64">
        <f t="shared" si="48"/>
        <v>0</v>
      </c>
      <c r="O134" s="64">
        <f t="shared" si="48"/>
        <v>0</v>
      </c>
      <c r="P134" s="64">
        <f t="shared" si="48"/>
        <v>0</v>
      </c>
      <c r="Q134" s="64">
        <f t="shared" si="48"/>
        <v>0</v>
      </c>
      <c r="R134" s="64">
        <f t="shared" si="49"/>
        <v>0</v>
      </c>
      <c r="S134" s="64">
        <f t="shared" si="49"/>
        <v>0</v>
      </c>
      <c r="T134" s="64">
        <f t="shared" si="49"/>
        <v>0</v>
      </c>
      <c r="U134" s="64">
        <f t="shared" si="49"/>
        <v>0</v>
      </c>
      <c r="V134" s="64">
        <f t="shared" si="49"/>
        <v>0</v>
      </c>
      <c r="W134" s="64">
        <f t="shared" si="49"/>
        <v>0</v>
      </c>
      <c r="X134" s="64">
        <f t="shared" si="49"/>
        <v>0</v>
      </c>
      <c r="Y134" s="64">
        <f t="shared" si="49"/>
        <v>0</v>
      </c>
      <c r="Z134" s="64">
        <f t="shared" si="49"/>
        <v>0</v>
      </c>
      <c r="AA134" s="64">
        <f t="shared" si="49"/>
        <v>0</v>
      </c>
      <c r="AB134" s="64">
        <f t="shared" si="49"/>
        <v>0</v>
      </c>
      <c r="AC134" s="64">
        <f t="shared" si="49"/>
        <v>0</v>
      </c>
      <c r="AD134" s="64">
        <f t="shared" si="49"/>
        <v>0</v>
      </c>
      <c r="AE134" s="64">
        <f t="shared" si="49"/>
        <v>0</v>
      </c>
      <c r="AF134" s="64">
        <f>SUM(H134:AE134)</f>
        <v>0</v>
      </c>
      <c r="AG134" s="59" t="str">
        <f>IF(ABS(AF134-F134)&lt;1,"ok","err")</f>
        <v>ok</v>
      </c>
    </row>
    <row r="135" spans="1:33" x14ac:dyDescent="0.25">
      <c r="A135" s="69"/>
      <c r="B135" s="61"/>
      <c r="F135" s="77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59"/>
    </row>
    <row r="136" spans="1:33" x14ac:dyDescent="0.25">
      <c r="A136" s="61" t="s">
        <v>729</v>
      </c>
      <c r="B136" s="61"/>
      <c r="F136" s="77">
        <f>SUM(F131:F134)</f>
        <v>0</v>
      </c>
      <c r="H136" s="63">
        <f t="shared" ref="H136:M136" si="50">SUM(H131:H134)</f>
        <v>0</v>
      </c>
      <c r="I136" s="63">
        <f t="shared" si="50"/>
        <v>0</v>
      </c>
      <c r="J136" s="63">
        <f t="shared" si="50"/>
        <v>0</v>
      </c>
      <c r="K136" s="63">
        <f t="shared" si="50"/>
        <v>0</v>
      </c>
      <c r="L136" s="63">
        <f t="shared" si="50"/>
        <v>0</v>
      </c>
      <c r="M136" s="63">
        <f t="shared" si="50"/>
        <v>0</v>
      </c>
      <c r="N136" s="63">
        <f>SUM(N131:N134)</f>
        <v>0</v>
      </c>
      <c r="O136" s="63">
        <f>SUM(O131:O134)</f>
        <v>0</v>
      </c>
      <c r="P136" s="63">
        <f>SUM(P131:P134)</f>
        <v>0</v>
      </c>
      <c r="Q136" s="63">
        <f t="shared" ref="Q136:AB136" si="51">SUM(Q131:Q134)</f>
        <v>0</v>
      </c>
      <c r="R136" s="63">
        <f t="shared" si="51"/>
        <v>0</v>
      </c>
      <c r="S136" s="63">
        <f t="shared" si="51"/>
        <v>0</v>
      </c>
      <c r="T136" s="63">
        <f t="shared" si="51"/>
        <v>0</v>
      </c>
      <c r="U136" s="63">
        <f t="shared" si="51"/>
        <v>0</v>
      </c>
      <c r="V136" s="63">
        <f t="shared" si="51"/>
        <v>0</v>
      </c>
      <c r="W136" s="63">
        <f t="shared" si="51"/>
        <v>0</v>
      </c>
      <c r="X136" s="63">
        <f t="shared" si="51"/>
        <v>0</v>
      </c>
      <c r="Y136" s="63">
        <f t="shared" si="51"/>
        <v>0</v>
      </c>
      <c r="Z136" s="63">
        <f t="shared" si="51"/>
        <v>0</v>
      </c>
      <c r="AA136" s="63">
        <f t="shared" si="51"/>
        <v>0</v>
      </c>
      <c r="AB136" s="63">
        <f t="shared" si="51"/>
        <v>0</v>
      </c>
      <c r="AC136" s="63">
        <f>SUM(AC131:AC134)</f>
        <v>0</v>
      </c>
      <c r="AD136" s="63">
        <f>SUM(AD131:AD134)</f>
        <v>0</v>
      </c>
      <c r="AE136" s="63">
        <f>SUM(AE131:AE134)</f>
        <v>0</v>
      </c>
      <c r="AF136" s="64">
        <f>SUM(H136:AE136)</f>
        <v>0</v>
      </c>
      <c r="AG136" s="59" t="str">
        <f>IF(ABS(AF136-F136)&lt;1,"ok","err")</f>
        <v>ok</v>
      </c>
    </row>
    <row r="137" spans="1:33" x14ac:dyDescent="0.25">
      <c r="A137" s="69"/>
      <c r="B137" s="61"/>
      <c r="F137" s="77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59"/>
    </row>
    <row r="138" spans="1:33" x14ac:dyDescent="0.25">
      <c r="A138" s="66" t="s">
        <v>1005</v>
      </c>
      <c r="B138" s="61"/>
      <c r="C138" s="45" t="s">
        <v>1006</v>
      </c>
      <c r="F138" s="81">
        <f>F107+F114+F120-F121-F128-F136</f>
        <v>2250031689.5289078</v>
      </c>
      <c r="G138" s="65"/>
      <c r="H138" s="65">
        <f t="shared" ref="H138:M138" si="52">H96-H105+H114+H120-H121-H128-H136</f>
        <v>447825895.62847161</v>
      </c>
      <c r="I138" s="65">
        <f t="shared" si="52"/>
        <v>436390251.54308927</v>
      </c>
      <c r="J138" s="65">
        <f t="shared" si="52"/>
        <v>395655144.4928484</v>
      </c>
      <c r="K138" s="65">
        <f t="shared" si="52"/>
        <v>54582124.401785523</v>
      </c>
      <c r="L138" s="65">
        <f t="shared" si="52"/>
        <v>0</v>
      </c>
      <c r="M138" s="65">
        <f t="shared" si="52"/>
        <v>0</v>
      </c>
      <c r="N138" s="65">
        <f>N96-N105+N114+N120-N121-N128-N136</f>
        <v>81706634.282610521</v>
      </c>
      <c r="O138" s="65">
        <f>O96-O105+O114+O120-O121-O128-O136</f>
        <v>79620180.600071326</v>
      </c>
      <c r="P138" s="65">
        <f>P96-P105+P114+P120-P121-P128-P136</f>
        <v>72187987.583305091</v>
      </c>
      <c r="Q138" s="65">
        <f t="shared" ref="Q138:AB138" si="53">Q96-Q105+Q114+Q120-Q121-Q128-Q136</f>
        <v>0</v>
      </c>
      <c r="R138" s="65">
        <f t="shared" si="53"/>
        <v>80980286.080496192</v>
      </c>
      <c r="S138" s="65">
        <f t="shared" si="53"/>
        <v>0</v>
      </c>
      <c r="T138" s="65">
        <f t="shared" si="53"/>
        <v>118884603.24097745</v>
      </c>
      <c r="U138" s="65">
        <f t="shared" si="53"/>
        <v>192829125.17413414</v>
      </c>
      <c r="V138" s="65">
        <f t="shared" si="53"/>
        <v>39628201.08032582</v>
      </c>
      <c r="W138" s="65">
        <f t="shared" si="53"/>
        <v>64276375.058044709</v>
      </c>
      <c r="X138" s="65">
        <f t="shared" si="53"/>
        <v>48714249.784050815</v>
      </c>
      <c r="Y138" s="65">
        <f t="shared" si="53"/>
        <v>36969738.488763481</v>
      </c>
      <c r="Z138" s="65">
        <f t="shared" si="53"/>
        <v>17529237.699996628</v>
      </c>
      <c r="AA138" s="65">
        <f t="shared" si="53"/>
        <v>24765775.151720833</v>
      </c>
      <c r="AB138" s="65">
        <f t="shared" si="53"/>
        <v>54643059.163137861</v>
      </c>
      <c r="AC138" s="65">
        <f>AC96-AC105+AC114+AC120-AC121-AC128-AC136</f>
        <v>2493400.3566691312</v>
      </c>
      <c r="AD138" s="65">
        <f>AD96-AD105+AD114+AD120-AD121-AD128-AD136</f>
        <v>349419.71840870695</v>
      </c>
      <c r="AE138" s="65">
        <f>AE96-AE105+AE114+AE120-AE121-AE128-AE136</f>
        <v>0</v>
      </c>
      <c r="AF138" s="64">
        <f>SUM(H138:AE138)</f>
        <v>2250031689.5289073</v>
      </c>
      <c r="AG138" s="59" t="str">
        <f>IF(ABS(AF138-F138)&lt;1,"ok","err")</f>
        <v>ok</v>
      </c>
    </row>
    <row r="139" spans="1:33" x14ac:dyDescent="0.25">
      <c r="A139" s="61"/>
      <c r="W139" s="45"/>
      <c r="AG139" s="59"/>
    </row>
    <row r="140" spans="1:33" x14ac:dyDescent="0.25">
      <c r="A140" s="61"/>
      <c r="W140" s="45"/>
      <c r="AG140" s="59"/>
    </row>
    <row r="141" spans="1:33" x14ac:dyDescent="0.25">
      <c r="A141" s="60" t="s">
        <v>997</v>
      </c>
      <c r="W141" s="45"/>
      <c r="AG141" s="59"/>
    </row>
    <row r="142" spans="1:33" x14ac:dyDescent="0.25">
      <c r="A142" s="60"/>
      <c r="W142" s="45"/>
      <c r="AG142" s="59"/>
    </row>
    <row r="143" spans="1:33" x14ac:dyDescent="0.25">
      <c r="A143" s="66" t="s">
        <v>218</v>
      </c>
      <c r="W143" s="45"/>
      <c r="AG143" s="59"/>
    </row>
    <row r="144" spans="1:33" x14ac:dyDescent="0.25">
      <c r="A144" s="61">
        <v>500</v>
      </c>
      <c r="B144" s="45" t="s">
        <v>210</v>
      </c>
      <c r="C144" s="45" t="s">
        <v>211</v>
      </c>
      <c r="D144" s="45" t="s">
        <v>658</v>
      </c>
      <c r="F144" s="77">
        <v>6169849</v>
      </c>
      <c r="H144" s="64">
        <f t="shared" ref="H144:Q151" si="54">IF(VLOOKUP($D144,$C$6:$AE$651,H$2,)=0,0,((VLOOKUP($D144,$C$6:$AE$651,H$2,)/VLOOKUP($D144,$C$6:$AE$651,4,))*$F144))</f>
        <v>1839346.72993838</v>
      </c>
      <c r="I144" s="64">
        <f t="shared" si="54"/>
        <v>1792377.3278593239</v>
      </c>
      <c r="J144" s="64">
        <f t="shared" si="54"/>
        <v>1625066.8023226075</v>
      </c>
      <c r="K144" s="64">
        <f t="shared" si="54"/>
        <v>913058.13987968862</v>
      </c>
      <c r="L144" s="64">
        <f t="shared" si="54"/>
        <v>0</v>
      </c>
      <c r="M144" s="64">
        <f t="shared" si="54"/>
        <v>0</v>
      </c>
      <c r="N144" s="64">
        <f t="shared" si="54"/>
        <v>0</v>
      </c>
      <c r="O144" s="64">
        <f t="shared" si="54"/>
        <v>0</v>
      </c>
      <c r="P144" s="64">
        <f t="shared" si="54"/>
        <v>0</v>
      </c>
      <c r="Q144" s="64">
        <f t="shared" si="54"/>
        <v>0</v>
      </c>
      <c r="R144" s="64">
        <f t="shared" ref="R144:AE151" si="55">IF(VLOOKUP($D144,$C$6:$AE$651,R$2,)=0,0,((VLOOKUP($D144,$C$6:$AE$651,R$2,)/VLOOKUP($D144,$C$6:$AE$651,4,))*$F144))</f>
        <v>0</v>
      </c>
      <c r="S144" s="64">
        <f t="shared" si="55"/>
        <v>0</v>
      </c>
      <c r="T144" s="64">
        <f t="shared" si="55"/>
        <v>0</v>
      </c>
      <c r="U144" s="64">
        <f t="shared" si="55"/>
        <v>0</v>
      </c>
      <c r="V144" s="64">
        <f t="shared" si="55"/>
        <v>0</v>
      </c>
      <c r="W144" s="64">
        <f t="shared" si="55"/>
        <v>0</v>
      </c>
      <c r="X144" s="64">
        <f t="shared" si="55"/>
        <v>0</v>
      </c>
      <c r="Y144" s="64">
        <f t="shared" si="55"/>
        <v>0</v>
      </c>
      <c r="Z144" s="64">
        <f t="shared" si="55"/>
        <v>0</v>
      </c>
      <c r="AA144" s="64">
        <f t="shared" si="55"/>
        <v>0</v>
      </c>
      <c r="AB144" s="64">
        <f t="shared" si="55"/>
        <v>0</v>
      </c>
      <c r="AC144" s="64">
        <f t="shared" si="55"/>
        <v>0</v>
      </c>
      <c r="AD144" s="64">
        <f t="shared" si="55"/>
        <v>0</v>
      </c>
      <c r="AE144" s="64">
        <f t="shared" si="55"/>
        <v>0</v>
      </c>
      <c r="AF144" s="64">
        <f t="shared" ref="AF144:AF151" si="56">SUM(H144:AE144)</f>
        <v>6169849</v>
      </c>
      <c r="AG144" s="59" t="str">
        <f t="shared" ref="AG144:AG151" si="57">IF(ABS(AF144-F144)&lt;1,"ok","err")</f>
        <v>ok</v>
      </c>
    </row>
    <row r="145" spans="1:33" x14ac:dyDescent="0.25">
      <c r="A145" s="302">
        <v>501</v>
      </c>
      <c r="B145" s="45" t="s">
        <v>212</v>
      </c>
      <c r="C145" s="45" t="s">
        <v>213</v>
      </c>
      <c r="D145" s="45" t="s">
        <v>952</v>
      </c>
      <c r="F145" s="80">
        <v>301938880.17740971</v>
      </c>
      <c r="H145" s="64">
        <f t="shared" si="54"/>
        <v>0</v>
      </c>
      <c r="I145" s="64">
        <f t="shared" si="54"/>
        <v>0</v>
      </c>
      <c r="J145" s="64">
        <f t="shared" si="54"/>
        <v>0</v>
      </c>
      <c r="K145" s="64">
        <f t="shared" si="54"/>
        <v>301938880.17740971</v>
      </c>
      <c r="L145" s="64">
        <f t="shared" si="54"/>
        <v>0</v>
      </c>
      <c r="M145" s="64">
        <f t="shared" si="54"/>
        <v>0</v>
      </c>
      <c r="N145" s="64">
        <f t="shared" si="54"/>
        <v>0</v>
      </c>
      <c r="O145" s="64">
        <f t="shared" si="54"/>
        <v>0</v>
      </c>
      <c r="P145" s="64">
        <f t="shared" si="54"/>
        <v>0</v>
      </c>
      <c r="Q145" s="64">
        <f t="shared" si="54"/>
        <v>0</v>
      </c>
      <c r="R145" s="64">
        <f t="shared" si="55"/>
        <v>0</v>
      </c>
      <c r="S145" s="64">
        <f t="shared" si="55"/>
        <v>0</v>
      </c>
      <c r="T145" s="64">
        <f t="shared" si="55"/>
        <v>0</v>
      </c>
      <c r="U145" s="64">
        <f t="shared" si="55"/>
        <v>0</v>
      </c>
      <c r="V145" s="64">
        <f t="shared" si="55"/>
        <v>0</v>
      </c>
      <c r="W145" s="64">
        <f t="shared" si="55"/>
        <v>0</v>
      </c>
      <c r="X145" s="64">
        <f t="shared" si="55"/>
        <v>0</v>
      </c>
      <c r="Y145" s="64">
        <f t="shared" si="55"/>
        <v>0</v>
      </c>
      <c r="Z145" s="64">
        <f t="shared" si="55"/>
        <v>0</v>
      </c>
      <c r="AA145" s="64">
        <f t="shared" si="55"/>
        <v>0</v>
      </c>
      <c r="AB145" s="64">
        <f t="shared" si="55"/>
        <v>0</v>
      </c>
      <c r="AC145" s="64">
        <f t="shared" si="55"/>
        <v>0</v>
      </c>
      <c r="AD145" s="64">
        <f t="shared" si="55"/>
        <v>0</v>
      </c>
      <c r="AE145" s="64">
        <f t="shared" si="55"/>
        <v>0</v>
      </c>
      <c r="AF145" s="64">
        <f t="shared" si="56"/>
        <v>301938880.17740971</v>
      </c>
      <c r="AG145" s="59" t="str">
        <f t="shared" si="57"/>
        <v>ok</v>
      </c>
    </row>
    <row r="146" spans="1:33" x14ac:dyDescent="0.25">
      <c r="A146" s="61">
        <v>502</v>
      </c>
      <c r="B146" s="45" t="s">
        <v>214</v>
      </c>
      <c r="C146" s="45" t="s">
        <v>215</v>
      </c>
      <c r="D146" s="45" t="s">
        <v>653</v>
      </c>
      <c r="F146" s="80">
        <v>22202857.999999978</v>
      </c>
      <c r="H146" s="64">
        <f t="shared" si="54"/>
        <v>7768761.4638432646</v>
      </c>
      <c r="I146" s="64">
        <f t="shared" si="54"/>
        <v>7570379.0300626811</v>
      </c>
      <c r="J146" s="64">
        <f t="shared" si="54"/>
        <v>6863717.506094032</v>
      </c>
      <c r="K146" s="64">
        <f t="shared" si="54"/>
        <v>0</v>
      </c>
      <c r="L146" s="64">
        <f t="shared" si="54"/>
        <v>0</v>
      </c>
      <c r="M146" s="64">
        <f t="shared" si="54"/>
        <v>0</v>
      </c>
      <c r="N146" s="64">
        <f t="shared" si="54"/>
        <v>0</v>
      </c>
      <c r="O146" s="64">
        <f t="shared" si="54"/>
        <v>0</v>
      </c>
      <c r="P146" s="64">
        <f t="shared" si="54"/>
        <v>0</v>
      </c>
      <c r="Q146" s="64">
        <f t="shared" si="54"/>
        <v>0</v>
      </c>
      <c r="R146" s="64">
        <f t="shared" si="55"/>
        <v>0</v>
      </c>
      <c r="S146" s="64">
        <f t="shared" si="55"/>
        <v>0</v>
      </c>
      <c r="T146" s="64">
        <f t="shared" si="55"/>
        <v>0</v>
      </c>
      <c r="U146" s="64">
        <f t="shared" si="55"/>
        <v>0</v>
      </c>
      <c r="V146" s="64">
        <f t="shared" si="55"/>
        <v>0</v>
      </c>
      <c r="W146" s="64">
        <f t="shared" si="55"/>
        <v>0</v>
      </c>
      <c r="X146" s="64">
        <f t="shared" si="55"/>
        <v>0</v>
      </c>
      <c r="Y146" s="64">
        <f t="shared" si="55"/>
        <v>0</v>
      </c>
      <c r="Z146" s="64">
        <f t="shared" si="55"/>
        <v>0</v>
      </c>
      <c r="AA146" s="64">
        <f t="shared" si="55"/>
        <v>0</v>
      </c>
      <c r="AB146" s="64">
        <f t="shared" si="55"/>
        <v>0</v>
      </c>
      <c r="AC146" s="64">
        <f t="shared" si="55"/>
        <v>0</v>
      </c>
      <c r="AD146" s="64">
        <f t="shared" si="55"/>
        <v>0</v>
      </c>
      <c r="AE146" s="64">
        <f t="shared" si="55"/>
        <v>0</v>
      </c>
      <c r="AF146" s="64">
        <f t="shared" si="56"/>
        <v>22202857.999999978</v>
      </c>
      <c r="AG146" s="59" t="str">
        <f t="shared" si="57"/>
        <v>ok</v>
      </c>
    </row>
    <row r="147" spans="1:33" x14ac:dyDescent="0.25">
      <c r="A147" s="61">
        <v>504</v>
      </c>
      <c r="B147" s="61" t="s">
        <v>1321</v>
      </c>
      <c r="C147" s="45" t="s">
        <v>1319</v>
      </c>
      <c r="D147" s="45" t="s">
        <v>653</v>
      </c>
      <c r="F147" s="80">
        <v>0</v>
      </c>
      <c r="H147" s="64">
        <f t="shared" si="54"/>
        <v>0</v>
      </c>
      <c r="I147" s="64">
        <f t="shared" si="54"/>
        <v>0</v>
      </c>
      <c r="J147" s="64">
        <f t="shared" si="54"/>
        <v>0</v>
      </c>
      <c r="K147" s="64">
        <f t="shared" si="54"/>
        <v>0</v>
      </c>
      <c r="L147" s="64">
        <f t="shared" si="54"/>
        <v>0</v>
      </c>
      <c r="M147" s="64">
        <f t="shared" si="54"/>
        <v>0</v>
      </c>
      <c r="N147" s="64">
        <f t="shared" si="54"/>
        <v>0</v>
      </c>
      <c r="O147" s="64">
        <f t="shared" si="54"/>
        <v>0</v>
      </c>
      <c r="P147" s="64">
        <f t="shared" si="54"/>
        <v>0</v>
      </c>
      <c r="Q147" s="64">
        <f t="shared" si="54"/>
        <v>0</v>
      </c>
      <c r="R147" s="64">
        <f t="shared" si="55"/>
        <v>0</v>
      </c>
      <c r="S147" s="64">
        <f t="shared" si="55"/>
        <v>0</v>
      </c>
      <c r="T147" s="64">
        <f t="shared" si="55"/>
        <v>0</v>
      </c>
      <c r="U147" s="64">
        <f t="shared" si="55"/>
        <v>0</v>
      </c>
      <c r="V147" s="64">
        <f t="shared" si="55"/>
        <v>0</v>
      </c>
      <c r="W147" s="64">
        <f t="shared" si="55"/>
        <v>0</v>
      </c>
      <c r="X147" s="64">
        <f t="shared" si="55"/>
        <v>0</v>
      </c>
      <c r="Y147" s="64">
        <f t="shared" si="55"/>
        <v>0</v>
      </c>
      <c r="Z147" s="64">
        <f t="shared" si="55"/>
        <v>0</v>
      </c>
      <c r="AA147" s="64">
        <f t="shared" si="55"/>
        <v>0</v>
      </c>
      <c r="AB147" s="64">
        <f t="shared" si="55"/>
        <v>0</v>
      </c>
      <c r="AC147" s="64">
        <f t="shared" si="55"/>
        <v>0</v>
      </c>
      <c r="AD147" s="64">
        <f t="shared" si="55"/>
        <v>0</v>
      </c>
      <c r="AE147" s="64">
        <f t="shared" si="55"/>
        <v>0</v>
      </c>
      <c r="AF147" s="64">
        <f>SUM(H147:AE147)</f>
        <v>0</v>
      </c>
      <c r="AG147" s="59" t="str">
        <f>IF(ABS(AF147-F147)&lt;1,"ok","err")</f>
        <v>ok</v>
      </c>
    </row>
    <row r="148" spans="1:33" x14ac:dyDescent="0.25">
      <c r="A148" s="61">
        <v>505</v>
      </c>
      <c r="B148" s="45" t="s">
        <v>216</v>
      </c>
      <c r="C148" s="45" t="s">
        <v>217</v>
      </c>
      <c r="D148" s="45" t="s">
        <v>653</v>
      </c>
      <c r="F148" s="80">
        <v>815020</v>
      </c>
      <c r="H148" s="64">
        <f t="shared" si="54"/>
        <v>285174.81705560355</v>
      </c>
      <c r="I148" s="64">
        <f t="shared" si="54"/>
        <v>277892.61711630516</v>
      </c>
      <c r="J148" s="64">
        <f t="shared" si="54"/>
        <v>251952.56582809129</v>
      </c>
      <c r="K148" s="64">
        <f t="shared" si="54"/>
        <v>0</v>
      </c>
      <c r="L148" s="64">
        <f t="shared" si="54"/>
        <v>0</v>
      </c>
      <c r="M148" s="64">
        <f t="shared" si="54"/>
        <v>0</v>
      </c>
      <c r="N148" s="64">
        <f t="shared" si="54"/>
        <v>0</v>
      </c>
      <c r="O148" s="64">
        <f t="shared" si="54"/>
        <v>0</v>
      </c>
      <c r="P148" s="64">
        <f t="shared" si="54"/>
        <v>0</v>
      </c>
      <c r="Q148" s="64">
        <f t="shared" si="54"/>
        <v>0</v>
      </c>
      <c r="R148" s="64">
        <f t="shared" si="55"/>
        <v>0</v>
      </c>
      <c r="S148" s="64">
        <f t="shared" si="55"/>
        <v>0</v>
      </c>
      <c r="T148" s="64">
        <f t="shared" si="55"/>
        <v>0</v>
      </c>
      <c r="U148" s="64">
        <f t="shared" si="55"/>
        <v>0</v>
      </c>
      <c r="V148" s="64">
        <f t="shared" si="55"/>
        <v>0</v>
      </c>
      <c r="W148" s="64">
        <f t="shared" si="55"/>
        <v>0</v>
      </c>
      <c r="X148" s="64">
        <f t="shared" si="55"/>
        <v>0</v>
      </c>
      <c r="Y148" s="64">
        <f t="shared" si="55"/>
        <v>0</v>
      </c>
      <c r="Z148" s="64">
        <f t="shared" si="55"/>
        <v>0</v>
      </c>
      <c r="AA148" s="64">
        <f t="shared" si="55"/>
        <v>0</v>
      </c>
      <c r="AB148" s="64">
        <f t="shared" si="55"/>
        <v>0</v>
      </c>
      <c r="AC148" s="64">
        <f t="shared" si="55"/>
        <v>0</v>
      </c>
      <c r="AD148" s="64">
        <f t="shared" si="55"/>
        <v>0</v>
      </c>
      <c r="AE148" s="64">
        <f t="shared" si="55"/>
        <v>0</v>
      </c>
      <c r="AF148" s="64">
        <f t="shared" si="56"/>
        <v>815020</v>
      </c>
      <c r="AG148" s="59" t="str">
        <f t="shared" si="57"/>
        <v>ok</v>
      </c>
    </row>
    <row r="149" spans="1:33" x14ac:dyDescent="0.25">
      <c r="A149" s="61">
        <v>506</v>
      </c>
      <c r="B149" s="45" t="s">
        <v>219</v>
      </c>
      <c r="C149" s="45" t="s">
        <v>220</v>
      </c>
      <c r="D149" s="45" t="s">
        <v>653</v>
      </c>
      <c r="F149" s="80">
        <v>13303955.000000002</v>
      </c>
      <c r="H149" s="64">
        <f t="shared" si="54"/>
        <v>4655042.7391241724</v>
      </c>
      <c r="I149" s="64">
        <f t="shared" si="54"/>
        <v>4536171.9625868741</v>
      </c>
      <c r="J149" s="64">
        <f t="shared" si="54"/>
        <v>4112740.2982889558</v>
      </c>
      <c r="K149" s="64">
        <f t="shared" si="54"/>
        <v>0</v>
      </c>
      <c r="L149" s="64">
        <f t="shared" si="54"/>
        <v>0</v>
      </c>
      <c r="M149" s="64">
        <f t="shared" si="54"/>
        <v>0</v>
      </c>
      <c r="N149" s="64">
        <f t="shared" si="54"/>
        <v>0</v>
      </c>
      <c r="O149" s="64">
        <f t="shared" si="54"/>
        <v>0</v>
      </c>
      <c r="P149" s="64">
        <f t="shared" si="54"/>
        <v>0</v>
      </c>
      <c r="Q149" s="64">
        <f t="shared" si="54"/>
        <v>0</v>
      </c>
      <c r="R149" s="64">
        <f t="shared" si="55"/>
        <v>0</v>
      </c>
      <c r="S149" s="64">
        <f t="shared" si="55"/>
        <v>0</v>
      </c>
      <c r="T149" s="64">
        <f t="shared" si="55"/>
        <v>0</v>
      </c>
      <c r="U149" s="64">
        <f t="shared" si="55"/>
        <v>0</v>
      </c>
      <c r="V149" s="64">
        <f t="shared" si="55"/>
        <v>0</v>
      </c>
      <c r="W149" s="64">
        <f t="shared" si="55"/>
        <v>0</v>
      </c>
      <c r="X149" s="64">
        <f t="shared" si="55"/>
        <v>0</v>
      </c>
      <c r="Y149" s="64">
        <f t="shared" si="55"/>
        <v>0</v>
      </c>
      <c r="Z149" s="64">
        <f t="shared" si="55"/>
        <v>0</v>
      </c>
      <c r="AA149" s="64">
        <f t="shared" si="55"/>
        <v>0</v>
      </c>
      <c r="AB149" s="64">
        <f t="shared" si="55"/>
        <v>0</v>
      </c>
      <c r="AC149" s="64">
        <f t="shared" si="55"/>
        <v>0</v>
      </c>
      <c r="AD149" s="64">
        <f t="shared" si="55"/>
        <v>0</v>
      </c>
      <c r="AE149" s="64">
        <f t="shared" si="55"/>
        <v>0</v>
      </c>
      <c r="AF149" s="64">
        <f t="shared" si="56"/>
        <v>13303955.000000004</v>
      </c>
      <c r="AG149" s="59" t="str">
        <f t="shared" si="57"/>
        <v>ok</v>
      </c>
    </row>
    <row r="150" spans="1:33" x14ac:dyDescent="0.25">
      <c r="A150" s="61">
        <v>507</v>
      </c>
      <c r="B150" s="45" t="s">
        <v>1026</v>
      </c>
      <c r="C150" s="45" t="s">
        <v>345</v>
      </c>
      <c r="D150" s="45" t="s">
        <v>653</v>
      </c>
      <c r="F150" s="80">
        <v>0</v>
      </c>
      <c r="H150" s="64">
        <f t="shared" si="54"/>
        <v>0</v>
      </c>
      <c r="I150" s="64">
        <f t="shared" si="54"/>
        <v>0</v>
      </c>
      <c r="J150" s="64">
        <f t="shared" si="54"/>
        <v>0</v>
      </c>
      <c r="K150" s="64">
        <f t="shared" si="54"/>
        <v>0</v>
      </c>
      <c r="L150" s="64">
        <f t="shared" si="54"/>
        <v>0</v>
      </c>
      <c r="M150" s="64">
        <f t="shared" si="54"/>
        <v>0</v>
      </c>
      <c r="N150" s="64">
        <f t="shared" si="54"/>
        <v>0</v>
      </c>
      <c r="O150" s="64">
        <f t="shared" si="54"/>
        <v>0</v>
      </c>
      <c r="P150" s="64">
        <f t="shared" si="54"/>
        <v>0</v>
      </c>
      <c r="Q150" s="64">
        <f t="shared" si="54"/>
        <v>0</v>
      </c>
      <c r="R150" s="64">
        <f t="shared" si="55"/>
        <v>0</v>
      </c>
      <c r="S150" s="64">
        <f t="shared" si="55"/>
        <v>0</v>
      </c>
      <c r="T150" s="64">
        <f t="shared" si="55"/>
        <v>0</v>
      </c>
      <c r="U150" s="64">
        <f t="shared" si="55"/>
        <v>0</v>
      </c>
      <c r="V150" s="64">
        <f t="shared" si="55"/>
        <v>0</v>
      </c>
      <c r="W150" s="64">
        <f t="shared" si="55"/>
        <v>0</v>
      </c>
      <c r="X150" s="64">
        <f t="shared" si="55"/>
        <v>0</v>
      </c>
      <c r="Y150" s="64">
        <f t="shared" si="55"/>
        <v>0</v>
      </c>
      <c r="Z150" s="64">
        <f t="shared" si="55"/>
        <v>0</v>
      </c>
      <c r="AA150" s="64">
        <f t="shared" si="55"/>
        <v>0</v>
      </c>
      <c r="AB150" s="64">
        <f t="shared" si="55"/>
        <v>0</v>
      </c>
      <c r="AC150" s="64">
        <f t="shared" si="55"/>
        <v>0</v>
      </c>
      <c r="AD150" s="64">
        <f t="shared" si="55"/>
        <v>0</v>
      </c>
      <c r="AE150" s="64">
        <f t="shared" si="55"/>
        <v>0</v>
      </c>
      <c r="AF150" s="64">
        <f>SUM(H150:AE150)</f>
        <v>0</v>
      </c>
      <c r="AG150" s="59" t="str">
        <f t="shared" si="57"/>
        <v>ok</v>
      </c>
    </row>
    <row r="151" spans="1:33" x14ac:dyDescent="0.25">
      <c r="A151" s="61">
        <v>509</v>
      </c>
      <c r="B151" s="45" t="s">
        <v>601</v>
      </c>
      <c r="C151" s="45" t="s">
        <v>600</v>
      </c>
      <c r="D151" s="45" t="s">
        <v>653</v>
      </c>
      <c r="F151" s="80">
        <v>64126</v>
      </c>
      <c r="H151" s="64">
        <f t="shared" si="54"/>
        <v>22437.633823105734</v>
      </c>
      <c r="I151" s="64">
        <f t="shared" si="54"/>
        <v>21864.668308998778</v>
      </c>
      <c r="J151" s="64">
        <f t="shared" si="54"/>
        <v>19823.697867895491</v>
      </c>
      <c r="K151" s="64">
        <f t="shared" si="54"/>
        <v>0</v>
      </c>
      <c r="L151" s="64">
        <f t="shared" si="54"/>
        <v>0</v>
      </c>
      <c r="M151" s="64">
        <f t="shared" si="54"/>
        <v>0</v>
      </c>
      <c r="N151" s="64">
        <f t="shared" si="54"/>
        <v>0</v>
      </c>
      <c r="O151" s="64">
        <f t="shared" si="54"/>
        <v>0</v>
      </c>
      <c r="P151" s="64">
        <f t="shared" si="54"/>
        <v>0</v>
      </c>
      <c r="Q151" s="64">
        <f t="shared" si="54"/>
        <v>0</v>
      </c>
      <c r="R151" s="64">
        <f t="shared" si="55"/>
        <v>0</v>
      </c>
      <c r="S151" s="64">
        <f t="shared" si="55"/>
        <v>0</v>
      </c>
      <c r="T151" s="64">
        <f t="shared" si="55"/>
        <v>0</v>
      </c>
      <c r="U151" s="64">
        <f t="shared" si="55"/>
        <v>0</v>
      </c>
      <c r="V151" s="64">
        <f t="shared" si="55"/>
        <v>0</v>
      </c>
      <c r="W151" s="64">
        <f t="shared" si="55"/>
        <v>0</v>
      </c>
      <c r="X151" s="64">
        <f t="shared" si="55"/>
        <v>0</v>
      </c>
      <c r="Y151" s="64">
        <f t="shared" si="55"/>
        <v>0</v>
      </c>
      <c r="Z151" s="64">
        <f t="shared" si="55"/>
        <v>0</v>
      </c>
      <c r="AA151" s="64">
        <f t="shared" si="55"/>
        <v>0</v>
      </c>
      <c r="AB151" s="64">
        <f t="shared" si="55"/>
        <v>0</v>
      </c>
      <c r="AC151" s="64">
        <f t="shared" si="55"/>
        <v>0</v>
      </c>
      <c r="AD151" s="64">
        <f t="shared" si="55"/>
        <v>0</v>
      </c>
      <c r="AE151" s="64">
        <f t="shared" si="55"/>
        <v>0</v>
      </c>
      <c r="AF151" s="64">
        <f t="shared" si="56"/>
        <v>64126</v>
      </c>
      <c r="AG151" s="59" t="str">
        <f t="shared" si="57"/>
        <v>ok</v>
      </c>
    </row>
    <row r="152" spans="1:33" x14ac:dyDescent="0.25">
      <c r="A152" s="61"/>
      <c r="F152" s="77"/>
      <c r="W152" s="45"/>
      <c r="AG152" s="59"/>
    </row>
    <row r="153" spans="1:33" x14ac:dyDescent="0.25">
      <c r="A153" s="61"/>
      <c r="B153" s="45" t="s">
        <v>221</v>
      </c>
      <c r="F153" s="77">
        <f>SUM(F144:F152)</f>
        <v>344494688.17740971</v>
      </c>
      <c r="H153" s="63">
        <f>SUM(H144:H152)</f>
        <v>14570763.383784527</v>
      </c>
      <c r="I153" s="63">
        <f t="shared" ref="I153:AF153" si="58">SUM(I144:I152)</f>
        <v>14198685.605934184</v>
      </c>
      <c r="J153" s="63">
        <f t="shared" si="58"/>
        <v>12873300.870401582</v>
      </c>
      <c r="K153" s="63">
        <f t="shared" si="58"/>
        <v>302851938.31728941</v>
      </c>
      <c r="L153" s="63">
        <f t="shared" si="58"/>
        <v>0</v>
      </c>
      <c r="M153" s="63">
        <f t="shared" si="58"/>
        <v>0</v>
      </c>
      <c r="N153" s="63">
        <f t="shared" si="58"/>
        <v>0</v>
      </c>
      <c r="O153" s="63">
        <f>SUM(O144:O152)</f>
        <v>0</v>
      </c>
      <c r="P153" s="63">
        <f>SUM(P144:P152)</f>
        <v>0</v>
      </c>
      <c r="Q153" s="63">
        <f t="shared" si="58"/>
        <v>0</v>
      </c>
      <c r="R153" s="63">
        <f t="shared" si="58"/>
        <v>0</v>
      </c>
      <c r="S153" s="63">
        <f t="shared" si="58"/>
        <v>0</v>
      </c>
      <c r="T153" s="63">
        <f t="shared" si="58"/>
        <v>0</v>
      </c>
      <c r="U153" s="63">
        <f>SUM(U144:U152)</f>
        <v>0</v>
      </c>
      <c r="V153" s="63">
        <f>SUM(V144:V152)</f>
        <v>0</v>
      </c>
      <c r="W153" s="63">
        <f>SUM(W144:W152)</f>
        <v>0</v>
      </c>
      <c r="X153" s="63">
        <f t="shared" si="58"/>
        <v>0</v>
      </c>
      <c r="Y153" s="63">
        <f t="shared" si="58"/>
        <v>0</v>
      </c>
      <c r="Z153" s="63">
        <f>SUM(Z144:Z152)</f>
        <v>0</v>
      </c>
      <c r="AA153" s="63">
        <f>SUM(AA144:AA152)</f>
        <v>0</v>
      </c>
      <c r="AB153" s="63">
        <f t="shared" si="58"/>
        <v>0</v>
      </c>
      <c r="AC153" s="63">
        <f t="shared" si="58"/>
        <v>0</v>
      </c>
      <c r="AD153" s="63">
        <f t="shared" si="58"/>
        <v>0</v>
      </c>
      <c r="AE153" s="63">
        <f t="shared" si="58"/>
        <v>0</v>
      </c>
      <c r="AF153" s="63">
        <f t="shared" si="58"/>
        <v>344494688.17740971</v>
      </c>
      <c r="AG153" s="59" t="str">
        <f>IF(ABS(AF153-F153)&lt;1,"ok","err")</f>
        <v>ok</v>
      </c>
    </row>
    <row r="154" spans="1:33" x14ac:dyDescent="0.25">
      <c r="A154" s="61"/>
      <c r="F154" s="77"/>
      <c r="W154" s="45"/>
      <c r="AG154" s="59"/>
    </row>
    <row r="155" spans="1:33" x14ac:dyDescent="0.25">
      <c r="A155" s="66" t="s">
        <v>222</v>
      </c>
      <c r="F155" s="77"/>
      <c r="W155" s="45"/>
      <c r="AG155" s="59"/>
    </row>
    <row r="156" spans="1:33" x14ac:dyDescent="0.25">
      <c r="A156" s="61">
        <v>510</v>
      </c>
      <c r="B156" s="45" t="s">
        <v>225</v>
      </c>
      <c r="C156" s="45" t="s">
        <v>223</v>
      </c>
      <c r="D156" s="45" t="s">
        <v>87</v>
      </c>
      <c r="F156" s="77">
        <v>1225313</v>
      </c>
      <c r="H156" s="64">
        <f t="shared" ref="H156:Q160" si="59">IF(VLOOKUP($D156,$C$6:$AE$651,H$2,)=0,0,((VLOOKUP($D156,$C$6:$AE$651,H$2,)/VLOOKUP($D156,$C$6:$AE$651,4,))*$F156))</f>
        <v>10639.256447212301</v>
      </c>
      <c r="I156" s="64">
        <f t="shared" si="59"/>
        <v>10367.573297016876</v>
      </c>
      <c r="J156" s="64">
        <f t="shared" si="59"/>
        <v>9399.8060139214158</v>
      </c>
      <c r="K156" s="64">
        <f t="shared" si="59"/>
        <v>1194906.3642418494</v>
      </c>
      <c r="L156" s="64">
        <f t="shared" si="59"/>
        <v>0</v>
      </c>
      <c r="M156" s="64">
        <f t="shared" si="59"/>
        <v>0</v>
      </c>
      <c r="N156" s="64">
        <f t="shared" si="59"/>
        <v>0</v>
      </c>
      <c r="O156" s="64">
        <f t="shared" si="59"/>
        <v>0</v>
      </c>
      <c r="P156" s="64">
        <f t="shared" si="59"/>
        <v>0</v>
      </c>
      <c r="Q156" s="64">
        <f t="shared" si="59"/>
        <v>0</v>
      </c>
      <c r="R156" s="64">
        <f t="shared" ref="R156:AE160" si="60">IF(VLOOKUP($D156,$C$6:$AE$651,R$2,)=0,0,((VLOOKUP($D156,$C$6:$AE$651,R$2,)/VLOOKUP($D156,$C$6:$AE$651,4,))*$F156))</f>
        <v>0</v>
      </c>
      <c r="S156" s="64">
        <f t="shared" si="60"/>
        <v>0</v>
      </c>
      <c r="T156" s="64">
        <f t="shared" si="60"/>
        <v>0</v>
      </c>
      <c r="U156" s="64">
        <f t="shared" si="60"/>
        <v>0</v>
      </c>
      <c r="V156" s="64">
        <f t="shared" si="60"/>
        <v>0</v>
      </c>
      <c r="W156" s="64">
        <f t="shared" si="60"/>
        <v>0</v>
      </c>
      <c r="X156" s="64">
        <f t="shared" si="60"/>
        <v>0</v>
      </c>
      <c r="Y156" s="64">
        <f t="shared" si="60"/>
        <v>0</v>
      </c>
      <c r="Z156" s="64">
        <f t="shared" si="60"/>
        <v>0</v>
      </c>
      <c r="AA156" s="64">
        <f t="shared" si="60"/>
        <v>0</v>
      </c>
      <c r="AB156" s="64">
        <f t="shared" si="60"/>
        <v>0</v>
      </c>
      <c r="AC156" s="64">
        <f t="shared" si="60"/>
        <v>0</v>
      </c>
      <c r="AD156" s="64">
        <f t="shared" si="60"/>
        <v>0</v>
      </c>
      <c r="AE156" s="64">
        <f t="shared" si="60"/>
        <v>0</v>
      </c>
      <c r="AF156" s="64">
        <f>SUM(H156:AE156)</f>
        <v>1225313</v>
      </c>
      <c r="AG156" s="59" t="str">
        <f>IF(ABS(AF156-F156)&lt;1,"ok","err")</f>
        <v>ok</v>
      </c>
    </row>
    <row r="157" spans="1:33" x14ac:dyDescent="0.25">
      <c r="A157" s="61">
        <v>511</v>
      </c>
      <c r="B157" s="45" t="s">
        <v>224</v>
      </c>
      <c r="C157" s="45" t="s">
        <v>226</v>
      </c>
      <c r="D157" s="45" t="s">
        <v>653</v>
      </c>
      <c r="F157" s="80">
        <v>2799052</v>
      </c>
      <c r="H157" s="64">
        <f t="shared" si="59"/>
        <v>979385.95620858541</v>
      </c>
      <c r="I157" s="64">
        <f t="shared" si="59"/>
        <v>954376.43950409582</v>
      </c>
      <c r="J157" s="64">
        <f t="shared" si="59"/>
        <v>865289.60428731877</v>
      </c>
      <c r="K157" s="64">
        <f t="shared" si="59"/>
        <v>0</v>
      </c>
      <c r="L157" s="64">
        <f t="shared" si="59"/>
        <v>0</v>
      </c>
      <c r="M157" s="64">
        <f t="shared" si="59"/>
        <v>0</v>
      </c>
      <c r="N157" s="64">
        <f t="shared" si="59"/>
        <v>0</v>
      </c>
      <c r="O157" s="64">
        <f t="shared" si="59"/>
        <v>0</v>
      </c>
      <c r="P157" s="64">
        <f t="shared" si="59"/>
        <v>0</v>
      </c>
      <c r="Q157" s="64">
        <f t="shared" si="59"/>
        <v>0</v>
      </c>
      <c r="R157" s="64">
        <f t="shared" si="60"/>
        <v>0</v>
      </c>
      <c r="S157" s="64">
        <f t="shared" si="60"/>
        <v>0</v>
      </c>
      <c r="T157" s="64">
        <f t="shared" si="60"/>
        <v>0</v>
      </c>
      <c r="U157" s="64">
        <f t="shared" si="60"/>
        <v>0</v>
      </c>
      <c r="V157" s="64">
        <f t="shared" si="60"/>
        <v>0</v>
      </c>
      <c r="W157" s="64">
        <f t="shared" si="60"/>
        <v>0</v>
      </c>
      <c r="X157" s="64">
        <f t="shared" si="60"/>
        <v>0</v>
      </c>
      <c r="Y157" s="64">
        <f t="shared" si="60"/>
        <v>0</v>
      </c>
      <c r="Z157" s="64">
        <f t="shared" si="60"/>
        <v>0</v>
      </c>
      <c r="AA157" s="64">
        <f t="shared" si="60"/>
        <v>0</v>
      </c>
      <c r="AB157" s="64">
        <f t="shared" si="60"/>
        <v>0</v>
      </c>
      <c r="AC157" s="64">
        <f t="shared" si="60"/>
        <v>0</v>
      </c>
      <c r="AD157" s="64">
        <f t="shared" si="60"/>
        <v>0</v>
      </c>
      <c r="AE157" s="64">
        <f t="shared" si="60"/>
        <v>0</v>
      </c>
      <c r="AF157" s="64">
        <f>SUM(H157:AE157)</f>
        <v>2799052</v>
      </c>
      <c r="AG157" s="59" t="str">
        <f>IF(ABS(AF157-F157)&lt;1,"ok","err")</f>
        <v>ok</v>
      </c>
    </row>
    <row r="158" spans="1:33" x14ac:dyDescent="0.25">
      <c r="A158" s="61">
        <v>512</v>
      </c>
      <c r="B158" s="45" t="s">
        <v>227</v>
      </c>
      <c r="C158" s="45" t="s">
        <v>229</v>
      </c>
      <c r="D158" s="45" t="s">
        <v>952</v>
      </c>
      <c r="F158" s="80">
        <v>31395526.999999985</v>
      </c>
      <c r="H158" s="64">
        <f t="shared" si="59"/>
        <v>0</v>
      </c>
      <c r="I158" s="64">
        <f t="shared" si="59"/>
        <v>0</v>
      </c>
      <c r="J158" s="64">
        <f t="shared" si="59"/>
        <v>0</v>
      </c>
      <c r="K158" s="64">
        <f t="shared" si="59"/>
        <v>31395526.999999985</v>
      </c>
      <c r="L158" s="64">
        <f t="shared" si="59"/>
        <v>0</v>
      </c>
      <c r="M158" s="64">
        <f t="shared" si="59"/>
        <v>0</v>
      </c>
      <c r="N158" s="64">
        <f t="shared" si="59"/>
        <v>0</v>
      </c>
      <c r="O158" s="64">
        <f t="shared" si="59"/>
        <v>0</v>
      </c>
      <c r="P158" s="64">
        <f t="shared" si="59"/>
        <v>0</v>
      </c>
      <c r="Q158" s="64">
        <f t="shared" si="59"/>
        <v>0</v>
      </c>
      <c r="R158" s="64">
        <f t="shared" si="60"/>
        <v>0</v>
      </c>
      <c r="S158" s="64">
        <f t="shared" si="60"/>
        <v>0</v>
      </c>
      <c r="T158" s="64">
        <f t="shared" si="60"/>
        <v>0</v>
      </c>
      <c r="U158" s="64">
        <f t="shared" si="60"/>
        <v>0</v>
      </c>
      <c r="V158" s="64">
        <f t="shared" si="60"/>
        <v>0</v>
      </c>
      <c r="W158" s="64">
        <f t="shared" si="60"/>
        <v>0</v>
      </c>
      <c r="X158" s="64">
        <f t="shared" si="60"/>
        <v>0</v>
      </c>
      <c r="Y158" s="64">
        <f t="shared" si="60"/>
        <v>0</v>
      </c>
      <c r="Z158" s="64">
        <f t="shared" si="60"/>
        <v>0</v>
      </c>
      <c r="AA158" s="64">
        <f t="shared" si="60"/>
        <v>0</v>
      </c>
      <c r="AB158" s="64">
        <f t="shared" si="60"/>
        <v>0</v>
      </c>
      <c r="AC158" s="64">
        <f t="shared" si="60"/>
        <v>0</v>
      </c>
      <c r="AD158" s="64">
        <f t="shared" si="60"/>
        <v>0</v>
      </c>
      <c r="AE158" s="64">
        <f t="shared" si="60"/>
        <v>0</v>
      </c>
      <c r="AF158" s="64">
        <f>SUM(H158:AE158)</f>
        <v>31395526.999999985</v>
      </c>
      <c r="AG158" s="59" t="str">
        <f>IF(ABS(AF158-F158)&lt;1,"ok","err")</f>
        <v>ok</v>
      </c>
    </row>
    <row r="159" spans="1:33" x14ac:dyDescent="0.25">
      <c r="A159" s="61">
        <v>513</v>
      </c>
      <c r="B159" s="45" t="s">
        <v>228</v>
      </c>
      <c r="C159" s="45" t="s">
        <v>230</v>
      </c>
      <c r="D159" s="45" t="s">
        <v>952</v>
      </c>
      <c r="F159" s="80">
        <v>9540010</v>
      </c>
      <c r="H159" s="64">
        <f t="shared" si="59"/>
        <v>0</v>
      </c>
      <c r="I159" s="64">
        <f t="shared" si="59"/>
        <v>0</v>
      </c>
      <c r="J159" s="64">
        <f t="shared" si="59"/>
        <v>0</v>
      </c>
      <c r="K159" s="64">
        <f t="shared" si="59"/>
        <v>9540010</v>
      </c>
      <c r="L159" s="64">
        <f t="shared" si="59"/>
        <v>0</v>
      </c>
      <c r="M159" s="64">
        <f t="shared" si="59"/>
        <v>0</v>
      </c>
      <c r="N159" s="64">
        <f t="shared" si="59"/>
        <v>0</v>
      </c>
      <c r="O159" s="64">
        <f t="shared" si="59"/>
        <v>0</v>
      </c>
      <c r="P159" s="64">
        <f t="shared" si="59"/>
        <v>0</v>
      </c>
      <c r="Q159" s="64">
        <f t="shared" si="59"/>
        <v>0</v>
      </c>
      <c r="R159" s="64">
        <f t="shared" si="60"/>
        <v>0</v>
      </c>
      <c r="S159" s="64">
        <f t="shared" si="60"/>
        <v>0</v>
      </c>
      <c r="T159" s="64">
        <f t="shared" si="60"/>
        <v>0</v>
      </c>
      <c r="U159" s="64">
        <f t="shared" si="60"/>
        <v>0</v>
      </c>
      <c r="V159" s="64">
        <f t="shared" si="60"/>
        <v>0</v>
      </c>
      <c r="W159" s="64">
        <f t="shared" si="60"/>
        <v>0</v>
      </c>
      <c r="X159" s="64">
        <f t="shared" si="60"/>
        <v>0</v>
      </c>
      <c r="Y159" s="64">
        <f t="shared" si="60"/>
        <v>0</v>
      </c>
      <c r="Z159" s="64">
        <f t="shared" si="60"/>
        <v>0</v>
      </c>
      <c r="AA159" s="64">
        <f t="shared" si="60"/>
        <v>0</v>
      </c>
      <c r="AB159" s="64">
        <f t="shared" si="60"/>
        <v>0</v>
      </c>
      <c r="AC159" s="64">
        <f t="shared" si="60"/>
        <v>0</v>
      </c>
      <c r="AD159" s="64">
        <f t="shared" si="60"/>
        <v>0</v>
      </c>
      <c r="AE159" s="64">
        <f t="shared" si="60"/>
        <v>0</v>
      </c>
      <c r="AF159" s="64">
        <f>SUM(H159:AE159)</f>
        <v>9540010</v>
      </c>
      <c r="AG159" s="59" t="str">
        <f>IF(ABS(AF159-F159)&lt;1,"ok","err")</f>
        <v>ok</v>
      </c>
    </row>
    <row r="160" spans="1:33" x14ac:dyDescent="0.25">
      <c r="A160" s="61">
        <v>514</v>
      </c>
      <c r="B160" s="45" t="s">
        <v>231</v>
      </c>
      <c r="C160" s="45" t="s">
        <v>232</v>
      </c>
      <c r="D160" s="45" t="s">
        <v>952</v>
      </c>
      <c r="F160" s="80">
        <v>2438192</v>
      </c>
      <c r="H160" s="64">
        <f t="shared" si="59"/>
        <v>0</v>
      </c>
      <c r="I160" s="64">
        <f t="shared" si="59"/>
        <v>0</v>
      </c>
      <c r="J160" s="64">
        <f t="shared" si="59"/>
        <v>0</v>
      </c>
      <c r="K160" s="64">
        <f t="shared" si="59"/>
        <v>2438192</v>
      </c>
      <c r="L160" s="64">
        <f t="shared" si="59"/>
        <v>0</v>
      </c>
      <c r="M160" s="64">
        <f t="shared" si="59"/>
        <v>0</v>
      </c>
      <c r="N160" s="64">
        <f t="shared" si="59"/>
        <v>0</v>
      </c>
      <c r="O160" s="64">
        <f t="shared" si="59"/>
        <v>0</v>
      </c>
      <c r="P160" s="64">
        <f t="shared" si="59"/>
        <v>0</v>
      </c>
      <c r="Q160" s="64">
        <f t="shared" si="59"/>
        <v>0</v>
      </c>
      <c r="R160" s="64">
        <f t="shared" si="60"/>
        <v>0</v>
      </c>
      <c r="S160" s="64">
        <f t="shared" si="60"/>
        <v>0</v>
      </c>
      <c r="T160" s="64">
        <f t="shared" si="60"/>
        <v>0</v>
      </c>
      <c r="U160" s="64">
        <f t="shared" si="60"/>
        <v>0</v>
      </c>
      <c r="V160" s="64">
        <f t="shared" si="60"/>
        <v>0</v>
      </c>
      <c r="W160" s="64">
        <f t="shared" si="60"/>
        <v>0</v>
      </c>
      <c r="X160" s="64">
        <f t="shared" si="60"/>
        <v>0</v>
      </c>
      <c r="Y160" s="64">
        <f t="shared" si="60"/>
        <v>0</v>
      </c>
      <c r="Z160" s="64">
        <f t="shared" si="60"/>
        <v>0</v>
      </c>
      <c r="AA160" s="64">
        <f t="shared" si="60"/>
        <v>0</v>
      </c>
      <c r="AB160" s="64">
        <f t="shared" si="60"/>
        <v>0</v>
      </c>
      <c r="AC160" s="64">
        <f t="shared" si="60"/>
        <v>0</v>
      </c>
      <c r="AD160" s="64">
        <f t="shared" si="60"/>
        <v>0</v>
      </c>
      <c r="AE160" s="64">
        <f t="shared" si="60"/>
        <v>0</v>
      </c>
      <c r="AF160" s="64">
        <f>SUM(H160:AE160)</f>
        <v>2438192</v>
      </c>
      <c r="AG160" s="59" t="str">
        <f>IF(ABS(AF160-F160)&lt;1,"ok","err")</f>
        <v>ok</v>
      </c>
    </row>
    <row r="161" spans="1:33" x14ac:dyDescent="0.25">
      <c r="A161" s="61"/>
      <c r="F161" s="77"/>
      <c r="W161" s="45"/>
      <c r="AF161" s="64"/>
      <c r="AG161" s="59"/>
    </row>
    <row r="162" spans="1:33" x14ac:dyDescent="0.25">
      <c r="A162" s="61"/>
      <c r="B162" s="45" t="s">
        <v>233</v>
      </c>
      <c r="F162" s="77">
        <f>SUM(F156:F161)</f>
        <v>47398093.999999985</v>
      </c>
      <c r="H162" s="63">
        <f t="shared" ref="H162:M162" si="61">SUM(H156:H161)</f>
        <v>990025.21265579772</v>
      </c>
      <c r="I162" s="63">
        <f t="shared" si="61"/>
        <v>964744.01280111272</v>
      </c>
      <c r="J162" s="63">
        <f t="shared" si="61"/>
        <v>874689.41030124016</v>
      </c>
      <c r="K162" s="63">
        <f t="shared" si="61"/>
        <v>44568635.364241838</v>
      </c>
      <c r="L162" s="63">
        <f t="shared" si="61"/>
        <v>0</v>
      </c>
      <c r="M162" s="63">
        <f t="shared" si="61"/>
        <v>0</v>
      </c>
      <c r="N162" s="63">
        <f>SUM(N156:N161)</f>
        <v>0</v>
      </c>
      <c r="O162" s="63">
        <f>SUM(O156:O161)</f>
        <v>0</v>
      </c>
      <c r="P162" s="63">
        <f>SUM(P156:P161)</f>
        <v>0</v>
      </c>
      <c r="Q162" s="63">
        <f t="shared" ref="Q162:AB162" si="62">SUM(Q156:Q161)</f>
        <v>0</v>
      </c>
      <c r="R162" s="63">
        <f t="shared" si="62"/>
        <v>0</v>
      </c>
      <c r="S162" s="63">
        <f t="shared" si="62"/>
        <v>0</v>
      </c>
      <c r="T162" s="63">
        <f t="shared" si="62"/>
        <v>0</v>
      </c>
      <c r="U162" s="63">
        <f t="shared" si="62"/>
        <v>0</v>
      </c>
      <c r="V162" s="63">
        <f t="shared" si="62"/>
        <v>0</v>
      </c>
      <c r="W162" s="63">
        <f t="shared" si="62"/>
        <v>0</v>
      </c>
      <c r="X162" s="63">
        <f t="shared" si="62"/>
        <v>0</v>
      </c>
      <c r="Y162" s="63">
        <f t="shared" si="62"/>
        <v>0</v>
      </c>
      <c r="Z162" s="63">
        <f t="shared" si="62"/>
        <v>0</v>
      </c>
      <c r="AA162" s="63">
        <f t="shared" si="62"/>
        <v>0</v>
      </c>
      <c r="AB162" s="63">
        <f t="shared" si="62"/>
        <v>0</v>
      </c>
      <c r="AC162" s="63">
        <f>SUM(AC156:AC161)</f>
        <v>0</v>
      </c>
      <c r="AD162" s="63">
        <f>SUM(AD156:AD161)</f>
        <v>0</v>
      </c>
      <c r="AE162" s="63">
        <f>SUM(AE156:AE161)</f>
        <v>0</v>
      </c>
      <c r="AF162" s="64">
        <f>SUM(H162:AE162)</f>
        <v>47398093.999999985</v>
      </c>
      <c r="AG162" s="59" t="str">
        <f>IF(ABS(AF162-F162)&lt;1,"ok","err")</f>
        <v>ok</v>
      </c>
    </row>
    <row r="163" spans="1:33" x14ac:dyDescent="0.25">
      <c r="A163" s="61"/>
      <c r="F163" s="77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4"/>
      <c r="AG163" s="59"/>
    </row>
    <row r="164" spans="1:33" x14ac:dyDescent="0.25">
      <c r="A164" s="61"/>
      <c r="B164" s="45" t="s">
        <v>234</v>
      </c>
      <c r="F164" s="77">
        <f>F153+F162</f>
        <v>391892782.17740971</v>
      </c>
      <c r="H164" s="63">
        <f t="shared" ref="H164:M164" si="63">H153+H162</f>
        <v>15560788.596440325</v>
      </c>
      <c r="I164" s="63">
        <f t="shared" si="63"/>
        <v>15163429.618735297</v>
      </c>
      <c r="J164" s="63">
        <f t="shared" si="63"/>
        <v>13747990.280702822</v>
      </c>
      <c r="K164" s="63">
        <f t="shared" si="63"/>
        <v>347420573.68153125</v>
      </c>
      <c r="L164" s="63">
        <f t="shared" si="63"/>
        <v>0</v>
      </c>
      <c r="M164" s="63">
        <f t="shared" si="63"/>
        <v>0</v>
      </c>
      <c r="N164" s="63">
        <f>N153+N162</f>
        <v>0</v>
      </c>
      <c r="O164" s="63">
        <f>O153+O162</f>
        <v>0</v>
      </c>
      <c r="P164" s="63">
        <f>P153+P162</f>
        <v>0</v>
      </c>
      <c r="Q164" s="63">
        <f t="shared" ref="Q164:AB164" si="64">Q153+Q162</f>
        <v>0</v>
      </c>
      <c r="R164" s="63">
        <f t="shared" si="64"/>
        <v>0</v>
      </c>
      <c r="S164" s="63">
        <f t="shared" si="64"/>
        <v>0</v>
      </c>
      <c r="T164" s="63">
        <f t="shared" si="64"/>
        <v>0</v>
      </c>
      <c r="U164" s="63">
        <f t="shared" si="64"/>
        <v>0</v>
      </c>
      <c r="V164" s="63">
        <f t="shared" si="64"/>
        <v>0</v>
      </c>
      <c r="W164" s="63">
        <f t="shared" si="64"/>
        <v>0</v>
      </c>
      <c r="X164" s="63">
        <f t="shared" si="64"/>
        <v>0</v>
      </c>
      <c r="Y164" s="63">
        <f t="shared" si="64"/>
        <v>0</v>
      </c>
      <c r="Z164" s="63">
        <f t="shared" si="64"/>
        <v>0</v>
      </c>
      <c r="AA164" s="63">
        <f t="shared" si="64"/>
        <v>0</v>
      </c>
      <c r="AB164" s="63">
        <f t="shared" si="64"/>
        <v>0</v>
      </c>
      <c r="AC164" s="63">
        <f>AC153+AC162</f>
        <v>0</v>
      </c>
      <c r="AD164" s="63">
        <f>AD153+AD162</f>
        <v>0</v>
      </c>
      <c r="AE164" s="63">
        <f>AE153+AE162</f>
        <v>0</v>
      </c>
      <c r="AF164" s="64">
        <f>SUM(H164:AE164)</f>
        <v>391892782.17740971</v>
      </c>
      <c r="AG164" s="59" t="str">
        <f>IF(ABS(AF164-F164)&lt;1,"ok","err")</f>
        <v>ok</v>
      </c>
    </row>
    <row r="165" spans="1:33" x14ac:dyDescent="0.25">
      <c r="A165" s="61"/>
      <c r="F165" s="77"/>
      <c r="W165" s="45"/>
      <c r="AG165" s="59"/>
    </row>
    <row r="166" spans="1:33" x14ac:dyDescent="0.25">
      <c r="A166" s="66" t="s">
        <v>322</v>
      </c>
      <c r="W166" s="45"/>
      <c r="AG166" s="59"/>
    </row>
    <row r="167" spans="1:33" x14ac:dyDescent="0.25">
      <c r="A167" s="71">
        <v>535</v>
      </c>
      <c r="B167" s="45" t="s">
        <v>210</v>
      </c>
      <c r="C167" s="45" t="s">
        <v>332</v>
      </c>
      <c r="D167" s="45" t="s">
        <v>659</v>
      </c>
      <c r="F167" s="77">
        <v>117626</v>
      </c>
      <c r="H167" s="64">
        <f t="shared" ref="H167:Q172" si="65">IF(VLOOKUP($D167,$C$6:$AE$651,H$2,)=0,0,((VLOOKUP($D167,$C$6:$AE$651,H$2,)/VLOOKUP($D167,$C$6:$AE$651,4,))*$F167))</f>
        <v>41157.239124171705</v>
      </c>
      <c r="I167" s="64">
        <f t="shared" si="65"/>
        <v>40106.251356926834</v>
      </c>
      <c r="J167" s="64">
        <f t="shared" si="65"/>
        <v>36362.509518901461</v>
      </c>
      <c r="K167" s="64">
        <f t="shared" si="65"/>
        <v>0</v>
      </c>
      <c r="L167" s="64">
        <f t="shared" si="65"/>
        <v>0</v>
      </c>
      <c r="M167" s="64">
        <f t="shared" si="65"/>
        <v>0</v>
      </c>
      <c r="N167" s="64">
        <f t="shared" si="65"/>
        <v>0</v>
      </c>
      <c r="O167" s="64">
        <f t="shared" si="65"/>
        <v>0</v>
      </c>
      <c r="P167" s="64">
        <f t="shared" si="65"/>
        <v>0</v>
      </c>
      <c r="Q167" s="64">
        <f t="shared" si="65"/>
        <v>0</v>
      </c>
      <c r="R167" s="64">
        <f t="shared" ref="R167:AE172" si="66">IF(VLOOKUP($D167,$C$6:$AE$651,R$2,)=0,0,((VLOOKUP($D167,$C$6:$AE$651,R$2,)/VLOOKUP($D167,$C$6:$AE$651,4,))*$F167))</f>
        <v>0</v>
      </c>
      <c r="S167" s="64">
        <f t="shared" si="66"/>
        <v>0</v>
      </c>
      <c r="T167" s="64">
        <f t="shared" si="66"/>
        <v>0</v>
      </c>
      <c r="U167" s="64">
        <f t="shared" si="66"/>
        <v>0</v>
      </c>
      <c r="V167" s="64">
        <f t="shared" si="66"/>
        <v>0</v>
      </c>
      <c r="W167" s="64">
        <f t="shared" si="66"/>
        <v>0</v>
      </c>
      <c r="X167" s="64">
        <f t="shared" si="66"/>
        <v>0</v>
      </c>
      <c r="Y167" s="64">
        <f t="shared" si="66"/>
        <v>0</v>
      </c>
      <c r="Z167" s="64">
        <f t="shared" si="66"/>
        <v>0</v>
      </c>
      <c r="AA167" s="64">
        <f t="shared" si="66"/>
        <v>0</v>
      </c>
      <c r="AB167" s="64">
        <f t="shared" si="66"/>
        <v>0</v>
      </c>
      <c r="AC167" s="64">
        <f t="shared" si="66"/>
        <v>0</v>
      </c>
      <c r="AD167" s="64">
        <f t="shared" si="66"/>
        <v>0</v>
      </c>
      <c r="AE167" s="64">
        <f t="shared" si="66"/>
        <v>0</v>
      </c>
      <c r="AF167" s="64">
        <f t="shared" ref="AF167:AF172" si="67">SUM(H167:AE167)</f>
        <v>117626</v>
      </c>
      <c r="AG167" s="59" t="str">
        <f t="shared" ref="AG167:AG172" si="68">IF(ABS(AF167-F167)&lt;1,"ok","err")</f>
        <v>ok</v>
      </c>
    </row>
    <row r="168" spans="1:33" x14ac:dyDescent="0.25">
      <c r="A168" s="303">
        <v>536</v>
      </c>
      <c r="B168" s="45" t="s">
        <v>329</v>
      </c>
      <c r="C168" s="45" t="s">
        <v>333</v>
      </c>
      <c r="D168" s="45" t="s">
        <v>653</v>
      </c>
      <c r="F168" s="80">
        <v>39816</v>
      </c>
      <c r="H168" s="64">
        <f t="shared" si="65"/>
        <v>13931.585133967157</v>
      </c>
      <c r="I168" s="64">
        <f t="shared" si="65"/>
        <v>13575.829357687917</v>
      </c>
      <c r="J168" s="64">
        <f t="shared" si="65"/>
        <v>12308.585508344928</v>
      </c>
      <c r="K168" s="64">
        <f t="shared" si="65"/>
        <v>0</v>
      </c>
      <c r="L168" s="64">
        <f t="shared" si="65"/>
        <v>0</v>
      </c>
      <c r="M168" s="64">
        <f t="shared" si="65"/>
        <v>0</v>
      </c>
      <c r="N168" s="64">
        <f t="shared" si="65"/>
        <v>0</v>
      </c>
      <c r="O168" s="64">
        <f t="shared" si="65"/>
        <v>0</v>
      </c>
      <c r="P168" s="64">
        <f t="shared" si="65"/>
        <v>0</v>
      </c>
      <c r="Q168" s="64">
        <f t="shared" si="65"/>
        <v>0</v>
      </c>
      <c r="R168" s="64">
        <f t="shared" si="66"/>
        <v>0</v>
      </c>
      <c r="S168" s="64">
        <f t="shared" si="66"/>
        <v>0</v>
      </c>
      <c r="T168" s="64">
        <f t="shared" si="66"/>
        <v>0</v>
      </c>
      <c r="U168" s="64">
        <f t="shared" si="66"/>
        <v>0</v>
      </c>
      <c r="V168" s="64">
        <f t="shared" si="66"/>
        <v>0</v>
      </c>
      <c r="W168" s="64">
        <f t="shared" si="66"/>
        <v>0</v>
      </c>
      <c r="X168" s="64">
        <f t="shared" si="66"/>
        <v>0</v>
      </c>
      <c r="Y168" s="64">
        <f t="shared" si="66"/>
        <v>0</v>
      </c>
      <c r="Z168" s="64">
        <f t="shared" si="66"/>
        <v>0</v>
      </c>
      <c r="AA168" s="64">
        <f t="shared" si="66"/>
        <v>0</v>
      </c>
      <c r="AB168" s="64">
        <f t="shared" si="66"/>
        <v>0</v>
      </c>
      <c r="AC168" s="64">
        <f t="shared" si="66"/>
        <v>0</v>
      </c>
      <c r="AD168" s="64">
        <f t="shared" si="66"/>
        <v>0</v>
      </c>
      <c r="AE168" s="64">
        <f t="shared" si="66"/>
        <v>0</v>
      </c>
      <c r="AF168" s="64">
        <f t="shared" si="67"/>
        <v>39816</v>
      </c>
      <c r="AG168" s="59" t="str">
        <f t="shared" si="68"/>
        <v>ok</v>
      </c>
    </row>
    <row r="169" spans="1:33" x14ac:dyDescent="0.25">
      <c r="A169" s="61">
        <v>537</v>
      </c>
      <c r="B169" s="45" t="s">
        <v>328</v>
      </c>
      <c r="C169" s="45" t="s">
        <v>334</v>
      </c>
      <c r="D169" s="45" t="s">
        <v>653</v>
      </c>
      <c r="F169" s="80">
        <v>0</v>
      </c>
      <c r="H169" s="64">
        <f t="shared" si="65"/>
        <v>0</v>
      </c>
      <c r="I169" s="64">
        <f t="shared" si="65"/>
        <v>0</v>
      </c>
      <c r="J169" s="64">
        <f t="shared" si="65"/>
        <v>0</v>
      </c>
      <c r="K169" s="64">
        <f t="shared" si="65"/>
        <v>0</v>
      </c>
      <c r="L169" s="64">
        <f t="shared" si="65"/>
        <v>0</v>
      </c>
      <c r="M169" s="64">
        <f t="shared" si="65"/>
        <v>0</v>
      </c>
      <c r="N169" s="64">
        <f t="shared" si="65"/>
        <v>0</v>
      </c>
      <c r="O169" s="64">
        <f t="shared" si="65"/>
        <v>0</v>
      </c>
      <c r="P169" s="64">
        <f t="shared" si="65"/>
        <v>0</v>
      </c>
      <c r="Q169" s="64">
        <f t="shared" si="65"/>
        <v>0</v>
      </c>
      <c r="R169" s="64">
        <f t="shared" si="66"/>
        <v>0</v>
      </c>
      <c r="S169" s="64">
        <f t="shared" si="66"/>
        <v>0</v>
      </c>
      <c r="T169" s="64">
        <f t="shared" si="66"/>
        <v>0</v>
      </c>
      <c r="U169" s="64">
        <f t="shared" si="66"/>
        <v>0</v>
      </c>
      <c r="V169" s="64">
        <f t="shared" si="66"/>
        <v>0</v>
      </c>
      <c r="W169" s="64">
        <f t="shared" si="66"/>
        <v>0</v>
      </c>
      <c r="X169" s="64">
        <f t="shared" si="66"/>
        <v>0</v>
      </c>
      <c r="Y169" s="64">
        <f t="shared" si="66"/>
        <v>0</v>
      </c>
      <c r="Z169" s="64">
        <f t="shared" si="66"/>
        <v>0</v>
      </c>
      <c r="AA169" s="64">
        <f t="shared" si="66"/>
        <v>0</v>
      </c>
      <c r="AB169" s="64">
        <f t="shared" si="66"/>
        <v>0</v>
      </c>
      <c r="AC169" s="64">
        <f t="shared" si="66"/>
        <v>0</v>
      </c>
      <c r="AD169" s="64">
        <f t="shared" si="66"/>
        <v>0</v>
      </c>
      <c r="AE169" s="64">
        <f t="shared" si="66"/>
        <v>0</v>
      </c>
      <c r="AF169" s="64">
        <f t="shared" si="67"/>
        <v>0</v>
      </c>
      <c r="AG169" s="59" t="str">
        <f t="shared" si="68"/>
        <v>ok</v>
      </c>
    </row>
    <row r="170" spans="1:33" x14ac:dyDescent="0.25">
      <c r="A170" s="302">
        <v>538</v>
      </c>
      <c r="B170" s="45" t="s">
        <v>216</v>
      </c>
      <c r="C170" s="45" t="s">
        <v>335</v>
      </c>
      <c r="D170" s="45" t="s">
        <v>653</v>
      </c>
      <c r="F170" s="80">
        <v>336347</v>
      </c>
      <c r="H170" s="64">
        <f t="shared" si="65"/>
        <v>117687.534284068</v>
      </c>
      <c r="I170" s="64">
        <f t="shared" si="65"/>
        <v>114682.27539105529</v>
      </c>
      <c r="J170" s="64">
        <f t="shared" si="65"/>
        <v>103977.19032487672</v>
      </c>
      <c r="K170" s="64">
        <f t="shared" si="65"/>
        <v>0</v>
      </c>
      <c r="L170" s="64">
        <f t="shared" si="65"/>
        <v>0</v>
      </c>
      <c r="M170" s="64">
        <f t="shared" si="65"/>
        <v>0</v>
      </c>
      <c r="N170" s="64">
        <f t="shared" si="65"/>
        <v>0</v>
      </c>
      <c r="O170" s="64">
        <f t="shared" si="65"/>
        <v>0</v>
      </c>
      <c r="P170" s="64">
        <f t="shared" si="65"/>
        <v>0</v>
      </c>
      <c r="Q170" s="64">
        <f t="shared" si="65"/>
        <v>0</v>
      </c>
      <c r="R170" s="64">
        <f t="shared" si="66"/>
        <v>0</v>
      </c>
      <c r="S170" s="64">
        <f t="shared" si="66"/>
        <v>0</v>
      </c>
      <c r="T170" s="64">
        <f t="shared" si="66"/>
        <v>0</v>
      </c>
      <c r="U170" s="64">
        <f t="shared" si="66"/>
        <v>0</v>
      </c>
      <c r="V170" s="64">
        <f t="shared" si="66"/>
        <v>0</v>
      </c>
      <c r="W170" s="64">
        <f t="shared" si="66"/>
        <v>0</v>
      </c>
      <c r="X170" s="64">
        <f t="shared" si="66"/>
        <v>0</v>
      </c>
      <c r="Y170" s="64">
        <f t="shared" si="66"/>
        <v>0</v>
      </c>
      <c r="Z170" s="64">
        <f t="shared" si="66"/>
        <v>0</v>
      </c>
      <c r="AA170" s="64">
        <f t="shared" si="66"/>
        <v>0</v>
      </c>
      <c r="AB170" s="64">
        <f t="shared" si="66"/>
        <v>0</v>
      </c>
      <c r="AC170" s="64">
        <f t="shared" si="66"/>
        <v>0</v>
      </c>
      <c r="AD170" s="64">
        <f t="shared" si="66"/>
        <v>0</v>
      </c>
      <c r="AE170" s="64">
        <f t="shared" si="66"/>
        <v>0</v>
      </c>
      <c r="AF170" s="64">
        <f t="shared" si="67"/>
        <v>336347</v>
      </c>
      <c r="AG170" s="59" t="str">
        <f t="shared" si="68"/>
        <v>ok</v>
      </c>
    </row>
    <row r="171" spans="1:33" x14ac:dyDescent="0.25">
      <c r="A171" s="61">
        <v>539</v>
      </c>
      <c r="B171" s="45" t="s">
        <v>330</v>
      </c>
      <c r="C171" s="45" t="s">
        <v>336</v>
      </c>
      <c r="D171" s="45" t="s">
        <v>653</v>
      </c>
      <c r="F171" s="80">
        <v>167755</v>
      </c>
      <c r="H171" s="64">
        <f t="shared" si="65"/>
        <v>58697.334341688271</v>
      </c>
      <c r="I171" s="64">
        <f t="shared" si="65"/>
        <v>57198.444190750866</v>
      </c>
      <c r="J171" s="64">
        <f t="shared" si="65"/>
        <v>51859.221467560863</v>
      </c>
      <c r="K171" s="64">
        <f t="shared" si="65"/>
        <v>0</v>
      </c>
      <c r="L171" s="64">
        <f t="shared" si="65"/>
        <v>0</v>
      </c>
      <c r="M171" s="64">
        <f t="shared" si="65"/>
        <v>0</v>
      </c>
      <c r="N171" s="64">
        <f t="shared" si="65"/>
        <v>0</v>
      </c>
      <c r="O171" s="64">
        <f t="shared" si="65"/>
        <v>0</v>
      </c>
      <c r="P171" s="64">
        <f t="shared" si="65"/>
        <v>0</v>
      </c>
      <c r="Q171" s="64">
        <f t="shared" si="65"/>
        <v>0</v>
      </c>
      <c r="R171" s="64">
        <f t="shared" si="66"/>
        <v>0</v>
      </c>
      <c r="S171" s="64">
        <f t="shared" si="66"/>
        <v>0</v>
      </c>
      <c r="T171" s="64">
        <f t="shared" si="66"/>
        <v>0</v>
      </c>
      <c r="U171" s="64">
        <f t="shared" si="66"/>
        <v>0</v>
      </c>
      <c r="V171" s="64">
        <f t="shared" si="66"/>
        <v>0</v>
      </c>
      <c r="W171" s="64">
        <f t="shared" si="66"/>
        <v>0</v>
      </c>
      <c r="X171" s="64">
        <f t="shared" si="66"/>
        <v>0</v>
      </c>
      <c r="Y171" s="64">
        <f t="shared" si="66"/>
        <v>0</v>
      </c>
      <c r="Z171" s="64">
        <f t="shared" si="66"/>
        <v>0</v>
      </c>
      <c r="AA171" s="64">
        <f t="shared" si="66"/>
        <v>0</v>
      </c>
      <c r="AB171" s="64">
        <f t="shared" si="66"/>
        <v>0</v>
      </c>
      <c r="AC171" s="64">
        <f t="shared" si="66"/>
        <v>0</v>
      </c>
      <c r="AD171" s="64">
        <f t="shared" si="66"/>
        <v>0</v>
      </c>
      <c r="AE171" s="64">
        <f t="shared" si="66"/>
        <v>0</v>
      </c>
      <c r="AF171" s="64">
        <f t="shared" si="67"/>
        <v>167755</v>
      </c>
      <c r="AG171" s="59" t="str">
        <f t="shared" si="68"/>
        <v>ok</v>
      </c>
    </row>
    <row r="172" spans="1:33" x14ac:dyDescent="0.25">
      <c r="A172" s="302">
        <v>540</v>
      </c>
      <c r="B172" s="45" t="s">
        <v>1026</v>
      </c>
      <c r="D172" s="45" t="s">
        <v>653</v>
      </c>
      <c r="F172" s="80">
        <v>416928</v>
      </c>
      <c r="H172" s="64">
        <f t="shared" si="65"/>
        <v>145882.75885911842</v>
      </c>
      <c r="I172" s="64">
        <f t="shared" si="65"/>
        <v>142157.50910292615</v>
      </c>
      <c r="J172" s="64">
        <f t="shared" si="65"/>
        <v>128887.73203795544</v>
      </c>
      <c r="K172" s="64">
        <f t="shared" si="65"/>
        <v>0</v>
      </c>
      <c r="L172" s="64">
        <f t="shared" si="65"/>
        <v>0</v>
      </c>
      <c r="M172" s="64">
        <f t="shared" si="65"/>
        <v>0</v>
      </c>
      <c r="N172" s="64">
        <f t="shared" si="65"/>
        <v>0</v>
      </c>
      <c r="O172" s="64">
        <f t="shared" si="65"/>
        <v>0</v>
      </c>
      <c r="P172" s="64">
        <f t="shared" si="65"/>
        <v>0</v>
      </c>
      <c r="Q172" s="64">
        <f t="shared" si="65"/>
        <v>0</v>
      </c>
      <c r="R172" s="64">
        <f t="shared" si="66"/>
        <v>0</v>
      </c>
      <c r="S172" s="64">
        <f t="shared" si="66"/>
        <v>0</v>
      </c>
      <c r="T172" s="64">
        <f t="shared" si="66"/>
        <v>0</v>
      </c>
      <c r="U172" s="64">
        <f t="shared" si="66"/>
        <v>0</v>
      </c>
      <c r="V172" s="64">
        <f t="shared" si="66"/>
        <v>0</v>
      </c>
      <c r="W172" s="64">
        <f t="shared" si="66"/>
        <v>0</v>
      </c>
      <c r="X172" s="64">
        <f t="shared" si="66"/>
        <v>0</v>
      </c>
      <c r="Y172" s="64">
        <f t="shared" si="66"/>
        <v>0</v>
      </c>
      <c r="Z172" s="64">
        <f t="shared" si="66"/>
        <v>0</v>
      </c>
      <c r="AA172" s="64">
        <f t="shared" si="66"/>
        <v>0</v>
      </c>
      <c r="AB172" s="64">
        <f t="shared" si="66"/>
        <v>0</v>
      </c>
      <c r="AC172" s="64">
        <f t="shared" si="66"/>
        <v>0</v>
      </c>
      <c r="AD172" s="64">
        <f t="shared" si="66"/>
        <v>0</v>
      </c>
      <c r="AE172" s="64">
        <f t="shared" si="66"/>
        <v>0</v>
      </c>
      <c r="AF172" s="64">
        <f t="shared" si="67"/>
        <v>416928</v>
      </c>
      <c r="AG172" s="59" t="str">
        <f t="shared" si="68"/>
        <v>ok</v>
      </c>
    </row>
    <row r="173" spans="1:33" x14ac:dyDescent="0.25">
      <c r="A173" s="61"/>
      <c r="F173" s="80"/>
      <c r="W173" s="45"/>
      <c r="AF173" s="64"/>
      <c r="AG173" s="59"/>
    </row>
    <row r="174" spans="1:33" x14ac:dyDescent="0.25">
      <c r="A174" s="61"/>
      <c r="B174" s="45" t="s">
        <v>325</v>
      </c>
      <c r="F174" s="77">
        <f>SUM(F167:F173)</f>
        <v>1078472</v>
      </c>
      <c r="H174" s="63">
        <f t="shared" ref="H174:M174" si="69">SUM(H167:H173)</f>
        <v>377356.45174301357</v>
      </c>
      <c r="I174" s="63">
        <f t="shared" si="69"/>
        <v>367720.30939934705</v>
      </c>
      <c r="J174" s="63">
        <f t="shared" si="69"/>
        <v>333395.23885763943</v>
      </c>
      <c r="K174" s="63">
        <f t="shared" si="69"/>
        <v>0</v>
      </c>
      <c r="L174" s="63">
        <f t="shared" si="69"/>
        <v>0</v>
      </c>
      <c r="M174" s="63">
        <f t="shared" si="69"/>
        <v>0</v>
      </c>
      <c r="N174" s="63">
        <f>SUM(N167:N173)</f>
        <v>0</v>
      </c>
      <c r="O174" s="63">
        <f>SUM(O167:O173)</f>
        <v>0</v>
      </c>
      <c r="P174" s="63">
        <f>SUM(P167:P173)</f>
        <v>0</v>
      </c>
      <c r="Q174" s="63">
        <f t="shared" ref="Q174:AB174" si="70">SUM(Q167:Q173)</f>
        <v>0</v>
      </c>
      <c r="R174" s="63">
        <f t="shared" si="70"/>
        <v>0</v>
      </c>
      <c r="S174" s="63">
        <f t="shared" si="70"/>
        <v>0</v>
      </c>
      <c r="T174" s="63">
        <f t="shared" si="70"/>
        <v>0</v>
      </c>
      <c r="U174" s="63">
        <f t="shared" si="70"/>
        <v>0</v>
      </c>
      <c r="V174" s="63">
        <f t="shared" si="70"/>
        <v>0</v>
      </c>
      <c r="W174" s="63">
        <f t="shared" si="70"/>
        <v>0</v>
      </c>
      <c r="X174" s="63">
        <f t="shared" si="70"/>
        <v>0</v>
      </c>
      <c r="Y174" s="63">
        <f t="shared" si="70"/>
        <v>0</v>
      </c>
      <c r="Z174" s="63">
        <f t="shared" si="70"/>
        <v>0</v>
      </c>
      <c r="AA174" s="63">
        <f t="shared" si="70"/>
        <v>0</v>
      </c>
      <c r="AB174" s="63">
        <f t="shared" si="70"/>
        <v>0</v>
      </c>
      <c r="AC174" s="63">
        <f>SUM(AC167:AC173)</f>
        <v>0</v>
      </c>
      <c r="AD174" s="63">
        <f>SUM(AD167:AD173)</f>
        <v>0</v>
      </c>
      <c r="AE174" s="63">
        <f>SUM(AE167:AE173)</f>
        <v>0</v>
      </c>
      <c r="AF174" s="64">
        <f>SUM(H174:AE174)</f>
        <v>1078472</v>
      </c>
      <c r="AG174" s="59" t="str">
        <f>IF(ABS(AF174-F174)&lt;1,"ok","err")</f>
        <v>ok</v>
      </c>
    </row>
    <row r="175" spans="1:33" x14ac:dyDescent="0.25">
      <c r="A175" s="61"/>
      <c r="F175" s="77"/>
      <c r="W175" s="45"/>
      <c r="AG175" s="59"/>
    </row>
    <row r="176" spans="1:33" x14ac:dyDescent="0.25">
      <c r="A176" s="66" t="s">
        <v>323</v>
      </c>
      <c r="F176" s="77"/>
      <c r="W176" s="45"/>
      <c r="AG176" s="59"/>
    </row>
    <row r="177" spans="1:33" x14ac:dyDescent="0.25">
      <c r="A177" s="71">
        <v>541</v>
      </c>
      <c r="B177" s="45" t="s">
        <v>225</v>
      </c>
      <c r="C177" s="45" t="s">
        <v>337</v>
      </c>
      <c r="D177" s="45" t="s">
        <v>660</v>
      </c>
      <c r="F177" s="77">
        <v>0</v>
      </c>
      <c r="H177" s="64">
        <f t="shared" ref="H177:Q181" si="71">IF(VLOOKUP($D177,$C$6:$AE$651,H$2,)=0,0,((VLOOKUP($D177,$C$6:$AE$651,H$2,)/VLOOKUP($D177,$C$6:$AE$651,4,))*$F177))</f>
        <v>0</v>
      </c>
      <c r="I177" s="64">
        <f t="shared" si="71"/>
        <v>0</v>
      </c>
      <c r="J177" s="64">
        <f t="shared" si="71"/>
        <v>0</v>
      </c>
      <c r="K177" s="64">
        <f t="shared" si="71"/>
        <v>0</v>
      </c>
      <c r="L177" s="64">
        <f t="shared" si="71"/>
        <v>0</v>
      </c>
      <c r="M177" s="64">
        <f t="shared" si="71"/>
        <v>0</v>
      </c>
      <c r="N177" s="64">
        <f t="shared" si="71"/>
        <v>0</v>
      </c>
      <c r="O177" s="64">
        <f t="shared" si="71"/>
        <v>0</v>
      </c>
      <c r="P177" s="64">
        <f t="shared" si="71"/>
        <v>0</v>
      </c>
      <c r="Q177" s="64">
        <f t="shared" si="71"/>
        <v>0</v>
      </c>
      <c r="R177" s="64">
        <f t="shared" ref="R177:AE181" si="72">IF(VLOOKUP($D177,$C$6:$AE$651,R$2,)=0,0,((VLOOKUP($D177,$C$6:$AE$651,R$2,)/VLOOKUP($D177,$C$6:$AE$651,4,))*$F177))</f>
        <v>0</v>
      </c>
      <c r="S177" s="64">
        <f t="shared" si="72"/>
        <v>0</v>
      </c>
      <c r="T177" s="64">
        <f t="shared" si="72"/>
        <v>0</v>
      </c>
      <c r="U177" s="64">
        <f t="shared" si="72"/>
        <v>0</v>
      </c>
      <c r="V177" s="64">
        <f t="shared" si="72"/>
        <v>0</v>
      </c>
      <c r="W177" s="64">
        <f t="shared" si="72"/>
        <v>0</v>
      </c>
      <c r="X177" s="64">
        <f t="shared" si="72"/>
        <v>0</v>
      </c>
      <c r="Y177" s="64">
        <f t="shared" si="72"/>
        <v>0</v>
      </c>
      <c r="Z177" s="64">
        <f t="shared" si="72"/>
        <v>0</v>
      </c>
      <c r="AA177" s="64">
        <f t="shared" si="72"/>
        <v>0</v>
      </c>
      <c r="AB177" s="64">
        <f t="shared" si="72"/>
        <v>0</v>
      </c>
      <c r="AC177" s="64">
        <f t="shared" si="72"/>
        <v>0</v>
      </c>
      <c r="AD177" s="64">
        <f t="shared" si="72"/>
        <v>0</v>
      </c>
      <c r="AE177" s="64">
        <f t="shared" si="72"/>
        <v>0</v>
      </c>
      <c r="AF177" s="64">
        <f>SUM(H177:AE177)</f>
        <v>0</v>
      </c>
      <c r="AG177" s="59" t="str">
        <f>IF(ABS(AF177-F177)&lt;1,"ok","err")</f>
        <v>ok</v>
      </c>
    </row>
    <row r="178" spans="1:33" x14ac:dyDescent="0.25">
      <c r="A178" s="71">
        <v>542</v>
      </c>
      <c r="B178" s="45" t="s">
        <v>224</v>
      </c>
      <c r="C178" s="45" t="s">
        <v>338</v>
      </c>
      <c r="D178" s="45" t="s">
        <v>653</v>
      </c>
      <c r="F178" s="80">
        <v>432478</v>
      </c>
      <c r="H178" s="64">
        <f t="shared" si="71"/>
        <v>151323.69086718524</v>
      </c>
      <c r="I178" s="64">
        <f t="shared" si="71"/>
        <v>147459.50193274449</v>
      </c>
      <c r="J178" s="64">
        <f t="shared" si="71"/>
        <v>133694.80720007027</v>
      </c>
      <c r="K178" s="64">
        <f t="shared" si="71"/>
        <v>0</v>
      </c>
      <c r="L178" s="64">
        <f t="shared" si="71"/>
        <v>0</v>
      </c>
      <c r="M178" s="64">
        <f t="shared" si="71"/>
        <v>0</v>
      </c>
      <c r="N178" s="64">
        <f t="shared" si="71"/>
        <v>0</v>
      </c>
      <c r="O178" s="64">
        <f t="shared" si="71"/>
        <v>0</v>
      </c>
      <c r="P178" s="64">
        <f t="shared" si="71"/>
        <v>0</v>
      </c>
      <c r="Q178" s="64">
        <f t="shared" si="71"/>
        <v>0</v>
      </c>
      <c r="R178" s="64">
        <f t="shared" si="72"/>
        <v>0</v>
      </c>
      <c r="S178" s="64">
        <f t="shared" si="72"/>
        <v>0</v>
      </c>
      <c r="T178" s="64">
        <f t="shared" si="72"/>
        <v>0</v>
      </c>
      <c r="U178" s="64">
        <f t="shared" si="72"/>
        <v>0</v>
      </c>
      <c r="V178" s="64">
        <f t="shared" si="72"/>
        <v>0</v>
      </c>
      <c r="W178" s="64">
        <f t="shared" si="72"/>
        <v>0</v>
      </c>
      <c r="X178" s="64">
        <f t="shared" si="72"/>
        <v>0</v>
      </c>
      <c r="Y178" s="64">
        <f t="shared" si="72"/>
        <v>0</v>
      </c>
      <c r="Z178" s="64">
        <f t="shared" si="72"/>
        <v>0</v>
      </c>
      <c r="AA178" s="64">
        <f t="shared" si="72"/>
        <v>0</v>
      </c>
      <c r="AB178" s="64">
        <f t="shared" si="72"/>
        <v>0</v>
      </c>
      <c r="AC178" s="64">
        <f t="shared" si="72"/>
        <v>0</v>
      </c>
      <c r="AD178" s="64">
        <f t="shared" si="72"/>
        <v>0</v>
      </c>
      <c r="AE178" s="64">
        <f t="shared" si="72"/>
        <v>0</v>
      </c>
      <c r="AF178" s="64">
        <f>SUM(H178:AE178)</f>
        <v>432478</v>
      </c>
      <c r="AG178" s="59" t="str">
        <f>IF(ABS(AF178-F178)&lt;1,"ok","err")</f>
        <v>ok</v>
      </c>
    </row>
    <row r="179" spans="1:33" x14ac:dyDescent="0.25">
      <c r="A179" s="71">
        <v>543</v>
      </c>
      <c r="B179" s="45" t="s">
        <v>324</v>
      </c>
      <c r="C179" s="45" t="s">
        <v>339</v>
      </c>
      <c r="D179" s="45" t="s">
        <v>653</v>
      </c>
      <c r="F179" s="80">
        <v>161557</v>
      </c>
      <c r="H179" s="64">
        <f t="shared" si="71"/>
        <v>56528.659320080667</v>
      </c>
      <c r="I179" s="64">
        <f t="shared" si="71"/>
        <v>55085.148270544167</v>
      </c>
      <c r="J179" s="64">
        <f t="shared" si="71"/>
        <v>49943.192409375159</v>
      </c>
      <c r="K179" s="64">
        <f t="shared" si="71"/>
        <v>0</v>
      </c>
      <c r="L179" s="64">
        <f t="shared" si="71"/>
        <v>0</v>
      </c>
      <c r="M179" s="64">
        <f t="shared" si="71"/>
        <v>0</v>
      </c>
      <c r="N179" s="64">
        <f t="shared" si="71"/>
        <v>0</v>
      </c>
      <c r="O179" s="64">
        <f t="shared" si="71"/>
        <v>0</v>
      </c>
      <c r="P179" s="64">
        <f t="shared" si="71"/>
        <v>0</v>
      </c>
      <c r="Q179" s="64">
        <f t="shared" si="71"/>
        <v>0</v>
      </c>
      <c r="R179" s="64">
        <f t="shared" si="72"/>
        <v>0</v>
      </c>
      <c r="S179" s="64">
        <f t="shared" si="72"/>
        <v>0</v>
      </c>
      <c r="T179" s="64">
        <f t="shared" si="72"/>
        <v>0</v>
      </c>
      <c r="U179" s="64">
        <f t="shared" si="72"/>
        <v>0</v>
      </c>
      <c r="V179" s="64">
        <f t="shared" si="72"/>
        <v>0</v>
      </c>
      <c r="W179" s="64">
        <f t="shared" si="72"/>
        <v>0</v>
      </c>
      <c r="X179" s="64">
        <f t="shared" si="72"/>
        <v>0</v>
      </c>
      <c r="Y179" s="64">
        <f t="shared" si="72"/>
        <v>0</v>
      </c>
      <c r="Z179" s="64">
        <f t="shared" si="72"/>
        <v>0</v>
      </c>
      <c r="AA179" s="64">
        <f t="shared" si="72"/>
        <v>0</v>
      </c>
      <c r="AB179" s="64">
        <f t="shared" si="72"/>
        <v>0</v>
      </c>
      <c r="AC179" s="64">
        <f t="shared" si="72"/>
        <v>0</v>
      </c>
      <c r="AD179" s="64">
        <f t="shared" si="72"/>
        <v>0</v>
      </c>
      <c r="AE179" s="64">
        <f t="shared" si="72"/>
        <v>0</v>
      </c>
      <c r="AF179" s="64">
        <f>SUM(H179:AE179)</f>
        <v>161557</v>
      </c>
      <c r="AG179" s="59" t="str">
        <f>IF(ABS(AF179-F179)&lt;1,"ok","err")</f>
        <v>ok</v>
      </c>
    </row>
    <row r="180" spans="1:33" x14ac:dyDescent="0.25">
      <c r="A180" s="61">
        <v>544</v>
      </c>
      <c r="B180" s="45" t="s">
        <v>228</v>
      </c>
      <c r="C180" s="45" t="s">
        <v>340</v>
      </c>
      <c r="D180" s="45" t="s">
        <v>952</v>
      </c>
      <c r="F180" s="80">
        <v>359065</v>
      </c>
      <c r="H180" s="64">
        <f t="shared" si="71"/>
        <v>0</v>
      </c>
      <c r="I180" s="64">
        <f t="shared" si="71"/>
        <v>0</v>
      </c>
      <c r="J180" s="64">
        <f t="shared" si="71"/>
        <v>0</v>
      </c>
      <c r="K180" s="64">
        <f t="shared" si="71"/>
        <v>359065</v>
      </c>
      <c r="L180" s="64">
        <f t="shared" si="71"/>
        <v>0</v>
      </c>
      <c r="M180" s="64">
        <f t="shared" si="71"/>
        <v>0</v>
      </c>
      <c r="N180" s="64">
        <f t="shared" si="71"/>
        <v>0</v>
      </c>
      <c r="O180" s="64">
        <f t="shared" si="71"/>
        <v>0</v>
      </c>
      <c r="P180" s="64">
        <f t="shared" si="71"/>
        <v>0</v>
      </c>
      <c r="Q180" s="64">
        <f t="shared" si="71"/>
        <v>0</v>
      </c>
      <c r="R180" s="64">
        <f t="shared" si="72"/>
        <v>0</v>
      </c>
      <c r="S180" s="64">
        <f t="shared" si="72"/>
        <v>0</v>
      </c>
      <c r="T180" s="64">
        <f t="shared" si="72"/>
        <v>0</v>
      </c>
      <c r="U180" s="64">
        <f t="shared" si="72"/>
        <v>0</v>
      </c>
      <c r="V180" s="64">
        <f t="shared" si="72"/>
        <v>0</v>
      </c>
      <c r="W180" s="64">
        <f t="shared" si="72"/>
        <v>0</v>
      </c>
      <c r="X180" s="64">
        <f t="shared" si="72"/>
        <v>0</v>
      </c>
      <c r="Y180" s="64">
        <f t="shared" si="72"/>
        <v>0</v>
      </c>
      <c r="Z180" s="64">
        <f t="shared" si="72"/>
        <v>0</v>
      </c>
      <c r="AA180" s="64">
        <f t="shared" si="72"/>
        <v>0</v>
      </c>
      <c r="AB180" s="64">
        <f t="shared" si="72"/>
        <v>0</v>
      </c>
      <c r="AC180" s="64">
        <f t="shared" si="72"/>
        <v>0</v>
      </c>
      <c r="AD180" s="64">
        <f t="shared" si="72"/>
        <v>0</v>
      </c>
      <c r="AE180" s="64">
        <f t="shared" si="72"/>
        <v>0</v>
      </c>
      <c r="AF180" s="64">
        <f>SUM(H180:AE180)</f>
        <v>359065</v>
      </c>
      <c r="AG180" s="59" t="str">
        <f>IF(ABS(AF180-F180)&lt;1,"ok","err")</f>
        <v>ok</v>
      </c>
    </row>
    <row r="181" spans="1:33" x14ac:dyDescent="0.25">
      <c r="A181" s="61">
        <v>545</v>
      </c>
      <c r="B181" s="45" t="s">
        <v>331</v>
      </c>
      <c r="C181" s="45" t="s">
        <v>341</v>
      </c>
      <c r="D181" s="45" t="s">
        <v>952</v>
      </c>
      <c r="F181" s="80">
        <v>0</v>
      </c>
      <c r="H181" s="64">
        <f t="shared" si="71"/>
        <v>0</v>
      </c>
      <c r="I181" s="64">
        <f t="shared" si="71"/>
        <v>0</v>
      </c>
      <c r="J181" s="64">
        <f t="shared" si="71"/>
        <v>0</v>
      </c>
      <c r="K181" s="64">
        <f t="shared" si="71"/>
        <v>0</v>
      </c>
      <c r="L181" s="64">
        <f t="shared" si="71"/>
        <v>0</v>
      </c>
      <c r="M181" s="64">
        <f t="shared" si="71"/>
        <v>0</v>
      </c>
      <c r="N181" s="64">
        <f t="shared" si="71"/>
        <v>0</v>
      </c>
      <c r="O181" s="64">
        <f t="shared" si="71"/>
        <v>0</v>
      </c>
      <c r="P181" s="64">
        <f t="shared" si="71"/>
        <v>0</v>
      </c>
      <c r="Q181" s="64">
        <f t="shared" si="71"/>
        <v>0</v>
      </c>
      <c r="R181" s="64">
        <f t="shared" si="72"/>
        <v>0</v>
      </c>
      <c r="S181" s="64">
        <f t="shared" si="72"/>
        <v>0</v>
      </c>
      <c r="T181" s="64">
        <f t="shared" si="72"/>
        <v>0</v>
      </c>
      <c r="U181" s="64">
        <f t="shared" si="72"/>
        <v>0</v>
      </c>
      <c r="V181" s="64">
        <f t="shared" si="72"/>
        <v>0</v>
      </c>
      <c r="W181" s="64">
        <f t="shared" si="72"/>
        <v>0</v>
      </c>
      <c r="X181" s="64">
        <f t="shared" si="72"/>
        <v>0</v>
      </c>
      <c r="Y181" s="64">
        <f t="shared" si="72"/>
        <v>0</v>
      </c>
      <c r="Z181" s="64">
        <f t="shared" si="72"/>
        <v>0</v>
      </c>
      <c r="AA181" s="64">
        <f t="shared" si="72"/>
        <v>0</v>
      </c>
      <c r="AB181" s="64">
        <f t="shared" si="72"/>
        <v>0</v>
      </c>
      <c r="AC181" s="64">
        <f t="shared" si="72"/>
        <v>0</v>
      </c>
      <c r="AD181" s="64">
        <f t="shared" si="72"/>
        <v>0</v>
      </c>
      <c r="AE181" s="64">
        <f t="shared" si="72"/>
        <v>0</v>
      </c>
      <c r="AF181" s="64">
        <f>SUM(H181:AE181)</f>
        <v>0</v>
      </c>
      <c r="AG181" s="59" t="str">
        <f>IF(ABS(AF181-F181)&lt;1,"ok","err")</f>
        <v>ok</v>
      </c>
    </row>
    <row r="182" spans="1:33" x14ac:dyDescent="0.25">
      <c r="A182" s="61"/>
      <c r="F182" s="77"/>
      <c r="W182" s="45"/>
      <c r="AG182" s="59"/>
    </row>
    <row r="183" spans="1:33" x14ac:dyDescent="0.25">
      <c r="A183" s="61"/>
      <c r="B183" s="45" t="s">
        <v>327</v>
      </c>
      <c r="F183" s="77">
        <f>SUM(F177:F182)</f>
        <v>953100</v>
      </c>
      <c r="H183" s="63">
        <f t="shared" ref="H183:M183" si="73">SUM(H177:H182)</f>
        <v>207852.3501872659</v>
      </c>
      <c r="I183" s="63">
        <f t="shared" si="73"/>
        <v>202544.65020328865</v>
      </c>
      <c r="J183" s="63">
        <f t="shared" si="73"/>
        <v>183637.99960944543</v>
      </c>
      <c r="K183" s="63">
        <f t="shared" si="73"/>
        <v>359065</v>
      </c>
      <c r="L183" s="63">
        <f t="shared" si="73"/>
        <v>0</v>
      </c>
      <c r="M183" s="63">
        <f t="shared" si="73"/>
        <v>0</v>
      </c>
      <c r="N183" s="63">
        <f>SUM(N177:N182)</f>
        <v>0</v>
      </c>
      <c r="O183" s="63">
        <f>SUM(O177:O182)</f>
        <v>0</v>
      </c>
      <c r="P183" s="63">
        <f>SUM(P177:P182)</f>
        <v>0</v>
      </c>
      <c r="Q183" s="63">
        <f t="shared" ref="Q183:AB183" si="74">SUM(Q177:Q182)</f>
        <v>0</v>
      </c>
      <c r="R183" s="63">
        <f t="shared" si="74"/>
        <v>0</v>
      </c>
      <c r="S183" s="63">
        <f t="shared" si="74"/>
        <v>0</v>
      </c>
      <c r="T183" s="63">
        <f t="shared" si="74"/>
        <v>0</v>
      </c>
      <c r="U183" s="63">
        <f t="shared" si="74"/>
        <v>0</v>
      </c>
      <c r="V183" s="63">
        <f t="shared" si="74"/>
        <v>0</v>
      </c>
      <c r="W183" s="63">
        <f t="shared" si="74"/>
        <v>0</v>
      </c>
      <c r="X183" s="63">
        <f t="shared" si="74"/>
        <v>0</v>
      </c>
      <c r="Y183" s="63">
        <f t="shared" si="74"/>
        <v>0</v>
      </c>
      <c r="Z183" s="63">
        <f t="shared" si="74"/>
        <v>0</v>
      </c>
      <c r="AA183" s="63">
        <f t="shared" si="74"/>
        <v>0</v>
      </c>
      <c r="AB183" s="63">
        <f t="shared" si="74"/>
        <v>0</v>
      </c>
      <c r="AC183" s="63">
        <f>SUM(AC177:AC182)</f>
        <v>0</v>
      </c>
      <c r="AD183" s="63">
        <f>SUM(AD177:AD182)</f>
        <v>0</v>
      </c>
      <c r="AE183" s="63">
        <f>SUM(AE177:AE182)</f>
        <v>0</v>
      </c>
      <c r="AF183" s="64">
        <f>SUM(H183:AE183)</f>
        <v>953100</v>
      </c>
      <c r="AG183" s="59" t="str">
        <f>IF(ABS(AF183-F183)&lt;1,"ok","err")</f>
        <v>ok</v>
      </c>
    </row>
    <row r="184" spans="1:33" x14ac:dyDescent="0.25">
      <c r="A184" s="61"/>
      <c r="F184" s="77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4"/>
      <c r="AG184" s="59"/>
    </row>
    <row r="185" spans="1:33" x14ac:dyDescent="0.25">
      <c r="A185" s="61"/>
      <c r="B185" s="45" t="s">
        <v>326</v>
      </c>
      <c r="F185" s="77">
        <f>F174+F183</f>
        <v>2031572</v>
      </c>
      <c r="H185" s="63">
        <f t="shared" ref="H185:M185" si="75">H174+H183</f>
        <v>585208.80193027947</v>
      </c>
      <c r="I185" s="63">
        <f t="shared" si="75"/>
        <v>570264.9596026357</v>
      </c>
      <c r="J185" s="63">
        <f t="shared" si="75"/>
        <v>517033.23846708483</v>
      </c>
      <c r="K185" s="63">
        <f t="shared" si="75"/>
        <v>359065</v>
      </c>
      <c r="L185" s="63">
        <f t="shared" si="75"/>
        <v>0</v>
      </c>
      <c r="M185" s="63">
        <f t="shared" si="75"/>
        <v>0</v>
      </c>
      <c r="N185" s="63">
        <f>N174+N183</f>
        <v>0</v>
      </c>
      <c r="O185" s="63">
        <f>O174+O183</f>
        <v>0</v>
      </c>
      <c r="P185" s="63">
        <f>P174+P183</f>
        <v>0</v>
      </c>
      <c r="Q185" s="63">
        <f t="shared" ref="Q185:AB185" si="76">Q174+Q183</f>
        <v>0</v>
      </c>
      <c r="R185" s="63">
        <f t="shared" si="76"/>
        <v>0</v>
      </c>
      <c r="S185" s="63">
        <f t="shared" si="76"/>
        <v>0</v>
      </c>
      <c r="T185" s="63">
        <f t="shared" si="76"/>
        <v>0</v>
      </c>
      <c r="U185" s="63">
        <f t="shared" si="76"/>
        <v>0</v>
      </c>
      <c r="V185" s="63">
        <f t="shared" si="76"/>
        <v>0</v>
      </c>
      <c r="W185" s="63">
        <f t="shared" si="76"/>
        <v>0</v>
      </c>
      <c r="X185" s="63">
        <f t="shared" si="76"/>
        <v>0</v>
      </c>
      <c r="Y185" s="63">
        <f t="shared" si="76"/>
        <v>0</v>
      </c>
      <c r="Z185" s="63">
        <f t="shared" si="76"/>
        <v>0</v>
      </c>
      <c r="AA185" s="63">
        <f t="shared" si="76"/>
        <v>0</v>
      </c>
      <c r="AB185" s="63">
        <f t="shared" si="76"/>
        <v>0</v>
      </c>
      <c r="AC185" s="63">
        <f>AC174+AC183</f>
        <v>0</v>
      </c>
      <c r="AD185" s="63">
        <f>AD174+AD183</f>
        <v>0</v>
      </c>
      <c r="AE185" s="63">
        <f>AE174+AE183</f>
        <v>0</v>
      </c>
      <c r="AF185" s="64">
        <f>SUM(H185:AE185)</f>
        <v>2031572</v>
      </c>
      <c r="AG185" s="59" t="str">
        <f>IF(ABS(AF185-F185)&lt;1,"ok","err")</f>
        <v>ok</v>
      </c>
    </row>
    <row r="186" spans="1:33" x14ac:dyDescent="0.25">
      <c r="A186" s="61"/>
      <c r="F186" s="77"/>
      <c r="W186" s="45"/>
      <c r="AG186" s="59"/>
    </row>
    <row r="187" spans="1:33" x14ac:dyDescent="0.25">
      <c r="A187" s="66" t="s">
        <v>235</v>
      </c>
      <c r="F187" s="77"/>
      <c r="W187" s="45"/>
      <c r="AG187" s="59"/>
    </row>
    <row r="188" spans="1:33" x14ac:dyDescent="0.25">
      <c r="A188" s="61">
        <v>546</v>
      </c>
      <c r="B188" s="45" t="s">
        <v>210</v>
      </c>
      <c r="C188" s="45" t="s">
        <v>236</v>
      </c>
      <c r="D188" s="45" t="s">
        <v>661</v>
      </c>
      <c r="F188" s="77">
        <v>8092.1999999999962</v>
      </c>
      <c r="H188" s="64">
        <f t="shared" ref="H188:Q192" si="77">IF(VLOOKUP($D188,$C$6:$AE$651,H$2,)=0,0,((VLOOKUP($D188,$C$6:$AE$651,H$2,)/VLOOKUP($D188,$C$6:$AE$651,4,))*$F188))</f>
        <v>2831.4540190146918</v>
      </c>
      <c r="I188" s="64">
        <f t="shared" si="77"/>
        <v>2759.1502493540816</v>
      </c>
      <c r="J188" s="64">
        <f t="shared" si="77"/>
        <v>2501.5957316312229</v>
      </c>
      <c r="K188" s="64">
        <f t="shared" si="77"/>
        <v>0</v>
      </c>
      <c r="L188" s="64">
        <f t="shared" si="77"/>
        <v>0</v>
      </c>
      <c r="M188" s="64">
        <f t="shared" si="77"/>
        <v>0</v>
      </c>
      <c r="N188" s="64">
        <f t="shared" si="77"/>
        <v>0</v>
      </c>
      <c r="O188" s="64">
        <f t="shared" si="77"/>
        <v>0</v>
      </c>
      <c r="P188" s="64">
        <f t="shared" si="77"/>
        <v>0</v>
      </c>
      <c r="Q188" s="64">
        <f t="shared" si="77"/>
        <v>0</v>
      </c>
      <c r="R188" s="64">
        <f t="shared" ref="R188:AE192" si="78">IF(VLOOKUP($D188,$C$6:$AE$651,R$2,)=0,0,((VLOOKUP($D188,$C$6:$AE$651,R$2,)/VLOOKUP($D188,$C$6:$AE$651,4,))*$F188))</f>
        <v>0</v>
      </c>
      <c r="S188" s="64">
        <f t="shared" si="78"/>
        <v>0</v>
      </c>
      <c r="T188" s="64">
        <f t="shared" si="78"/>
        <v>0</v>
      </c>
      <c r="U188" s="64">
        <f t="shared" si="78"/>
        <v>0</v>
      </c>
      <c r="V188" s="64">
        <f t="shared" si="78"/>
        <v>0</v>
      </c>
      <c r="W188" s="64">
        <f t="shared" si="78"/>
        <v>0</v>
      </c>
      <c r="X188" s="64">
        <f t="shared" si="78"/>
        <v>0</v>
      </c>
      <c r="Y188" s="64">
        <f t="shared" si="78"/>
        <v>0</v>
      </c>
      <c r="Z188" s="64">
        <f t="shared" si="78"/>
        <v>0</v>
      </c>
      <c r="AA188" s="64">
        <f t="shared" si="78"/>
        <v>0</v>
      </c>
      <c r="AB188" s="64">
        <f t="shared" si="78"/>
        <v>0</v>
      </c>
      <c r="AC188" s="64">
        <f t="shared" si="78"/>
        <v>0</v>
      </c>
      <c r="AD188" s="64">
        <f t="shared" si="78"/>
        <v>0</v>
      </c>
      <c r="AE188" s="64">
        <f t="shared" si="78"/>
        <v>0</v>
      </c>
      <c r="AF188" s="64">
        <f>SUM(H188:AE188)</f>
        <v>8092.1999999999971</v>
      </c>
      <c r="AG188" s="59" t="str">
        <f>IF(ABS(AF188-F188)&lt;1,"ok","err")</f>
        <v>ok</v>
      </c>
    </row>
    <row r="189" spans="1:33" x14ac:dyDescent="0.25">
      <c r="A189" s="61">
        <v>547</v>
      </c>
      <c r="B189" s="45" t="s">
        <v>212</v>
      </c>
      <c r="C189" s="45" t="s">
        <v>237</v>
      </c>
      <c r="D189" s="45" t="s">
        <v>952</v>
      </c>
      <c r="F189" s="80">
        <v>61274327.668999985</v>
      </c>
      <c r="H189" s="64">
        <f t="shared" si="77"/>
        <v>0</v>
      </c>
      <c r="I189" s="64">
        <f t="shared" si="77"/>
        <v>0</v>
      </c>
      <c r="J189" s="64">
        <f t="shared" si="77"/>
        <v>0</v>
      </c>
      <c r="K189" s="64">
        <f t="shared" si="77"/>
        <v>61274327.668999985</v>
      </c>
      <c r="L189" s="64">
        <f t="shared" si="77"/>
        <v>0</v>
      </c>
      <c r="M189" s="64">
        <f t="shared" si="77"/>
        <v>0</v>
      </c>
      <c r="N189" s="64">
        <f t="shared" si="77"/>
        <v>0</v>
      </c>
      <c r="O189" s="64">
        <f t="shared" si="77"/>
        <v>0</v>
      </c>
      <c r="P189" s="64">
        <f t="shared" si="77"/>
        <v>0</v>
      </c>
      <c r="Q189" s="64">
        <f t="shared" si="77"/>
        <v>0</v>
      </c>
      <c r="R189" s="64">
        <f t="shared" si="78"/>
        <v>0</v>
      </c>
      <c r="S189" s="64">
        <f t="shared" si="78"/>
        <v>0</v>
      </c>
      <c r="T189" s="64">
        <f t="shared" si="78"/>
        <v>0</v>
      </c>
      <c r="U189" s="64">
        <f t="shared" si="78"/>
        <v>0</v>
      </c>
      <c r="V189" s="64">
        <f t="shared" si="78"/>
        <v>0</v>
      </c>
      <c r="W189" s="64">
        <f t="shared" si="78"/>
        <v>0</v>
      </c>
      <c r="X189" s="64">
        <f t="shared" si="78"/>
        <v>0</v>
      </c>
      <c r="Y189" s="64">
        <f t="shared" si="78"/>
        <v>0</v>
      </c>
      <c r="Z189" s="64">
        <f t="shared" si="78"/>
        <v>0</v>
      </c>
      <c r="AA189" s="64">
        <f t="shared" si="78"/>
        <v>0</v>
      </c>
      <c r="AB189" s="64">
        <f t="shared" si="78"/>
        <v>0</v>
      </c>
      <c r="AC189" s="64">
        <f t="shared" si="78"/>
        <v>0</v>
      </c>
      <c r="AD189" s="64">
        <f t="shared" si="78"/>
        <v>0</v>
      </c>
      <c r="AE189" s="64">
        <f t="shared" si="78"/>
        <v>0</v>
      </c>
      <c r="AF189" s="64">
        <f>SUM(H189:AE189)</f>
        <v>61274327.668999985</v>
      </c>
      <c r="AG189" s="59" t="str">
        <f>IF(ABS(AF189-F189)&lt;1,"ok","err")</f>
        <v>ok</v>
      </c>
    </row>
    <row r="190" spans="1:33" x14ac:dyDescent="0.25">
      <c r="A190" s="61">
        <v>548</v>
      </c>
      <c r="B190" s="45" t="s">
        <v>238</v>
      </c>
      <c r="C190" s="45" t="s">
        <v>239</v>
      </c>
      <c r="D190" s="45" t="s">
        <v>653</v>
      </c>
      <c r="F190" s="80">
        <v>187084.27839999995</v>
      </c>
      <c r="H190" s="64">
        <f t="shared" si="77"/>
        <v>65460.632704350312</v>
      </c>
      <c r="I190" s="64">
        <f t="shared" si="77"/>
        <v>63789.035540098921</v>
      </c>
      <c r="J190" s="64">
        <f t="shared" si="77"/>
        <v>57834.610155550719</v>
      </c>
      <c r="K190" s="64">
        <f t="shared" si="77"/>
        <v>0</v>
      </c>
      <c r="L190" s="64">
        <f t="shared" si="77"/>
        <v>0</v>
      </c>
      <c r="M190" s="64">
        <f t="shared" si="77"/>
        <v>0</v>
      </c>
      <c r="N190" s="64">
        <f t="shared" si="77"/>
        <v>0</v>
      </c>
      <c r="O190" s="64">
        <f t="shared" si="77"/>
        <v>0</v>
      </c>
      <c r="P190" s="64">
        <f t="shared" si="77"/>
        <v>0</v>
      </c>
      <c r="Q190" s="64">
        <f t="shared" si="77"/>
        <v>0</v>
      </c>
      <c r="R190" s="64">
        <f t="shared" si="78"/>
        <v>0</v>
      </c>
      <c r="S190" s="64">
        <f t="shared" si="78"/>
        <v>0</v>
      </c>
      <c r="T190" s="64">
        <f t="shared" si="78"/>
        <v>0</v>
      </c>
      <c r="U190" s="64">
        <f t="shared" si="78"/>
        <v>0</v>
      </c>
      <c r="V190" s="64">
        <f t="shared" si="78"/>
        <v>0</v>
      </c>
      <c r="W190" s="64">
        <f t="shared" si="78"/>
        <v>0</v>
      </c>
      <c r="X190" s="64">
        <f t="shared" si="78"/>
        <v>0</v>
      </c>
      <c r="Y190" s="64">
        <f t="shared" si="78"/>
        <v>0</v>
      </c>
      <c r="Z190" s="64">
        <f t="shared" si="78"/>
        <v>0</v>
      </c>
      <c r="AA190" s="64">
        <f t="shared" si="78"/>
        <v>0</v>
      </c>
      <c r="AB190" s="64">
        <f t="shared" si="78"/>
        <v>0</v>
      </c>
      <c r="AC190" s="64">
        <f t="shared" si="78"/>
        <v>0</v>
      </c>
      <c r="AD190" s="64">
        <f t="shared" si="78"/>
        <v>0</v>
      </c>
      <c r="AE190" s="64">
        <f t="shared" si="78"/>
        <v>0</v>
      </c>
      <c r="AF190" s="64">
        <f>SUM(H190:AE190)</f>
        <v>187084.27839999995</v>
      </c>
      <c r="AG190" s="59" t="str">
        <f>IF(ABS(AF190-F190)&lt;1,"ok","err")</f>
        <v>ok</v>
      </c>
    </row>
    <row r="191" spans="1:33" x14ac:dyDescent="0.25">
      <c r="A191" s="61">
        <v>549</v>
      </c>
      <c r="B191" s="45" t="s">
        <v>240</v>
      </c>
      <c r="C191" s="45" t="s">
        <v>241</v>
      </c>
      <c r="D191" s="45" t="s">
        <v>653</v>
      </c>
      <c r="F191" s="80">
        <v>1187250.4512</v>
      </c>
      <c r="H191" s="64">
        <f t="shared" si="77"/>
        <v>415417.94093414</v>
      </c>
      <c r="I191" s="64">
        <f t="shared" si="77"/>
        <v>404809.86363093188</v>
      </c>
      <c r="J191" s="64">
        <f t="shared" si="77"/>
        <v>367022.64663492807</v>
      </c>
      <c r="K191" s="64">
        <f t="shared" si="77"/>
        <v>0</v>
      </c>
      <c r="L191" s="64">
        <f t="shared" si="77"/>
        <v>0</v>
      </c>
      <c r="M191" s="64">
        <f t="shared" si="77"/>
        <v>0</v>
      </c>
      <c r="N191" s="64">
        <f t="shared" si="77"/>
        <v>0</v>
      </c>
      <c r="O191" s="64">
        <f t="shared" si="77"/>
        <v>0</v>
      </c>
      <c r="P191" s="64">
        <f t="shared" si="77"/>
        <v>0</v>
      </c>
      <c r="Q191" s="64">
        <f t="shared" si="77"/>
        <v>0</v>
      </c>
      <c r="R191" s="64">
        <f t="shared" si="78"/>
        <v>0</v>
      </c>
      <c r="S191" s="64">
        <f t="shared" si="78"/>
        <v>0</v>
      </c>
      <c r="T191" s="64">
        <f t="shared" si="78"/>
        <v>0</v>
      </c>
      <c r="U191" s="64">
        <f t="shared" si="78"/>
        <v>0</v>
      </c>
      <c r="V191" s="64">
        <f t="shared" si="78"/>
        <v>0</v>
      </c>
      <c r="W191" s="64">
        <f t="shared" si="78"/>
        <v>0</v>
      </c>
      <c r="X191" s="64">
        <f t="shared" si="78"/>
        <v>0</v>
      </c>
      <c r="Y191" s="64">
        <f t="shared" si="78"/>
        <v>0</v>
      </c>
      <c r="Z191" s="64">
        <f t="shared" si="78"/>
        <v>0</v>
      </c>
      <c r="AA191" s="64">
        <f t="shared" si="78"/>
        <v>0</v>
      </c>
      <c r="AB191" s="64">
        <f t="shared" si="78"/>
        <v>0</v>
      </c>
      <c r="AC191" s="64">
        <f t="shared" si="78"/>
        <v>0</v>
      </c>
      <c r="AD191" s="64">
        <f t="shared" si="78"/>
        <v>0</v>
      </c>
      <c r="AE191" s="64">
        <f t="shared" si="78"/>
        <v>0</v>
      </c>
      <c r="AF191" s="64">
        <f>SUM(H191:AE191)</f>
        <v>1187250.4512</v>
      </c>
      <c r="AG191" s="59" t="str">
        <f>IF(ABS(AF191-F191)&lt;1,"ok","err")</f>
        <v>ok</v>
      </c>
    </row>
    <row r="192" spans="1:33" x14ac:dyDescent="0.25">
      <c r="A192" s="61">
        <v>550</v>
      </c>
      <c r="B192" s="45" t="s">
        <v>1026</v>
      </c>
      <c r="C192" s="45" t="s">
        <v>242</v>
      </c>
      <c r="D192" s="45" t="s">
        <v>653</v>
      </c>
      <c r="F192" s="80">
        <v>0</v>
      </c>
      <c r="H192" s="64">
        <f t="shared" si="77"/>
        <v>0</v>
      </c>
      <c r="I192" s="64">
        <f t="shared" si="77"/>
        <v>0</v>
      </c>
      <c r="J192" s="64">
        <f t="shared" si="77"/>
        <v>0</v>
      </c>
      <c r="K192" s="64">
        <f t="shared" si="77"/>
        <v>0</v>
      </c>
      <c r="L192" s="64">
        <f t="shared" si="77"/>
        <v>0</v>
      </c>
      <c r="M192" s="64">
        <f t="shared" si="77"/>
        <v>0</v>
      </c>
      <c r="N192" s="64">
        <f t="shared" si="77"/>
        <v>0</v>
      </c>
      <c r="O192" s="64">
        <f t="shared" si="77"/>
        <v>0</v>
      </c>
      <c r="P192" s="64">
        <f t="shared" si="77"/>
        <v>0</v>
      </c>
      <c r="Q192" s="64">
        <f t="shared" si="77"/>
        <v>0</v>
      </c>
      <c r="R192" s="64">
        <f t="shared" si="78"/>
        <v>0</v>
      </c>
      <c r="S192" s="64">
        <f t="shared" si="78"/>
        <v>0</v>
      </c>
      <c r="T192" s="64">
        <f t="shared" si="78"/>
        <v>0</v>
      </c>
      <c r="U192" s="64">
        <f t="shared" si="78"/>
        <v>0</v>
      </c>
      <c r="V192" s="64">
        <f t="shared" si="78"/>
        <v>0</v>
      </c>
      <c r="W192" s="64">
        <f t="shared" si="78"/>
        <v>0</v>
      </c>
      <c r="X192" s="64">
        <f t="shared" si="78"/>
        <v>0</v>
      </c>
      <c r="Y192" s="64">
        <f t="shared" si="78"/>
        <v>0</v>
      </c>
      <c r="Z192" s="64">
        <f t="shared" si="78"/>
        <v>0</v>
      </c>
      <c r="AA192" s="64">
        <f t="shared" si="78"/>
        <v>0</v>
      </c>
      <c r="AB192" s="64">
        <f t="shared" si="78"/>
        <v>0</v>
      </c>
      <c r="AC192" s="64">
        <f t="shared" si="78"/>
        <v>0</v>
      </c>
      <c r="AD192" s="64">
        <f t="shared" si="78"/>
        <v>0</v>
      </c>
      <c r="AE192" s="64">
        <f t="shared" si="78"/>
        <v>0</v>
      </c>
      <c r="AF192" s="64">
        <f>SUM(H192:AE192)</f>
        <v>0</v>
      </c>
      <c r="AG192" s="59" t="str">
        <f>IF(ABS(AF192-F192)&lt;1,"ok","err")</f>
        <v>ok</v>
      </c>
    </row>
    <row r="193" spans="1:33" x14ac:dyDescent="0.25">
      <c r="A193" s="61"/>
      <c r="F193" s="77"/>
      <c r="W193" s="45"/>
      <c r="AF193" s="64"/>
      <c r="AG193" s="59"/>
    </row>
    <row r="194" spans="1:33" x14ac:dyDescent="0.25">
      <c r="A194" s="61"/>
      <c r="B194" s="45" t="s">
        <v>243</v>
      </c>
      <c r="F194" s="77">
        <f>SUM(F188:F193)</f>
        <v>62656754.598599985</v>
      </c>
      <c r="H194" s="63">
        <f t="shared" ref="H194:M194" si="79">SUM(H188:H193)</f>
        <v>483710.02765750501</v>
      </c>
      <c r="I194" s="63">
        <f t="shared" si="79"/>
        <v>471358.04942038486</v>
      </c>
      <c r="J194" s="63">
        <f t="shared" si="79"/>
        <v>427358.85252210998</v>
      </c>
      <c r="K194" s="63">
        <f t="shared" si="79"/>
        <v>61274327.668999985</v>
      </c>
      <c r="L194" s="63">
        <f t="shared" si="79"/>
        <v>0</v>
      </c>
      <c r="M194" s="63">
        <f t="shared" si="79"/>
        <v>0</v>
      </c>
      <c r="N194" s="63">
        <f>SUM(N188:N193)</f>
        <v>0</v>
      </c>
      <c r="O194" s="63">
        <f>SUM(O188:O193)</f>
        <v>0</v>
      </c>
      <c r="P194" s="63">
        <f>SUM(P188:P193)</f>
        <v>0</v>
      </c>
      <c r="Q194" s="63">
        <f t="shared" ref="Q194:AB194" si="80">SUM(Q188:Q193)</f>
        <v>0</v>
      </c>
      <c r="R194" s="63">
        <f t="shared" si="80"/>
        <v>0</v>
      </c>
      <c r="S194" s="63">
        <f t="shared" si="80"/>
        <v>0</v>
      </c>
      <c r="T194" s="63">
        <f t="shared" si="80"/>
        <v>0</v>
      </c>
      <c r="U194" s="63">
        <f t="shared" si="80"/>
        <v>0</v>
      </c>
      <c r="V194" s="63">
        <f t="shared" si="80"/>
        <v>0</v>
      </c>
      <c r="W194" s="63">
        <f t="shared" si="80"/>
        <v>0</v>
      </c>
      <c r="X194" s="63">
        <f t="shared" si="80"/>
        <v>0</v>
      </c>
      <c r="Y194" s="63">
        <f t="shared" si="80"/>
        <v>0</v>
      </c>
      <c r="Z194" s="63">
        <f t="shared" si="80"/>
        <v>0</v>
      </c>
      <c r="AA194" s="63">
        <f t="shared" si="80"/>
        <v>0</v>
      </c>
      <c r="AB194" s="63">
        <f t="shared" si="80"/>
        <v>0</v>
      </c>
      <c r="AC194" s="63">
        <f>SUM(AC188:AC193)</f>
        <v>0</v>
      </c>
      <c r="AD194" s="63">
        <f>SUM(AD188:AD193)</f>
        <v>0</v>
      </c>
      <c r="AE194" s="63">
        <f>SUM(AE188:AE193)</f>
        <v>0</v>
      </c>
      <c r="AF194" s="64">
        <f>SUM(H194:AE194)</f>
        <v>62656754.598599985</v>
      </c>
      <c r="AG194" s="59" t="str">
        <f>IF(ABS(AF194-F194)&lt;1,"ok","err")</f>
        <v>ok</v>
      </c>
    </row>
    <row r="195" spans="1:33" x14ac:dyDescent="0.25">
      <c r="A195" s="61"/>
      <c r="F195" s="77"/>
      <c r="W195" s="45"/>
      <c r="AG195" s="59"/>
    </row>
    <row r="196" spans="1:33" x14ac:dyDescent="0.25">
      <c r="A196" s="60" t="s">
        <v>1046</v>
      </c>
      <c r="F196" s="77"/>
      <c r="W196" s="45"/>
      <c r="AG196" s="59"/>
    </row>
    <row r="197" spans="1:33" x14ac:dyDescent="0.25">
      <c r="A197" s="61"/>
      <c r="F197" s="77"/>
      <c r="W197" s="45"/>
      <c r="AG197" s="59"/>
    </row>
    <row r="198" spans="1:33" x14ac:dyDescent="0.25">
      <c r="A198" s="66" t="s">
        <v>244</v>
      </c>
      <c r="F198" s="77"/>
      <c r="W198" s="45"/>
      <c r="AG198" s="59"/>
    </row>
    <row r="199" spans="1:33" x14ac:dyDescent="0.25">
      <c r="A199" s="61">
        <v>551</v>
      </c>
      <c r="B199" s="45" t="s">
        <v>225</v>
      </c>
      <c r="C199" s="45" t="s">
        <v>245</v>
      </c>
      <c r="D199" s="45" t="s">
        <v>653</v>
      </c>
      <c r="F199" s="77">
        <v>412.06079999999889</v>
      </c>
      <c r="H199" s="64">
        <f t="shared" ref="H199:Q202" si="81">IF(VLOOKUP($D199,$C$6:$AE$651,H$2,)=0,0,((VLOOKUP($D199,$C$6:$AE$651,H$2,)/VLOOKUP($D199,$C$6:$AE$651,4,))*$F199))</f>
        <v>144.17972964563486</v>
      </c>
      <c r="I199" s="64">
        <f t="shared" si="81"/>
        <v>140.49796829898418</v>
      </c>
      <c r="J199" s="64">
        <f t="shared" si="81"/>
        <v>127.38310205537984</v>
      </c>
      <c r="K199" s="64">
        <f t="shared" si="81"/>
        <v>0</v>
      </c>
      <c r="L199" s="64">
        <f t="shared" si="81"/>
        <v>0</v>
      </c>
      <c r="M199" s="64">
        <f t="shared" si="81"/>
        <v>0</v>
      </c>
      <c r="N199" s="64">
        <f t="shared" si="81"/>
        <v>0</v>
      </c>
      <c r="O199" s="64">
        <f t="shared" si="81"/>
        <v>0</v>
      </c>
      <c r="P199" s="64">
        <f t="shared" si="81"/>
        <v>0</v>
      </c>
      <c r="Q199" s="64">
        <f t="shared" si="81"/>
        <v>0</v>
      </c>
      <c r="R199" s="64">
        <f t="shared" ref="R199:AE202" si="82">IF(VLOOKUP($D199,$C$6:$AE$651,R$2,)=0,0,((VLOOKUP($D199,$C$6:$AE$651,R$2,)/VLOOKUP($D199,$C$6:$AE$651,4,))*$F199))</f>
        <v>0</v>
      </c>
      <c r="S199" s="64">
        <f t="shared" si="82"/>
        <v>0</v>
      </c>
      <c r="T199" s="64">
        <f t="shared" si="82"/>
        <v>0</v>
      </c>
      <c r="U199" s="64">
        <f t="shared" si="82"/>
        <v>0</v>
      </c>
      <c r="V199" s="64">
        <f t="shared" si="82"/>
        <v>0</v>
      </c>
      <c r="W199" s="64">
        <f t="shared" si="82"/>
        <v>0</v>
      </c>
      <c r="X199" s="64">
        <f t="shared" si="82"/>
        <v>0</v>
      </c>
      <c r="Y199" s="64">
        <f t="shared" si="82"/>
        <v>0</v>
      </c>
      <c r="Z199" s="64">
        <f t="shared" si="82"/>
        <v>0</v>
      </c>
      <c r="AA199" s="64">
        <f t="shared" si="82"/>
        <v>0</v>
      </c>
      <c r="AB199" s="64">
        <f t="shared" si="82"/>
        <v>0</v>
      </c>
      <c r="AC199" s="64">
        <f t="shared" si="82"/>
        <v>0</v>
      </c>
      <c r="AD199" s="64">
        <f t="shared" si="82"/>
        <v>0</v>
      </c>
      <c r="AE199" s="64">
        <f t="shared" si="82"/>
        <v>0</v>
      </c>
      <c r="AF199" s="64">
        <f>SUM(H199:AE199)</f>
        <v>412.06079999999884</v>
      </c>
      <c r="AG199" s="59" t="str">
        <f>IF(ABS(AF199-F199)&lt;1,"ok","err")</f>
        <v>ok</v>
      </c>
    </row>
    <row r="200" spans="1:33" x14ac:dyDescent="0.25">
      <c r="A200" s="61">
        <v>552</v>
      </c>
      <c r="B200" s="45" t="s">
        <v>224</v>
      </c>
      <c r="C200" s="45" t="s">
        <v>246</v>
      </c>
      <c r="D200" s="45" t="s">
        <v>653</v>
      </c>
      <c r="F200" s="80">
        <v>117893.24679999985</v>
      </c>
      <c r="H200" s="64">
        <f t="shared" si="81"/>
        <v>41250.748556208535</v>
      </c>
      <c r="I200" s="64">
        <f t="shared" si="81"/>
        <v>40197.372940038804</v>
      </c>
      <c r="J200" s="64">
        <f t="shared" si="81"/>
        <v>36445.125303752517</v>
      </c>
      <c r="K200" s="64">
        <f t="shared" si="81"/>
        <v>0</v>
      </c>
      <c r="L200" s="64">
        <f t="shared" si="81"/>
        <v>0</v>
      </c>
      <c r="M200" s="64">
        <f t="shared" si="81"/>
        <v>0</v>
      </c>
      <c r="N200" s="64">
        <f t="shared" si="81"/>
        <v>0</v>
      </c>
      <c r="O200" s="64">
        <f t="shared" si="81"/>
        <v>0</v>
      </c>
      <c r="P200" s="64">
        <f t="shared" si="81"/>
        <v>0</v>
      </c>
      <c r="Q200" s="64">
        <f t="shared" si="81"/>
        <v>0</v>
      </c>
      <c r="R200" s="64">
        <f t="shared" si="82"/>
        <v>0</v>
      </c>
      <c r="S200" s="64">
        <f t="shared" si="82"/>
        <v>0</v>
      </c>
      <c r="T200" s="64">
        <f t="shared" si="82"/>
        <v>0</v>
      </c>
      <c r="U200" s="64">
        <f t="shared" si="82"/>
        <v>0</v>
      </c>
      <c r="V200" s="64">
        <f t="shared" si="82"/>
        <v>0</v>
      </c>
      <c r="W200" s="64">
        <f t="shared" si="82"/>
        <v>0</v>
      </c>
      <c r="X200" s="64">
        <f t="shared" si="82"/>
        <v>0</v>
      </c>
      <c r="Y200" s="64">
        <f t="shared" si="82"/>
        <v>0</v>
      </c>
      <c r="Z200" s="64">
        <f t="shared" si="82"/>
        <v>0</v>
      </c>
      <c r="AA200" s="64">
        <f t="shared" si="82"/>
        <v>0</v>
      </c>
      <c r="AB200" s="64">
        <f t="shared" si="82"/>
        <v>0</v>
      </c>
      <c r="AC200" s="64">
        <f t="shared" si="82"/>
        <v>0</v>
      </c>
      <c r="AD200" s="64">
        <f t="shared" si="82"/>
        <v>0</v>
      </c>
      <c r="AE200" s="64">
        <f t="shared" si="82"/>
        <v>0</v>
      </c>
      <c r="AF200" s="64">
        <f>SUM(H200:AE200)</f>
        <v>117893.24679999985</v>
      </c>
      <c r="AG200" s="59" t="str">
        <f>IF(ABS(AF200-F200)&lt;1,"ok","err")</f>
        <v>ok</v>
      </c>
    </row>
    <row r="201" spans="1:33" x14ac:dyDescent="0.25">
      <c r="A201" s="61">
        <v>553</v>
      </c>
      <c r="B201" s="45" t="s">
        <v>247</v>
      </c>
      <c r="C201" s="45" t="s">
        <v>248</v>
      </c>
      <c r="D201" s="45" t="s">
        <v>653</v>
      </c>
      <c r="F201" s="80">
        <v>1322884.2563999989</v>
      </c>
      <c r="H201" s="64">
        <f t="shared" si="81"/>
        <v>462876.09605237644</v>
      </c>
      <c r="I201" s="64">
        <f t="shared" si="81"/>
        <v>451056.13132555387</v>
      </c>
      <c r="J201" s="64">
        <f t="shared" si="81"/>
        <v>408952.02902206854</v>
      </c>
      <c r="K201" s="64">
        <f t="shared" si="81"/>
        <v>0</v>
      </c>
      <c r="L201" s="64">
        <f t="shared" si="81"/>
        <v>0</v>
      </c>
      <c r="M201" s="64">
        <f t="shared" si="81"/>
        <v>0</v>
      </c>
      <c r="N201" s="64">
        <f t="shared" si="81"/>
        <v>0</v>
      </c>
      <c r="O201" s="64">
        <f t="shared" si="81"/>
        <v>0</v>
      </c>
      <c r="P201" s="64">
        <f t="shared" si="81"/>
        <v>0</v>
      </c>
      <c r="Q201" s="64">
        <f t="shared" si="81"/>
        <v>0</v>
      </c>
      <c r="R201" s="64">
        <f t="shared" si="82"/>
        <v>0</v>
      </c>
      <c r="S201" s="64">
        <f t="shared" si="82"/>
        <v>0</v>
      </c>
      <c r="T201" s="64">
        <f t="shared" si="82"/>
        <v>0</v>
      </c>
      <c r="U201" s="64">
        <f t="shared" si="82"/>
        <v>0</v>
      </c>
      <c r="V201" s="64">
        <f t="shared" si="82"/>
        <v>0</v>
      </c>
      <c r="W201" s="64">
        <f t="shared" si="82"/>
        <v>0</v>
      </c>
      <c r="X201" s="64">
        <f t="shared" si="82"/>
        <v>0</v>
      </c>
      <c r="Y201" s="64">
        <f t="shared" si="82"/>
        <v>0</v>
      </c>
      <c r="Z201" s="64">
        <f t="shared" si="82"/>
        <v>0</v>
      </c>
      <c r="AA201" s="64">
        <f t="shared" si="82"/>
        <v>0</v>
      </c>
      <c r="AB201" s="64">
        <f t="shared" si="82"/>
        <v>0</v>
      </c>
      <c r="AC201" s="64">
        <f t="shared" si="82"/>
        <v>0</v>
      </c>
      <c r="AD201" s="64">
        <f t="shared" si="82"/>
        <v>0</v>
      </c>
      <c r="AE201" s="64">
        <f t="shared" si="82"/>
        <v>0</v>
      </c>
      <c r="AF201" s="64">
        <f>SUM(H201:AE201)</f>
        <v>1322884.2563999989</v>
      </c>
      <c r="AG201" s="59" t="str">
        <f>IF(ABS(AF201-F201)&lt;1,"ok","err")</f>
        <v>ok</v>
      </c>
    </row>
    <row r="202" spans="1:33" x14ac:dyDescent="0.25">
      <c r="A202" s="61">
        <v>554</v>
      </c>
      <c r="B202" s="45" t="s">
        <v>249</v>
      </c>
      <c r="C202" s="45" t="s">
        <v>250</v>
      </c>
      <c r="D202" s="45" t="s">
        <v>653</v>
      </c>
      <c r="F202" s="80">
        <v>2164566.6071999976</v>
      </c>
      <c r="H202" s="64">
        <f t="shared" si="81"/>
        <v>757380.04737666296</v>
      </c>
      <c r="I202" s="64">
        <f t="shared" si="81"/>
        <v>738039.65472917061</v>
      </c>
      <c r="J202" s="64">
        <f t="shared" si="81"/>
        <v>669146.90509416407</v>
      </c>
      <c r="K202" s="64">
        <f t="shared" si="81"/>
        <v>0</v>
      </c>
      <c r="L202" s="64">
        <f t="shared" si="81"/>
        <v>0</v>
      </c>
      <c r="M202" s="64">
        <f t="shared" si="81"/>
        <v>0</v>
      </c>
      <c r="N202" s="64">
        <f t="shared" si="81"/>
        <v>0</v>
      </c>
      <c r="O202" s="64">
        <f t="shared" si="81"/>
        <v>0</v>
      </c>
      <c r="P202" s="64">
        <f t="shared" si="81"/>
        <v>0</v>
      </c>
      <c r="Q202" s="64">
        <f t="shared" si="81"/>
        <v>0</v>
      </c>
      <c r="R202" s="64">
        <f t="shared" si="82"/>
        <v>0</v>
      </c>
      <c r="S202" s="64">
        <f t="shared" si="82"/>
        <v>0</v>
      </c>
      <c r="T202" s="64">
        <f t="shared" si="82"/>
        <v>0</v>
      </c>
      <c r="U202" s="64">
        <f t="shared" si="82"/>
        <v>0</v>
      </c>
      <c r="V202" s="64">
        <f t="shared" si="82"/>
        <v>0</v>
      </c>
      <c r="W202" s="64">
        <f t="shared" si="82"/>
        <v>0</v>
      </c>
      <c r="X202" s="64">
        <f t="shared" si="82"/>
        <v>0</v>
      </c>
      <c r="Y202" s="64">
        <f t="shared" si="82"/>
        <v>0</v>
      </c>
      <c r="Z202" s="64">
        <f t="shared" si="82"/>
        <v>0</v>
      </c>
      <c r="AA202" s="64">
        <f t="shared" si="82"/>
        <v>0</v>
      </c>
      <c r="AB202" s="64">
        <f t="shared" si="82"/>
        <v>0</v>
      </c>
      <c r="AC202" s="64">
        <f t="shared" si="82"/>
        <v>0</v>
      </c>
      <c r="AD202" s="64">
        <f t="shared" si="82"/>
        <v>0</v>
      </c>
      <c r="AE202" s="64">
        <f t="shared" si="82"/>
        <v>0</v>
      </c>
      <c r="AF202" s="64">
        <f>SUM(H202:AE202)</f>
        <v>2164566.6071999976</v>
      </c>
      <c r="AG202" s="59" t="str">
        <f>IF(ABS(AF202-F202)&lt;1,"ok","err")</f>
        <v>ok</v>
      </c>
    </row>
    <row r="203" spans="1:33" x14ac:dyDescent="0.25">
      <c r="A203" s="61"/>
      <c r="F203" s="77"/>
      <c r="W203" s="45"/>
      <c r="AG203" s="59"/>
    </row>
    <row r="204" spans="1:33" x14ac:dyDescent="0.25">
      <c r="A204" s="61"/>
      <c r="B204" s="45" t="s">
        <v>252</v>
      </c>
      <c r="F204" s="77">
        <f>SUM(F199:F203)</f>
        <v>3605756.1711999965</v>
      </c>
      <c r="H204" s="63">
        <f t="shared" ref="H204:M204" si="83">SUM(H199:H203)</f>
        <v>1261651.0717148934</v>
      </c>
      <c r="I204" s="63">
        <f t="shared" si="83"/>
        <v>1229433.6569630622</v>
      </c>
      <c r="J204" s="63">
        <f t="shared" si="83"/>
        <v>1114671.4425220406</v>
      </c>
      <c r="K204" s="63">
        <f t="shared" si="83"/>
        <v>0</v>
      </c>
      <c r="L204" s="63">
        <f t="shared" si="83"/>
        <v>0</v>
      </c>
      <c r="M204" s="63">
        <f t="shared" si="83"/>
        <v>0</v>
      </c>
      <c r="N204" s="63">
        <f>SUM(N199:N203)</f>
        <v>0</v>
      </c>
      <c r="O204" s="63">
        <f>SUM(O199:O203)</f>
        <v>0</v>
      </c>
      <c r="P204" s="63">
        <f>SUM(P199:P203)</f>
        <v>0</v>
      </c>
      <c r="Q204" s="63">
        <f t="shared" ref="Q204:AB204" si="84">SUM(Q199:Q203)</f>
        <v>0</v>
      </c>
      <c r="R204" s="63">
        <f t="shared" si="84"/>
        <v>0</v>
      </c>
      <c r="S204" s="63">
        <f t="shared" si="84"/>
        <v>0</v>
      </c>
      <c r="T204" s="63">
        <f t="shared" si="84"/>
        <v>0</v>
      </c>
      <c r="U204" s="63">
        <f t="shared" si="84"/>
        <v>0</v>
      </c>
      <c r="V204" s="63">
        <f t="shared" si="84"/>
        <v>0</v>
      </c>
      <c r="W204" s="63">
        <f t="shared" si="84"/>
        <v>0</v>
      </c>
      <c r="X204" s="63">
        <f t="shared" si="84"/>
        <v>0</v>
      </c>
      <c r="Y204" s="63">
        <f t="shared" si="84"/>
        <v>0</v>
      </c>
      <c r="Z204" s="63">
        <f t="shared" si="84"/>
        <v>0</v>
      </c>
      <c r="AA204" s="63">
        <f t="shared" si="84"/>
        <v>0</v>
      </c>
      <c r="AB204" s="63">
        <f t="shared" si="84"/>
        <v>0</v>
      </c>
      <c r="AC204" s="63">
        <f>SUM(AC199:AC203)</f>
        <v>0</v>
      </c>
      <c r="AD204" s="63">
        <f>SUM(AD199:AD203)</f>
        <v>0</v>
      </c>
      <c r="AE204" s="63">
        <f>SUM(AE199:AE203)</f>
        <v>0</v>
      </c>
      <c r="AF204" s="64">
        <f>SUM(H204:AE204)</f>
        <v>3605756.171199996</v>
      </c>
      <c r="AG204" s="59" t="str">
        <f>IF(ABS(AF204-F204)&lt;1,"ok","err")</f>
        <v>ok</v>
      </c>
    </row>
    <row r="205" spans="1:33" x14ac:dyDescent="0.25">
      <c r="A205" s="61"/>
      <c r="F205" s="77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4"/>
      <c r="AG205" s="59"/>
    </row>
    <row r="206" spans="1:33" x14ac:dyDescent="0.25">
      <c r="A206" s="61"/>
      <c r="B206" s="45" t="s">
        <v>251</v>
      </c>
      <c r="F206" s="77">
        <f>F194+F204</f>
        <v>66262510.769799985</v>
      </c>
      <c r="H206" s="63">
        <f t="shared" ref="H206:M206" si="85">H194+H204</f>
        <v>1745361.0993723986</v>
      </c>
      <c r="I206" s="63">
        <f t="shared" si="85"/>
        <v>1700791.7063834472</v>
      </c>
      <c r="J206" s="63">
        <f t="shared" si="85"/>
        <v>1542030.2950441507</v>
      </c>
      <c r="K206" s="63">
        <f t="shared" si="85"/>
        <v>61274327.668999985</v>
      </c>
      <c r="L206" s="63">
        <f t="shared" si="85"/>
        <v>0</v>
      </c>
      <c r="M206" s="63">
        <f t="shared" si="85"/>
        <v>0</v>
      </c>
      <c r="N206" s="63">
        <f>N194+N204</f>
        <v>0</v>
      </c>
      <c r="O206" s="63">
        <f>O194+O204</f>
        <v>0</v>
      </c>
      <c r="P206" s="63">
        <f>P194+P204</f>
        <v>0</v>
      </c>
      <c r="Q206" s="63">
        <f t="shared" ref="Q206:AB206" si="86">Q194+Q204</f>
        <v>0</v>
      </c>
      <c r="R206" s="63">
        <f t="shared" si="86"/>
        <v>0</v>
      </c>
      <c r="S206" s="63">
        <f t="shared" si="86"/>
        <v>0</v>
      </c>
      <c r="T206" s="63">
        <f t="shared" si="86"/>
        <v>0</v>
      </c>
      <c r="U206" s="63">
        <f t="shared" si="86"/>
        <v>0</v>
      </c>
      <c r="V206" s="63">
        <f t="shared" si="86"/>
        <v>0</v>
      </c>
      <c r="W206" s="63">
        <f t="shared" si="86"/>
        <v>0</v>
      </c>
      <c r="X206" s="63">
        <f t="shared" si="86"/>
        <v>0</v>
      </c>
      <c r="Y206" s="63">
        <f t="shared" si="86"/>
        <v>0</v>
      </c>
      <c r="Z206" s="63">
        <f t="shared" si="86"/>
        <v>0</v>
      </c>
      <c r="AA206" s="63">
        <f t="shared" si="86"/>
        <v>0</v>
      </c>
      <c r="AB206" s="63">
        <f t="shared" si="86"/>
        <v>0</v>
      </c>
      <c r="AC206" s="63">
        <f>AC194+AC204</f>
        <v>0</v>
      </c>
      <c r="AD206" s="63">
        <f>AD194+AD204</f>
        <v>0</v>
      </c>
      <c r="AE206" s="63">
        <f>AE194+AE204</f>
        <v>0</v>
      </c>
      <c r="AF206" s="64">
        <f>SUM(H206:AE206)</f>
        <v>66262510.769799978</v>
      </c>
      <c r="AG206" s="59" t="str">
        <f>IF(ABS(AF206-F206)&lt;1,"ok","err")</f>
        <v>ok</v>
      </c>
    </row>
    <row r="207" spans="1:33" x14ac:dyDescent="0.25">
      <c r="A207" s="61"/>
      <c r="F207" s="77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4"/>
      <c r="AG207" s="59"/>
    </row>
    <row r="208" spans="1:33" x14ac:dyDescent="0.25">
      <c r="A208" s="61"/>
      <c r="B208" s="45" t="s">
        <v>253</v>
      </c>
      <c r="F208" s="77">
        <f>F164+F185+F206</f>
        <v>460186864.94720972</v>
      </c>
      <c r="H208" s="63">
        <f t="shared" ref="H208:M208" si="87">H164+H185+H206</f>
        <v>17891358.497743003</v>
      </c>
      <c r="I208" s="63">
        <f t="shared" si="87"/>
        <v>17434486.284721378</v>
      </c>
      <c r="J208" s="63">
        <f t="shared" si="87"/>
        <v>15807053.814214056</v>
      </c>
      <c r="K208" s="63">
        <f t="shared" si="87"/>
        <v>409053966.35053122</v>
      </c>
      <c r="L208" s="63">
        <f t="shared" si="87"/>
        <v>0</v>
      </c>
      <c r="M208" s="63">
        <f t="shared" si="87"/>
        <v>0</v>
      </c>
      <c r="N208" s="63">
        <f>N164+N185+N206</f>
        <v>0</v>
      </c>
      <c r="O208" s="63">
        <f>O164+O185+O206</f>
        <v>0</v>
      </c>
      <c r="P208" s="63">
        <f>P164+P185+P206</f>
        <v>0</v>
      </c>
      <c r="Q208" s="63">
        <f t="shared" ref="Q208:AB208" si="88">Q164+Q185+Q206</f>
        <v>0</v>
      </c>
      <c r="R208" s="63">
        <f t="shared" si="88"/>
        <v>0</v>
      </c>
      <c r="S208" s="63">
        <f t="shared" si="88"/>
        <v>0</v>
      </c>
      <c r="T208" s="63">
        <f t="shared" si="88"/>
        <v>0</v>
      </c>
      <c r="U208" s="63">
        <f t="shared" si="88"/>
        <v>0</v>
      </c>
      <c r="V208" s="63">
        <f t="shared" si="88"/>
        <v>0</v>
      </c>
      <c r="W208" s="63">
        <f t="shared" si="88"/>
        <v>0</v>
      </c>
      <c r="X208" s="63">
        <f t="shared" si="88"/>
        <v>0</v>
      </c>
      <c r="Y208" s="63">
        <f t="shared" si="88"/>
        <v>0</v>
      </c>
      <c r="Z208" s="63">
        <f t="shared" si="88"/>
        <v>0</v>
      </c>
      <c r="AA208" s="63">
        <f t="shared" si="88"/>
        <v>0</v>
      </c>
      <c r="AB208" s="63">
        <f t="shared" si="88"/>
        <v>0</v>
      </c>
      <c r="AC208" s="63">
        <f>AC164+AC185+AC206</f>
        <v>0</v>
      </c>
      <c r="AD208" s="63">
        <f>AD164+AD185+AD206</f>
        <v>0</v>
      </c>
      <c r="AE208" s="63">
        <f>AE164+AE185+AE206</f>
        <v>0</v>
      </c>
      <c r="AF208" s="64">
        <f>SUM(H208:AE208)</f>
        <v>460186864.94720966</v>
      </c>
      <c r="AG208" s="59" t="str">
        <f>IF(ABS(AF208-F208)&lt;1,"ok","err")</f>
        <v>ok</v>
      </c>
    </row>
    <row r="209" spans="1:33" x14ac:dyDescent="0.25">
      <c r="A209" s="61"/>
      <c r="W209" s="45"/>
      <c r="AG209" s="59"/>
    </row>
    <row r="210" spans="1:33" x14ac:dyDescent="0.25">
      <c r="A210" s="66" t="s">
        <v>254</v>
      </c>
      <c r="W210" s="45"/>
      <c r="AG210" s="59"/>
    </row>
    <row r="211" spans="1:33" x14ac:dyDescent="0.25">
      <c r="A211" s="61">
        <v>555</v>
      </c>
      <c r="B211" s="45" t="s">
        <v>1174</v>
      </c>
      <c r="C211" s="45" t="s">
        <v>6</v>
      </c>
      <c r="D211" s="45" t="s">
        <v>1008</v>
      </c>
      <c r="F211" s="77">
        <v>68182202.219749004</v>
      </c>
      <c r="G211" s="63"/>
      <c r="H211" s="64">
        <f t="shared" ref="H211:Q217" si="89">IF(VLOOKUP($D211,$C$6:$AE$651,H$2,)=0,0,((VLOOKUP($D211,$C$6:$AE$651,H$2,)/VLOOKUP($D211,$C$6:$AE$651,4,))*$F211))</f>
        <v>7172763.6540045002</v>
      </c>
      <c r="I211" s="64">
        <f t="shared" si="89"/>
        <v>6989600.5697423676</v>
      </c>
      <c r="J211" s="64">
        <f t="shared" si="89"/>
        <v>6337152.1558740623</v>
      </c>
      <c r="K211" s="64">
        <f t="shared" si="89"/>
        <v>47682685.840128072</v>
      </c>
      <c r="L211" s="64">
        <f t="shared" si="89"/>
        <v>0</v>
      </c>
      <c r="M211" s="64">
        <f t="shared" si="89"/>
        <v>0</v>
      </c>
      <c r="N211" s="64">
        <f t="shared" si="89"/>
        <v>0</v>
      </c>
      <c r="O211" s="64">
        <f t="shared" si="89"/>
        <v>0</v>
      </c>
      <c r="P211" s="64">
        <f t="shared" si="89"/>
        <v>0</v>
      </c>
      <c r="Q211" s="64">
        <f t="shared" si="89"/>
        <v>0</v>
      </c>
      <c r="R211" s="64">
        <f t="shared" ref="R211:AE217" si="90">IF(VLOOKUP($D211,$C$6:$AE$651,R$2,)=0,0,((VLOOKUP($D211,$C$6:$AE$651,R$2,)/VLOOKUP($D211,$C$6:$AE$651,4,))*$F211))</f>
        <v>0</v>
      </c>
      <c r="S211" s="64">
        <f t="shared" si="90"/>
        <v>0</v>
      </c>
      <c r="T211" s="64">
        <f t="shared" si="90"/>
        <v>0</v>
      </c>
      <c r="U211" s="64">
        <f t="shared" si="90"/>
        <v>0</v>
      </c>
      <c r="V211" s="64">
        <f t="shared" si="90"/>
        <v>0</v>
      </c>
      <c r="W211" s="64">
        <f t="shared" si="90"/>
        <v>0</v>
      </c>
      <c r="X211" s="64">
        <f t="shared" si="90"/>
        <v>0</v>
      </c>
      <c r="Y211" s="64">
        <f t="shared" si="90"/>
        <v>0</v>
      </c>
      <c r="Z211" s="64">
        <f t="shared" si="90"/>
        <v>0</v>
      </c>
      <c r="AA211" s="64">
        <f t="shared" si="90"/>
        <v>0</v>
      </c>
      <c r="AB211" s="64">
        <f t="shared" si="90"/>
        <v>0</v>
      </c>
      <c r="AC211" s="64">
        <f t="shared" si="90"/>
        <v>0</v>
      </c>
      <c r="AD211" s="64">
        <f t="shared" si="90"/>
        <v>0</v>
      </c>
      <c r="AE211" s="64">
        <f t="shared" si="90"/>
        <v>0</v>
      </c>
      <c r="AF211" s="64">
        <f t="shared" ref="AF211:AF217" si="91">SUM(H211:AE211)</f>
        <v>68182202.219749004</v>
      </c>
      <c r="AG211" s="59" t="str">
        <f t="shared" ref="AG211:AG217" si="92">IF(ABS(AF211-F211)&lt;1,"ok","err")</f>
        <v>ok</v>
      </c>
    </row>
    <row r="212" spans="1:33" x14ac:dyDescent="0.25">
      <c r="A212" s="61">
        <v>555</v>
      </c>
      <c r="B212" s="45" t="s">
        <v>255</v>
      </c>
      <c r="C212" s="45" t="s">
        <v>256</v>
      </c>
      <c r="D212" s="45" t="s">
        <v>1008</v>
      </c>
      <c r="F212" s="80">
        <v>0</v>
      </c>
      <c r="G212" s="63"/>
      <c r="H212" s="64">
        <f t="shared" si="89"/>
        <v>0</v>
      </c>
      <c r="I212" s="64">
        <f t="shared" si="89"/>
        <v>0</v>
      </c>
      <c r="J212" s="64">
        <f t="shared" si="89"/>
        <v>0</v>
      </c>
      <c r="K212" s="64">
        <f t="shared" si="89"/>
        <v>0</v>
      </c>
      <c r="L212" s="64">
        <f t="shared" si="89"/>
        <v>0</v>
      </c>
      <c r="M212" s="64">
        <f t="shared" si="89"/>
        <v>0</v>
      </c>
      <c r="N212" s="64">
        <f t="shared" si="89"/>
        <v>0</v>
      </c>
      <c r="O212" s="64">
        <f t="shared" si="89"/>
        <v>0</v>
      </c>
      <c r="P212" s="64">
        <f t="shared" si="89"/>
        <v>0</v>
      </c>
      <c r="Q212" s="64">
        <f t="shared" si="89"/>
        <v>0</v>
      </c>
      <c r="R212" s="64">
        <f t="shared" si="90"/>
        <v>0</v>
      </c>
      <c r="S212" s="64">
        <f t="shared" si="90"/>
        <v>0</v>
      </c>
      <c r="T212" s="64">
        <f t="shared" si="90"/>
        <v>0</v>
      </c>
      <c r="U212" s="64">
        <f t="shared" si="90"/>
        <v>0</v>
      </c>
      <c r="V212" s="64">
        <f t="shared" si="90"/>
        <v>0</v>
      </c>
      <c r="W212" s="64">
        <f t="shared" si="90"/>
        <v>0</v>
      </c>
      <c r="X212" s="64">
        <f t="shared" si="90"/>
        <v>0</v>
      </c>
      <c r="Y212" s="64">
        <f t="shared" si="90"/>
        <v>0</v>
      </c>
      <c r="Z212" s="64">
        <f t="shared" si="90"/>
        <v>0</v>
      </c>
      <c r="AA212" s="64">
        <f t="shared" si="90"/>
        <v>0</v>
      </c>
      <c r="AB212" s="64">
        <f t="shared" si="90"/>
        <v>0</v>
      </c>
      <c r="AC212" s="64">
        <f t="shared" si="90"/>
        <v>0</v>
      </c>
      <c r="AD212" s="64">
        <f t="shared" si="90"/>
        <v>0</v>
      </c>
      <c r="AE212" s="64">
        <f t="shared" si="90"/>
        <v>0</v>
      </c>
      <c r="AF212" s="64">
        <f t="shared" si="91"/>
        <v>0</v>
      </c>
      <c r="AG212" s="59" t="str">
        <f t="shared" si="92"/>
        <v>ok</v>
      </c>
    </row>
    <row r="213" spans="1:33" x14ac:dyDescent="0.25">
      <c r="A213" s="61">
        <v>555</v>
      </c>
      <c r="B213" s="45" t="s">
        <v>257</v>
      </c>
      <c r="C213" s="45" t="s">
        <v>258</v>
      </c>
      <c r="D213" s="45" t="s">
        <v>1008</v>
      </c>
      <c r="F213" s="80">
        <v>0</v>
      </c>
      <c r="G213" s="63"/>
      <c r="H213" s="64">
        <f t="shared" si="89"/>
        <v>0</v>
      </c>
      <c r="I213" s="64">
        <f t="shared" si="89"/>
        <v>0</v>
      </c>
      <c r="J213" s="64">
        <f t="shared" si="89"/>
        <v>0</v>
      </c>
      <c r="K213" s="64">
        <f t="shared" si="89"/>
        <v>0</v>
      </c>
      <c r="L213" s="64">
        <f t="shared" si="89"/>
        <v>0</v>
      </c>
      <c r="M213" s="64">
        <f t="shared" si="89"/>
        <v>0</v>
      </c>
      <c r="N213" s="64">
        <f t="shared" si="89"/>
        <v>0</v>
      </c>
      <c r="O213" s="64">
        <f t="shared" si="89"/>
        <v>0</v>
      </c>
      <c r="P213" s="64">
        <f t="shared" si="89"/>
        <v>0</v>
      </c>
      <c r="Q213" s="64">
        <f t="shared" si="89"/>
        <v>0</v>
      </c>
      <c r="R213" s="64">
        <f t="shared" si="90"/>
        <v>0</v>
      </c>
      <c r="S213" s="64">
        <f t="shared" si="90"/>
        <v>0</v>
      </c>
      <c r="T213" s="64">
        <f t="shared" si="90"/>
        <v>0</v>
      </c>
      <c r="U213" s="64">
        <f t="shared" si="90"/>
        <v>0</v>
      </c>
      <c r="V213" s="64">
        <f t="shared" si="90"/>
        <v>0</v>
      </c>
      <c r="W213" s="64">
        <f t="shared" si="90"/>
        <v>0</v>
      </c>
      <c r="X213" s="64">
        <f t="shared" si="90"/>
        <v>0</v>
      </c>
      <c r="Y213" s="64">
        <f t="shared" si="90"/>
        <v>0</v>
      </c>
      <c r="Z213" s="64">
        <f t="shared" si="90"/>
        <v>0</v>
      </c>
      <c r="AA213" s="64">
        <f t="shared" si="90"/>
        <v>0</v>
      </c>
      <c r="AB213" s="64">
        <f t="shared" si="90"/>
        <v>0</v>
      </c>
      <c r="AC213" s="64">
        <f t="shared" si="90"/>
        <v>0</v>
      </c>
      <c r="AD213" s="64">
        <f t="shared" si="90"/>
        <v>0</v>
      </c>
      <c r="AE213" s="64">
        <f t="shared" si="90"/>
        <v>0</v>
      </c>
      <c r="AF213" s="64">
        <f t="shared" si="91"/>
        <v>0</v>
      </c>
      <c r="AG213" s="59" t="str">
        <f t="shared" si="92"/>
        <v>ok</v>
      </c>
    </row>
    <row r="214" spans="1:33" x14ac:dyDescent="0.25">
      <c r="A214" s="61">
        <v>555</v>
      </c>
      <c r="B214" s="45" t="s">
        <v>259</v>
      </c>
      <c r="C214" s="45" t="s">
        <v>260</v>
      </c>
      <c r="D214" s="45" t="s">
        <v>1008</v>
      </c>
      <c r="F214" s="80">
        <v>0</v>
      </c>
      <c r="G214" s="63"/>
      <c r="H214" s="64">
        <f t="shared" si="89"/>
        <v>0</v>
      </c>
      <c r="I214" s="64">
        <f t="shared" si="89"/>
        <v>0</v>
      </c>
      <c r="J214" s="64">
        <f t="shared" si="89"/>
        <v>0</v>
      </c>
      <c r="K214" s="64">
        <f t="shared" si="89"/>
        <v>0</v>
      </c>
      <c r="L214" s="64">
        <f t="shared" si="89"/>
        <v>0</v>
      </c>
      <c r="M214" s="64">
        <f t="shared" si="89"/>
        <v>0</v>
      </c>
      <c r="N214" s="64">
        <f t="shared" si="89"/>
        <v>0</v>
      </c>
      <c r="O214" s="64">
        <f t="shared" si="89"/>
        <v>0</v>
      </c>
      <c r="P214" s="64">
        <f t="shared" si="89"/>
        <v>0</v>
      </c>
      <c r="Q214" s="64">
        <f t="shared" si="89"/>
        <v>0</v>
      </c>
      <c r="R214" s="64">
        <f t="shared" si="90"/>
        <v>0</v>
      </c>
      <c r="S214" s="64">
        <f t="shared" si="90"/>
        <v>0</v>
      </c>
      <c r="T214" s="64">
        <f t="shared" si="90"/>
        <v>0</v>
      </c>
      <c r="U214" s="64">
        <f t="shared" si="90"/>
        <v>0</v>
      </c>
      <c r="V214" s="64">
        <f t="shared" si="90"/>
        <v>0</v>
      </c>
      <c r="W214" s="64">
        <f t="shared" si="90"/>
        <v>0</v>
      </c>
      <c r="X214" s="64">
        <f t="shared" si="90"/>
        <v>0</v>
      </c>
      <c r="Y214" s="64">
        <f t="shared" si="90"/>
        <v>0</v>
      </c>
      <c r="Z214" s="64">
        <f t="shared" si="90"/>
        <v>0</v>
      </c>
      <c r="AA214" s="64">
        <f t="shared" si="90"/>
        <v>0</v>
      </c>
      <c r="AB214" s="64">
        <f t="shared" si="90"/>
        <v>0</v>
      </c>
      <c r="AC214" s="64">
        <f t="shared" si="90"/>
        <v>0</v>
      </c>
      <c r="AD214" s="64">
        <f t="shared" si="90"/>
        <v>0</v>
      </c>
      <c r="AE214" s="64">
        <f t="shared" si="90"/>
        <v>0</v>
      </c>
      <c r="AF214" s="64">
        <f t="shared" si="91"/>
        <v>0</v>
      </c>
      <c r="AG214" s="59" t="str">
        <f t="shared" si="92"/>
        <v>ok</v>
      </c>
    </row>
    <row r="215" spans="1:33" x14ac:dyDescent="0.25">
      <c r="A215" s="61">
        <v>556</v>
      </c>
      <c r="B215" s="45" t="s">
        <v>261</v>
      </c>
      <c r="C215" s="45" t="s">
        <v>262</v>
      </c>
      <c r="D215" s="45" t="s">
        <v>653</v>
      </c>
      <c r="F215" s="80">
        <v>1363518</v>
      </c>
      <c r="G215" s="63"/>
      <c r="H215" s="64">
        <f t="shared" si="89"/>
        <v>477093.80898876407</v>
      </c>
      <c r="I215" s="64">
        <f t="shared" si="89"/>
        <v>464910.78195036948</v>
      </c>
      <c r="J215" s="64">
        <f t="shared" si="89"/>
        <v>421513.40906086646</v>
      </c>
      <c r="K215" s="64">
        <f t="shared" si="89"/>
        <v>0</v>
      </c>
      <c r="L215" s="64">
        <f t="shared" si="89"/>
        <v>0</v>
      </c>
      <c r="M215" s="64">
        <f t="shared" si="89"/>
        <v>0</v>
      </c>
      <c r="N215" s="64">
        <f t="shared" si="89"/>
        <v>0</v>
      </c>
      <c r="O215" s="64">
        <f t="shared" si="89"/>
        <v>0</v>
      </c>
      <c r="P215" s="64">
        <f t="shared" si="89"/>
        <v>0</v>
      </c>
      <c r="Q215" s="64">
        <f t="shared" si="89"/>
        <v>0</v>
      </c>
      <c r="R215" s="64">
        <f t="shared" si="90"/>
        <v>0</v>
      </c>
      <c r="S215" s="64">
        <f t="shared" si="90"/>
        <v>0</v>
      </c>
      <c r="T215" s="64">
        <f t="shared" si="90"/>
        <v>0</v>
      </c>
      <c r="U215" s="64">
        <f t="shared" si="90"/>
        <v>0</v>
      </c>
      <c r="V215" s="64">
        <f t="shared" si="90"/>
        <v>0</v>
      </c>
      <c r="W215" s="64">
        <f t="shared" si="90"/>
        <v>0</v>
      </c>
      <c r="X215" s="64">
        <f t="shared" si="90"/>
        <v>0</v>
      </c>
      <c r="Y215" s="64">
        <f t="shared" si="90"/>
        <v>0</v>
      </c>
      <c r="Z215" s="64">
        <f t="shared" si="90"/>
        <v>0</v>
      </c>
      <c r="AA215" s="64">
        <f t="shared" si="90"/>
        <v>0</v>
      </c>
      <c r="AB215" s="64">
        <f t="shared" si="90"/>
        <v>0</v>
      </c>
      <c r="AC215" s="64">
        <f t="shared" si="90"/>
        <v>0</v>
      </c>
      <c r="AD215" s="64">
        <f t="shared" si="90"/>
        <v>0</v>
      </c>
      <c r="AE215" s="64">
        <f t="shared" si="90"/>
        <v>0</v>
      </c>
      <c r="AF215" s="64">
        <f t="shared" si="91"/>
        <v>1363518</v>
      </c>
      <c r="AG215" s="59" t="str">
        <f t="shared" si="92"/>
        <v>ok</v>
      </c>
    </row>
    <row r="216" spans="1:33" x14ac:dyDescent="0.25">
      <c r="A216" s="61">
        <v>557</v>
      </c>
      <c r="B216" s="45" t="s">
        <v>7</v>
      </c>
      <c r="C216" s="45" t="s">
        <v>8</v>
      </c>
      <c r="D216" s="45" t="s">
        <v>653</v>
      </c>
      <c r="F216" s="80">
        <v>894455</v>
      </c>
      <c r="G216" s="63"/>
      <c r="H216" s="64">
        <f t="shared" si="89"/>
        <v>312969.05718813022</v>
      </c>
      <c r="I216" s="64">
        <f t="shared" si="89"/>
        <v>304977.10589036433</v>
      </c>
      <c r="J216" s="64">
        <f t="shared" si="89"/>
        <v>276508.83692150546</v>
      </c>
      <c r="K216" s="64">
        <f t="shared" si="89"/>
        <v>0</v>
      </c>
      <c r="L216" s="64">
        <f t="shared" si="89"/>
        <v>0</v>
      </c>
      <c r="M216" s="64">
        <f t="shared" si="89"/>
        <v>0</v>
      </c>
      <c r="N216" s="64">
        <f t="shared" si="89"/>
        <v>0</v>
      </c>
      <c r="O216" s="64">
        <f t="shared" si="89"/>
        <v>0</v>
      </c>
      <c r="P216" s="64">
        <f t="shared" si="89"/>
        <v>0</v>
      </c>
      <c r="Q216" s="64">
        <f t="shared" si="89"/>
        <v>0</v>
      </c>
      <c r="R216" s="64">
        <f t="shared" si="90"/>
        <v>0</v>
      </c>
      <c r="S216" s="64">
        <f t="shared" si="90"/>
        <v>0</v>
      </c>
      <c r="T216" s="64">
        <f t="shared" si="90"/>
        <v>0</v>
      </c>
      <c r="U216" s="64">
        <f t="shared" si="90"/>
        <v>0</v>
      </c>
      <c r="V216" s="64">
        <f t="shared" si="90"/>
        <v>0</v>
      </c>
      <c r="W216" s="64">
        <f t="shared" si="90"/>
        <v>0</v>
      </c>
      <c r="X216" s="64">
        <f t="shared" si="90"/>
        <v>0</v>
      </c>
      <c r="Y216" s="64">
        <f t="shared" si="90"/>
        <v>0</v>
      </c>
      <c r="Z216" s="64">
        <f t="shared" si="90"/>
        <v>0</v>
      </c>
      <c r="AA216" s="64">
        <f t="shared" si="90"/>
        <v>0</v>
      </c>
      <c r="AB216" s="64">
        <f t="shared" si="90"/>
        <v>0</v>
      </c>
      <c r="AC216" s="64">
        <f t="shared" si="90"/>
        <v>0</v>
      </c>
      <c r="AD216" s="64">
        <f t="shared" si="90"/>
        <v>0</v>
      </c>
      <c r="AE216" s="64">
        <f t="shared" si="90"/>
        <v>0</v>
      </c>
      <c r="AF216" s="64">
        <f>SUM(H216:AE216)</f>
        <v>894455</v>
      </c>
      <c r="AG216" s="59" t="str">
        <f t="shared" si="92"/>
        <v>ok</v>
      </c>
    </row>
    <row r="217" spans="1:33" x14ac:dyDescent="0.25">
      <c r="A217" s="61">
        <v>558</v>
      </c>
      <c r="B217" s="45" t="s">
        <v>672</v>
      </c>
      <c r="C217" s="45" t="s">
        <v>602</v>
      </c>
      <c r="D217" s="45" t="s">
        <v>952</v>
      </c>
      <c r="F217" s="80">
        <v>0</v>
      </c>
      <c r="G217" s="63"/>
      <c r="H217" s="64">
        <f t="shared" si="89"/>
        <v>0</v>
      </c>
      <c r="I217" s="64">
        <f t="shared" si="89"/>
        <v>0</v>
      </c>
      <c r="J217" s="64">
        <f t="shared" si="89"/>
        <v>0</v>
      </c>
      <c r="K217" s="64">
        <f t="shared" si="89"/>
        <v>0</v>
      </c>
      <c r="L217" s="64">
        <f t="shared" si="89"/>
        <v>0</v>
      </c>
      <c r="M217" s="64">
        <f t="shared" si="89"/>
        <v>0</v>
      </c>
      <c r="N217" s="64">
        <f t="shared" si="89"/>
        <v>0</v>
      </c>
      <c r="O217" s="64">
        <f t="shared" si="89"/>
        <v>0</v>
      </c>
      <c r="P217" s="64">
        <f t="shared" si="89"/>
        <v>0</v>
      </c>
      <c r="Q217" s="64">
        <f t="shared" si="89"/>
        <v>0</v>
      </c>
      <c r="R217" s="64">
        <f t="shared" si="90"/>
        <v>0</v>
      </c>
      <c r="S217" s="64">
        <f t="shared" si="90"/>
        <v>0</v>
      </c>
      <c r="T217" s="64">
        <f t="shared" si="90"/>
        <v>0</v>
      </c>
      <c r="U217" s="64">
        <f t="shared" si="90"/>
        <v>0</v>
      </c>
      <c r="V217" s="64">
        <f t="shared" si="90"/>
        <v>0</v>
      </c>
      <c r="W217" s="64">
        <f t="shared" si="90"/>
        <v>0</v>
      </c>
      <c r="X217" s="64">
        <f t="shared" si="90"/>
        <v>0</v>
      </c>
      <c r="Y217" s="64">
        <f t="shared" si="90"/>
        <v>0</v>
      </c>
      <c r="Z217" s="64">
        <f t="shared" si="90"/>
        <v>0</v>
      </c>
      <c r="AA217" s="64">
        <f t="shared" si="90"/>
        <v>0</v>
      </c>
      <c r="AB217" s="64">
        <f t="shared" si="90"/>
        <v>0</v>
      </c>
      <c r="AC217" s="64">
        <f t="shared" si="90"/>
        <v>0</v>
      </c>
      <c r="AD217" s="64">
        <f t="shared" si="90"/>
        <v>0</v>
      </c>
      <c r="AE217" s="64">
        <f t="shared" si="90"/>
        <v>0</v>
      </c>
      <c r="AF217" s="64">
        <f t="shared" si="91"/>
        <v>0</v>
      </c>
      <c r="AG217" s="59" t="str">
        <f t="shared" si="92"/>
        <v>ok</v>
      </c>
    </row>
    <row r="218" spans="1:33" x14ac:dyDescent="0.25">
      <c r="A218" s="61"/>
      <c r="F218" s="80"/>
      <c r="G218" s="63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59"/>
    </row>
    <row r="219" spans="1:33" x14ac:dyDescent="0.25">
      <c r="A219" s="61"/>
      <c r="B219" s="45" t="s">
        <v>276</v>
      </c>
      <c r="C219" s="45" t="s">
        <v>9</v>
      </c>
      <c r="F219" s="77">
        <f>SUM(F211:F218)</f>
        <v>70440175.219749004</v>
      </c>
      <c r="G219" s="63"/>
      <c r="H219" s="63">
        <f t="shared" ref="H219:M219" si="93">SUM(H211:H218)</f>
        <v>7962826.5201813942</v>
      </c>
      <c r="I219" s="63">
        <f t="shared" si="93"/>
        <v>7759488.4575831015</v>
      </c>
      <c r="J219" s="63">
        <f t="shared" si="93"/>
        <v>7035174.4018564345</v>
      </c>
      <c r="K219" s="63">
        <f t="shared" si="93"/>
        <v>47682685.840128072</v>
      </c>
      <c r="L219" s="63">
        <f t="shared" si="93"/>
        <v>0</v>
      </c>
      <c r="M219" s="63">
        <f t="shared" si="93"/>
        <v>0</v>
      </c>
      <c r="N219" s="63">
        <f>SUM(N211:N218)</f>
        <v>0</v>
      </c>
      <c r="O219" s="63">
        <f>SUM(O211:O218)</f>
        <v>0</v>
      </c>
      <c r="P219" s="63">
        <f>SUM(P211:P218)</f>
        <v>0</v>
      </c>
      <c r="Q219" s="63">
        <f t="shared" ref="Q219:AB219" si="94">SUM(Q211:Q218)</f>
        <v>0</v>
      </c>
      <c r="R219" s="63">
        <f t="shared" si="94"/>
        <v>0</v>
      </c>
      <c r="S219" s="63">
        <f t="shared" si="94"/>
        <v>0</v>
      </c>
      <c r="T219" s="63">
        <f t="shared" si="94"/>
        <v>0</v>
      </c>
      <c r="U219" s="63">
        <f t="shared" si="94"/>
        <v>0</v>
      </c>
      <c r="V219" s="63">
        <f t="shared" si="94"/>
        <v>0</v>
      </c>
      <c r="W219" s="63">
        <f t="shared" si="94"/>
        <v>0</v>
      </c>
      <c r="X219" s="63">
        <f t="shared" si="94"/>
        <v>0</v>
      </c>
      <c r="Y219" s="63">
        <f t="shared" si="94"/>
        <v>0</v>
      </c>
      <c r="Z219" s="63">
        <f t="shared" si="94"/>
        <v>0</v>
      </c>
      <c r="AA219" s="63">
        <f t="shared" si="94"/>
        <v>0</v>
      </c>
      <c r="AB219" s="63">
        <f t="shared" si="94"/>
        <v>0</v>
      </c>
      <c r="AC219" s="63">
        <f>SUM(AC211:AC218)</f>
        <v>0</v>
      </c>
      <c r="AD219" s="63">
        <f>SUM(AD211:AD218)</f>
        <v>0</v>
      </c>
      <c r="AE219" s="63">
        <f>SUM(AE211:AE218)</f>
        <v>0</v>
      </c>
      <c r="AF219" s="64">
        <f>SUM(H219:AE219)</f>
        <v>70440175.219749004</v>
      </c>
      <c r="AG219" s="59" t="str">
        <f>IF(ABS(AF219-F219)&lt;1,"ok","err")</f>
        <v>ok</v>
      </c>
    </row>
    <row r="220" spans="1:33" x14ac:dyDescent="0.25">
      <c r="A220" s="61"/>
      <c r="F220" s="77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4"/>
      <c r="AG220" s="59"/>
    </row>
    <row r="221" spans="1:33" x14ac:dyDescent="0.25">
      <c r="A221" s="61"/>
      <c r="B221" s="45" t="s">
        <v>263</v>
      </c>
      <c r="F221" s="77">
        <f>F208+F219</f>
        <v>530627040.16695869</v>
      </c>
      <c r="G221" s="63"/>
      <c r="H221" s="63">
        <f t="shared" ref="H221:M221" si="95">H208+H219</f>
        <v>25854185.017924398</v>
      </c>
      <c r="I221" s="63">
        <f t="shared" si="95"/>
        <v>25193974.742304482</v>
      </c>
      <c r="J221" s="63">
        <f t="shared" si="95"/>
        <v>22842228.216070492</v>
      </c>
      <c r="K221" s="63">
        <f t="shared" si="95"/>
        <v>456736652.19065928</v>
      </c>
      <c r="L221" s="63">
        <f t="shared" si="95"/>
        <v>0</v>
      </c>
      <c r="M221" s="63">
        <f t="shared" si="95"/>
        <v>0</v>
      </c>
      <c r="N221" s="63">
        <f>N208+N219</f>
        <v>0</v>
      </c>
      <c r="O221" s="63">
        <f>O208+O219</f>
        <v>0</v>
      </c>
      <c r="P221" s="63">
        <f>P208+P219</f>
        <v>0</v>
      </c>
      <c r="Q221" s="63">
        <f t="shared" ref="Q221:AB221" si="96">Q208+Q219</f>
        <v>0</v>
      </c>
      <c r="R221" s="63">
        <f t="shared" si="96"/>
        <v>0</v>
      </c>
      <c r="S221" s="63">
        <f t="shared" si="96"/>
        <v>0</v>
      </c>
      <c r="T221" s="63">
        <f t="shared" si="96"/>
        <v>0</v>
      </c>
      <c r="U221" s="63">
        <f t="shared" si="96"/>
        <v>0</v>
      </c>
      <c r="V221" s="63">
        <f t="shared" si="96"/>
        <v>0</v>
      </c>
      <c r="W221" s="63">
        <f t="shared" si="96"/>
        <v>0</v>
      </c>
      <c r="X221" s="63">
        <f t="shared" si="96"/>
        <v>0</v>
      </c>
      <c r="Y221" s="63">
        <f t="shared" si="96"/>
        <v>0</v>
      </c>
      <c r="Z221" s="63">
        <f t="shared" si="96"/>
        <v>0</v>
      </c>
      <c r="AA221" s="63">
        <f t="shared" si="96"/>
        <v>0</v>
      </c>
      <c r="AB221" s="63">
        <f t="shared" si="96"/>
        <v>0</v>
      </c>
      <c r="AC221" s="63">
        <f>AC208+AC219</f>
        <v>0</v>
      </c>
      <c r="AD221" s="63">
        <f>AD208+AD219</f>
        <v>0</v>
      </c>
      <c r="AE221" s="63">
        <f>AE208+AE219</f>
        <v>0</v>
      </c>
      <c r="AF221" s="64">
        <f>SUM(H221:AE221)</f>
        <v>530627040.16695869</v>
      </c>
      <c r="AG221" s="59" t="str">
        <f>IF(ABS(AF221-F221)&lt;1,"ok","err")</f>
        <v>ok</v>
      </c>
    </row>
    <row r="222" spans="1:33" x14ac:dyDescent="0.25">
      <c r="A222" s="61"/>
      <c r="F222" s="77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4"/>
      <c r="AG222" s="59"/>
    </row>
    <row r="223" spans="1:33" x14ac:dyDescent="0.25">
      <c r="A223" s="66" t="s">
        <v>1166</v>
      </c>
      <c r="F223" s="77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4"/>
      <c r="AG223" s="59"/>
    </row>
    <row r="224" spans="1:33" x14ac:dyDescent="0.25">
      <c r="A224" s="61">
        <v>560</v>
      </c>
      <c r="B224" s="45" t="s">
        <v>1169</v>
      </c>
      <c r="C224" s="45" t="s">
        <v>11</v>
      </c>
      <c r="D224" s="45" t="s">
        <v>673</v>
      </c>
      <c r="F224" s="77">
        <v>929789</v>
      </c>
      <c r="G224" s="63"/>
      <c r="H224" s="64">
        <f t="shared" ref="H224:Q237" si="97">IF(VLOOKUP($D224,$C$6:$AE$651,H$2,)=0,0,((VLOOKUP($D224,$C$6:$AE$651,H$2,)/VLOOKUP($D224,$C$6:$AE$651,4,))*$F224))</f>
        <v>0</v>
      </c>
      <c r="I224" s="64">
        <f t="shared" si="97"/>
        <v>0</v>
      </c>
      <c r="J224" s="64">
        <f t="shared" si="97"/>
        <v>0</v>
      </c>
      <c r="K224" s="64">
        <f t="shared" si="97"/>
        <v>0</v>
      </c>
      <c r="L224" s="64">
        <f t="shared" si="97"/>
        <v>0</v>
      </c>
      <c r="M224" s="64">
        <f t="shared" si="97"/>
        <v>0</v>
      </c>
      <c r="N224" s="64">
        <f t="shared" si="97"/>
        <v>325332.39426678192</v>
      </c>
      <c r="O224" s="64">
        <f t="shared" si="97"/>
        <v>317024.7338420556</v>
      </c>
      <c r="P224" s="64">
        <f t="shared" si="97"/>
        <v>287431.87189116242</v>
      </c>
      <c r="Q224" s="64">
        <f t="shared" si="97"/>
        <v>0</v>
      </c>
      <c r="R224" s="64">
        <f t="shared" ref="R224:AE237" si="98">IF(VLOOKUP($D224,$C$6:$AE$651,R$2,)=0,0,((VLOOKUP($D224,$C$6:$AE$651,R$2,)/VLOOKUP($D224,$C$6:$AE$651,4,))*$F224))</f>
        <v>0</v>
      </c>
      <c r="S224" s="64">
        <f t="shared" si="98"/>
        <v>0</v>
      </c>
      <c r="T224" s="64">
        <f t="shared" si="98"/>
        <v>0</v>
      </c>
      <c r="U224" s="64">
        <f t="shared" si="98"/>
        <v>0</v>
      </c>
      <c r="V224" s="64">
        <f t="shared" si="98"/>
        <v>0</v>
      </c>
      <c r="W224" s="64">
        <f t="shared" si="98"/>
        <v>0</v>
      </c>
      <c r="X224" s="64">
        <f t="shared" si="98"/>
        <v>0</v>
      </c>
      <c r="Y224" s="64">
        <f t="shared" si="98"/>
        <v>0</v>
      </c>
      <c r="Z224" s="64">
        <f t="shared" si="98"/>
        <v>0</v>
      </c>
      <c r="AA224" s="64">
        <f t="shared" si="98"/>
        <v>0</v>
      </c>
      <c r="AB224" s="64">
        <f t="shared" si="98"/>
        <v>0</v>
      </c>
      <c r="AC224" s="64">
        <f t="shared" si="98"/>
        <v>0</v>
      </c>
      <c r="AD224" s="64">
        <f t="shared" si="98"/>
        <v>0</v>
      </c>
      <c r="AE224" s="64">
        <f t="shared" si="98"/>
        <v>0</v>
      </c>
      <c r="AF224" s="64">
        <f t="shared" ref="AF224:AF229" si="99">SUM(H224:AE224)</f>
        <v>929789</v>
      </c>
      <c r="AG224" s="59" t="str">
        <f t="shared" ref="AG224:AG237" si="100">IF(ABS(AF224-F224)&lt;1,"ok","err")</f>
        <v>ok</v>
      </c>
    </row>
    <row r="225" spans="1:33" x14ac:dyDescent="0.25">
      <c r="A225" s="61">
        <v>561</v>
      </c>
      <c r="B225" s="45" t="s">
        <v>1012</v>
      </c>
      <c r="C225" s="45" t="s">
        <v>12</v>
      </c>
      <c r="D225" s="45" t="s">
        <v>673</v>
      </c>
      <c r="F225" s="80">
        <v>2007357</v>
      </c>
      <c r="G225" s="63"/>
      <c r="H225" s="64">
        <f t="shared" si="97"/>
        <v>0</v>
      </c>
      <c r="I225" s="64">
        <f t="shared" si="97"/>
        <v>0</v>
      </c>
      <c r="J225" s="64">
        <f t="shared" si="97"/>
        <v>0</v>
      </c>
      <c r="K225" s="64">
        <f t="shared" si="97"/>
        <v>0</v>
      </c>
      <c r="L225" s="64">
        <f t="shared" si="97"/>
        <v>0</v>
      </c>
      <c r="M225" s="64">
        <f t="shared" si="97"/>
        <v>0</v>
      </c>
      <c r="N225" s="64">
        <f t="shared" si="97"/>
        <v>702372.53716508206</v>
      </c>
      <c r="O225" s="64">
        <f t="shared" si="97"/>
        <v>684436.81163251796</v>
      </c>
      <c r="P225" s="64">
        <f t="shared" si="97"/>
        <v>620547.65120239975</v>
      </c>
      <c r="Q225" s="64">
        <f t="shared" si="97"/>
        <v>0</v>
      </c>
      <c r="R225" s="64">
        <f t="shared" si="98"/>
        <v>0</v>
      </c>
      <c r="S225" s="64">
        <f t="shared" si="98"/>
        <v>0</v>
      </c>
      <c r="T225" s="64">
        <f t="shared" si="98"/>
        <v>0</v>
      </c>
      <c r="U225" s="64">
        <f t="shared" si="98"/>
        <v>0</v>
      </c>
      <c r="V225" s="64">
        <f t="shared" si="98"/>
        <v>0</v>
      </c>
      <c r="W225" s="64">
        <f t="shared" si="98"/>
        <v>0</v>
      </c>
      <c r="X225" s="64">
        <f t="shared" si="98"/>
        <v>0</v>
      </c>
      <c r="Y225" s="64">
        <f t="shared" si="98"/>
        <v>0</v>
      </c>
      <c r="Z225" s="64">
        <f t="shared" si="98"/>
        <v>0</v>
      </c>
      <c r="AA225" s="64">
        <f t="shared" si="98"/>
        <v>0</v>
      </c>
      <c r="AB225" s="64">
        <f t="shared" si="98"/>
        <v>0</v>
      </c>
      <c r="AC225" s="64">
        <f t="shared" si="98"/>
        <v>0</v>
      </c>
      <c r="AD225" s="64">
        <f t="shared" si="98"/>
        <v>0</v>
      </c>
      <c r="AE225" s="64">
        <f t="shared" si="98"/>
        <v>0</v>
      </c>
      <c r="AF225" s="64">
        <f t="shared" si="99"/>
        <v>2007356.9999999998</v>
      </c>
      <c r="AG225" s="59" t="str">
        <f t="shared" si="100"/>
        <v>ok</v>
      </c>
    </row>
    <row r="226" spans="1:33" x14ac:dyDescent="0.25">
      <c r="A226" s="61">
        <v>562</v>
      </c>
      <c r="B226" s="45" t="s">
        <v>1167</v>
      </c>
      <c r="C226" s="45" t="s">
        <v>13</v>
      </c>
      <c r="D226" s="45" t="s">
        <v>673</v>
      </c>
      <c r="F226" s="80">
        <v>1406594</v>
      </c>
      <c r="G226" s="63"/>
      <c r="H226" s="64">
        <f t="shared" si="97"/>
        <v>0</v>
      </c>
      <c r="I226" s="64">
        <f t="shared" si="97"/>
        <v>0</v>
      </c>
      <c r="J226" s="64">
        <f t="shared" si="97"/>
        <v>0</v>
      </c>
      <c r="K226" s="64">
        <f t="shared" si="97"/>
        <v>0</v>
      </c>
      <c r="L226" s="64">
        <f t="shared" si="97"/>
        <v>0</v>
      </c>
      <c r="M226" s="64">
        <f t="shared" si="97"/>
        <v>0</v>
      </c>
      <c r="N226" s="64">
        <f t="shared" si="97"/>
        <v>492166.06539902044</v>
      </c>
      <c r="O226" s="64">
        <f t="shared" si="97"/>
        <v>479598.15449938894</v>
      </c>
      <c r="P226" s="64">
        <f t="shared" si="97"/>
        <v>434829.78010159044</v>
      </c>
      <c r="Q226" s="64">
        <f t="shared" si="97"/>
        <v>0</v>
      </c>
      <c r="R226" s="64">
        <f t="shared" si="98"/>
        <v>0</v>
      </c>
      <c r="S226" s="64">
        <f t="shared" si="98"/>
        <v>0</v>
      </c>
      <c r="T226" s="64">
        <f t="shared" si="98"/>
        <v>0</v>
      </c>
      <c r="U226" s="64">
        <f t="shared" si="98"/>
        <v>0</v>
      </c>
      <c r="V226" s="64">
        <f t="shared" si="98"/>
        <v>0</v>
      </c>
      <c r="W226" s="64">
        <f t="shared" si="98"/>
        <v>0</v>
      </c>
      <c r="X226" s="64">
        <f t="shared" si="98"/>
        <v>0</v>
      </c>
      <c r="Y226" s="64">
        <f t="shared" si="98"/>
        <v>0</v>
      </c>
      <c r="Z226" s="64">
        <f t="shared" si="98"/>
        <v>0</v>
      </c>
      <c r="AA226" s="64">
        <f t="shared" si="98"/>
        <v>0</v>
      </c>
      <c r="AB226" s="64">
        <f t="shared" si="98"/>
        <v>0</v>
      </c>
      <c r="AC226" s="64">
        <f t="shared" si="98"/>
        <v>0</v>
      </c>
      <c r="AD226" s="64">
        <f t="shared" si="98"/>
        <v>0</v>
      </c>
      <c r="AE226" s="64">
        <f t="shared" si="98"/>
        <v>0</v>
      </c>
      <c r="AF226" s="64">
        <f t="shared" si="99"/>
        <v>1406594</v>
      </c>
      <c r="AG226" s="59" t="str">
        <f t="shared" si="100"/>
        <v>ok</v>
      </c>
    </row>
    <row r="227" spans="1:33" x14ac:dyDescent="0.25">
      <c r="A227" s="61">
        <v>563</v>
      </c>
      <c r="B227" s="45" t="s">
        <v>1014</v>
      </c>
      <c r="C227" s="45" t="s">
        <v>14</v>
      </c>
      <c r="D227" s="45" t="s">
        <v>673</v>
      </c>
      <c r="F227" s="80">
        <v>479295</v>
      </c>
      <c r="G227" s="63"/>
      <c r="H227" s="64">
        <f t="shared" si="97"/>
        <v>0</v>
      </c>
      <c r="I227" s="64">
        <f t="shared" si="97"/>
        <v>0</v>
      </c>
      <c r="J227" s="64">
        <f t="shared" si="97"/>
        <v>0</v>
      </c>
      <c r="K227" s="64">
        <f t="shared" si="97"/>
        <v>0</v>
      </c>
      <c r="L227" s="64">
        <f t="shared" si="97"/>
        <v>0</v>
      </c>
      <c r="M227" s="64">
        <f t="shared" si="97"/>
        <v>0</v>
      </c>
      <c r="N227" s="64">
        <f t="shared" si="97"/>
        <v>167704.92005185827</v>
      </c>
      <c r="O227" s="64">
        <f t="shared" si="97"/>
        <v>163422.42143844251</v>
      </c>
      <c r="P227" s="64">
        <f t="shared" si="97"/>
        <v>148167.65850969916</v>
      </c>
      <c r="Q227" s="64">
        <f t="shared" si="97"/>
        <v>0</v>
      </c>
      <c r="R227" s="64">
        <f t="shared" si="98"/>
        <v>0</v>
      </c>
      <c r="S227" s="64">
        <f t="shared" si="98"/>
        <v>0</v>
      </c>
      <c r="T227" s="64">
        <f t="shared" si="98"/>
        <v>0</v>
      </c>
      <c r="U227" s="64">
        <f t="shared" si="98"/>
        <v>0</v>
      </c>
      <c r="V227" s="64">
        <f t="shared" si="98"/>
        <v>0</v>
      </c>
      <c r="W227" s="64">
        <f t="shared" si="98"/>
        <v>0</v>
      </c>
      <c r="X227" s="64">
        <f t="shared" si="98"/>
        <v>0</v>
      </c>
      <c r="Y227" s="64">
        <f t="shared" si="98"/>
        <v>0</v>
      </c>
      <c r="Z227" s="64">
        <f t="shared" si="98"/>
        <v>0</v>
      </c>
      <c r="AA227" s="64">
        <f t="shared" si="98"/>
        <v>0</v>
      </c>
      <c r="AB227" s="64">
        <f t="shared" si="98"/>
        <v>0</v>
      </c>
      <c r="AC227" s="64">
        <f t="shared" si="98"/>
        <v>0</v>
      </c>
      <c r="AD227" s="64">
        <f t="shared" si="98"/>
        <v>0</v>
      </c>
      <c r="AE227" s="64">
        <f t="shared" si="98"/>
        <v>0</v>
      </c>
      <c r="AF227" s="64">
        <f t="shared" si="99"/>
        <v>479294.99999999994</v>
      </c>
      <c r="AG227" s="59" t="str">
        <f t="shared" si="100"/>
        <v>ok</v>
      </c>
    </row>
    <row r="228" spans="1:33" x14ac:dyDescent="0.25">
      <c r="A228" s="61">
        <v>565</v>
      </c>
      <c r="B228" s="45" t="s">
        <v>264</v>
      </c>
      <c r="C228" s="45" t="s">
        <v>265</v>
      </c>
      <c r="D228" s="45" t="s">
        <v>673</v>
      </c>
      <c r="F228" s="80">
        <v>1163326.9999999988</v>
      </c>
      <c r="G228" s="63"/>
      <c r="H228" s="64">
        <f t="shared" si="97"/>
        <v>0</v>
      </c>
      <c r="I228" s="64">
        <f t="shared" si="97"/>
        <v>0</v>
      </c>
      <c r="J228" s="64">
        <f t="shared" si="97"/>
        <v>0</v>
      </c>
      <c r="K228" s="64">
        <f t="shared" si="97"/>
        <v>0</v>
      </c>
      <c r="L228" s="64">
        <f t="shared" si="97"/>
        <v>0</v>
      </c>
      <c r="M228" s="64">
        <f t="shared" si="97"/>
        <v>0</v>
      </c>
      <c r="N228" s="64">
        <f t="shared" si="97"/>
        <v>407047.1453471618</v>
      </c>
      <c r="O228" s="64">
        <f t="shared" si="97"/>
        <v>396652.82397003693</v>
      </c>
      <c r="P228" s="64">
        <f t="shared" si="97"/>
        <v>359627.03068279999</v>
      </c>
      <c r="Q228" s="64">
        <f t="shared" si="97"/>
        <v>0</v>
      </c>
      <c r="R228" s="64">
        <f t="shared" si="98"/>
        <v>0</v>
      </c>
      <c r="S228" s="64">
        <f t="shared" si="98"/>
        <v>0</v>
      </c>
      <c r="T228" s="64">
        <f t="shared" si="98"/>
        <v>0</v>
      </c>
      <c r="U228" s="64">
        <f t="shared" si="98"/>
        <v>0</v>
      </c>
      <c r="V228" s="64">
        <f t="shared" si="98"/>
        <v>0</v>
      </c>
      <c r="W228" s="64">
        <f t="shared" si="98"/>
        <v>0</v>
      </c>
      <c r="X228" s="64">
        <f t="shared" si="98"/>
        <v>0</v>
      </c>
      <c r="Y228" s="64">
        <f t="shared" si="98"/>
        <v>0</v>
      </c>
      <c r="Z228" s="64">
        <f t="shared" si="98"/>
        <v>0</v>
      </c>
      <c r="AA228" s="64">
        <f t="shared" si="98"/>
        <v>0</v>
      </c>
      <c r="AB228" s="64">
        <f t="shared" si="98"/>
        <v>0</v>
      </c>
      <c r="AC228" s="64">
        <f t="shared" si="98"/>
        <v>0</v>
      </c>
      <c r="AD228" s="64">
        <f t="shared" si="98"/>
        <v>0</v>
      </c>
      <c r="AE228" s="64">
        <f t="shared" si="98"/>
        <v>0</v>
      </c>
      <c r="AF228" s="64">
        <f t="shared" si="99"/>
        <v>1163326.9999999986</v>
      </c>
      <c r="AG228" s="59" t="str">
        <f t="shared" si="100"/>
        <v>ok</v>
      </c>
    </row>
    <row r="229" spans="1:33" x14ac:dyDescent="0.25">
      <c r="A229" s="61">
        <v>566</v>
      </c>
      <c r="B229" s="45" t="s">
        <v>148</v>
      </c>
      <c r="C229" s="45" t="s">
        <v>149</v>
      </c>
      <c r="D229" s="45" t="s">
        <v>1184</v>
      </c>
      <c r="F229" s="80">
        <v>5752859.9999999991</v>
      </c>
      <c r="G229" s="63"/>
      <c r="H229" s="64">
        <f t="shared" si="97"/>
        <v>0</v>
      </c>
      <c r="I229" s="64">
        <f t="shared" si="97"/>
        <v>0</v>
      </c>
      <c r="J229" s="64">
        <f t="shared" si="97"/>
        <v>0</v>
      </c>
      <c r="K229" s="64">
        <f t="shared" si="97"/>
        <v>0</v>
      </c>
      <c r="L229" s="64">
        <f t="shared" si="97"/>
        <v>0</v>
      </c>
      <c r="M229" s="64">
        <f t="shared" si="97"/>
        <v>0</v>
      </c>
      <c r="N229" s="64">
        <f t="shared" si="97"/>
        <v>2012920.9075194465</v>
      </c>
      <c r="O229" s="64">
        <f t="shared" si="97"/>
        <v>1961519.1299645489</v>
      </c>
      <c r="P229" s="64">
        <f t="shared" si="97"/>
        <v>1778419.9625160033</v>
      </c>
      <c r="Q229" s="64">
        <f t="shared" si="97"/>
        <v>0</v>
      </c>
      <c r="R229" s="64">
        <f t="shared" si="98"/>
        <v>0</v>
      </c>
      <c r="S229" s="64">
        <f t="shared" si="98"/>
        <v>0</v>
      </c>
      <c r="T229" s="64">
        <f t="shared" si="98"/>
        <v>0</v>
      </c>
      <c r="U229" s="64">
        <f t="shared" si="98"/>
        <v>0</v>
      </c>
      <c r="V229" s="64">
        <f t="shared" si="98"/>
        <v>0</v>
      </c>
      <c r="W229" s="64">
        <f t="shared" si="98"/>
        <v>0</v>
      </c>
      <c r="X229" s="64">
        <f t="shared" si="98"/>
        <v>0</v>
      </c>
      <c r="Y229" s="64">
        <f t="shared" si="98"/>
        <v>0</v>
      </c>
      <c r="Z229" s="64">
        <f t="shared" si="98"/>
        <v>0</v>
      </c>
      <c r="AA229" s="64">
        <f t="shared" si="98"/>
        <v>0</v>
      </c>
      <c r="AB229" s="64">
        <f t="shared" si="98"/>
        <v>0</v>
      </c>
      <c r="AC229" s="64">
        <f t="shared" si="98"/>
        <v>0</v>
      </c>
      <c r="AD229" s="64">
        <f t="shared" si="98"/>
        <v>0</v>
      </c>
      <c r="AE229" s="64">
        <f t="shared" si="98"/>
        <v>0</v>
      </c>
      <c r="AF229" s="64">
        <f t="shared" si="99"/>
        <v>5752859.9999999981</v>
      </c>
      <c r="AG229" s="59" t="str">
        <f t="shared" si="100"/>
        <v>ok</v>
      </c>
    </row>
    <row r="230" spans="1:33" x14ac:dyDescent="0.25">
      <c r="A230" s="61">
        <v>567</v>
      </c>
      <c r="B230" s="45" t="s">
        <v>1026</v>
      </c>
      <c r="C230" s="45" t="s">
        <v>266</v>
      </c>
      <c r="D230" s="45" t="s">
        <v>1184</v>
      </c>
      <c r="F230" s="80">
        <v>4428</v>
      </c>
      <c r="G230" s="63"/>
      <c r="H230" s="64">
        <f t="shared" si="97"/>
        <v>0</v>
      </c>
      <c r="I230" s="64">
        <f t="shared" si="97"/>
        <v>0</v>
      </c>
      <c r="J230" s="64">
        <f t="shared" si="97"/>
        <v>0</v>
      </c>
      <c r="K230" s="64">
        <f t="shared" si="97"/>
        <v>0</v>
      </c>
      <c r="L230" s="64">
        <f t="shared" si="97"/>
        <v>0</v>
      </c>
      <c r="M230" s="64">
        <f t="shared" si="97"/>
        <v>0</v>
      </c>
      <c r="N230" s="64">
        <f t="shared" si="97"/>
        <v>1549.353500432152</v>
      </c>
      <c r="O230" s="64">
        <f t="shared" si="97"/>
        <v>1509.7893408640266</v>
      </c>
      <c r="P230" s="64">
        <f t="shared" si="97"/>
        <v>1368.8571587038211</v>
      </c>
      <c r="Q230" s="64">
        <f t="shared" si="97"/>
        <v>0</v>
      </c>
      <c r="R230" s="64">
        <f t="shared" si="98"/>
        <v>0</v>
      </c>
      <c r="S230" s="64">
        <f t="shared" si="98"/>
        <v>0</v>
      </c>
      <c r="T230" s="64">
        <f t="shared" si="98"/>
        <v>0</v>
      </c>
      <c r="U230" s="64">
        <f t="shared" si="98"/>
        <v>0</v>
      </c>
      <c r="V230" s="64">
        <f t="shared" si="98"/>
        <v>0</v>
      </c>
      <c r="W230" s="64">
        <f t="shared" si="98"/>
        <v>0</v>
      </c>
      <c r="X230" s="64">
        <f t="shared" si="98"/>
        <v>0</v>
      </c>
      <c r="Y230" s="64">
        <f t="shared" si="98"/>
        <v>0</v>
      </c>
      <c r="Z230" s="64">
        <f t="shared" si="98"/>
        <v>0</v>
      </c>
      <c r="AA230" s="64">
        <f t="shared" si="98"/>
        <v>0</v>
      </c>
      <c r="AB230" s="64">
        <f t="shared" si="98"/>
        <v>0</v>
      </c>
      <c r="AC230" s="64">
        <f t="shared" si="98"/>
        <v>0</v>
      </c>
      <c r="AD230" s="64">
        <f t="shared" si="98"/>
        <v>0</v>
      </c>
      <c r="AE230" s="64">
        <f t="shared" si="98"/>
        <v>0</v>
      </c>
      <c r="AF230" s="64">
        <f t="shared" ref="AF230:AF236" si="101">SUM(H230:AE230)</f>
        <v>4428</v>
      </c>
      <c r="AG230" s="59" t="str">
        <f t="shared" si="100"/>
        <v>ok</v>
      </c>
    </row>
    <row r="231" spans="1:33" x14ac:dyDescent="0.25">
      <c r="A231" s="61">
        <v>568</v>
      </c>
      <c r="B231" s="45" t="s">
        <v>1168</v>
      </c>
      <c r="C231" s="45" t="s">
        <v>15</v>
      </c>
      <c r="D231" s="45" t="s">
        <v>673</v>
      </c>
      <c r="F231" s="80">
        <v>0</v>
      </c>
      <c r="G231" s="63"/>
      <c r="H231" s="64">
        <f t="shared" si="97"/>
        <v>0</v>
      </c>
      <c r="I231" s="64">
        <f t="shared" si="97"/>
        <v>0</v>
      </c>
      <c r="J231" s="64">
        <f t="shared" si="97"/>
        <v>0</v>
      </c>
      <c r="K231" s="64">
        <f t="shared" si="97"/>
        <v>0</v>
      </c>
      <c r="L231" s="64">
        <f t="shared" si="97"/>
        <v>0</v>
      </c>
      <c r="M231" s="64">
        <f t="shared" si="97"/>
        <v>0</v>
      </c>
      <c r="N231" s="64">
        <f t="shared" si="97"/>
        <v>0</v>
      </c>
      <c r="O231" s="64">
        <f t="shared" si="97"/>
        <v>0</v>
      </c>
      <c r="P231" s="64">
        <f t="shared" si="97"/>
        <v>0</v>
      </c>
      <c r="Q231" s="64">
        <f t="shared" si="97"/>
        <v>0</v>
      </c>
      <c r="R231" s="64">
        <f t="shared" si="98"/>
        <v>0</v>
      </c>
      <c r="S231" s="64">
        <f t="shared" si="98"/>
        <v>0</v>
      </c>
      <c r="T231" s="64">
        <f t="shared" si="98"/>
        <v>0</v>
      </c>
      <c r="U231" s="64">
        <f t="shared" si="98"/>
        <v>0</v>
      </c>
      <c r="V231" s="64">
        <f t="shared" si="98"/>
        <v>0</v>
      </c>
      <c r="W231" s="64">
        <f t="shared" si="98"/>
        <v>0</v>
      </c>
      <c r="X231" s="64">
        <f t="shared" si="98"/>
        <v>0</v>
      </c>
      <c r="Y231" s="64">
        <f t="shared" si="98"/>
        <v>0</v>
      </c>
      <c r="Z231" s="64">
        <f t="shared" si="98"/>
        <v>0</v>
      </c>
      <c r="AA231" s="64">
        <f t="shared" si="98"/>
        <v>0</v>
      </c>
      <c r="AB231" s="64">
        <f t="shared" si="98"/>
        <v>0</v>
      </c>
      <c r="AC231" s="64">
        <f t="shared" si="98"/>
        <v>0</v>
      </c>
      <c r="AD231" s="64">
        <f t="shared" si="98"/>
        <v>0</v>
      </c>
      <c r="AE231" s="64">
        <f t="shared" si="98"/>
        <v>0</v>
      </c>
      <c r="AF231" s="64">
        <f t="shared" si="101"/>
        <v>0</v>
      </c>
      <c r="AG231" s="59" t="str">
        <f t="shared" si="100"/>
        <v>ok</v>
      </c>
    </row>
    <row r="232" spans="1:33" x14ac:dyDescent="0.25">
      <c r="A232" s="61">
        <v>569</v>
      </c>
      <c r="B232" s="45" t="s">
        <v>267</v>
      </c>
      <c r="C232" s="45" t="s">
        <v>268</v>
      </c>
      <c r="D232" s="45" t="s">
        <v>673</v>
      </c>
      <c r="F232" s="80">
        <v>0</v>
      </c>
      <c r="G232" s="63"/>
      <c r="H232" s="64">
        <f t="shared" si="97"/>
        <v>0</v>
      </c>
      <c r="I232" s="64">
        <f t="shared" si="97"/>
        <v>0</v>
      </c>
      <c r="J232" s="64">
        <f t="shared" si="97"/>
        <v>0</v>
      </c>
      <c r="K232" s="64">
        <f t="shared" si="97"/>
        <v>0</v>
      </c>
      <c r="L232" s="64">
        <f t="shared" si="97"/>
        <v>0</v>
      </c>
      <c r="M232" s="64">
        <f t="shared" si="97"/>
        <v>0</v>
      </c>
      <c r="N232" s="64">
        <f t="shared" si="97"/>
        <v>0</v>
      </c>
      <c r="O232" s="64">
        <f t="shared" si="97"/>
        <v>0</v>
      </c>
      <c r="P232" s="64">
        <f t="shared" si="97"/>
        <v>0</v>
      </c>
      <c r="Q232" s="64">
        <f t="shared" si="97"/>
        <v>0</v>
      </c>
      <c r="R232" s="64">
        <f t="shared" si="98"/>
        <v>0</v>
      </c>
      <c r="S232" s="64">
        <f t="shared" si="98"/>
        <v>0</v>
      </c>
      <c r="T232" s="64">
        <f t="shared" si="98"/>
        <v>0</v>
      </c>
      <c r="U232" s="64">
        <f t="shared" si="98"/>
        <v>0</v>
      </c>
      <c r="V232" s="64">
        <f t="shared" si="98"/>
        <v>0</v>
      </c>
      <c r="W232" s="64">
        <f t="shared" si="98"/>
        <v>0</v>
      </c>
      <c r="X232" s="64">
        <f t="shared" si="98"/>
        <v>0</v>
      </c>
      <c r="Y232" s="64">
        <f t="shared" si="98"/>
        <v>0</v>
      </c>
      <c r="Z232" s="64">
        <f t="shared" si="98"/>
        <v>0</v>
      </c>
      <c r="AA232" s="64">
        <f t="shared" si="98"/>
        <v>0</v>
      </c>
      <c r="AB232" s="64">
        <f t="shared" si="98"/>
        <v>0</v>
      </c>
      <c r="AC232" s="64">
        <f t="shared" si="98"/>
        <v>0</v>
      </c>
      <c r="AD232" s="64">
        <f t="shared" si="98"/>
        <v>0</v>
      </c>
      <c r="AE232" s="64">
        <f t="shared" si="98"/>
        <v>0</v>
      </c>
      <c r="AF232" s="64">
        <f t="shared" si="101"/>
        <v>0</v>
      </c>
      <c r="AG232" s="59" t="str">
        <f t="shared" si="100"/>
        <v>ok</v>
      </c>
    </row>
    <row r="233" spans="1:33" x14ac:dyDescent="0.25">
      <c r="A233" s="61">
        <v>570</v>
      </c>
      <c r="B233" s="45" t="s">
        <v>1170</v>
      </c>
      <c r="C233" s="45" t="s">
        <v>16</v>
      </c>
      <c r="D233" s="45" t="s">
        <v>673</v>
      </c>
      <c r="F233" s="80">
        <v>1358754</v>
      </c>
      <c r="G233" s="63"/>
      <c r="H233" s="64">
        <f t="shared" si="97"/>
        <v>0</v>
      </c>
      <c r="I233" s="64">
        <f t="shared" si="97"/>
        <v>0</v>
      </c>
      <c r="J233" s="64">
        <f t="shared" si="97"/>
        <v>0</v>
      </c>
      <c r="K233" s="64">
        <f t="shared" si="97"/>
        <v>0</v>
      </c>
      <c r="L233" s="64">
        <f t="shared" si="97"/>
        <v>0</v>
      </c>
      <c r="M233" s="64">
        <f t="shared" si="97"/>
        <v>0</v>
      </c>
      <c r="N233" s="64">
        <f t="shared" si="97"/>
        <v>475426.8893690579</v>
      </c>
      <c r="O233" s="64">
        <f t="shared" si="97"/>
        <v>463286.42864868097</v>
      </c>
      <c r="P233" s="64">
        <f t="shared" si="97"/>
        <v>420040.68198226101</v>
      </c>
      <c r="Q233" s="64">
        <f t="shared" si="97"/>
        <v>0</v>
      </c>
      <c r="R233" s="64">
        <f t="shared" si="98"/>
        <v>0</v>
      </c>
      <c r="S233" s="64">
        <f t="shared" si="98"/>
        <v>0</v>
      </c>
      <c r="T233" s="64">
        <f t="shared" si="98"/>
        <v>0</v>
      </c>
      <c r="U233" s="64">
        <f t="shared" si="98"/>
        <v>0</v>
      </c>
      <c r="V233" s="64">
        <f t="shared" si="98"/>
        <v>0</v>
      </c>
      <c r="W233" s="64">
        <f t="shared" si="98"/>
        <v>0</v>
      </c>
      <c r="X233" s="64">
        <f t="shared" si="98"/>
        <v>0</v>
      </c>
      <c r="Y233" s="64">
        <f t="shared" si="98"/>
        <v>0</v>
      </c>
      <c r="Z233" s="64">
        <f t="shared" si="98"/>
        <v>0</v>
      </c>
      <c r="AA233" s="64">
        <f t="shared" si="98"/>
        <v>0</v>
      </c>
      <c r="AB233" s="64">
        <f t="shared" si="98"/>
        <v>0</v>
      </c>
      <c r="AC233" s="64">
        <f t="shared" si="98"/>
        <v>0</v>
      </c>
      <c r="AD233" s="64">
        <f t="shared" si="98"/>
        <v>0</v>
      </c>
      <c r="AE233" s="64">
        <f t="shared" si="98"/>
        <v>0</v>
      </c>
      <c r="AF233" s="64">
        <f t="shared" si="101"/>
        <v>1358754</v>
      </c>
      <c r="AG233" s="59" t="str">
        <f t="shared" si="100"/>
        <v>ok</v>
      </c>
    </row>
    <row r="234" spans="1:33" x14ac:dyDescent="0.25">
      <c r="A234" s="61">
        <v>571</v>
      </c>
      <c r="B234" s="45" t="s">
        <v>1171</v>
      </c>
      <c r="C234" s="45" t="s">
        <v>17</v>
      </c>
      <c r="D234" s="45" t="s">
        <v>673</v>
      </c>
      <c r="F234" s="80">
        <v>2208410</v>
      </c>
      <c r="G234" s="63"/>
      <c r="H234" s="64">
        <f t="shared" si="97"/>
        <v>0</v>
      </c>
      <c r="I234" s="64">
        <f t="shared" si="97"/>
        <v>0</v>
      </c>
      <c r="J234" s="64">
        <f t="shared" si="97"/>
        <v>0</v>
      </c>
      <c r="K234" s="64">
        <f t="shared" si="97"/>
        <v>0</v>
      </c>
      <c r="L234" s="64">
        <f t="shared" si="97"/>
        <v>0</v>
      </c>
      <c r="M234" s="64">
        <f t="shared" si="97"/>
        <v>0</v>
      </c>
      <c r="N234" s="64">
        <f t="shared" si="97"/>
        <v>772720.81388648809</v>
      </c>
      <c r="O234" s="64">
        <f t="shared" si="97"/>
        <v>752988.68072663154</v>
      </c>
      <c r="P234" s="64">
        <f t="shared" si="97"/>
        <v>682700.50538688013</v>
      </c>
      <c r="Q234" s="64">
        <f t="shared" si="97"/>
        <v>0</v>
      </c>
      <c r="R234" s="64">
        <f t="shared" si="98"/>
        <v>0</v>
      </c>
      <c r="S234" s="64">
        <f t="shared" si="98"/>
        <v>0</v>
      </c>
      <c r="T234" s="64">
        <f t="shared" si="98"/>
        <v>0</v>
      </c>
      <c r="U234" s="64">
        <f t="shared" si="98"/>
        <v>0</v>
      </c>
      <c r="V234" s="64">
        <f t="shared" si="98"/>
        <v>0</v>
      </c>
      <c r="W234" s="64">
        <f t="shared" si="98"/>
        <v>0</v>
      </c>
      <c r="X234" s="64">
        <f t="shared" si="98"/>
        <v>0</v>
      </c>
      <c r="Y234" s="64">
        <f t="shared" si="98"/>
        <v>0</v>
      </c>
      <c r="Z234" s="64">
        <f t="shared" si="98"/>
        <v>0</v>
      </c>
      <c r="AA234" s="64">
        <f t="shared" si="98"/>
        <v>0</v>
      </c>
      <c r="AB234" s="64">
        <f t="shared" si="98"/>
        <v>0</v>
      </c>
      <c r="AC234" s="64">
        <f t="shared" si="98"/>
        <v>0</v>
      </c>
      <c r="AD234" s="64">
        <f t="shared" si="98"/>
        <v>0</v>
      </c>
      <c r="AE234" s="64">
        <f t="shared" si="98"/>
        <v>0</v>
      </c>
      <c r="AF234" s="64">
        <f t="shared" si="101"/>
        <v>2208410</v>
      </c>
      <c r="AG234" s="59" t="str">
        <f t="shared" si="100"/>
        <v>ok</v>
      </c>
    </row>
    <row r="235" spans="1:33" x14ac:dyDescent="0.25">
      <c r="A235" s="61">
        <v>572</v>
      </c>
      <c r="B235" s="45" t="s">
        <v>269</v>
      </c>
      <c r="C235" s="45" t="s">
        <v>270</v>
      </c>
      <c r="D235" s="45" t="s">
        <v>673</v>
      </c>
      <c r="F235" s="80">
        <v>0</v>
      </c>
      <c r="G235" s="63"/>
      <c r="H235" s="64">
        <f t="shared" si="97"/>
        <v>0</v>
      </c>
      <c r="I235" s="64">
        <f t="shared" si="97"/>
        <v>0</v>
      </c>
      <c r="J235" s="64">
        <f t="shared" si="97"/>
        <v>0</v>
      </c>
      <c r="K235" s="64">
        <f t="shared" si="97"/>
        <v>0</v>
      </c>
      <c r="L235" s="64">
        <f t="shared" si="97"/>
        <v>0</v>
      </c>
      <c r="M235" s="64">
        <f t="shared" si="97"/>
        <v>0</v>
      </c>
      <c r="N235" s="64">
        <f t="shared" si="97"/>
        <v>0</v>
      </c>
      <c r="O235" s="64">
        <f t="shared" si="97"/>
        <v>0</v>
      </c>
      <c r="P235" s="64">
        <f t="shared" si="97"/>
        <v>0</v>
      </c>
      <c r="Q235" s="64">
        <f t="shared" si="97"/>
        <v>0</v>
      </c>
      <c r="R235" s="64">
        <f t="shared" si="98"/>
        <v>0</v>
      </c>
      <c r="S235" s="64">
        <f t="shared" si="98"/>
        <v>0</v>
      </c>
      <c r="T235" s="64">
        <f t="shared" si="98"/>
        <v>0</v>
      </c>
      <c r="U235" s="64">
        <f t="shared" si="98"/>
        <v>0</v>
      </c>
      <c r="V235" s="64">
        <f t="shared" si="98"/>
        <v>0</v>
      </c>
      <c r="W235" s="64">
        <f t="shared" si="98"/>
        <v>0</v>
      </c>
      <c r="X235" s="64">
        <f t="shared" si="98"/>
        <v>0</v>
      </c>
      <c r="Y235" s="64">
        <f t="shared" si="98"/>
        <v>0</v>
      </c>
      <c r="Z235" s="64">
        <f t="shared" si="98"/>
        <v>0</v>
      </c>
      <c r="AA235" s="64">
        <f t="shared" si="98"/>
        <v>0</v>
      </c>
      <c r="AB235" s="64">
        <f t="shared" si="98"/>
        <v>0</v>
      </c>
      <c r="AC235" s="64">
        <f t="shared" si="98"/>
        <v>0</v>
      </c>
      <c r="AD235" s="64">
        <f t="shared" si="98"/>
        <v>0</v>
      </c>
      <c r="AE235" s="64">
        <f t="shared" si="98"/>
        <v>0</v>
      </c>
      <c r="AF235" s="64">
        <f t="shared" si="101"/>
        <v>0</v>
      </c>
      <c r="AG235" s="59" t="str">
        <f t="shared" si="100"/>
        <v>ok</v>
      </c>
    </row>
    <row r="236" spans="1:33" x14ac:dyDescent="0.25">
      <c r="A236" s="61">
        <v>573</v>
      </c>
      <c r="B236" s="45" t="s">
        <v>271</v>
      </c>
      <c r="C236" s="45" t="s">
        <v>272</v>
      </c>
      <c r="D236" s="45" t="s">
        <v>1184</v>
      </c>
      <c r="F236" s="80">
        <v>62933</v>
      </c>
      <c r="G236" s="63"/>
      <c r="H236" s="64">
        <f t="shared" si="97"/>
        <v>0</v>
      </c>
      <c r="I236" s="64">
        <f t="shared" si="97"/>
        <v>0</v>
      </c>
      <c r="J236" s="64">
        <f t="shared" si="97"/>
        <v>0</v>
      </c>
      <c r="K236" s="64">
        <f t="shared" si="97"/>
        <v>0</v>
      </c>
      <c r="L236" s="64">
        <f t="shared" si="97"/>
        <v>0</v>
      </c>
      <c r="M236" s="64">
        <f t="shared" si="97"/>
        <v>0</v>
      </c>
      <c r="N236" s="64">
        <f t="shared" si="97"/>
        <v>22020.204119850187</v>
      </c>
      <c r="O236" s="64">
        <f t="shared" si="97"/>
        <v>21457.898055238435</v>
      </c>
      <c r="P236" s="64">
        <f t="shared" si="97"/>
        <v>19454.897824911375</v>
      </c>
      <c r="Q236" s="64">
        <f t="shared" si="97"/>
        <v>0</v>
      </c>
      <c r="R236" s="64">
        <f t="shared" si="98"/>
        <v>0</v>
      </c>
      <c r="S236" s="64">
        <f t="shared" si="98"/>
        <v>0</v>
      </c>
      <c r="T236" s="64">
        <f t="shared" si="98"/>
        <v>0</v>
      </c>
      <c r="U236" s="64">
        <f t="shared" si="98"/>
        <v>0</v>
      </c>
      <c r="V236" s="64">
        <f t="shared" si="98"/>
        <v>0</v>
      </c>
      <c r="W236" s="64">
        <f t="shared" si="98"/>
        <v>0</v>
      </c>
      <c r="X236" s="64">
        <f t="shared" si="98"/>
        <v>0</v>
      </c>
      <c r="Y236" s="64">
        <f t="shared" si="98"/>
        <v>0</v>
      </c>
      <c r="Z236" s="64">
        <f t="shared" si="98"/>
        <v>0</v>
      </c>
      <c r="AA236" s="64">
        <f t="shared" si="98"/>
        <v>0</v>
      </c>
      <c r="AB236" s="64">
        <f t="shared" si="98"/>
        <v>0</v>
      </c>
      <c r="AC236" s="64">
        <f t="shared" si="98"/>
        <v>0</v>
      </c>
      <c r="AD236" s="64">
        <f t="shared" si="98"/>
        <v>0</v>
      </c>
      <c r="AE236" s="64">
        <f t="shared" si="98"/>
        <v>0</v>
      </c>
      <c r="AF236" s="64">
        <f t="shared" si="101"/>
        <v>62933</v>
      </c>
      <c r="AG236" s="59" t="str">
        <f t="shared" si="100"/>
        <v>ok</v>
      </c>
    </row>
    <row r="237" spans="1:33" x14ac:dyDescent="0.25">
      <c r="A237" s="61">
        <v>575</v>
      </c>
      <c r="B237" s="61" t="s">
        <v>937</v>
      </c>
      <c r="C237" s="61" t="s">
        <v>938</v>
      </c>
      <c r="D237" s="45" t="s">
        <v>673</v>
      </c>
      <c r="F237" s="80">
        <v>-269508</v>
      </c>
      <c r="G237" s="63"/>
      <c r="H237" s="64">
        <f t="shared" si="97"/>
        <v>0</v>
      </c>
      <c r="I237" s="64">
        <f t="shared" si="97"/>
        <v>0</v>
      </c>
      <c r="J237" s="64">
        <f t="shared" si="97"/>
        <v>0</v>
      </c>
      <c r="K237" s="64">
        <f t="shared" si="97"/>
        <v>0</v>
      </c>
      <c r="L237" s="64">
        <f t="shared" si="97"/>
        <v>0</v>
      </c>
      <c r="M237" s="64">
        <f t="shared" si="97"/>
        <v>0</v>
      </c>
      <c r="N237" s="64">
        <f t="shared" si="97"/>
        <v>-94300.62402765773</v>
      </c>
      <c r="O237" s="64">
        <f t="shared" si="97"/>
        <v>-91892.571291233515</v>
      </c>
      <c r="P237" s="64">
        <f t="shared" si="97"/>
        <v>-83314.804681108712</v>
      </c>
      <c r="Q237" s="64">
        <f t="shared" si="97"/>
        <v>0</v>
      </c>
      <c r="R237" s="64">
        <f t="shared" si="98"/>
        <v>0</v>
      </c>
      <c r="S237" s="64">
        <f t="shared" si="98"/>
        <v>0</v>
      </c>
      <c r="T237" s="64">
        <f t="shared" si="98"/>
        <v>0</v>
      </c>
      <c r="U237" s="64">
        <f t="shared" si="98"/>
        <v>0</v>
      </c>
      <c r="V237" s="64">
        <f t="shared" si="98"/>
        <v>0</v>
      </c>
      <c r="W237" s="64">
        <f t="shared" si="98"/>
        <v>0</v>
      </c>
      <c r="X237" s="64">
        <f t="shared" si="98"/>
        <v>0</v>
      </c>
      <c r="Y237" s="64">
        <f t="shared" si="98"/>
        <v>0</v>
      </c>
      <c r="Z237" s="64">
        <f t="shared" si="98"/>
        <v>0</v>
      </c>
      <c r="AA237" s="64">
        <f t="shared" si="98"/>
        <v>0</v>
      </c>
      <c r="AB237" s="64">
        <f t="shared" si="98"/>
        <v>0</v>
      </c>
      <c r="AC237" s="64">
        <f t="shared" si="98"/>
        <v>0</v>
      </c>
      <c r="AD237" s="64">
        <f t="shared" si="98"/>
        <v>0</v>
      </c>
      <c r="AE237" s="64">
        <f t="shared" si="98"/>
        <v>0</v>
      </c>
      <c r="AF237" s="64">
        <f>SUM(H237:AE237)</f>
        <v>-269508</v>
      </c>
      <c r="AG237" s="59" t="str">
        <f t="shared" si="100"/>
        <v>ok</v>
      </c>
    </row>
    <row r="238" spans="1:33" x14ac:dyDescent="0.25">
      <c r="A238" s="61"/>
      <c r="F238" s="77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4"/>
      <c r="AG238" s="59"/>
    </row>
    <row r="239" spans="1:33" x14ac:dyDescent="0.25">
      <c r="A239" s="61" t="s">
        <v>1172</v>
      </c>
      <c r="F239" s="81">
        <f>SUM(F224:F237)</f>
        <v>15104238.999999998</v>
      </c>
      <c r="G239" s="65">
        <f>SUM(G224:G234)</f>
        <v>0</v>
      </c>
      <c r="H239" s="65">
        <f t="shared" ref="H239:N239" si="102">SUM(H224:H237)</f>
        <v>0</v>
      </c>
      <c r="I239" s="65">
        <f t="shared" si="102"/>
        <v>0</v>
      </c>
      <c r="J239" s="65">
        <f t="shared" si="102"/>
        <v>0</v>
      </c>
      <c r="K239" s="65">
        <f t="shared" si="102"/>
        <v>0</v>
      </c>
      <c r="L239" s="65">
        <f t="shared" si="102"/>
        <v>0</v>
      </c>
      <c r="M239" s="65">
        <f t="shared" si="102"/>
        <v>0</v>
      </c>
      <c r="N239" s="65">
        <f t="shared" si="102"/>
        <v>5284960.6065975213</v>
      </c>
      <c r="O239" s="65">
        <f t="shared" ref="O239:AE239" si="103">SUM(O224:O237)</f>
        <v>5150004.3008271726</v>
      </c>
      <c r="P239" s="65">
        <f t="shared" si="103"/>
        <v>4669274.0925753033</v>
      </c>
      <c r="Q239" s="65">
        <f t="shared" si="103"/>
        <v>0</v>
      </c>
      <c r="R239" s="65">
        <f t="shared" si="103"/>
        <v>0</v>
      </c>
      <c r="S239" s="65">
        <f t="shared" si="103"/>
        <v>0</v>
      </c>
      <c r="T239" s="65">
        <f t="shared" si="103"/>
        <v>0</v>
      </c>
      <c r="U239" s="65">
        <f t="shared" si="103"/>
        <v>0</v>
      </c>
      <c r="V239" s="65">
        <f t="shared" si="103"/>
        <v>0</v>
      </c>
      <c r="W239" s="65">
        <f t="shared" si="103"/>
        <v>0</v>
      </c>
      <c r="X239" s="65">
        <f t="shared" si="103"/>
        <v>0</v>
      </c>
      <c r="Y239" s="65">
        <f t="shared" si="103"/>
        <v>0</v>
      </c>
      <c r="Z239" s="65">
        <f t="shared" si="103"/>
        <v>0</v>
      </c>
      <c r="AA239" s="65">
        <f t="shared" si="103"/>
        <v>0</v>
      </c>
      <c r="AB239" s="65">
        <f t="shared" si="103"/>
        <v>0</v>
      </c>
      <c r="AC239" s="65">
        <f t="shared" si="103"/>
        <v>0</v>
      </c>
      <c r="AD239" s="65">
        <f t="shared" si="103"/>
        <v>0</v>
      </c>
      <c r="AE239" s="65">
        <f t="shared" si="103"/>
        <v>0</v>
      </c>
      <c r="AF239" s="63">
        <f>SUM(H239:AE239)</f>
        <v>15104238.999999996</v>
      </c>
      <c r="AG239" s="59" t="str">
        <f>IF(ABS(AF239-F239)&lt;1,"ok","err")</f>
        <v>ok</v>
      </c>
    </row>
    <row r="240" spans="1:33" x14ac:dyDescent="0.25">
      <c r="A240" s="61"/>
      <c r="W240" s="45"/>
      <c r="AG240" s="59"/>
    </row>
    <row r="241" spans="1:33" x14ac:dyDescent="0.25">
      <c r="A241" s="60" t="s">
        <v>1046</v>
      </c>
      <c r="W241" s="45"/>
      <c r="AG241" s="59"/>
    </row>
    <row r="242" spans="1:33" x14ac:dyDescent="0.25">
      <c r="A242" s="61"/>
      <c r="W242" s="45"/>
      <c r="AG242" s="59"/>
    </row>
    <row r="243" spans="1:33" x14ac:dyDescent="0.25">
      <c r="A243" s="66" t="s">
        <v>1009</v>
      </c>
      <c r="W243" s="45"/>
      <c r="AG243" s="59"/>
    </row>
    <row r="244" spans="1:33" x14ac:dyDescent="0.25">
      <c r="A244" s="61">
        <v>580</v>
      </c>
      <c r="B244" s="45" t="s">
        <v>1010</v>
      </c>
      <c r="C244" s="45" t="s">
        <v>1011</v>
      </c>
      <c r="D244" s="45" t="s">
        <v>64</v>
      </c>
      <c r="F244" s="77">
        <v>1743161</v>
      </c>
      <c r="H244" s="64">
        <f t="shared" ref="H244:Q255" si="104">IF(VLOOKUP($D244,$C$6:$AE$651,H$2,)=0,0,((VLOOKUP($D244,$C$6:$AE$651,H$2,)/VLOOKUP($D244,$C$6:$AE$651,4,))*$F244))</f>
        <v>0</v>
      </c>
      <c r="I244" s="64">
        <f t="shared" si="104"/>
        <v>0</v>
      </c>
      <c r="J244" s="64">
        <f t="shared" si="104"/>
        <v>0</v>
      </c>
      <c r="K244" s="64">
        <f t="shared" si="104"/>
        <v>0</v>
      </c>
      <c r="L244" s="64">
        <f t="shared" si="104"/>
        <v>0</v>
      </c>
      <c r="M244" s="64">
        <f t="shared" si="104"/>
        <v>0</v>
      </c>
      <c r="N244" s="64">
        <f t="shared" si="104"/>
        <v>0</v>
      </c>
      <c r="O244" s="64">
        <f t="shared" si="104"/>
        <v>0</v>
      </c>
      <c r="P244" s="64">
        <f t="shared" si="104"/>
        <v>0</v>
      </c>
      <c r="Q244" s="64">
        <f t="shared" si="104"/>
        <v>0</v>
      </c>
      <c r="R244" s="64">
        <f t="shared" ref="R244:AE255" si="105">IF(VLOOKUP($D244,$C$6:$AE$651,R$2,)=0,0,((VLOOKUP($D244,$C$6:$AE$651,R$2,)/VLOOKUP($D244,$C$6:$AE$651,4,))*$F244))</f>
        <v>329522.78991943825</v>
      </c>
      <c r="S244" s="64">
        <f t="shared" si="105"/>
        <v>0</v>
      </c>
      <c r="T244" s="64">
        <f t="shared" si="105"/>
        <v>183872.85913134</v>
      </c>
      <c r="U244" s="64">
        <f t="shared" si="105"/>
        <v>267728.99194603664</v>
      </c>
      <c r="V244" s="64">
        <f t="shared" si="105"/>
        <v>61290.953043779984</v>
      </c>
      <c r="W244" s="64">
        <f t="shared" si="105"/>
        <v>89242.997315345521</v>
      </c>
      <c r="X244" s="64">
        <f t="shared" si="105"/>
        <v>24421.224395708687</v>
      </c>
      <c r="Y244" s="64">
        <f t="shared" si="105"/>
        <v>18533.515008176433</v>
      </c>
      <c r="Z244" s="64">
        <f t="shared" si="105"/>
        <v>8795.4107494846994</v>
      </c>
      <c r="AA244" s="64">
        <f t="shared" si="105"/>
        <v>732364.12850553414</v>
      </c>
      <c r="AB244" s="64">
        <f t="shared" si="105"/>
        <v>27388.129985155862</v>
      </c>
      <c r="AC244" s="64">
        <f t="shared" si="105"/>
        <v>0</v>
      </c>
      <c r="AD244" s="64">
        <f t="shared" si="105"/>
        <v>0</v>
      </c>
      <c r="AE244" s="64">
        <f t="shared" si="105"/>
        <v>0</v>
      </c>
      <c r="AF244" s="64">
        <f t="shared" ref="AF244:AF255" si="106">SUM(H244:AE244)</f>
        <v>1743161.0000000002</v>
      </c>
      <c r="AG244" s="59" t="str">
        <f t="shared" ref="AG244:AG255" si="107">IF(ABS(AF244-F244)&lt;1,"ok","err")</f>
        <v>ok</v>
      </c>
    </row>
    <row r="245" spans="1:33" x14ac:dyDescent="0.25">
      <c r="A245" s="61">
        <v>581</v>
      </c>
      <c r="B245" s="45" t="s">
        <v>1012</v>
      </c>
      <c r="C245" s="45" t="s">
        <v>1013</v>
      </c>
      <c r="D245" s="45" t="s">
        <v>961</v>
      </c>
      <c r="F245" s="80">
        <v>571596</v>
      </c>
      <c r="H245" s="64">
        <f t="shared" si="104"/>
        <v>0</v>
      </c>
      <c r="I245" s="64">
        <f t="shared" si="104"/>
        <v>0</v>
      </c>
      <c r="J245" s="64">
        <f t="shared" si="104"/>
        <v>0</v>
      </c>
      <c r="K245" s="64">
        <f t="shared" si="104"/>
        <v>0</v>
      </c>
      <c r="L245" s="64">
        <f t="shared" si="104"/>
        <v>0</v>
      </c>
      <c r="M245" s="64">
        <f t="shared" si="104"/>
        <v>0</v>
      </c>
      <c r="N245" s="64">
        <f t="shared" si="104"/>
        <v>0</v>
      </c>
      <c r="O245" s="64">
        <f t="shared" si="104"/>
        <v>0</v>
      </c>
      <c r="P245" s="64">
        <f t="shared" si="104"/>
        <v>0</v>
      </c>
      <c r="Q245" s="64">
        <f t="shared" si="104"/>
        <v>0</v>
      </c>
      <c r="R245" s="64">
        <f t="shared" si="105"/>
        <v>571596</v>
      </c>
      <c r="S245" s="64">
        <f t="shared" si="105"/>
        <v>0</v>
      </c>
      <c r="T245" s="64">
        <f t="shared" si="105"/>
        <v>0</v>
      </c>
      <c r="U245" s="64">
        <f t="shared" si="105"/>
        <v>0</v>
      </c>
      <c r="V245" s="64">
        <f t="shared" si="105"/>
        <v>0</v>
      </c>
      <c r="W245" s="64">
        <f t="shared" si="105"/>
        <v>0</v>
      </c>
      <c r="X245" s="64">
        <f t="shared" si="105"/>
        <v>0</v>
      </c>
      <c r="Y245" s="64">
        <f t="shared" si="105"/>
        <v>0</v>
      </c>
      <c r="Z245" s="64">
        <f t="shared" si="105"/>
        <v>0</v>
      </c>
      <c r="AA245" s="64">
        <f t="shared" si="105"/>
        <v>0</v>
      </c>
      <c r="AB245" s="64">
        <f t="shared" si="105"/>
        <v>0</v>
      </c>
      <c r="AC245" s="64">
        <f t="shared" si="105"/>
        <v>0</v>
      </c>
      <c r="AD245" s="64">
        <f t="shared" si="105"/>
        <v>0</v>
      </c>
      <c r="AE245" s="64">
        <f t="shared" si="105"/>
        <v>0</v>
      </c>
      <c r="AF245" s="64">
        <f t="shared" si="106"/>
        <v>571596</v>
      </c>
      <c r="AG245" s="59" t="str">
        <f t="shared" si="107"/>
        <v>ok</v>
      </c>
    </row>
    <row r="246" spans="1:33" x14ac:dyDescent="0.25">
      <c r="A246" s="61">
        <v>582</v>
      </c>
      <c r="B246" s="45" t="s">
        <v>1167</v>
      </c>
      <c r="C246" s="45" t="s">
        <v>1173</v>
      </c>
      <c r="D246" s="45" t="s">
        <v>961</v>
      </c>
      <c r="F246" s="80">
        <v>1267742</v>
      </c>
      <c r="H246" s="64">
        <f t="shared" si="104"/>
        <v>0</v>
      </c>
      <c r="I246" s="64">
        <f t="shared" si="104"/>
        <v>0</v>
      </c>
      <c r="J246" s="64">
        <f t="shared" si="104"/>
        <v>0</v>
      </c>
      <c r="K246" s="64">
        <f t="shared" si="104"/>
        <v>0</v>
      </c>
      <c r="L246" s="64">
        <f t="shared" si="104"/>
        <v>0</v>
      </c>
      <c r="M246" s="64">
        <f t="shared" si="104"/>
        <v>0</v>
      </c>
      <c r="N246" s="64">
        <f t="shared" si="104"/>
        <v>0</v>
      </c>
      <c r="O246" s="64">
        <f t="shared" si="104"/>
        <v>0</v>
      </c>
      <c r="P246" s="64">
        <f t="shared" si="104"/>
        <v>0</v>
      </c>
      <c r="Q246" s="64">
        <f t="shared" si="104"/>
        <v>0</v>
      </c>
      <c r="R246" s="64">
        <f t="shared" si="105"/>
        <v>1267742</v>
      </c>
      <c r="S246" s="64">
        <f t="shared" si="105"/>
        <v>0</v>
      </c>
      <c r="T246" s="64">
        <f t="shared" si="105"/>
        <v>0</v>
      </c>
      <c r="U246" s="64">
        <f t="shared" si="105"/>
        <v>0</v>
      </c>
      <c r="V246" s="64">
        <f t="shared" si="105"/>
        <v>0</v>
      </c>
      <c r="W246" s="64">
        <f t="shared" si="105"/>
        <v>0</v>
      </c>
      <c r="X246" s="64">
        <f t="shared" si="105"/>
        <v>0</v>
      </c>
      <c r="Y246" s="64">
        <f t="shared" si="105"/>
        <v>0</v>
      </c>
      <c r="Z246" s="64">
        <f t="shared" si="105"/>
        <v>0</v>
      </c>
      <c r="AA246" s="64">
        <f t="shared" si="105"/>
        <v>0</v>
      </c>
      <c r="AB246" s="64">
        <f t="shared" si="105"/>
        <v>0</v>
      </c>
      <c r="AC246" s="64">
        <f t="shared" si="105"/>
        <v>0</v>
      </c>
      <c r="AD246" s="64">
        <f t="shared" si="105"/>
        <v>0</v>
      </c>
      <c r="AE246" s="64">
        <f t="shared" si="105"/>
        <v>0</v>
      </c>
      <c r="AF246" s="64">
        <f t="shared" si="106"/>
        <v>1267742</v>
      </c>
      <c r="AG246" s="59" t="str">
        <f t="shared" si="107"/>
        <v>ok</v>
      </c>
    </row>
    <row r="247" spans="1:33" x14ac:dyDescent="0.25">
      <c r="A247" s="61">
        <v>583</v>
      </c>
      <c r="B247" s="45" t="s">
        <v>1014</v>
      </c>
      <c r="C247" s="45" t="s">
        <v>1015</v>
      </c>
      <c r="D247" s="45" t="s">
        <v>964</v>
      </c>
      <c r="F247" s="80">
        <v>5008123</v>
      </c>
      <c r="H247" s="64">
        <f t="shared" si="104"/>
        <v>0</v>
      </c>
      <c r="I247" s="64">
        <f t="shared" si="104"/>
        <v>0</v>
      </c>
      <c r="J247" s="64">
        <f t="shared" si="104"/>
        <v>0</v>
      </c>
      <c r="K247" s="64">
        <f t="shared" si="104"/>
        <v>0</v>
      </c>
      <c r="L247" s="64">
        <f t="shared" si="104"/>
        <v>0</v>
      </c>
      <c r="M247" s="64">
        <f t="shared" si="104"/>
        <v>0</v>
      </c>
      <c r="N247" s="64">
        <f t="shared" si="104"/>
        <v>0</v>
      </c>
      <c r="O247" s="64">
        <f t="shared" si="104"/>
        <v>0</v>
      </c>
      <c r="P247" s="64">
        <f t="shared" si="104"/>
        <v>0</v>
      </c>
      <c r="Q247" s="64">
        <f t="shared" si="104"/>
        <v>0</v>
      </c>
      <c r="R247" s="64">
        <f t="shared" si="105"/>
        <v>0</v>
      </c>
      <c r="S247" s="64">
        <f t="shared" si="105"/>
        <v>0</v>
      </c>
      <c r="T247" s="64">
        <f t="shared" si="105"/>
        <v>1606105.0460999999</v>
      </c>
      <c r="U247" s="64">
        <f t="shared" si="105"/>
        <v>2149987.2039000001</v>
      </c>
      <c r="V247" s="64">
        <f t="shared" si="105"/>
        <v>535368.34869999997</v>
      </c>
      <c r="W247" s="64">
        <f t="shared" si="105"/>
        <v>716662.40130000014</v>
      </c>
      <c r="X247" s="64">
        <f t="shared" si="105"/>
        <v>0</v>
      </c>
      <c r="Y247" s="64">
        <f t="shared" si="105"/>
        <v>0</v>
      </c>
      <c r="Z247" s="64">
        <f t="shared" si="105"/>
        <v>0</v>
      </c>
      <c r="AA247" s="64">
        <f t="shared" si="105"/>
        <v>0</v>
      </c>
      <c r="AB247" s="64">
        <f t="shared" si="105"/>
        <v>0</v>
      </c>
      <c r="AC247" s="64">
        <f t="shared" si="105"/>
        <v>0</v>
      </c>
      <c r="AD247" s="64">
        <f t="shared" si="105"/>
        <v>0</v>
      </c>
      <c r="AE247" s="64">
        <f t="shared" si="105"/>
        <v>0</v>
      </c>
      <c r="AF247" s="64">
        <f t="shared" si="106"/>
        <v>5008123</v>
      </c>
      <c r="AG247" s="59" t="str">
        <f t="shared" si="107"/>
        <v>ok</v>
      </c>
    </row>
    <row r="248" spans="1:33" x14ac:dyDescent="0.25">
      <c r="A248" s="61">
        <v>584</v>
      </c>
      <c r="B248" s="45" t="s">
        <v>1016</v>
      </c>
      <c r="C248" s="45" t="s">
        <v>1017</v>
      </c>
      <c r="D248" s="45" t="s">
        <v>967</v>
      </c>
      <c r="F248" s="80">
        <v>180021</v>
      </c>
      <c r="H248" s="64">
        <f t="shared" si="104"/>
        <v>0</v>
      </c>
      <c r="I248" s="64">
        <f t="shared" si="104"/>
        <v>0</v>
      </c>
      <c r="J248" s="64">
        <f t="shared" si="104"/>
        <v>0</v>
      </c>
      <c r="K248" s="64">
        <f t="shared" si="104"/>
        <v>0</v>
      </c>
      <c r="L248" s="64">
        <f t="shared" si="104"/>
        <v>0</v>
      </c>
      <c r="M248" s="64">
        <f t="shared" si="104"/>
        <v>0</v>
      </c>
      <c r="N248" s="64">
        <f t="shared" si="104"/>
        <v>0</v>
      </c>
      <c r="O248" s="64">
        <f t="shared" si="104"/>
        <v>0</v>
      </c>
      <c r="P248" s="64">
        <f t="shared" si="104"/>
        <v>0</v>
      </c>
      <c r="Q248" s="64">
        <f t="shared" si="104"/>
        <v>0</v>
      </c>
      <c r="R248" s="64">
        <f t="shared" si="105"/>
        <v>0</v>
      </c>
      <c r="S248" s="64">
        <f t="shared" si="105"/>
        <v>0</v>
      </c>
      <c r="T248" s="64">
        <f t="shared" si="105"/>
        <v>40518.226574999993</v>
      </c>
      <c r="U248" s="64">
        <f t="shared" si="105"/>
        <v>94497.523424999992</v>
      </c>
      <c r="V248" s="64">
        <f t="shared" si="105"/>
        <v>13506.075524999998</v>
      </c>
      <c r="W248" s="64">
        <f t="shared" si="105"/>
        <v>31499.174475</v>
      </c>
      <c r="X248" s="64">
        <f t="shared" si="105"/>
        <v>0</v>
      </c>
      <c r="Y248" s="64">
        <f t="shared" si="105"/>
        <v>0</v>
      </c>
      <c r="Z248" s="64">
        <f t="shared" si="105"/>
        <v>0</v>
      </c>
      <c r="AA248" s="64">
        <f t="shared" si="105"/>
        <v>0</v>
      </c>
      <c r="AB248" s="64">
        <f t="shared" si="105"/>
        <v>0</v>
      </c>
      <c r="AC248" s="64">
        <f t="shared" si="105"/>
        <v>0</v>
      </c>
      <c r="AD248" s="64">
        <f t="shared" si="105"/>
        <v>0</v>
      </c>
      <c r="AE248" s="64">
        <f t="shared" si="105"/>
        <v>0</v>
      </c>
      <c r="AF248" s="64">
        <f t="shared" si="106"/>
        <v>180021</v>
      </c>
      <c r="AG248" s="59" t="str">
        <f t="shared" si="107"/>
        <v>ok</v>
      </c>
    </row>
    <row r="249" spans="1:33" x14ac:dyDescent="0.25">
      <c r="A249" s="61">
        <v>585</v>
      </c>
      <c r="B249" s="45" t="s">
        <v>1018</v>
      </c>
      <c r="C249" s="45" t="s">
        <v>1019</v>
      </c>
      <c r="D249" s="45" t="s">
        <v>975</v>
      </c>
      <c r="F249" s="80">
        <v>0</v>
      </c>
      <c r="H249" s="64">
        <f t="shared" si="104"/>
        <v>0</v>
      </c>
      <c r="I249" s="64">
        <f t="shared" si="104"/>
        <v>0</v>
      </c>
      <c r="J249" s="64">
        <f t="shared" si="104"/>
        <v>0</v>
      </c>
      <c r="K249" s="64">
        <f t="shared" si="104"/>
        <v>0</v>
      </c>
      <c r="L249" s="64">
        <f t="shared" si="104"/>
        <v>0</v>
      </c>
      <c r="M249" s="64">
        <f t="shared" si="104"/>
        <v>0</v>
      </c>
      <c r="N249" s="64">
        <f t="shared" si="104"/>
        <v>0</v>
      </c>
      <c r="O249" s="64">
        <f t="shared" si="104"/>
        <v>0</v>
      </c>
      <c r="P249" s="64">
        <f t="shared" si="104"/>
        <v>0</v>
      </c>
      <c r="Q249" s="64">
        <f t="shared" si="104"/>
        <v>0</v>
      </c>
      <c r="R249" s="64">
        <f t="shared" si="105"/>
        <v>0</v>
      </c>
      <c r="S249" s="64">
        <f t="shared" si="105"/>
        <v>0</v>
      </c>
      <c r="T249" s="64">
        <f t="shared" si="105"/>
        <v>0</v>
      </c>
      <c r="U249" s="64">
        <f t="shared" si="105"/>
        <v>0</v>
      </c>
      <c r="V249" s="64">
        <f t="shared" si="105"/>
        <v>0</v>
      </c>
      <c r="W249" s="64">
        <f t="shared" si="105"/>
        <v>0</v>
      </c>
      <c r="X249" s="64">
        <f t="shared" si="105"/>
        <v>0</v>
      </c>
      <c r="Y249" s="64">
        <f t="shared" si="105"/>
        <v>0</v>
      </c>
      <c r="Z249" s="64">
        <f t="shared" si="105"/>
        <v>0</v>
      </c>
      <c r="AA249" s="64">
        <f t="shared" si="105"/>
        <v>0</v>
      </c>
      <c r="AB249" s="64">
        <f t="shared" si="105"/>
        <v>0</v>
      </c>
      <c r="AC249" s="64">
        <f t="shared" si="105"/>
        <v>0</v>
      </c>
      <c r="AD249" s="64">
        <f t="shared" si="105"/>
        <v>0</v>
      </c>
      <c r="AE249" s="64">
        <f t="shared" si="105"/>
        <v>0</v>
      </c>
      <c r="AF249" s="64">
        <f t="shared" si="106"/>
        <v>0</v>
      </c>
      <c r="AG249" s="59" t="str">
        <f t="shared" si="107"/>
        <v>ok</v>
      </c>
    </row>
    <row r="250" spans="1:33" x14ac:dyDescent="0.25">
      <c r="A250" s="61">
        <v>586</v>
      </c>
      <c r="B250" s="45" t="s">
        <v>1020</v>
      </c>
      <c r="C250" s="45" t="s">
        <v>1021</v>
      </c>
      <c r="D250" s="45" t="s">
        <v>972</v>
      </c>
      <c r="F250" s="80">
        <v>7171179.9999999991</v>
      </c>
      <c r="H250" s="64">
        <f t="shared" si="104"/>
        <v>0</v>
      </c>
      <c r="I250" s="64">
        <f t="shared" si="104"/>
        <v>0</v>
      </c>
      <c r="J250" s="64">
        <f t="shared" si="104"/>
        <v>0</v>
      </c>
      <c r="K250" s="64">
        <f t="shared" si="104"/>
        <v>0</v>
      </c>
      <c r="L250" s="64">
        <f t="shared" si="104"/>
        <v>0</v>
      </c>
      <c r="M250" s="64">
        <f t="shared" si="104"/>
        <v>0</v>
      </c>
      <c r="N250" s="64">
        <f t="shared" si="104"/>
        <v>0</v>
      </c>
      <c r="O250" s="64">
        <f t="shared" si="104"/>
        <v>0</v>
      </c>
      <c r="P250" s="64">
        <f t="shared" si="104"/>
        <v>0</v>
      </c>
      <c r="Q250" s="64">
        <f t="shared" si="104"/>
        <v>0</v>
      </c>
      <c r="R250" s="64">
        <f t="shared" si="105"/>
        <v>0</v>
      </c>
      <c r="S250" s="64">
        <f t="shared" si="105"/>
        <v>0</v>
      </c>
      <c r="T250" s="64">
        <f t="shared" si="105"/>
        <v>0</v>
      </c>
      <c r="U250" s="64">
        <f t="shared" si="105"/>
        <v>0</v>
      </c>
      <c r="V250" s="64">
        <f t="shared" si="105"/>
        <v>0</v>
      </c>
      <c r="W250" s="64">
        <f t="shared" si="105"/>
        <v>0</v>
      </c>
      <c r="X250" s="64">
        <f t="shared" si="105"/>
        <v>0</v>
      </c>
      <c r="Y250" s="64">
        <f t="shared" si="105"/>
        <v>0</v>
      </c>
      <c r="Z250" s="64">
        <f t="shared" si="105"/>
        <v>0</v>
      </c>
      <c r="AA250" s="64">
        <f t="shared" si="105"/>
        <v>7171179.9999999991</v>
      </c>
      <c r="AB250" s="64">
        <f t="shared" si="105"/>
        <v>0</v>
      </c>
      <c r="AC250" s="64">
        <f t="shared" si="105"/>
        <v>0</v>
      </c>
      <c r="AD250" s="64">
        <f t="shared" si="105"/>
        <v>0</v>
      </c>
      <c r="AE250" s="64">
        <f t="shared" si="105"/>
        <v>0</v>
      </c>
      <c r="AF250" s="64">
        <f t="shared" si="106"/>
        <v>7171179.9999999991</v>
      </c>
      <c r="AG250" s="59" t="str">
        <f t="shared" si="107"/>
        <v>ok</v>
      </c>
    </row>
    <row r="251" spans="1:33" x14ac:dyDescent="0.25">
      <c r="A251" s="61">
        <v>586</v>
      </c>
      <c r="B251" s="45" t="s">
        <v>27</v>
      </c>
      <c r="C251" s="45" t="s">
        <v>28</v>
      </c>
      <c r="D251" s="45" t="s">
        <v>42</v>
      </c>
      <c r="F251" s="80">
        <v>0</v>
      </c>
      <c r="H251" s="64">
        <f t="shared" si="104"/>
        <v>0</v>
      </c>
      <c r="I251" s="64">
        <f t="shared" si="104"/>
        <v>0</v>
      </c>
      <c r="J251" s="64">
        <f t="shared" si="104"/>
        <v>0</v>
      </c>
      <c r="K251" s="64">
        <f t="shared" si="104"/>
        <v>0</v>
      </c>
      <c r="L251" s="64">
        <f t="shared" si="104"/>
        <v>0</v>
      </c>
      <c r="M251" s="64">
        <f t="shared" si="104"/>
        <v>0</v>
      </c>
      <c r="N251" s="64">
        <f t="shared" si="104"/>
        <v>0</v>
      </c>
      <c r="O251" s="64">
        <f t="shared" si="104"/>
        <v>0</v>
      </c>
      <c r="P251" s="64">
        <f t="shared" si="104"/>
        <v>0</v>
      </c>
      <c r="Q251" s="64">
        <f t="shared" si="104"/>
        <v>0</v>
      </c>
      <c r="R251" s="64">
        <f t="shared" si="105"/>
        <v>0</v>
      </c>
      <c r="S251" s="64">
        <f t="shared" si="105"/>
        <v>0</v>
      </c>
      <c r="T251" s="64">
        <f t="shared" si="105"/>
        <v>0</v>
      </c>
      <c r="U251" s="64">
        <f t="shared" si="105"/>
        <v>0</v>
      </c>
      <c r="V251" s="64">
        <f t="shared" si="105"/>
        <v>0</v>
      </c>
      <c r="W251" s="64">
        <f t="shared" si="105"/>
        <v>0</v>
      </c>
      <c r="X251" s="64">
        <f t="shared" si="105"/>
        <v>0</v>
      </c>
      <c r="Y251" s="64">
        <f t="shared" si="105"/>
        <v>0</v>
      </c>
      <c r="Z251" s="64">
        <f t="shared" si="105"/>
        <v>0</v>
      </c>
      <c r="AA251" s="64">
        <f t="shared" si="105"/>
        <v>0</v>
      </c>
      <c r="AB251" s="64">
        <f t="shared" si="105"/>
        <v>0</v>
      </c>
      <c r="AC251" s="64">
        <f t="shared" si="105"/>
        <v>0</v>
      </c>
      <c r="AD251" s="64">
        <f t="shared" si="105"/>
        <v>0</v>
      </c>
      <c r="AE251" s="64">
        <f t="shared" si="105"/>
        <v>0</v>
      </c>
      <c r="AF251" s="64">
        <f t="shared" si="106"/>
        <v>0</v>
      </c>
      <c r="AG251" s="59" t="str">
        <f t="shared" si="107"/>
        <v>ok</v>
      </c>
    </row>
    <row r="252" spans="1:33" x14ac:dyDescent="0.25">
      <c r="A252" s="61">
        <v>587</v>
      </c>
      <c r="B252" s="45" t="s">
        <v>1022</v>
      </c>
      <c r="C252" s="45" t="s">
        <v>1023</v>
      </c>
      <c r="D252" s="45" t="s">
        <v>957</v>
      </c>
      <c r="F252" s="80">
        <v>-88008</v>
      </c>
      <c r="H252" s="64">
        <f t="shared" si="104"/>
        <v>0</v>
      </c>
      <c r="I252" s="64">
        <f t="shared" si="104"/>
        <v>0</v>
      </c>
      <c r="J252" s="64">
        <f t="shared" si="104"/>
        <v>0</v>
      </c>
      <c r="K252" s="64">
        <f t="shared" si="104"/>
        <v>0</v>
      </c>
      <c r="L252" s="64">
        <f t="shared" si="104"/>
        <v>0</v>
      </c>
      <c r="M252" s="64">
        <f t="shared" si="104"/>
        <v>0</v>
      </c>
      <c r="N252" s="64">
        <f t="shared" si="104"/>
        <v>0</v>
      </c>
      <c r="O252" s="64">
        <f t="shared" si="104"/>
        <v>0</v>
      </c>
      <c r="P252" s="64">
        <f t="shared" si="104"/>
        <v>0</v>
      </c>
      <c r="Q252" s="64">
        <f t="shared" si="104"/>
        <v>0</v>
      </c>
      <c r="R252" s="64">
        <f t="shared" si="105"/>
        <v>-10489.94579533972</v>
      </c>
      <c r="S252" s="64">
        <f t="shared" si="105"/>
        <v>0</v>
      </c>
      <c r="T252" s="64">
        <f t="shared" si="105"/>
        <v>-15394.542554570318</v>
      </c>
      <c r="U252" s="64">
        <f t="shared" si="105"/>
        <v>-25014.975616089392</v>
      </c>
      <c r="V252" s="64">
        <f t="shared" si="105"/>
        <v>-5131.5141848567728</v>
      </c>
      <c r="W252" s="64">
        <f t="shared" si="105"/>
        <v>-8338.3252053631313</v>
      </c>
      <c r="X252" s="64">
        <f t="shared" si="105"/>
        <v>-6360.9908316856781</v>
      </c>
      <c r="Y252" s="64">
        <f t="shared" si="105"/>
        <v>-4827.4204902943029</v>
      </c>
      <c r="Z252" s="64">
        <f t="shared" si="105"/>
        <v>-2290.9386618720469</v>
      </c>
      <c r="AA252" s="64">
        <f t="shared" si="105"/>
        <v>-3025.566595928045</v>
      </c>
      <c r="AB252" s="64">
        <f t="shared" si="105"/>
        <v>-7133.7800640006126</v>
      </c>
      <c r="AC252" s="64">
        <f t="shared" si="105"/>
        <v>0</v>
      </c>
      <c r="AD252" s="64">
        <f t="shared" si="105"/>
        <v>0</v>
      </c>
      <c r="AE252" s="64">
        <f t="shared" si="105"/>
        <v>0</v>
      </c>
      <c r="AF252" s="64">
        <f t="shared" si="106"/>
        <v>-88008.000000000015</v>
      </c>
      <c r="AG252" s="59" t="str">
        <f t="shared" si="107"/>
        <v>ok</v>
      </c>
    </row>
    <row r="253" spans="1:33" x14ac:dyDescent="0.25">
      <c r="A253" s="61">
        <v>588</v>
      </c>
      <c r="B253" s="45" t="s">
        <v>1024</v>
      </c>
      <c r="C253" s="45" t="s">
        <v>1025</v>
      </c>
      <c r="D253" s="45" t="s">
        <v>957</v>
      </c>
      <c r="F253" s="80">
        <v>3810820</v>
      </c>
      <c r="H253" s="64">
        <f t="shared" si="104"/>
        <v>0</v>
      </c>
      <c r="I253" s="64">
        <f t="shared" si="104"/>
        <v>0</v>
      </c>
      <c r="J253" s="64">
        <f t="shared" si="104"/>
        <v>0</v>
      </c>
      <c r="K253" s="64">
        <f t="shared" si="104"/>
        <v>0</v>
      </c>
      <c r="L253" s="64">
        <f t="shared" si="104"/>
        <v>0</v>
      </c>
      <c r="M253" s="64">
        <f t="shared" si="104"/>
        <v>0</v>
      </c>
      <c r="N253" s="64">
        <f t="shared" si="104"/>
        <v>0</v>
      </c>
      <c r="O253" s="64">
        <f t="shared" si="104"/>
        <v>0</v>
      </c>
      <c r="P253" s="64">
        <f t="shared" si="104"/>
        <v>0</v>
      </c>
      <c r="Q253" s="64">
        <f t="shared" si="104"/>
        <v>0</v>
      </c>
      <c r="R253" s="64">
        <f t="shared" si="105"/>
        <v>454223.4255499104</v>
      </c>
      <c r="S253" s="64">
        <f t="shared" si="105"/>
        <v>0</v>
      </c>
      <c r="T253" s="64">
        <f t="shared" si="105"/>
        <v>666596.56687809818</v>
      </c>
      <c r="U253" s="64">
        <f t="shared" si="105"/>
        <v>1083169.3638908484</v>
      </c>
      <c r="V253" s="64">
        <f t="shared" si="105"/>
        <v>222198.85562603272</v>
      </c>
      <c r="W253" s="64">
        <f t="shared" si="105"/>
        <v>361056.45463028277</v>
      </c>
      <c r="X253" s="64">
        <f t="shared" si="105"/>
        <v>275436.22262981109</v>
      </c>
      <c r="Y253" s="64">
        <f t="shared" si="105"/>
        <v>209031.34434168864</v>
      </c>
      <c r="Z253" s="64">
        <f t="shared" si="105"/>
        <v>99199.559942678316</v>
      </c>
      <c r="AA253" s="64">
        <f t="shared" si="105"/>
        <v>131009.56384754242</v>
      </c>
      <c r="AB253" s="64">
        <f t="shared" si="105"/>
        <v>308898.64266310807</v>
      </c>
      <c r="AC253" s="64">
        <f t="shared" si="105"/>
        <v>0</v>
      </c>
      <c r="AD253" s="64">
        <f t="shared" si="105"/>
        <v>0</v>
      </c>
      <c r="AE253" s="64">
        <f t="shared" si="105"/>
        <v>0</v>
      </c>
      <c r="AF253" s="64">
        <f t="shared" si="106"/>
        <v>3810820.0000000005</v>
      </c>
      <c r="AG253" s="59" t="str">
        <f t="shared" si="107"/>
        <v>ok</v>
      </c>
    </row>
    <row r="254" spans="1:33" x14ac:dyDescent="0.25">
      <c r="A254" s="61">
        <v>588</v>
      </c>
      <c r="B254" s="45" t="s">
        <v>175</v>
      </c>
      <c r="C254" s="45" t="s">
        <v>118</v>
      </c>
      <c r="D254" s="45" t="s">
        <v>957</v>
      </c>
      <c r="F254" s="80">
        <v>0</v>
      </c>
      <c r="H254" s="64">
        <f t="shared" si="104"/>
        <v>0</v>
      </c>
      <c r="I254" s="64">
        <f t="shared" si="104"/>
        <v>0</v>
      </c>
      <c r="J254" s="64">
        <f t="shared" si="104"/>
        <v>0</v>
      </c>
      <c r="K254" s="64">
        <f t="shared" si="104"/>
        <v>0</v>
      </c>
      <c r="L254" s="64">
        <f t="shared" si="104"/>
        <v>0</v>
      </c>
      <c r="M254" s="64">
        <f t="shared" si="104"/>
        <v>0</v>
      </c>
      <c r="N254" s="64">
        <f t="shared" si="104"/>
        <v>0</v>
      </c>
      <c r="O254" s="64">
        <f t="shared" si="104"/>
        <v>0</v>
      </c>
      <c r="P254" s="64">
        <f t="shared" si="104"/>
        <v>0</v>
      </c>
      <c r="Q254" s="64">
        <f t="shared" si="104"/>
        <v>0</v>
      </c>
      <c r="R254" s="64">
        <f t="shared" si="105"/>
        <v>0</v>
      </c>
      <c r="S254" s="64">
        <f t="shared" si="105"/>
        <v>0</v>
      </c>
      <c r="T254" s="64">
        <f t="shared" si="105"/>
        <v>0</v>
      </c>
      <c r="U254" s="64">
        <f t="shared" si="105"/>
        <v>0</v>
      </c>
      <c r="V254" s="64">
        <f t="shared" si="105"/>
        <v>0</v>
      </c>
      <c r="W254" s="64">
        <f t="shared" si="105"/>
        <v>0</v>
      </c>
      <c r="X254" s="64">
        <f t="shared" si="105"/>
        <v>0</v>
      </c>
      <c r="Y254" s="64">
        <f t="shared" si="105"/>
        <v>0</v>
      </c>
      <c r="Z254" s="64">
        <f t="shared" si="105"/>
        <v>0</v>
      </c>
      <c r="AA254" s="64">
        <f t="shared" si="105"/>
        <v>0</v>
      </c>
      <c r="AB254" s="64">
        <f t="shared" si="105"/>
        <v>0</v>
      </c>
      <c r="AC254" s="64">
        <f t="shared" si="105"/>
        <v>0</v>
      </c>
      <c r="AD254" s="64">
        <f t="shared" si="105"/>
        <v>0</v>
      </c>
      <c r="AE254" s="64">
        <f t="shared" si="105"/>
        <v>0</v>
      </c>
      <c r="AF254" s="64">
        <f t="shared" si="106"/>
        <v>0</v>
      </c>
      <c r="AG254" s="59" t="str">
        <f t="shared" si="107"/>
        <v>ok</v>
      </c>
    </row>
    <row r="255" spans="1:33" x14ac:dyDescent="0.25">
      <c r="A255" s="61">
        <v>589</v>
      </c>
      <c r="B255" s="45" t="s">
        <v>1026</v>
      </c>
      <c r="C255" s="45" t="s">
        <v>1027</v>
      </c>
      <c r="D255" s="45" t="s">
        <v>957</v>
      </c>
      <c r="F255" s="80">
        <v>0</v>
      </c>
      <c r="H255" s="64">
        <f t="shared" si="104"/>
        <v>0</v>
      </c>
      <c r="I255" s="64">
        <f t="shared" si="104"/>
        <v>0</v>
      </c>
      <c r="J255" s="64">
        <f t="shared" si="104"/>
        <v>0</v>
      </c>
      <c r="K255" s="64">
        <f t="shared" si="104"/>
        <v>0</v>
      </c>
      <c r="L255" s="64">
        <f t="shared" si="104"/>
        <v>0</v>
      </c>
      <c r="M255" s="64">
        <f t="shared" si="104"/>
        <v>0</v>
      </c>
      <c r="N255" s="64">
        <f t="shared" si="104"/>
        <v>0</v>
      </c>
      <c r="O255" s="64">
        <f t="shared" si="104"/>
        <v>0</v>
      </c>
      <c r="P255" s="64">
        <f t="shared" si="104"/>
        <v>0</v>
      </c>
      <c r="Q255" s="64">
        <f t="shared" si="104"/>
        <v>0</v>
      </c>
      <c r="R255" s="64">
        <f t="shared" si="105"/>
        <v>0</v>
      </c>
      <c r="S255" s="64">
        <f t="shared" si="105"/>
        <v>0</v>
      </c>
      <c r="T255" s="64">
        <f t="shared" si="105"/>
        <v>0</v>
      </c>
      <c r="U255" s="64">
        <f t="shared" si="105"/>
        <v>0</v>
      </c>
      <c r="V255" s="64">
        <f t="shared" si="105"/>
        <v>0</v>
      </c>
      <c r="W255" s="64">
        <f t="shared" si="105"/>
        <v>0</v>
      </c>
      <c r="X255" s="64">
        <f t="shared" si="105"/>
        <v>0</v>
      </c>
      <c r="Y255" s="64">
        <f t="shared" si="105"/>
        <v>0</v>
      </c>
      <c r="Z255" s="64">
        <f t="shared" si="105"/>
        <v>0</v>
      </c>
      <c r="AA255" s="64">
        <f t="shared" si="105"/>
        <v>0</v>
      </c>
      <c r="AB255" s="64">
        <f t="shared" si="105"/>
        <v>0</v>
      </c>
      <c r="AC255" s="64">
        <f t="shared" si="105"/>
        <v>0</v>
      </c>
      <c r="AD255" s="64">
        <f t="shared" si="105"/>
        <v>0</v>
      </c>
      <c r="AE255" s="64">
        <f t="shared" si="105"/>
        <v>0</v>
      </c>
      <c r="AF255" s="64">
        <f t="shared" si="106"/>
        <v>0</v>
      </c>
      <c r="AG255" s="59" t="str">
        <f t="shared" si="107"/>
        <v>ok</v>
      </c>
    </row>
    <row r="256" spans="1:33" x14ac:dyDescent="0.25">
      <c r="A256" s="61"/>
      <c r="F256" s="80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G256" s="59"/>
    </row>
    <row r="257" spans="1:33" x14ac:dyDescent="0.25">
      <c r="A257" s="61" t="s">
        <v>1028</v>
      </c>
      <c r="C257" s="45" t="s">
        <v>1029</v>
      </c>
      <c r="F257" s="77">
        <f t="shared" ref="F257:M257" si="108">SUM(F244:F256)</f>
        <v>19664635</v>
      </c>
      <c r="G257" s="63">
        <f t="shared" si="108"/>
        <v>0</v>
      </c>
      <c r="H257" s="63">
        <f t="shared" si="108"/>
        <v>0</v>
      </c>
      <c r="I257" s="63">
        <f t="shared" si="108"/>
        <v>0</v>
      </c>
      <c r="J257" s="63">
        <f t="shared" si="108"/>
        <v>0</v>
      </c>
      <c r="K257" s="63">
        <f t="shared" si="108"/>
        <v>0</v>
      </c>
      <c r="L257" s="63">
        <f t="shared" si="108"/>
        <v>0</v>
      </c>
      <c r="M257" s="63">
        <f t="shared" si="108"/>
        <v>0</v>
      </c>
      <c r="N257" s="63">
        <f>SUM(N244:N256)</f>
        <v>0</v>
      </c>
      <c r="O257" s="63">
        <f>SUM(O244:O256)</f>
        <v>0</v>
      </c>
      <c r="P257" s="63">
        <f>SUM(P244:P256)</f>
        <v>0</v>
      </c>
      <c r="Q257" s="63">
        <f t="shared" ref="Q257:AB257" si="109">SUM(Q244:Q256)</f>
        <v>0</v>
      </c>
      <c r="R257" s="63">
        <f t="shared" si="109"/>
        <v>2612594.2696740092</v>
      </c>
      <c r="S257" s="63">
        <f t="shared" si="109"/>
        <v>0</v>
      </c>
      <c r="T257" s="63">
        <f t="shared" si="109"/>
        <v>2481698.1561298678</v>
      </c>
      <c r="U257" s="63">
        <f t="shared" si="109"/>
        <v>3570368.1075457949</v>
      </c>
      <c r="V257" s="63">
        <f t="shared" si="109"/>
        <v>827232.71870995581</v>
      </c>
      <c r="W257" s="63">
        <f t="shared" si="109"/>
        <v>1190122.7025152654</v>
      </c>
      <c r="X257" s="63">
        <f t="shared" si="109"/>
        <v>293496.45619383408</v>
      </c>
      <c r="Y257" s="63">
        <f t="shared" si="109"/>
        <v>222737.43885957077</v>
      </c>
      <c r="Z257" s="63">
        <f t="shared" si="109"/>
        <v>105704.03203029097</v>
      </c>
      <c r="AA257" s="63">
        <f t="shared" si="109"/>
        <v>8031528.1257571485</v>
      </c>
      <c r="AB257" s="63">
        <f t="shared" si="109"/>
        <v>329152.99258426332</v>
      </c>
      <c r="AC257" s="63">
        <f>SUM(AC244:AC256)</f>
        <v>0</v>
      </c>
      <c r="AD257" s="63">
        <f>SUM(AD244:AD256)</f>
        <v>0</v>
      </c>
      <c r="AE257" s="63">
        <f>SUM(AE244:AE256)</f>
        <v>0</v>
      </c>
      <c r="AF257" s="64">
        <f>SUM(H257:AE257)</f>
        <v>19664635</v>
      </c>
      <c r="AG257" s="59" t="str">
        <f>IF(ABS(AF257-F257)&lt;1,"ok","err")</f>
        <v>ok</v>
      </c>
    </row>
    <row r="258" spans="1:33" x14ac:dyDescent="0.25">
      <c r="A258" s="61"/>
      <c r="F258" s="77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4"/>
      <c r="AG258" s="59"/>
    </row>
    <row r="259" spans="1:33" x14ac:dyDescent="0.25">
      <c r="A259" s="61"/>
      <c r="F259" s="80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G259" s="59"/>
    </row>
    <row r="260" spans="1:33" x14ac:dyDescent="0.25">
      <c r="A260" s="66" t="s">
        <v>1030</v>
      </c>
      <c r="F260" s="80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G260" s="59"/>
    </row>
    <row r="261" spans="1:33" x14ac:dyDescent="0.25">
      <c r="A261" s="61">
        <v>590</v>
      </c>
      <c r="B261" s="61" t="s">
        <v>1031</v>
      </c>
      <c r="C261" s="45" t="s">
        <v>1032</v>
      </c>
      <c r="D261" s="45" t="s">
        <v>73</v>
      </c>
      <c r="F261" s="77">
        <v>49187</v>
      </c>
      <c r="H261" s="64">
        <f t="shared" ref="H261:Q269" si="110">IF(VLOOKUP($D261,$C$6:$AE$651,H$2,)=0,0,((VLOOKUP($D261,$C$6:$AE$651,H$2,)/VLOOKUP($D261,$C$6:$AE$651,4,))*$F261))</f>
        <v>0</v>
      </c>
      <c r="I261" s="64">
        <f t="shared" si="110"/>
        <v>0</v>
      </c>
      <c r="J261" s="64">
        <f t="shared" si="110"/>
        <v>0</v>
      </c>
      <c r="K261" s="64">
        <f t="shared" si="110"/>
        <v>0</v>
      </c>
      <c r="L261" s="64">
        <f t="shared" si="110"/>
        <v>0</v>
      </c>
      <c r="M261" s="64">
        <f t="shared" si="110"/>
        <v>0</v>
      </c>
      <c r="N261" s="64">
        <f t="shared" si="110"/>
        <v>0</v>
      </c>
      <c r="O261" s="64">
        <f t="shared" si="110"/>
        <v>0</v>
      </c>
      <c r="P261" s="64">
        <f t="shared" si="110"/>
        <v>0</v>
      </c>
      <c r="Q261" s="64">
        <f t="shared" si="110"/>
        <v>0</v>
      </c>
      <c r="R261" s="64">
        <f t="shared" ref="R261:AE269" si="111">IF(VLOOKUP($D261,$C$6:$AE$651,R$2,)=0,0,((VLOOKUP($D261,$C$6:$AE$651,R$2,)/VLOOKUP($D261,$C$6:$AE$651,4,))*$F261))</f>
        <v>4121.8940448441044</v>
      </c>
      <c r="S261" s="64">
        <f t="shared" si="111"/>
        <v>0</v>
      </c>
      <c r="T261" s="64">
        <f t="shared" si="111"/>
        <v>13083.722665219897</v>
      </c>
      <c r="U261" s="64">
        <f t="shared" si="111"/>
        <v>19275.656574677549</v>
      </c>
      <c r="V261" s="64">
        <f t="shared" si="111"/>
        <v>4361.2408884066326</v>
      </c>
      <c r="W261" s="64">
        <f t="shared" si="111"/>
        <v>6425.2188582258495</v>
      </c>
      <c r="X261" s="64">
        <f t="shared" si="111"/>
        <v>844.14695733176393</v>
      </c>
      <c r="Y261" s="64">
        <f t="shared" si="111"/>
        <v>640.63169189681878</v>
      </c>
      <c r="Z261" s="64">
        <f t="shared" si="111"/>
        <v>16.703212656810624</v>
      </c>
      <c r="AA261" s="64">
        <f t="shared" si="111"/>
        <v>22.059378149318313</v>
      </c>
      <c r="AB261" s="64">
        <f t="shared" si="111"/>
        <v>395.72572859125574</v>
      </c>
      <c r="AC261" s="64">
        <f t="shared" si="111"/>
        <v>0</v>
      </c>
      <c r="AD261" s="64">
        <f t="shared" si="111"/>
        <v>0</v>
      </c>
      <c r="AE261" s="64">
        <f t="shared" si="111"/>
        <v>0</v>
      </c>
      <c r="AF261" s="64">
        <f t="shared" ref="AF261:AF269" si="112">SUM(H261:AE261)</f>
        <v>49186.999999999993</v>
      </c>
      <c r="AG261" s="59" t="str">
        <f>IF(ABS(AF261-F261)&lt;1,"ok","err")</f>
        <v>ok</v>
      </c>
    </row>
    <row r="262" spans="1:33" x14ac:dyDescent="0.25">
      <c r="A262" s="61">
        <v>591</v>
      </c>
      <c r="B262" s="61" t="s">
        <v>267</v>
      </c>
      <c r="C262" s="45" t="s">
        <v>273</v>
      </c>
      <c r="D262" s="45" t="s">
        <v>961</v>
      </c>
      <c r="F262" s="80">
        <v>0</v>
      </c>
      <c r="H262" s="64">
        <f t="shared" si="110"/>
        <v>0</v>
      </c>
      <c r="I262" s="64">
        <f t="shared" si="110"/>
        <v>0</v>
      </c>
      <c r="J262" s="64">
        <f t="shared" si="110"/>
        <v>0</v>
      </c>
      <c r="K262" s="64">
        <f t="shared" si="110"/>
        <v>0</v>
      </c>
      <c r="L262" s="64">
        <f t="shared" si="110"/>
        <v>0</v>
      </c>
      <c r="M262" s="64">
        <f t="shared" si="110"/>
        <v>0</v>
      </c>
      <c r="N262" s="64">
        <f t="shared" si="110"/>
        <v>0</v>
      </c>
      <c r="O262" s="64">
        <f t="shared" si="110"/>
        <v>0</v>
      </c>
      <c r="P262" s="64">
        <f t="shared" si="110"/>
        <v>0</v>
      </c>
      <c r="Q262" s="64">
        <f t="shared" si="110"/>
        <v>0</v>
      </c>
      <c r="R262" s="64">
        <f t="shared" si="111"/>
        <v>0</v>
      </c>
      <c r="S262" s="64">
        <f t="shared" si="111"/>
        <v>0</v>
      </c>
      <c r="T262" s="64">
        <f t="shared" si="111"/>
        <v>0</v>
      </c>
      <c r="U262" s="64">
        <f t="shared" si="111"/>
        <v>0</v>
      </c>
      <c r="V262" s="64">
        <f t="shared" si="111"/>
        <v>0</v>
      </c>
      <c r="W262" s="64">
        <f t="shared" si="111"/>
        <v>0</v>
      </c>
      <c r="X262" s="64">
        <f t="shared" si="111"/>
        <v>0</v>
      </c>
      <c r="Y262" s="64">
        <f t="shared" si="111"/>
        <v>0</v>
      </c>
      <c r="Z262" s="64">
        <f t="shared" si="111"/>
        <v>0</v>
      </c>
      <c r="AA262" s="64">
        <f t="shared" si="111"/>
        <v>0</v>
      </c>
      <c r="AB262" s="64">
        <f t="shared" si="111"/>
        <v>0</v>
      </c>
      <c r="AC262" s="64">
        <f t="shared" si="111"/>
        <v>0</v>
      </c>
      <c r="AD262" s="64">
        <f t="shared" si="111"/>
        <v>0</v>
      </c>
      <c r="AE262" s="64">
        <f t="shared" si="111"/>
        <v>0</v>
      </c>
      <c r="AF262" s="64"/>
      <c r="AG262" s="59"/>
    </row>
    <row r="263" spans="1:33" x14ac:dyDescent="0.25">
      <c r="A263" s="61">
        <v>592</v>
      </c>
      <c r="B263" s="61" t="s">
        <v>1033</v>
      </c>
      <c r="C263" s="45" t="s">
        <v>1034</v>
      </c>
      <c r="D263" s="45" t="s">
        <v>961</v>
      </c>
      <c r="F263" s="80">
        <v>1020355</v>
      </c>
      <c r="H263" s="64">
        <f t="shared" si="110"/>
        <v>0</v>
      </c>
      <c r="I263" s="64">
        <f t="shared" si="110"/>
        <v>0</v>
      </c>
      <c r="J263" s="64">
        <f t="shared" si="110"/>
        <v>0</v>
      </c>
      <c r="K263" s="64">
        <f t="shared" si="110"/>
        <v>0</v>
      </c>
      <c r="L263" s="64">
        <f t="shared" si="110"/>
        <v>0</v>
      </c>
      <c r="M263" s="64">
        <f t="shared" si="110"/>
        <v>0</v>
      </c>
      <c r="N263" s="64">
        <f t="shared" si="110"/>
        <v>0</v>
      </c>
      <c r="O263" s="64">
        <f t="shared" si="110"/>
        <v>0</v>
      </c>
      <c r="P263" s="64">
        <f t="shared" si="110"/>
        <v>0</v>
      </c>
      <c r="Q263" s="64">
        <f t="shared" si="110"/>
        <v>0</v>
      </c>
      <c r="R263" s="64">
        <f t="shared" si="111"/>
        <v>1020355</v>
      </c>
      <c r="S263" s="64">
        <f t="shared" si="111"/>
        <v>0</v>
      </c>
      <c r="T263" s="64">
        <f t="shared" si="111"/>
        <v>0</v>
      </c>
      <c r="U263" s="64">
        <f t="shared" si="111"/>
        <v>0</v>
      </c>
      <c r="V263" s="64">
        <f t="shared" si="111"/>
        <v>0</v>
      </c>
      <c r="W263" s="64">
        <f t="shared" si="111"/>
        <v>0</v>
      </c>
      <c r="X263" s="64">
        <f t="shared" si="111"/>
        <v>0</v>
      </c>
      <c r="Y263" s="64">
        <f t="shared" si="111"/>
        <v>0</v>
      </c>
      <c r="Z263" s="64">
        <f t="shared" si="111"/>
        <v>0</v>
      </c>
      <c r="AA263" s="64">
        <f t="shared" si="111"/>
        <v>0</v>
      </c>
      <c r="AB263" s="64">
        <f t="shared" si="111"/>
        <v>0</v>
      </c>
      <c r="AC263" s="64">
        <f t="shared" si="111"/>
        <v>0</v>
      </c>
      <c r="AD263" s="64">
        <f t="shared" si="111"/>
        <v>0</v>
      </c>
      <c r="AE263" s="64">
        <f t="shared" si="111"/>
        <v>0</v>
      </c>
      <c r="AF263" s="64">
        <f t="shared" si="112"/>
        <v>1020355</v>
      </c>
      <c r="AG263" s="59" t="str">
        <f t="shared" ref="AG263:AG269" si="113">IF(ABS(AF263-F263)&lt;1,"ok","err")</f>
        <v>ok</v>
      </c>
    </row>
    <row r="264" spans="1:33" x14ac:dyDescent="0.25">
      <c r="A264" s="61">
        <v>593</v>
      </c>
      <c r="B264" s="61" t="s">
        <v>1035</v>
      </c>
      <c r="C264" s="45" t="s">
        <v>1036</v>
      </c>
      <c r="D264" s="45" t="s">
        <v>964</v>
      </c>
      <c r="F264" s="80">
        <v>23143806.999999989</v>
      </c>
      <c r="H264" s="64">
        <f t="shared" si="110"/>
        <v>0</v>
      </c>
      <c r="I264" s="64">
        <f t="shared" si="110"/>
        <v>0</v>
      </c>
      <c r="J264" s="64">
        <f t="shared" si="110"/>
        <v>0</v>
      </c>
      <c r="K264" s="64">
        <f t="shared" si="110"/>
        <v>0</v>
      </c>
      <c r="L264" s="64">
        <f t="shared" si="110"/>
        <v>0</v>
      </c>
      <c r="M264" s="64">
        <f t="shared" si="110"/>
        <v>0</v>
      </c>
      <c r="N264" s="64">
        <f t="shared" si="110"/>
        <v>0</v>
      </c>
      <c r="O264" s="64">
        <f t="shared" si="110"/>
        <v>0</v>
      </c>
      <c r="P264" s="64">
        <f t="shared" si="110"/>
        <v>0</v>
      </c>
      <c r="Q264" s="64">
        <f t="shared" si="110"/>
        <v>0</v>
      </c>
      <c r="R264" s="64">
        <f t="shared" si="111"/>
        <v>0</v>
      </c>
      <c r="S264" s="64">
        <f t="shared" si="111"/>
        <v>0</v>
      </c>
      <c r="T264" s="64">
        <f t="shared" si="111"/>
        <v>7422218.9048999958</v>
      </c>
      <c r="U264" s="64">
        <f t="shared" si="111"/>
        <v>9935636.3450999949</v>
      </c>
      <c r="V264" s="64">
        <f t="shared" si="111"/>
        <v>2474072.9682999989</v>
      </c>
      <c r="W264" s="64">
        <f t="shared" si="111"/>
        <v>3311878.7816999992</v>
      </c>
      <c r="X264" s="64">
        <f t="shared" si="111"/>
        <v>0</v>
      </c>
      <c r="Y264" s="64">
        <f t="shared" si="111"/>
        <v>0</v>
      </c>
      <c r="Z264" s="64">
        <f t="shared" si="111"/>
        <v>0</v>
      </c>
      <c r="AA264" s="64">
        <f t="shared" si="111"/>
        <v>0</v>
      </c>
      <c r="AB264" s="64">
        <f t="shared" si="111"/>
        <v>0</v>
      </c>
      <c r="AC264" s="64">
        <f t="shared" si="111"/>
        <v>0</v>
      </c>
      <c r="AD264" s="64">
        <f t="shared" si="111"/>
        <v>0</v>
      </c>
      <c r="AE264" s="64">
        <f t="shared" si="111"/>
        <v>0</v>
      </c>
      <c r="AF264" s="64">
        <f t="shared" si="112"/>
        <v>23143806.999999993</v>
      </c>
      <c r="AG264" s="59" t="str">
        <f t="shared" si="113"/>
        <v>ok</v>
      </c>
    </row>
    <row r="265" spans="1:33" x14ac:dyDescent="0.25">
      <c r="A265" s="61">
        <v>594</v>
      </c>
      <c r="B265" s="61" t="s">
        <v>1037</v>
      </c>
      <c r="C265" s="45" t="s">
        <v>1038</v>
      </c>
      <c r="D265" s="45" t="s">
        <v>967</v>
      </c>
      <c r="F265" s="80">
        <v>2008810</v>
      </c>
      <c r="H265" s="64">
        <f t="shared" si="110"/>
        <v>0</v>
      </c>
      <c r="I265" s="64">
        <f t="shared" si="110"/>
        <v>0</v>
      </c>
      <c r="J265" s="64">
        <f t="shared" si="110"/>
        <v>0</v>
      </c>
      <c r="K265" s="64">
        <f t="shared" si="110"/>
        <v>0</v>
      </c>
      <c r="L265" s="64">
        <f t="shared" si="110"/>
        <v>0</v>
      </c>
      <c r="M265" s="64">
        <f t="shared" si="110"/>
        <v>0</v>
      </c>
      <c r="N265" s="64">
        <f t="shared" si="110"/>
        <v>0</v>
      </c>
      <c r="O265" s="64">
        <f t="shared" si="110"/>
        <v>0</v>
      </c>
      <c r="P265" s="64">
        <f t="shared" si="110"/>
        <v>0</v>
      </c>
      <c r="Q265" s="64">
        <f t="shared" si="110"/>
        <v>0</v>
      </c>
      <c r="R265" s="64">
        <f t="shared" si="111"/>
        <v>0</v>
      </c>
      <c r="S265" s="64">
        <f t="shared" si="111"/>
        <v>0</v>
      </c>
      <c r="T265" s="64">
        <f t="shared" si="111"/>
        <v>452132.91074999992</v>
      </c>
      <c r="U265" s="64">
        <f t="shared" si="111"/>
        <v>1054474.58925</v>
      </c>
      <c r="V265" s="64">
        <f t="shared" si="111"/>
        <v>150710.97024999998</v>
      </c>
      <c r="W265" s="64">
        <f t="shared" si="111"/>
        <v>351491.52974999999</v>
      </c>
      <c r="X265" s="64">
        <f t="shared" si="111"/>
        <v>0</v>
      </c>
      <c r="Y265" s="64">
        <f t="shared" si="111"/>
        <v>0</v>
      </c>
      <c r="Z265" s="64">
        <f t="shared" si="111"/>
        <v>0</v>
      </c>
      <c r="AA265" s="64">
        <f t="shared" si="111"/>
        <v>0</v>
      </c>
      <c r="AB265" s="64">
        <f t="shared" si="111"/>
        <v>0</v>
      </c>
      <c r="AC265" s="64">
        <f t="shared" si="111"/>
        <v>0</v>
      </c>
      <c r="AD265" s="64">
        <f t="shared" si="111"/>
        <v>0</v>
      </c>
      <c r="AE265" s="64">
        <f t="shared" si="111"/>
        <v>0</v>
      </c>
      <c r="AF265" s="64">
        <f t="shared" si="112"/>
        <v>2008810</v>
      </c>
      <c r="AG265" s="59" t="str">
        <f t="shared" si="113"/>
        <v>ok</v>
      </c>
    </row>
    <row r="266" spans="1:33" x14ac:dyDescent="0.25">
      <c r="A266" s="61">
        <v>595</v>
      </c>
      <c r="B266" s="61" t="s">
        <v>1039</v>
      </c>
      <c r="C266" s="45" t="s">
        <v>1040</v>
      </c>
      <c r="D266" s="45" t="s">
        <v>968</v>
      </c>
      <c r="F266" s="80">
        <v>400489</v>
      </c>
      <c r="H266" s="64">
        <f t="shared" si="110"/>
        <v>0</v>
      </c>
      <c r="I266" s="64">
        <f t="shared" si="110"/>
        <v>0</v>
      </c>
      <c r="J266" s="64">
        <f t="shared" si="110"/>
        <v>0</v>
      </c>
      <c r="K266" s="64">
        <f t="shared" si="110"/>
        <v>0</v>
      </c>
      <c r="L266" s="64">
        <f t="shared" si="110"/>
        <v>0</v>
      </c>
      <c r="M266" s="64">
        <f t="shared" si="110"/>
        <v>0</v>
      </c>
      <c r="N266" s="64">
        <f t="shared" si="110"/>
        <v>0</v>
      </c>
      <c r="O266" s="64">
        <f t="shared" si="110"/>
        <v>0</v>
      </c>
      <c r="P266" s="64">
        <f t="shared" si="110"/>
        <v>0</v>
      </c>
      <c r="Q266" s="64">
        <f t="shared" si="110"/>
        <v>0</v>
      </c>
      <c r="R266" s="64">
        <f t="shared" si="111"/>
        <v>0</v>
      </c>
      <c r="S266" s="64">
        <f t="shared" si="111"/>
        <v>0</v>
      </c>
      <c r="T266" s="64">
        <f t="shared" si="111"/>
        <v>0</v>
      </c>
      <c r="U266" s="64">
        <f t="shared" si="111"/>
        <v>0</v>
      </c>
      <c r="V266" s="64">
        <f t="shared" si="111"/>
        <v>0</v>
      </c>
      <c r="W266" s="64">
        <f t="shared" si="111"/>
        <v>0</v>
      </c>
      <c r="X266" s="64">
        <f t="shared" si="111"/>
        <v>227691.56262483032</v>
      </c>
      <c r="Y266" s="64">
        <f t="shared" si="111"/>
        <v>172797.43737516965</v>
      </c>
      <c r="Z266" s="64">
        <f t="shared" si="111"/>
        <v>0</v>
      </c>
      <c r="AA266" s="64">
        <f t="shared" si="111"/>
        <v>0</v>
      </c>
      <c r="AB266" s="64">
        <f t="shared" si="111"/>
        <v>0</v>
      </c>
      <c r="AC266" s="64">
        <f t="shared" si="111"/>
        <v>0</v>
      </c>
      <c r="AD266" s="64">
        <f t="shared" si="111"/>
        <v>0</v>
      </c>
      <c r="AE266" s="64">
        <f t="shared" si="111"/>
        <v>0</v>
      </c>
      <c r="AF266" s="64">
        <f t="shared" si="112"/>
        <v>400489</v>
      </c>
      <c r="AG266" s="59" t="str">
        <f t="shared" si="113"/>
        <v>ok</v>
      </c>
    </row>
    <row r="267" spans="1:33" x14ac:dyDescent="0.25">
      <c r="A267" s="61">
        <v>596</v>
      </c>
      <c r="B267" s="61" t="s">
        <v>1175</v>
      </c>
      <c r="C267" s="45" t="s">
        <v>1176</v>
      </c>
      <c r="D267" s="45" t="s">
        <v>975</v>
      </c>
      <c r="F267" s="80">
        <v>413084</v>
      </c>
      <c r="H267" s="64">
        <f t="shared" si="110"/>
        <v>0</v>
      </c>
      <c r="I267" s="64">
        <f t="shared" si="110"/>
        <v>0</v>
      </c>
      <c r="J267" s="64">
        <f t="shared" si="110"/>
        <v>0</v>
      </c>
      <c r="K267" s="64">
        <f t="shared" si="110"/>
        <v>0</v>
      </c>
      <c r="L267" s="64">
        <f t="shared" si="110"/>
        <v>0</v>
      </c>
      <c r="M267" s="64">
        <f t="shared" si="110"/>
        <v>0</v>
      </c>
      <c r="N267" s="64">
        <f t="shared" si="110"/>
        <v>0</v>
      </c>
      <c r="O267" s="64">
        <f t="shared" si="110"/>
        <v>0</v>
      </c>
      <c r="P267" s="64">
        <f t="shared" si="110"/>
        <v>0</v>
      </c>
      <c r="Q267" s="64">
        <f t="shared" si="110"/>
        <v>0</v>
      </c>
      <c r="R267" s="64">
        <f t="shared" si="111"/>
        <v>0</v>
      </c>
      <c r="S267" s="64">
        <f t="shared" si="111"/>
        <v>0</v>
      </c>
      <c r="T267" s="64">
        <f t="shared" si="111"/>
        <v>0</v>
      </c>
      <c r="U267" s="64">
        <f t="shared" si="111"/>
        <v>0</v>
      </c>
      <c r="V267" s="64">
        <f t="shared" si="111"/>
        <v>0</v>
      </c>
      <c r="W267" s="64">
        <f t="shared" si="111"/>
        <v>0</v>
      </c>
      <c r="X267" s="64">
        <f t="shared" si="111"/>
        <v>0</v>
      </c>
      <c r="Y267" s="64">
        <f t="shared" si="111"/>
        <v>0</v>
      </c>
      <c r="Z267" s="64">
        <f t="shared" si="111"/>
        <v>0</v>
      </c>
      <c r="AA267" s="64">
        <f t="shared" si="111"/>
        <v>0</v>
      </c>
      <c r="AB267" s="64">
        <f t="shared" si="111"/>
        <v>413084</v>
      </c>
      <c r="AC267" s="64">
        <f t="shared" si="111"/>
        <v>0</v>
      </c>
      <c r="AD267" s="64">
        <f t="shared" si="111"/>
        <v>0</v>
      </c>
      <c r="AE267" s="64">
        <f t="shared" si="111"/>
        <v>0</v>
      </c>
      <c r="AF267" s="64">
        <f t="shared" si="112"/>
        <v>413084</v>
      </c>
      <c r="AG267" s="59" t="str">
        <f t="shared" si="113"/>
        <v>ok</v>
      </c>
    </row>
    <row r="268" spans="1:33" x14ac:dyDescent="0.25">
      <c r="A268" s="61">
        <v>597</v>
      </c>
      <c r="B268" s="61" t="s">
        <v>1041</v>
      </c>
      <c r="C268" s="45" t="s">
        <v>1042</v>
      </c>
      <c r="D268" s="45" t="s">
        <v>972</v>
      </c>
      <c r="F268" s="80">
        <v>0</v>
      </c>
      <c r="H268" s="64">
        <f t="shared" si="110"/>
        <v>0</v>
      </c>
      <c r="I268" s="64">
        <f t="shared" si="110"/>
        <v>0</v>
      </c>
      <c r="J268" s="64">
        <f t="shared" si="110"/>
        <v>0</v>
      </c>
      <c r="K268" s="64">
        <f t="shared" si="110"/>
        <v>0</v>
      </c>
      <c r="L268" s="64">
        <f t="shared" si="110"/>
        <v>0</v>
      </c>
      <c r="M268" s="64">
        <f t="shared" si="110"/>
        <v>0</v>
      </c>
      <c r="N268" s="64">
        <f t="shared" si="110"/>
        <v>0</v>
      </c>
      <c r="O268" s="64">
        <f t="shared" si="110"/>
        <v>0</v>
      </c>
      <c r="P268" s="64">
        <f t="shared" si="110"/>
        <v>0</v>
      </c>
      <c r="Q268" s="64">
        <f t="shared" si="110"/>
        <v>0</v>
      </c>
      <c r="R268" s="64">
        <f t="shared" si="111"/>
        <v>0</v>
      </c>
      <c r="S268" s="64">
        <f t="shared" si="111"/>
        <v>0</v>
      </c>
      <c r="T268" s="64">
        <f t="shared" si="111"/>
        <v>0</v>
      </c>
      <c r="U268" s="64">
        <f t="shared" si="111"/>
        <v>0</v>
      </c>
      <c r="V268" s="64">
        <f t="shared" si="111"/>
        <v>0</v>
      </c>
      <c r="W268" s="64">
        <f t="shared" si="111"/>
        <v>0</v>
      </c>
      <c r="X268" s="64">
        <f t="shared" si="111"/>
        <v>0</v>
      </c>
      <c r="Y268" s="64">
        <f t="shared" si="111"/>
        <v>0</v>
      </c>
      <c r="Z268" s="64">
        <f t="shared" si="111"/>
        <v>0</v>
      </c>
      <c r="AA268" s="64">
        <f t="shared" si="111"/>
        <v>0</v>
      </c>
      <c r="AB268" s="64">
        <f t="shared" si="111"/>
        <v>0</v>
      </c>
      <c r="AC268" s="64">
        <f t="shared" si="111"/>
        <v>0</v>
      </c>
      <c r="AD268" s="64">
        <f t="shared" si="111"/>
        <v>0</v>
      </c>
      <c r="AE268" s="64">
        <f t="shared" si="111"/>
        <v>0</v>
      </c>
      <c r="AF268" s="64">
        <f t="shared" si="112"/>
        <v>0</v>
      </c>
      <c r="AG268" s="59" t="str">
        <f t="shared" si="113"/>
        <v>ok</v>
      </c>
    </row>
    <row r="269" spans="1:33" x14ac:dyDescent="0.25">
      <c r="A269" s="61">
        <v>598</v>
      </c>
      <c r="B269" s="61" t="s">
        <v>274</v>
      </c>
      <c r="C269" s="45" t="s">
        <v>275</v>
      </c>
      <c r="D269" s="45" t="s">
        <v>957</v>
      </c>
      <c r="F269" s="80">
        <v>747488</v>
      </c>
      <c r="H269" s="64">
        <f t="shared" si="110"/>
        <v>0</v>
      </c>
      <c r="I269" s="64">
        <f t="shared" si="110"/>
        <v>0</v>
      </c>
      <c r="J269" s="64">
        <f t="shared" si="110"/>
        <v>0</v>
      </c>
      <c r="K269" s="64">
        <f t="shared" si="110"/>
        <v>0</v>
      </c>
      <c r="L269" s="64">
        <f t="shared" si="110"/>
        <v>0</v>
      </c>
      <c r="M269" s="64">
        <f t="shared" si="110"/>
        <v>0</v>
      </c>
      <c r="N269" s="64">
        <f t="shared" si="110"/>
        <v>0</v>
      </c>
      <c r="O269" s="64">
        <f t="shared" si="110"/>
        <v>0</v>
      </c>
      <c r="P269" s="64">
        <f t="shared" si="110"/>
        <v>0</v>
      </c>
      <c r="Q269" s="64">
        <f t="shared" si="110"/>
        <v>0</v>
      </c>
      <c r="R269" s="64">
        <f t="shared" si="111"/>
        <v>89095.40726600874</v>
      </c>
      <c r="S269" s="64">
        <f t="shared" si="111"/>
        <v>0</v>
      </c>
      <c r="T269" s="64">
        <f t="shared" si="111"/>
        <v>130752.1569065387</v>
      </c>
      <c r="U269" s="64">
        <f t="shared" si="111"/>
        <v>212462.43629351226</v>
      </c>
      <c r="V269" s="64">
        <f t="shared" si="111"/>
        <v>43584.052302179567</v>
      </c>
      <c r="W269" s="64">
        <f t="shared" si="111"/>
        <v>70820.812097837421</v>
      </c>
      <c r="X269" s="64">
        <f t="shared" si="111"/>
        <v>54026.501168019546</v>
      </c>
      <c r="Y269" s="64">
        <f t="shared" si="111"/>
        <v>41001.259970106214</v>
      </c>
      <c r="Z269" s="64">
        <f t="shared" si="111"/>
        <v>19457.880630004234</v>
      </c>
      <c r="AA269" s="64">
        <f t="shared" si="111"/>
        <v>25697.376643680833</v>
      </c>
      <c r="AB269" s="64">
        <f t="shared" si="111"/>
        <v>60590.116722112652</v>
      </c>
      <c r="AC269" s="64">
        <f t="shared" si="111"/>
        <v>0</v>
      </c>
      <c r="AD269" s="64">
        <f t="shared" si="111"/>
        <v>0</v>
      </c>
      <c r="AE269" s="64">
        <f t="shared" si="111"/>
        <v>0</v>
      </c>
      <c r="AF269" s="64">
        <f t="shared" si="112"/>
        <v>747488</v>
      </c>
      <c r="AG269" s="59" t="str">
        <f t="shared" si="113"/>
        <v>ok</v>
      </c>
    </row>
    <row r="270" spans="1:33" x14ac:dyDescent="0.25">
      <c r="A270" s="61"/>
      <c r="B270" s="61"/>
      <c r="F270" s="80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59"/>
    </row>
    <row r="271" spans="1:33" x14ac:dyDescent="0.25">
      <c r="A271" s="61" t="s">
        <v>1043</v>
      </c>
      <c r="B271" s="61"/>
      <c r="C271" s="45" t="s">
        <v>1044</v>
      </c>
      <c r="F271" s="77">
        <f t="shared" ref="F271:M271" si="114">SUM(F261:F270)</f>
        <v>27783219.999999989</v>
      </c>
      <c r="G271" s="63">
        <f t="shared" si="114"/>
        <v>0</v>
      </c>
      <c r="H271" s="63">
        <f t="shared" si="114"/>
        <v>0</v>
      </c>
      <c r="I271" s="63">
        <f t="shared" si="114"/>
        <v>0</v>
      </c>
      <c r="J271" s="63">
        <f t="shared" si="114"/>
        <v>0</v>
      </c>
      <c r="K271" s="63">
        <f t="shared" si="114"/>
        <v>0</v>
      </c>
      <c r="L271" s="63">
        <f t="shared" si="114"/>
        <v>0</v>
      </c>
      <c r="M271" s="63">
        <f t="shared" si="114"/>
        <v>0</v>
      </c>
      <c r="N271" s="63">
        <f>SUM(N261:N270)</f>
        <v>0</v>
      </c>
      <c r="O271" s="63">
        <f>SUM(O261:O270)</f>
        <v>0</v>
      </c>
      <c r="P271" s="63">
        <f>SUM(P261:P270)</f>
        <v>0</v>
      </c>
      <c r="Q271" s="63">
        <f t="shared" ref="Q271:AB271" si="115">SUM(Q261:Q270)</f>
        <v>0</v>
      </c>
      <c r="R271" s="63">
        <f t="shared" si="115"/>
        <v>1113572.3013108529</v>
      </c>
      <c r="S271" s="63">
        <f t="shared" si="115"/>
        <v>0</v>
      </c>
      <c r="T271" s="63">
        <f t="shared" si="115"/>
        <v>8018187.6952217538</v>
      </c>
      <c r="U271" s="63">
        <f t="shared" si="115"/>
        <v>11221849.027218185</v>
      </c>
      <c r="V271" s="63">
        <f t="shared" si="115"/>
        <v>2672729.2317405846</v>
      </c>
      <c r="W271" s="63">
        <f t="shared" si="115"/>
        <v>3740616.3424060624</v>
      </c>
      <c r="X271" s="63">
        <f t="shared" si="115"/>
        <v>282562.21075018164</v>
      </c>
      <c r="Y271" s="63">
        <f t="shared" si="115"/>
        <v>214439.32903717269</v>
      </c>
      <c r="Z271" s="63">
        <f t="shared" si="115"/>
        <v>19474.583842661046</v>
      </c>
      <c r="AA271" s="63">
        <f t="shared" si="115"/>
        <v>25719.436021830152</v>
      </c>
      <c r="AB271" s="63">
        <f t="shared" si="115"/>
        <v>474069.8424507039</v>
      </c>
      <c r="AC271" s="63">
        <f>SUM(AC261:AC270)</f>
        <v>0</v>
      </c>
      <c r="AD271" s="63">
        <f>SUM(AD261:AD270)</f>
        <v>0</v>
      </c>
      <c r="AE271" s="63">
        <f>SUM(AE261:AE270)</f>
        <v>0</v>
      </c>
      <c r="AF271" s="64">
        <f>SUM(H271:AE271)</f>
        <v>27783219.999999989</v>
      </c>
      <c r="AG271" s="59" t="str">
        <f>IF(ABS(AF271-F271)&lt;1,"ok","err")</f>
        <v>ok</v>
      </c>
    </row>
    <row r="272" spans="1:33" x14ac:dyDescent="0.25">
      <c r="A272" s="61"/>
      <c r="B272" s="61"/>
      <c r="F272" s="80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G272" s="59"/>
    </row>
    <row r="273" spans="1:33" x14ac:dyDescent="0.25">
      <c r="A273" s="61" t="s">
        <v>1177</v>
      </c>
      <c r="B273" s="61"/>
      <c r="F273" s="77">
        <f>F257+F271</f>
        <v>47447854.999999985</v>
      </c>
      <c r="G273" s="64">
        <f t="shared" ref="G273:M273" si="116">G257+G271</f>
        <v>0</v>
      </c>
      <c r="H273" s="64">
        <f t="shared" si="116"/>
        <v>0</v>
      </c>
      <c r="I273" s="64">
        <f t="shared" si="116"/>
        <v>0</v>
      </c>
      <c r="J273" s="64">
        <f t="shared" si="116"/>
        <v>0</v>
      </c>
      <c r="K273" s="64">
        <f t="shared" si="116"/>
        <v>0</v>
      </c>
      <c r="L273" s="64">
        <f t="shared" si="116"/>
        <v>0</v>
      </c>
      <c r="M273" s="64">
        <f t="shared" si="116"/>
        <v>0</v>
      </c>
      <c r="N273" s="64">
        <f>N257+N271</f>
        <v>0</v>
      </c>
      <c r="O273" s="64">
        <f>O257+O271</f>
        <v>0</v>
      </c>
      <c r="P273" s="64">
        <f>P257+P271</f>
        <v>0</v>
      </c>
      <c r="Q273" s="64">
        <f t="shared" ref="Q273:AB273" si="117">Q257+Q271</f>
        <v>0</v>
      </c>
      <c r="R273" s="64">
        <f t="shared" si="117"/>
        <v>3726166.5709848618</v>
      </c>
      <c r="S273" s="64">
        <f t="shared" si="117"/>
        <v>0</v>
      </c>
      <c r="T273" s="64">
        <f t="shared" si="117"/>
        <v>10499885.851351622</v>
      </c>
      <c r="U273" s="64">
        <f t="shared" si="117"/>
        <v>14792217.13476398</v>
      </c>
      <c r="V273" s="64">
        <f t="shared" si="117"/>
        <v>3499961.9504505405</v>
      </c>
      <c r="W273" s="64">
        <f t="shared" si="117"/>
        <v>4930739.0449213274</v>
      </c>
      <c r="X273" s="64">
        <f t="shared" si="117"/>
        <v>576058.66694401577</v>
      </c>
      <c r="Y273" s="64">
        <f t="shared" si="117"/>
        <v>437176.76789674349</v>
      </c>
      <c r="Z273" s="64">
        <f t="shared" si="117"/>
        <v>125178.61587295201</v>
      </c>
      <c r="AA273" s="64">
        <f t="shared" si="117"/>
        <v>8057247.5617789784</v>
      </c>
      <c r="AB273" s="64">
        <f t="shared" si="117"/>
        <v>803222.83503496717</v>
      </c>
      <c r="AC273" s="64">
        <f>AC257+AC271</f>
        <v>0</v>
      </c>
      <c r="AD273" s="64">
        <f>AD257+AD271</f>
        <v>0</v>
      </c>
      <c r="AE273" s="64">
        <f>AE257+AE271</f>
        <v>0</v>
      </c>
      <c r="AF273" s="64">
        <f>SUM(H273:AE273)</f>
        <v>47447854.999999985</v>
      </c>
      <c r="AG273" s="59" t="str">
        <f>IF(ABS(AF273-F273)&lt;1,"ok","err")</f>
        <v>ok</v>
      </c>
    </row>
    <row r="274" spans="1:33" x14ac:dyDescent="0.25">
      <c r="A274" s="61"/>
      <c r="B274" s="61"/>
      <c r="F274" s="80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G274" s="59"/>
    </row>
    <row r="275" spans="1:33" x14ac:dyDescent="0.25">
      <c r="A275" s="61" t="s">
        <v>1178</v>
      </c>
      <c r="B275" s="61"/>
      <c r="F275" s="77">
        <f t="shared" ref="F275:M275" si="118">F273+F239</f>
        <v>62552093.999999985</v>
      </c>
      <c r="G275" s="64">
        <f t="shared" si="118"/>
        <v>0</v>
      </c>
      <c r="H275" s="64">
        <f t="shared" si="118"/>
        <v>0</v>
      </c>
      <c r="I275" s="64">
        <f t="shared" si="118"/>
        <v>0</v>
      </c>
      <c r="J275" s="64">
        <f t="shared" si="118"/>
        <v>0</v>
      </c>
      <c r="K275" s="64">
        <f t="shared" si="118"/>
        <v>0</v>
      </c>
      <c r="L275" s="64">
        <f t="shared" si="118"/>
        <v>0</v>
      </c>
      <c r="M275" s="64">
        <f t="shared" si="118"/>
        <v>0</v>
      </c>
      <c r="N275" s="64">
        <f>N273+N239</f>
        <v>5284960.6065975213</v>
      </c>
      <c r="O275" s="64">
        <f>O273+O239</f>
        <v>5150004.3008271726</v>
      </c>
      <c r="P275" s="64">
        <f>P273+P239</f>
        <v>4669274.0925753033</v>
      </c>
      <c r="Q275" s="64">
        <f t="shared" ref="Q275:AB275" si="119">Q273+Q239</f>
        <v>0</v>
      </c>
      <c r="R275" s="64">
        <f t="shared" si="119"/>
        <v>3726166.5709848618</v>
      </c>
      <c r="S275" s="64">
        <f t="shared" si="119"/>
        <v>0</v>
      </c>
      <c r="T275" s="64">
        <f t="shared" si="119"/>
        <v>10499885.851351622</v>
      </c>
      <c r="U275" s="64">
        <f t="shared" si="119"/>
        <v>14792217.13476398</v>
      </c>
      <c r="V275" s="64">
        <f t="shared" si="119"/>
        <v>3499961.9504505405</v>
      </c>
      <c r="W275" s="64">
        <f t="shared" si="119"/>
        <v>4930739.0449213274</v>
      </c>
      <c r="X275" s="64">
        <f t="shared" si="119"/>
        <v>576058.66694401577</v>
      </c>
      <c r="Y275" s="64">
        <f t="shared" si="119"/>
        <v>437176.76789674349</v>
      </c>
      <c r="Z275" s="64">
        <f t="shared" si="119"/>
        <v>125178.61587295201</v>
      </c>
      <c r="AA275" s="64">
        <f t="shared" si="119"/>
        <v>8057247.5617789784</v>
      </c>
      <c r="AB275" s="64">
        <f t="shared" si="119"/>
        <v>803222.83503496717</v>
      </c>
      <c r="AC275" s="64">
        <f>AC273+AC239</f>
        <v>0</v>
      </c>
      <c r="AD275" s="64">
        <f>AD273+AD239</f>
        <v>0</v>
      </c>
      <c r="AE275" s="64">
        <f>AE273+AE239</f>
        <v>0</v>
      </c>
      <c r="AF275" s="64">
        <f>SUM(H275:AE275)</f>
        <v>62552093.99999997</v>
      </c>
      <c r="AG275" s="59" t="str">
        <f>IF(ABS(AF275-F275)&lt;1,"ok","err")</f>
        <v>ok</v>
      </c>
    </row>
    <row r="276" spans="1:33" x14ac:dyDescent="0.25">
      <c r="A276" s="61"/>
      <c r="B276" s="61"/>
      <c r="F276" s="80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G276" s="59"/>
    </row>
    <row r="277" spans="1:33" x14ac:dyDescent="0.25">
      <c r="A277" s="61" t="s">
        <v>277</v>
      </c>
      <c r="B277" s="61"/>
      <c r="C277" s="45" t="s">
        <v>1045</v>
      </c>
      <c r="F277" s="77">
        <f>F221+F239+F273</f>
        <v>593179134.16695869</v>
      </c>
      <c r="G277" s="63">
        <f>G275+G219</f>
        <v>0</v>
      </c>
      <c r="H277" s="63">
        <f t="shared" ref="H277:M277" si="120">H221+H239+H273</f>
        <v>25854185.017924398</v>
      </c>
      <c r="I277" s="63">
        <f t="shared" si="120"/>
        <v>25193974.742304482</v>
      </c>
      <c r="J277" s="63">
        <f t="shared" si="120"/>
        <v>22842228.216070492</v>
      </c>
      <c r="K277" s="63">
        <f t="shared" si="120"/>
        <v>456736652.19065928</v>
      </c>
      <c r="L277" s="63">
        <f t="shared" si="120"/>
        <v>0</v>
      </c>
      <c r="M277" s="63">
        <f t="shared" si="120"/>
        <v>0</v>
      </c>
      <c r="N277" s="63">
        <f>N221+N239+N273</f>
        <v>5284960.6065975213</v>
      </c>
      <c r="O277" s="63">
        <f>O221+O239+O273</f>
        <v>5150004.3008271726</v>
      </c>
      <c r="P277" s="63">
        <f>P221+P239+P273</f>
        <v>4669274.0925753033</v>
      </c>
      <c r="Q277" s="63">
        <f t="shared" ref="Q277:AB277" si="121">Q221+Q239+Q273</f>
        <v>0</v>
      </c>
      <c r="R277" s="63">
        <f t="shared" si="121"/>
        <v>3726166.5709848618</v>
      </c>
      <c r="S277" s="63">
        <f t="shared" si="121"/>
        <v>0</v>
      </c>
      <c r="T277" s="63">
        <f t="shared" si="121"/>
        <v>10499885.851351622</v>
      </c>
      <c r="U277" s="63">
        <f t="shared" si="121"/>
        <v>14792217.13476398</v>
      </c>
      <c r="V277" s="63">
        <f t="shared" si="121"/>
        <v>3499961.9504505405</v>
      </c>
      <c r="W277" s="63">
        <f t="shared" si="121"/>
        <v>4930739.0449213274</v>
      </c>
      <c r="X277" s="63">
        <f t="shared" si="121"/>
        <v>576058.66694401577</v>
      </c>
      <c r="Y277" s="63">
        <f t="shared" si="121"/>
        <v>437176.76789674349</v>
      </c>
      <c r="Z277" s="63">
        <f t="shared" si="121"/>
        <v>125178.61587295201</v>
      </c>
      <c r="AA277" s="63">
        <f t="shared" si="121"/>
        <v>8057247.5617789784</v>
      </c>
      <c r="AB277" s="63">
        <f t="shared" si="121"/>
        <v>803222.83503496717</v>
      </c>
      <c r="AC277" s="63">
        <f>AC221+AC239+AC273</f>
        <v>0</v>
      </c>
      <c r="AD277" s="63">
        <f>AD221+AD239+AD273</f>
        <v>0</v>
      </c>
      <c r="AE277" s="63">
        <f>AE221+AE239+AE273</f>
        <v>0</v>
      </c>
      <c r="AF277" s="64">
        <f>SUM(H277:AE277)</f>
        <v>593179134.16695869</v>
      </c>
      <c r="AG277" s="59" t="str">
        <f>IF(ABS(AF277-F277)&lt;1,"ok","err")</f>
        <v>ok</v>
      </c>
    </row>
    <row r="278" spans="1:33" x14ac:dyDescent="0.25">
      <c r="A278" s="66"/>
      <c r="B278" s="61"/>
      <c r="F278" s="80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G278" s="59"/>
    </row>
    <row r="279" spans="1:33" x14ac:dyDescent="0.25">
      <c r="A279" s="66"/>
      <c r="B279" s="61"/>
      <c r="F279" s="80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G279" s="59"/>
    </row>
    <row r="280" spans="1:33" x14ac:dyDescent="0.25">
      <c r="A280" s="60" t="s">
        <v>1046</v>
      </c>
      <c r="B280" s="61"/>
      <c r="F280" s="80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G280" s="59"/>
    </row>
    <row r="281" spans="1:33" x14ac:dyDescent="0.25">
      <c r="A281" s="66"/>
      <c r="B281" s="61"/>
      <c r="F281" s="80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G281" s="59"/>
    </row>
    <row r="282" spans="1:33" x14ac:dyDescent="0.25">
      <c r="A282" s="66" t="s">
        <v>1047</v>
      </c>
      <c r="B282" s="61"/>
      <c r="F282" s="80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G282" s="59"/>
    </row>
    <row r="283" spans="1:33" x14ac:dyDescent="0.25">
      <c r="A283" s="61">
        <v>901</v>
      </c>
      <c r="B283" s="61" t="s">
        <v>1048</v>
      </c>
      <c r="C283" s="45" t="s">
        <v>1049</v>
      </c>
      <c r="D283" s="45" t="s">
        <v>669</v>
      </c>
      <c r="F283" s="77">
        <v>1024254.5500000002</v>
      </c>
      <c r="H283" s="64">
        <f t="shared" ref="H283:Q287" si="122">IF(VLOOKUP($D283,$C$6:$AE$651,H$2,)=0,0,((VLOOKUP($D283,$C$6:$AE$651,H$2,)/VLOOKUP($D283,$C$6:$AE$651,4,))*$F283))</f>
        <v>0</v>
      </c>
      <c r="I283" s="64">
        <f t="shared" si="122"/>
        <v>0</v>
      </c>
      <c r="J283" s="64">
        <f t="shared" si="122"/>
        <v>0</v>
      </c>
      <c r="K283" s="64">
        <f t="shared" si="122"/>
        <v>0</v>
      </c>
      <c r="L283" s="64">
        <f t="shared" si="122"/>
        <v>0</v>
      </c>
      <c r="M283" s="64">
        <f t="shared" si="122"/>
        <v>0</v>
      </c>
      <c r="N283" s="64">
        <f t="shared" si="122"/>
        <v>0</v>
      </c>
      <c r="O283" s="64">
        <f t="shared" si="122"/>
        <v>0</v>
      </c>
      <c r="P283" s="64">
        <f t="shared" si="122"/>
        <v>0</v>
      </c>
      <c r="Q283" s="64">
        <f t="shared" si="122"/>
        <v>0</v>
      </c>
      <c r="R283" s="64">
        <f t="shared" ref="R283:AE287" si="123">IF(VLOOKUP($D283,$C$6:$AE$651,R$2,)=0,0,((VLOOKUP($D283,$C$6:$AE$651,R$2,)/VLOOKUP($D283,$C$6:$AE$651,4,))*$F283))</f>
        <v>0</v>
      </c>
      <c r="S283" s="64">
        <f t="shared" si="123"/>
        <v>0</v>
      </c>
      <c r="T283" s="64">
        <f t="shared" si="123"/>
        <v>0</v>
      </c>
      <c r="U283" s="64">
        <f t="shared" si="123"/>
        <v>0</v>
      </c>
      <c r="V283" s="64">
        <f t="shared" si="123"/>
        <v>0</v>
      </c>
      <c r="W283" s="64">
        <f t="shared" si="123"/>
        <v>0</v>
      </c>
      <c r="X283" s="64">
        <f t="shared" si="123"/>
        <v>0</v>
      </c>
      <c r="Y283" s="64">
        <f t="shared" si="123"/>
        <v>0</v>
      </c>
      <c r="Z283" s="64">
        <f t="shared" si="123"/>
        <v>0</v>
      </c>
      <c r="AA283" s="64">
        <f t="shared" si="123"/>
        <v>0</v>
      </c>
      <c r="AB283" s="64">
        <f t="shared" si="123"/>
        <v>0</v>
      </c>
      <c r="AC283" s="64">
        <f t="shared" si="123"/>
        <v>1024254.5500000002</v>
      </c>
      <c r="AD283" s="64">
        <f t="shared" si="123"/>
        <v>0</v>
      </c>
      <c r="AE283" s="64">
        <f t="shared" si="123"/>
        <v>0</v>
      </c>
      <c r="AF283" s="64">
        <f>SUM(H283:AE283)</f>
        <v>1024254.5500000002</v>
      </c>
      <c r="AG283" s="59" t="str">
        <f>IF(ABS(AF283-F283)&lt;1,"ok","err")</f>
        <v>ok</v>
      </c>
    </row>
    <row r="284" spans="1:33" x14ac:dyDescent="0.25">
      <c r="A284" s="61">
        <v>902</v>
      </c>
      <c r="B284" s="61" t="s">
        <v>1051</v>
      </c>
      <c r="C284" s="45" t="s">
        <v>1052</v>
      </c>
      <c r="D284" s="45" t="s">
        <v>669</v>
      </c>
      <c r="F284" s="80">
        <v>2423241.7000000002</v>
      </c>
      <c r="H284" s="64">
        <f t="shared" si="122"/>
        <v>0</v>
      </c>
      <c r="I284" s="64">
        <f t="shared" si="122"/>
        <v>0</v>
      </c>
      <c r="J284" s="64">
        <f t="shared" si="122"/>
        <v>0</v>
      </c>
      <c r="K284" s="64">
        <f t="shared" si="122"/>
        <v>0</v>
      </c>
      <c r="L284" s="64">
        <f t="shared" si="122"/>
        <v>0</v>
      </c>
      <c r="M284" s="64">
        <f t="shared" si="122"/>
        <v>0</v>
      </c>
      <c r="N284" s="64">
        <f t="shared" si="122"/>
        <v>0</v>
      </c>
      <c r="O284" s="64">
        <f t="shared" si="122"/>
        <v>0</v>
      </c>
      <c r="P284" s="64">
        <f t="shared" si="122"/>
        <v>0</v>
      </c>
      <c r="Q284" s="64">
        <f t="shared" si="122"/>
        <v>0</v>
      </c>
      <c r="R284" s="64">
        <f t="shared" si="123"/>
        <v>0</v>
      </c>
      <c r="S284" s="64">
        <f t="shared" si="123"/>
        <v>0</v>
      </c>
      <c r="T284" s="64">
        <f t="shared" si="123"/>
        <v>0</v>
      </c>
      <c r="U284" s="64">
        <f t="shared" si="123"/>
        <v>0</v>
      </c>
      <c r="V284" s="64">
        <f t="shared" si="123"/>
        <v>0</v>
      </c>
      <c r="W284" s="64">
        <f t="shared" si="123"/>
        <v>0</v>
      </c>
      <c r="X284" s="64">
        <f t="shared" si="123"/>
        <v>0</v>
      </c>
      <c r="Y284" s="64">
        <f t="shared" si="123"/>
        <v>0</v>
      </c>
      <c r="Z284" s="64">
        <f t="shared" si="123"/>
        <v>0</v>
      </c>
      <c r="AA284" s="64">
        <f t="shared" si="123"/>
        <v>0</v>
      </c>
      <c r="AB284" s="64">
        <f t="shared" si="123"/>
        <v>0</v>
      </c>
      <c r="AC284" s="64">
        <f t="shared" si="123"/>
        <v>2423241.7000000002</v>
      </c>
      <c r="AD284" s="64">
        <f t="shared" si="123"/>
        <v>0</v>
      </c>
      <c r="AE284" s="64">
        <f t="shared" si="123"/>
        <v>0</v>
      </c>
      <c r="AF284" s="64">
        <f>SUM(H284:AE284)</f>
        <v>2423241.7000000002</v>
      </c>
      <c r="AG284" s="59" t="str">
        <f>IF(ABS(AF284-F284)&lt;1,"ok","err")</f>
        <v>ok</v>
      </c>
    </row>
    <row r="285" spans="1:33" x14ac:dyDescent="0.25">
      <c r="A285" s="61">
        <v>903</v>
      </c>
      <c r="B285" s="61" t="s">
        <v>29</v>
      </c>
      <c r="C285" s="45" t="s">
        <v>1053</v>
      </c>
      <c r="D285" s="45" t="s">
        <v>669</v>
      </c>
      <c r="F285" s="80">
        <v>6169918.1500000004</v>
      </c>
      <c r="H285" s="64">
        <f t="shared" si="122"/>
        <v>0</v>
      </c>
      <c r="I285" s="64">
        <f t="shared" si="122"/>
        <v>0</v>
      </c>
      <c r="J285" s="64">
        <f t="shared" si="122"/>
        <v>0</v>
      </c>
      <c r="K285" s="64">
        <f t="shared" si="122"/>
        <v>0</v>
      </c>
      <c r="L285" s="64">
        <f t="shared" si="122"/>
        <v>0</v>
      </c>
      <c r="M285" s="64">
        <f t="shared" si="122"/>
        <v>0</v>
      </c>
      <c r="N285" s="64">
        <f t="shared" si="122"/>
        <v>0</v>
      </c>
      <c r="O285" s="64">
        <f t="shared" si="122"/>
        <v>0</v>
      </c>
      <c r="P285" s="64">
        <f t="shared" si="122"/>
        <v>0</v>
      </c>
      <c r="Q285" s="64">
        <f t="shared" si="122"/>
        <v>0</v>
      </c>
      <c r="R285" s="64">
        <f t="shared" si="123"/>
        <v>0</v>
      </c>
      <c r="S285" s="64">
        <f t="shared" si="123"/>
        <v>0</v>
      </c>
      <c r="T285" s="64">
        <f t="shared" si="123"/>
        <v>0</v>
      </c>
      <c r="U285" s="64">
        <f t="shared" si="123"/>
        <v>0</v>
      </c>
      <c r="V285" s="64">
        <f t="shared" si="123"/>
        <v>0</v>
      </c>
      <c r="W285" s="64">
        <f t="shared" si="123"/>
        <v>0</v>
      </c>
      <c r="X285" s="64">
        <f t="shared" si="123"/>
        <v>0</v>
      </c>
      <c r="Y285" s="64">
        <f t="shared" si="123"/>
        <v>0</v>
      </c>
      <c r="Z285" s="64">
        <f t="shared" si="123"/>
        <v>0</v>
      </c>
      <c r="AA285" s="64">
        <f t="shared" si="123"/>
        <v>0</v>
      </c>
      <c r="AB285" s="64">
        <f t="shared" si="123"/>
        <v>0</v>
      </c>
      <c r="AC285" s="64">
        <f t="shared" si="123"/>
        <v>6169918.1500000004</v>
      </c>
      <c r="AD285" s="64">
        <f t="shared" si="123"/>
        <v>0</v>
      </c>
      <c r="AE285" s="64">
        <f t="shared" si="123"/>
        <v>0</v>
      </c>
      <c r="AF285" s="64">
        <f>SUM(H285:AE285)</f>
        <v>6169918.1500000004</v>
      </c>
      <c r="AG285" s="59" t="str">
        <f>IF(ABS(AF285-F285)&lt;1,"ok","err")</f>
        <v>ok</v>
      </c>
    </row>
    <row r="286" spans="1:33" x14ac:dyDescent="0.25">
      <c r="A286" s="61">
        <v>904</v>
      </c>
      <c r="B286" s="61" t="s">
        <v>1054</v>
      </c>
      <c r="C286" s="45" t="s">
        <v>1055</v>
      </c>
      <c r="D286" s="45" t="s">
        <v>669</v>
      </c>
      <c r="F286" s="80">
        <v>3192999.9999999916</v>
      </c>
      <c r="H286" s="64">
        <f t="shared" si="122"/>
        <v>0</v>
      </c>
      <c r="I286" s="64">
        <f t="shared" si="122"/>
        <v>0</v>
      </c>
      <c r="J286" s="64">
        <f t="shared" si="122"/>
        <v>0</v>
      </c>
      <c r="K286" s="64">
        <f t="shared" si="122"/>
        <v>0</v>
      </c>
      <c r="L286" s="64">
        <f t="shared" si="122"/>
        <v>0</v>
      </c>
      <c r="M286" s="64">
        <f t="shared" si="122"/>
        <v>0</v>
      </c>
      <c r="N286" s="64">
        <f t="shared" si="122"/>
        <v>0</v>
      </c>
      <c r="O286" s="64">
        <f t="shared" si="122"/>
        <v>0</v>
      </c>
      <c r="P286" s="64">
        <f t="shared" si="122"/>
        <v>0</v>
      </c>
      <c r="Q286" s="64">
        <f t="shared" si="122"/>
        <v>0</v>
      </c>
      <c r="R286" s="64">
        <f t="shared" si="123"/>
        <v>0</v>
      </c>
      <c r="S286" s="64">
        <f t="shared" si="123"/>
        <v>0</v>
      </c>
      <c r="T286" s="64">
        <f t="shared" si="123"/>
        <v>0</v>
      </c>
      <c r="U286" s="64">
        <f t="shared" si="123"/>
        <v>0</v>
      </c>
      <c r="V286" s="64">
        <f t="shared" si="123"/>
        <v>0</v>
      </c>
      <c r="W286" s="64">
        <f t="shared" si="123"/>
        <v>0</v>
      </c>
      <c r="X286" s="64">
        <f t="shared" si="123"/>
        <v>0</v>
      </c>
      <c r="Y286" s="64">
        <f t="shared" si="123"/>
        <v>0</v>
      </c>
      <c r="Z286" s="64">
        <f t="shared" si="123"/>
        <v>0</v>
      </c>
      <c r="AA286" s="64">
        <f t="shared" si="123"/>
        <v>0</v>
      </c>
      <c r="AB286" s="64">
        <f t="shared" si="123"/>
        <v>0</v>
      </c>
      <c r="AC286" s="64">
        <f t="shared" si="123"/>
        <v>3192999.9999999916</v>
      </c>
      <c r="AD286" s="64">
        <f t="shared" si="123"/>
        <v>0</v>
      </c>
      <c r="AE286" s="64">
        <f t="shared" si="123"/>
        <v>0</v>
      </c>
      <c r="AF286" s="64">
        <f>SUM(H286:AE286)</f>
        <v>3192999.9999999916</v>
      </c>
      <c r="AG286" s="59" t="str">
        <f>IF(ABS(AF286-F286)&lt;1,"ok","err")</f>
        <v>ok</v>
      </c>
    </row>
    <row r="287" spans="1:33" x14ac:dyDescent="0.25">
      <c r="A287" s="61">
        <v>905</v>
      </c>
      <c r="B287" s="61" t="s">
        <v>30</v>
      </c>
      <c r="C287" s="45" t="s">
        <v>1053</v>
      </c>
      <c r="D287" s="45" t="s">
        <v>669</v>
      </c>
      <c r="F287" s="80">
        <v>41038.799999999996</v>
      </c>
      <c r="H287" s="64">
        <f t="shared" si="122"/>
        <v>0</v>
      </c>
      <c r="I287" s="64">
        <f t="shared" si="122"/>
        <v>0</v>
      </c>
      <c r="J287" s="64">
        <f t="shared" si="122"/>
        <v>0</v>
      </c>
      <c r="K287" s="64">
        <f t="shared" si="122"/>
        <v>0</v>
      </c>
      <c r="L287" s="64">
        <f t="shared" si="122"/>
        <v>0</v>
      </c>
      <c r="M287" s="64">
        <f t="shared" si="122"/>
        <v>0</v>
      </c>
      <c r="N287" s="64">
        <f t="shared" si="122"/>
        <v>0</v>
      </c>
      <c r="O287" s="64">
        <f t="shared" si="122"/>
        <v>0</v>
      </c>
      <c r="P287" s="64">
        <f t="shared" si="122"/>
        <v>0</v>
      </c>
      <c r="Q287" s="64">
        <f t="shared" si="122"/>
        <v>0</v>
      </c>
      <c r="R287" s="64">
        <f t="shared" si="123"/>
        <v>0</v>
      </c>
      <c r="S287" s="64">
        <f t="shared" si="123"/>
        <v>0</v>
      </c>
      <c r="T287" s="64">
        <f t="shared" si="123"/>
        <v>0</v>
      </c>
      <c r="U287" s="64">
        <f t="shared" si="123"/>
        <v>0</v>
      </c>
      <c r="V287" s="64">
        <f t="shared" si="123"/>
        <v>0</v>
      </c>
      <c r="W287" s="64">
        <f t="shared" si="123"/>
        <v>0</v>
      </c>
      <c r="X287" s="64">
        <f t="shared" si="123"/>
        <v>0</v>
      </c>
      <c r="Y287" s="64">
        <f t="shared" si="123"/>
        <v>0</v>
      </c>
      <c r="Z287" s="64">
        <f t="shared" si="123"/>
        <v>0</v>
      </c>
      <c r="AA287" s="64">
        <f t="shared" si="123"/>
        <v>0</v>
      </c>
      <c r="AB287" s="64">
        <f t="shared" si="123"/>
        <v>0</v>
      </c>
      <c r="AC287" s="64">
        <f t="shared" si="123"/>
        <v>41038.799999999996</v>
      </c>
      <c r="AD287" s="64">
        <f t="shared" si="123"/>
        <v>0</v>
      </c>
      <c r="AE287" s="64">
        <f t="shared" si="123"/>
        <v>0</v>
      </c>
      <c r="AF287" s="64">
        <f>SUM(H287:AE287)</f>
        <v>41038.799999999996</v>
      </c>
      <c r="AG287" s="59" t="str">
        <f>IF(ABS(AF287-F287)&lt;1,"ok","err")</f>
        <v>ok</v>
      </c>
    </row>
    <row r="288" spans="1:33" x14ac:dyDescent="0.25">
      <c r="A288" s="66"/>
      <c r="B288" s="61"/>
      <c r="F288" s="80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59"/>
    </row>
    <row r="289" spans="1:33" x14ac:dyDescent="0.25">
      <c r="A289" s="61" t="s">
        <v>1056</v>
      </c>
      <c r="B289" s="61"/>
      <c r="C289" s="45" t="s">
        <v>1057</v>
      </c>
      <c r="F289" s="77">
        <f t="shared" ref="F289:M289" si="124">SUM(F283:F288)</f>
        <v>12851453.199999992</v>
      </c>
      <c r="G289" s="63">
        <f t="shared" si="124"/>
        <v>0</v>
      </c>
      <c r="H289" s="63">
        <f t="shared" si="124"/>
        <v>0</v>
      </c>
      <c r="I289" s="63">
        <f t="shared" si="124"/>
        <v>0</v>
      </c>
      <c r="J289" s="63">
        <f t="shared" si="124"/>
        <v>0</v>
      </c>
      <c r="K289" s="63">
        <f t="shared" si="124"/>
        <v>0</v>
      </c>
      <c r="L289" s="63">
        <f t="shared" si="124"/>
        <v>0</v>
      </c>
      <c r="M289" s="63">
        <f t="shared" si="124"/>
        <v>0</v>
      </c>
      <c r="N289" s="63">
        <f>SUM(N283:N288)</f>
        <v>0</v>
      </c>
      <c r="O289" s="63">
        <f>SUM(O283:O288)</f>
        <v>0</v>
      </c>
      <c r="P289" s="63">
        <f>SUM(P283:P288)</f>
        <v>0</v>
      </c>
      <c r="Q289" s="63">
        <f t="shared" ref="Q289:AB289" si="125">SUM(Q283:Q288)</f>
        <v>0</v>
      </c>
      <c r="R289" s="63">
        <f t="shared" si="125"/>
        <v>0</v>
      </c>
      <c r="S289" s="63">
        <f t="shared" si="125"/>
        <v>0</v>
      </c>
      <c r="T289" s="63">
        <f t="shared" si="125"/>
        <v>0</v>
      </c>
      <c r="U289" s="63">
        <f t="shared" si="125"/>
        <v>0</v>
      </c>
      <c r="V289" s="63">
        <f t="shared" si="125"/>
        <v>0</v>
      </c>
      <c r="W289" s="63">
        <f t="shared" si="125"/>
        <v>0</v>
      </c>
      <c r="X289" s="63">
        <f t="shared" si="125"/>
        <v>0</v>
      </c>
      <c r="Y289" s="63">
        <f t="shared" si="125"/>
        <v>0</v>
      </c>
      <c r="Z289" s="63">
        <f t="shared" si="125"/>
        <v>0</v>
      </c>
      <c r="AA289" s="63">
        <f t="shared" si="125"/>
        <v>0</v>
      </c>
      <c r="AB289" s="63">
        <f t="shared" si="125"/>
        <v>0</v>
      </c>
      <c r="AC289" s="63">
        <f>SUM(AC283:AC288)</f>
        <v>12851453.199999992</v>
      </c>
      <c r="AD289" s="63">
        <f>SUM(AD283:AD288)</f>
        <v>0</v>
      </c>
      <c r="AE289" s="63">
        <f>SUM(AE283:AE288)</f>
        <v>0</v>
      </c>
      <c r="AF289" s="64">
        <f>SUM(H289:AE289)</f>
        <v>12851453.199999992</v>
      </c>
      <c r="AG289" s="59" t="str">
        <f>IF(ABS(AF289-F289)&lt;1,"ok","err")</f>
        <v>ok</v>
      </c>
    </row>
    <row r="290" spans="1:33" x14ac:dyDescent="0.25">
      <c r="A290" s="61"/>
      <c r="B290" s="61"/>
      <c r="F290" s="80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G290" s="59"/>
    </row>
    <row r="291" spans="1:33" x14ac:dyDescent="0.25">
      <c r="A291" s="66" t="s">
        <v>1058</v>
      </c>
      <c r="B291" s="61"/>
      <c r="F291" s="80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G291" s="59"/>
    </row>
    <row r="292" spans="1:33" x14ac:dyDescent="0.25">
      <c r="A292" s="61">
        <v>907</v>
      </c>
      <c r="B292" s="61" t="s">
        <v>1180</v>
      </c>
      <c r="C292" s="45" t="s">
        <v>1059</v>
      </c>
      <c r="D292" s="45" t="s">
        <v>670</v>
      </c>
      <c r="F292" s="77">
        <v>214428.68</v>
      </c>
      <c r="H292" s="64">
        <f t="shared" ref="H292:Q302" si="126">IF(VLOOKUP($D292,$C$6:$AE$651,H$2,)=0,0,((VLOOKUP($D292,$C$6:$AE$651,H$2,)/VLOOKUP($D292,$C$6:$AE$651,4,))*$F292))</f>
        <v>0</v>
      </c>
      <c r="I292" s="64">
        <f t="shared" si="126"/>
        <v>0</v>
      </c>
      <c r="J292" s="64">
        <f t="shared" si="126"/>
        <v>0</v>
      </c>
      <c r="K292" s="64">
        <f t="shared" si="126"/>
        <v>0</v>
      </c>
      <c r="L292" s="64">
        <f t="shared" si="126"/>
        <v>0</v>
      </c>
      <c r="M292" s="64">
        <f t="shared" si="126"/>
        <v>0</v>
      </c>
      <c r="N292" s="64">
        <f t="shared" si="126"/>
        <v>0</v>
      </c>
      <c r="O292" s="64">
        <f t="shared" si="126"/>
        <v>0</v>
      </c>
      <c r="P292" s="64">
        <f t="shared" si="126"/>
        <v>0</v>
      </c>
      <c r="Q292" s="64">
        <f t="shared" si="126"/>
        <v>0</v>
      </c>
      <c r="R292" s="64">
        <f t="shared" ref="R292:AE302" si="127">IF(VLOOKUP($D292,$C$6:$AE$651,R$2,)=0,0,((VLOOKUP($D292,$C$6:$AE$651,R$2,)/VLOOKUP($D292,$C$6:$AE$651,4,))*$F292))</f>
        <v>0</v>
      </c>
      <c r="S292" s="64">
        <f t="shared" si="127"/>
        <v>0</v>
      </c>
      <c r="T292" s="64">
        <f t="shared" si="127"/>
        <v>0</v>
      </c>
      <c r="U292" s="64">
        <f t="shared" si="127"/>
        <v>0</v>
      </c>
      <c r="V292" s="64">
        <f t="shared" si="127"/>
        <v>0</v>
      </c>
      <c r="W292" s="64">
        <f t="shared" si="127"/>
        <v>0</v>
      </c>
      <c r="X292" s="64">
        <f t="shared" si="127"/>
        <v>0</v>
      </c>
      <c r="Y292" s="64">
        <f t="shared" si="127"/>
        <v>0</v>
      </c>
      <c r="Z292" s="64">
        <f t="shared" si="127"/>
        <v>0</v>
      </c>
      <c r="AA292" s="64">
        <f t="shared" si="127"/>
        <v>0</v>
      </c>
      <c r="AB292" s="64">
        <f t="shared" si="127"/>
        <v>0</v>
      </c>
      <c r="AC292" s="64">
        <f t="shared" si="127"/>
        <v>0</v>
      </c>
      <c r="AD292" s="64">
        <f t="shared" si="127"/>
        <v>214428.68</v>
      </c>
      <c r="AE292" s="64">
        <f t="shared" si="127"/>
        <v>0</v>
      </c>
      <c r="AF292" s="64">
        <f t="shared" ref="AF292:AF302" si="128">SUM(H292:AE292)</f>
        <v>214428.68</v>
      </c>
      <c r="AG292" s="59" t="str">
        <f t="shared" ref="AG292:AG302" si="129">IF(ABS(AF292-F292)&lt;1,"ok","err")</f>
        <v>ok</v>
      </c>
    </row>
    <row r="293" spans="1:33" x14ac:dyDescent="0.25">
      <c r="A293" s="61">
        <v>908</v>
      </c>
      <c r="B293" s="61" t="s">
        <v>1061</v>
      </c>
      <c r="C293" s="45" t="s">
        <v>1062</v>
      </c>
      <c r="D293" s="45" t="s">
        <v>670</v>
      </c>
      <c r="F293" s="80">
        <v>459525.0474737566</v>
      </c>
      <c r="H293" s="64">
        <f t="shared" si="126"/>
        <v>0</v>
      </c>
      <c r="I293" s="64">
        <f t="shared" si="126"/>
        <v>0</v>
      </c>
      <c r="J293" s="64">
        <f t="shared" si="126"/>
        <v>0</v>
      </c>
      <c r="K293" s="64">
        <f t="shared" si="126"/>
        <v>0</v>
      </c>
      <c r="L293" s="64">
        <f t="shared" si="126"/>
        <v>0</v>
      </c>
      <c r="M293" s="64">
        <f t="shared" si="126"/>
        <v>0</v>
      </c>
      <c r="N293" s="64">
        <f t="shared" si="126"/>
        <v>0</v>
      </c>
      <c r="O293" s="64">
        <f t="shared" si="126"/>
        <v>0</v>
      </c>
      <c r="P293" s="64">
        <f t="shared" si="126"/>
        <v>0</v>
      </c>
      <c r="Q293" s="64">
        <f t="shared" si="126"/>
        <v>0</v>
      </c>
      <c r="R293" s="64">
        <f t="shared" si="127"/>
        <v>0</v>
      </c>
      <c r="S293" s="64">
        <f t="shared" si="127"/>
        <v>0</v>
      </c>
      <c r="T293" s="64">
        <f t="shared" si="127"/>
        <v>0</v>
      </c>
      <c r="U293" s="64">
        <f t="shared" si="127"/>
        <v>0</v>
      </c>
      <c r="V293" s="64">
        <f t="shared" si="127"/>
        <v>0</v>
      </c>
      <c r="W293" s="64">
        <f t="shared" si="127"/>
        <v>0</v>
      </c>
      <c r="X293" s="64">
        <f t="shared" si="127"/>
        <v>0</v>
      </c>
      <c r="Y293" s="64">
        <f t="shared" si="127"/>
        <v>0</v>
      </c>
      <c r="Z293" s="64">
        <f t="shared" si="127"/>
        <v>0</v>
      </c>
      <c r="AA293" s="64">
        <f t="shared" si="127"/>
        <v>0</v>
      </c>
      <c r="AB293" s="64">
        <f t="shared" si="127"/>
        <v>0</v>
      </c>
      <c r="AC293" s="64">
        <f t="shared" si="127"/>
        <v>0</v>
      </c>
      <c r="AD293" s="64">
        <f t="shared" si="127"/>
        <v>459525.0474737566</v>
      </c>
      <c r="AE293" s="64">
        <f t="shared" si="127"/>
        <v>0</v>
      </c>
      <c r="AF293" s="64">
        <f t="shared" si="128"/>
        <v>459525.0474737566</v>
      </c>
      <c r="AG293" s="59" t="str">
        <f t="shared" si="129"/>
        <v>ok</v>
      </c>
    </row>
    <row r="294" spans="1:33" x14ac:dyDescent="0.25">
      <c r="A294" s="61">
        <v>908</v>
      </c>
      <c r="B294" s="61" t="s">
        <v>185</v>
      </c>
      <c r="C294" s="45" t="s">
        <v>32</v>
      </c>
      <c r="D294" s="45" t="s">
        <v>670</v>
      </c>
      <c r="F294" s="80">
        <v>0</v>
      </c>
      <c r="H294" s="64">
        <f t="shared" si="126"/>
        <v>0</v>
      </c>
      <c r="I294" s="64">
        <f t="shared" si="126"/>
        <v>0</v>
      </c>
      <c r="J294" s="64">
        <f t="shared" si="126"/>
        <v>0</v>
      </c>
      <c r="K294" s="64">
        <f t="shared" si="126"/>
        <v>0</v>
      </c>
      <c r="L294" s="64">
        <f t="shared" si="126"/>
        <v>0</v>
      </c>
      <c r="M294" s="64">
        <f t="shared" si="126"/>
        <v>0</v>
      </c>
      <c r="N294" s="64">
        <f t="shared" si="126"/>
        <v>0</v>
      </c>
      <c r="O294" s="64">
        <f t="shared" si="126"/>
        <v>0</v>
      </c>
      <c r="P294" s="64">
        <f t="shared" si="126"/>
        <v>0</v>
      </c>
      <c r="Q294" s="64">
        <f t="shared" si="126"/>
        <v>0</v>
      </c>
      <c r="R294" s="64">
        <f t="shared" si="127"/>
        <v>0</v>
      </c>
      <c r="S294" s="64">
        <f t="shared" si="127"/>
        <v>0</v>
      </c>
      <c r="T294" s="64">
        <f t="shared" si="127"/>
        <v>0</v>
      </c>
      <c r="U294" s="64">
        <f t="shared" si="127"/>
        <v>0</v>
      </c>
      <c r="V294" s="64">
        <f t="shared" si="127"/>
        <v>0</v>
      </c>
      <c r="W294" s="64">
        <f t="shared" si="127"/>
        <v>0</v>
      </c>
      <c r="X294" s="64">
        <f t="shared" si="127"/>
        <v>0</v>
      </c>
      <c r="Y294" s="64">
        <f t="shared" si="127"/>
        <v>0</v>
      </c>
      <c r="Z294" s="64">
        <f t="shared" si="127"/>
        <v>0</v>
      </c>
      <c r="AA294" s="64">
        <f t="shared" si="127"/>
        <v>0</v>
      </c>
      <c r="AB294" s="64">
        <f t="shared" si="127"/>
        <v>0</v>
      </c>
      <c r="AC294" s="64">
        <f t="shared" si="127"/>
        <v>0</v>
      </c>
      <c r="AD294" s="64">
        <f t="shared" si="127"/>
        <v>0</v>
      </c>
      <c r="AE294" s="64">
        <f t="shared" si="127"/>
        <v>0</v>
      </c>
      <c r="AF294" s="64">
        <f t="shared" si="128"/>
        <v>0</v>
      </c>
      <c r="AG294" s="59" t="str">
        <f t="shared" si="129"/>
        <v>ok</v>
      </c>
    </row>
    <row r="295" spans="1:33" x14ac:dyDescent="0.25">
      <c r="A295" s="61">
        <v>909</v>
      </c>
      <c r="B295" s="61" t="s">
        <v>1063</v>
      </c>
      <c r="C295" s="45" t="s">
        <v>1064</v>
      </c>
      <c r="D295" s="45" t="s">
        <v>670</v>
      </c>
      <c r="F295" s="80">
        <v>197391.76</v>
      </c>
      <c r="H295" s="64">
        <f t="shared" si="126"/>
        <v>0</v>
      </c>
      <c r="I295" s="64">
        <f t="shared" si="126"/>
        <v>0</v>
      </c>
      <c r="J295" s="64">
        <f t="shared" si="126"/>
        <v>0</v>
      </c>
      <c r="K295" s="64">
        <f t="shared" si="126"/>
        <v>0</v>
      </c>
      <c r="L295" s="64">
        <f t="shared" si="126"/>
        <v>0</v>
      </c>
      <c r="M295" s="64">
        <f t="shared" si="126"/>
        <v>0</v>
      </c>
      <c r="N295" s="64">
        <f t="shared" si="126"/>
        <v>0</v>
      </c>
      <c r="O295" s="64">
        <f t="shared" si="126"/>
        <v>0</v>
      </c>
      <c r="P295" s="64">
        <f t="shared" si="126"/>
        <v>0</v>
      </c>
      <c r="Q295" s="64">
        <f t="shared" si="126"/>
        <v>0</v>
      </c>
      <c r="R295" s="64">
        <f t="shared" si="127"/>
        <v>0</v>
      </c>
      <c r="S295" s="64">
        <f t="shared" si="127"/>
        <v>0</v>
      </c>
      <c r="T295" s="64">
        <f t="shared" si="127"/>
        <v>0</v>
      </c>
      <c r="U295" s="64">
        <f t="shared" si="127"/>
        <v>0</v>
      </c>
      <c r="V295" s="64">
        <f t="shared" si="127"/>
        <v>0</v>
      </c>
      <c r="W295" s="64">
        <f t="shared" si="127"/>
        <v>0</v>
      </c>
      <c r="X295" s="64">
        <f t="shared" si="127"/>
        <v>0</v>
      </c>
      <c r="Y295" s="64">
        <f t="shared" si="127"/>
        <v>0</v>
      </c>
      <c r="Z295" s="64">
        <f t="shared" si="127"/>
        <v>0</v>
      </c>
      <c r="AA295" s="64">
        <f t="shared" si="127"/>
        <v>0</v>
      </c>
      <c r="AB295" s="64">
        <f t="shared" si="127"/>
        <v>0</v>
      </c>
      <c r="AC295" s="64">
        <f t="shared" si="127"/>
        <v>0</v>
      </c>
      <c r="AD295" s="64">
        <f t="shared" si="127"/>
        <v>197391.76</v>
      </c>
      <c r="AE295" s="64">
        <f t="shared" si="127"/>
        <v>0</v>
      </c>
      <c r="AF295" s="64">
        <f t="shared" si="128"/>
        <v>197391.76</v>
      </c>
      <c r="AG295" s="59" t="str">
        <f t="shared" si="129"/>
        <v>ok</v>
      </c>
    </row>
    <row r="296" spans="1:33" x14ac:dyDescent="0.25">
      <c r="A296" s="61">
        <v>909</v>
      </c>
      <c r="B296" s="61" t="s">
        <v>33</v>
      </c>
      <c r="C296" s="45" t="s">
        <v>34</v>
      </c>
      <c r="D296" s="45" t="s">
        <v>670</v>
      </c>
      <c r="F296" s="80">
        <v>0</v>
      </c>
      <c r="H296" s="64">
        <f t="shared" si="126"/>
        <v>0</v>
      </c>
      <c r="I296" s="64">
        <f t="shared" si="126"/>
        <v>0</v>
      </c>
      <c r="J296" s="64">
        <f t="shared" si="126"/>
        <v>0</v>
      </c>
      <c r="K296" s="64">
        <f t="shared" si="126"/>
        <v>0</v>
      </c>
      <c r="L296" s="64">
        <f t="shared" si="126"/>
        <v>0</v>
      </c>
      <c r="M296" s="64">
        <f t="shared" si="126"/>
        <v>0</v>
      </c>
      <c r="N296" s="64">
        <f t="shared" si="126"/>
        <v>0</v>
      </c>
      <c r="O296" s="64">
        <f t="shared" si="126"/>
        <v>0</v>
      </c>
      <c r="P296" s="64">
        <f t="shared" si="126"/>
        <v>0</v>
      </c>
      <c r="Q296" s="64">
        <f t="shared" si="126"/>
        <v>0</v>
      </c>
      <c r="R296" s="64">
        <f t="shared" si="127"/>
        <v>0</v>
      </c>
      <c r="S296" s="64">
        <f t="shared" si="127"/>
        <v>0</v>
      </c>
      <c r="T296" s="64">
        <f t="shared" si="127"/>
        <v>0</v>
      </c>
      <c r="U296" s="64">
        <f t="shared" si="127"/>
        <v>0</v>
      </c>
      <c r="V296" s="64">
        <f t="shared" si="127"/>
        <v>0</v>
      </c>
      <c r="W296" s="64">
        <f t="shared" si="127"/>
        <v>0</v>
      </c>
      <c r="X296" s="64">
        <f t="shared" si="127"/>
        <v>0</v>
      </c>
      <c r="Y296" s="64">
        <f t="shared" si="127"/>
        <v>0</v>
      </c>
      <c r="Z296" s="64">
        <f t="shared" si="127"/>
        <v>0</v>
      </c>
      <c r="AA296" s="64">
        <f t="shared" si="127"/>
        <v>0</v>
      </c>
      <c r="AB296" s="64">
        <f t="shared" si="127"/>
        <v>0</v>
      </c>
      <c r="AC296" s="64">
        <f t="shared" si="127"/>
        <v>0</v>
      </c>
      <c r="AD296" s="64">
        <f t="shared" si="127"/>
        <v>0</v>
      </c>
      <c r="AE296" s="64">
        <f t="shared" si="127"/>
        <v>0</v>
      </c>
      <c r="AF296" s="64">
        <f t="shared" si="128"/>
        <v>0</v>
      </c>
      <c r="AG296" s="59" t="str">
        <f t="shared" si="129"/>
        <v>ok</v>
      </c>
    </row>
    <row r="297" spans="1:33" x14ac:dyDescent="0.25">
      <c r="A297" s="61">
        <v>910</v>
      </c>
      <c r="B297" s="61" t="s">
        <v>1065</v>
      </c>
      <c r="C297" s="45" t="s">
        <v>1066</v>
      </c>
      <c r="D297" s="45" t="s">
        <v>670</v>
      </c>
      <c r="F297" s="80">
        <v>238816.31999999992</v>
      </c>
      <c r="H297" s="64">
        <f t="shared" si="126"/>
        <v>0</v>
      </c>
      <c r="I297" s="64">
        <f t="shared" si="126"/>
        <v>0</v>
      </c>
      <c r="J297" s="64">
        <f t="shared" si="126"/>
        <v>0</v>
      </c>
      <c r="K297" s="64">
        <f t="shared" si="126"/>
        <v>0</v>
      </c>
      <c r="L297" s="64">
        <f t="shared" si="126"/>
        <v>0</v>
      </c>
      <c r="M297" s="64">
        <f t="shared" si="126"/>
        <v>0</v>
      </c>
      <c r="N297" s="64">
        <f t="shared" si="126"/>
        <v>0</v>
      </c>
      <c r="O297" s="64">
        <f t="shared" si="126"/>
        <v>0</v>
      </c>
      <c r="P297" s="64">
        <f t="shared" si="126"/>
        <v>0</v>
      </c>
      <c r="Q297" s="64">
        <f t="shared" si="126"/>
        <v>0</v>
      </c>
      <c r="R297" s="64">
        <f t="shared" si="127"/>
        <v>0</v>
      </c>
      <c r="S297" s="64">
        <f t="shared" si="127"/>
        <v>0</v>
      </c>
      <c r="T297" s="64">
        <f t="shared" si="127"/>
        <v>0</v>
      </c>
      <c r="U297" s="64">
        <f t="shared" si="127"/>
        <v>0</v>
      </c>
      <c r="V297" s="64">
        <f t="shared" si="127"/>
        <v>0</v>
      </c>
      <c r="W297" s="64">
        <f t="shared" si="127"/>
        <v>0</v>
      </c>
      <c r="X297" s="64">
        <f t="shared" si="127"/>
        <v>0</v>
      </c>
      <c r="Y297" s="64">
        <f t="shared" si="127"/>
        <v>0</v>
      </c>
      <c r="Z297" s="64">
        <f t="shared" si="127"/>
        <v>0</v>
      </c>
      <c r="AA297" s="64">
        <f t="shared" si="127"/>
        <v>0</v>
      </c>
      <c r="AB297" s="64">
        <f t="shared" si="127"/>
        <v>0</v>
      </c>
      <c r="AC297" s="64">
        <f t="shared" si="127"/>
        <v>0</v>
      </c>
      <c r="AD297" s="64">
        <f t="shared" si="127"/>
        <v>238816.31999999992</v>
      </c>
      <c r="AE297" s="64">
        <f t="shared" si="127"/>
        <v>0</v>
      </c>
      <c r="AF297" s="64">
        <f t="shared" si="128"/>
        <v>238816.31999999992</v>
      </c>
      <c r="AG297" s="59" t="str">
        <f t="shared" si="129"/>
        <v>ok</v>
      </c>
    </row>
    <row r="298" spans="1:33" x14ac:dyDescent="0.25">
      <c r="A298" s="61">
        <v>911</v>
      </c>
      <c r="B298" s="61" t="s">
        <v>150</v>
      </c>
      <c r="C298" s="45" t="s">
        <v>172</v>
      </c>
      <c r="D298" s="45" t="s">
        <v>670</v>
      </c>
      <c r="F298" s="80">
        <v>0</v>
      </c>
      <c r="H298" s="64">
        <f t="shared" si="126"/>
        <v>0</v>
      </c>
      <c r="I298" s="64">
        <f t="shared" si="126"/>
        <v>0</v>
      </c>
      <c r="J298" s="64">
        <f t="shared" si="126"/>
        <v>0</v>
      </c>
      <c r="K298" s="64">
        <f t="shared" si="126"/>
        <v>0</v>
      </c>
      <c r="L298" s="64">
        <f t="shared" si="126"/>
        <v>0</v>
      </c>
      <c r="M298" s="64">
        <f t="shared" si="126"/>
        <v>0</v>
      </c>
      <c r="N298" s="64">
        <f t="shared" si="126"/>
        <v>0</v>
      </c>
      <c r="O298" s="64">
        <f t="shared" si="126"/>
        <v>0</v>
      </c>
      <c r="P298" s="64">
        <f t="shared" si="126"/>
        <v>0</v>
      </c>
      <c r="Q298" s="64">
        <f t="shared" si="126"/>
        <v>0</v>
      </c>
      <c r="R298" s="64">
        <f t="shared" si="127"/>
        <v>0</v>
      </c>
      <c r="S298" s="64">
        <f t="shared" si="127"/>
        <v>0</v>
      </c>
      <c r="T298" s="64">
        <f t="shared" si="127"/>
        <v>0</v>
      </c>
      <c r="U298" s="64">
        <f t="shared" si="127"/>
        <v>0</v>
      </c>
      <c r="V298" s="64">
        <f t="shared" si="127"/>
        <v>0</v>
      </c>
      <c r="W298" s="64">
        <f t="shared" si="127"/>
        <v>0</v>
      </c>
      <c r="X298" s="64">
        <f t="shared" si="127"/>
        <v>0</v>
      </c>
      <c r="Y298" s="64">
        <f t="shared" si="127"/>
        <v>0</v>
      </c>
      <c r="Z298" s="64">
        <f t="shared" si="127"/>
        <v>0</v>
      </c>
      <c r="AA298" s="64">
        <f t="shared" si="127"/>
        <v>0</v>
      </c>
      <c r="AB298" s="64">
        <f t="shared" si="127"/>
        <v>0</v>
      </c>
      <c r="AC298" s="64">
        <f t="shared" si="127"/>
        <v>0</v>
      </c>
      <c r="AD298" s="64">
        <f t="shared" si="127"/>
        <v>0</v>
      </c>
      <c r="AE298" s="64">
        <f t="shared" si="127"/>
        <v>0</v>
      </c>
      <c r="AF298" s="64">
        <f t="shared" si="128"/>
        <v>0</v>
      </c>
      <c r="AG298" s="59" t="str">
        <f t="shared" si="129"/>
        <v>ok</v>
      </c>
    </row>
    <row r="299" spans="1:33" x14ac:dyDescent="0.25">
      <c r="A299" s="61">
        <v>912</v>
      </c>
      <c r="B299" s="61" t="s">
        <v>150</v>
      </c>
      <c r="C299" s="45" t="s">
        <v>151</v>
      </c>
      <c r="D299" s="45" t="s">
        <v>670</v>
      </c>
      <c r="F299" s="80">
        <v>0</v>
      </c>
      <c r="H299" s="64">
        <f t="shared" si="126"/>
        <v>0</v>
      </c>
      <c r="I299" s="64">
        <f t="shared" si="126"/>
        <v>0</v>
      </c>
      <c r="J299" s="64">
        <f t="shared" si="126"/>
        <v>0</v>
      </c>
      <c r="K299" s="64">
        <f t="shared" si="126"/>
        <v>0</v>
      </c>
      <c r="L299" s="64">
        <f t="shared" si="126"/>
        <v>0</v>
      </c>
      <c r="M299" s="64">
        <f t="shared" si="126"/>
        <v>0</v>
      </c>
      <c r="N299" s="64">
        <f t="shared" si="126"/>
        <v>0</v>
      </c>
      <c r="O299" s="64">
        <f t="shared" si="126"/>
        <v>0</v>
      </c>
      <c r="P299" s="64">
        <f t="shared" si="126"/>
        <v>0</v>
      </c>
      <c r="Q299" s="64">
        <f t="shared" si="126"/>
        <v>0</v>
      </c>
      <c r="R299" s="64">
        <f t="shared" si="127"/>
        <v>0</v>
      </c>
      <c r="S299" s="64">
        <f t="shared" si="127"/>
        <v>0</v>
      </c>
      <c r="T299" s="64">
        <f t="shared" si="127"/>
        <v>0</v>
      </c>
      <c r="U299" s="64">
        <f t="shared" si="127"/>
        <v>0</v>
      </c>
      <c r="V299" s="64">
        <f t="shared" si="127"/>
        <v>0</v>
      </c>
      <c r="W299" s="64">
        <f t="shared" si="127"/>
        <v>0</v>
      </c>
      <c r="X299" s="64">
        <f t="shared" si="127"/>
        <v>0</v>
      </c>
      <c r="Y299" s="64">
        <f t="shared" si="127"/>
        <v>0</v>
      </c>
      <c r="Z299" s="64">
        <f t="shared" si="127"/>
        <v>0</v>
      </c>
      <c r="AA299" s="64">
        <f t="shared" si="127"/>
        <v>0</v>
      </c>
      <c r="AB299" s="64">
        <f t="shared" si="127"/>
        <v>0</v>
      </c>
      <c r="AC299" s="64">
        <f t="shared" si="127"/>
        <v>0</v>
      </c>
      <c r="AD299" s="64">
        <f t="shared" si="127"/>
        <v>0</v>
      </c>
      <c r="AE299" s="64">
        <f t="shared" si="127"/>
        <v>0</v>
      </c>
      <c r="AF299" s="64">
        <f t="shared" si="128"/>
        <v>0</v>
      </c>
      <c r="AG299" s="59" t="str">
        <f t="shared" si="129"/>
        <v>ok</v>
      </c>
    </row>
    <row r="300" spans="1:33" x14ac:dyDescent="0.25">
      <c r="A300" s="61">
        <v>913</v>
      </c>
      <c r="B300" s="61" t="s">
        <v>160</v>
      </c>
      <c r="C300" s="45" t="s">
        <v>140</v>
      </c>
      <c r="D300" s="45" t="s">
        <v>670</v>
      </c>
      <c r="F300" s="80">
        <v>190000</v>
      </c>
      <c r="H300" s="64">
        <f t="shared" si="126"/>
        <v>0</v>
      </c>
      <c r="I300" s="64">
        <f t="shared" si="126"/>
        <v>0</v>
      </c>
      <c r="J300" s="64">
        <f t="shared" si="126"/>
        <v>0</v>
      </c>
      <c r="K300" s="64">
        <f t="shared" si="126"/>
        <v>0</v>
      </c>
      <c r="L300" s="64">
        <f t="shared" si="126"/>
        <v>0</v>
      </c>
      <c r="M300" s="64">
        <f t="shared" si="126"/>
        <v>0</v>
      </c>
      <c r="N300" s="64">
        <f t="shared" si="126"/>
        <v>0</v>
      </c>
      <c r="O300" s="64">
        <f t="shared" si="126"/>
        <v>0</v>
      </c>
      <c r="P300" s="64">
        <f t="shared" si="126"/>
        <v>0</v>
      </c>
      <c r="Q300" s="64">
        <f t="shared" si="126"/>
        <v>0</v>
      </c>
      <c r="R300" s="64">
        <f t="shared" si="127"/>
        <v>0</v>
      </c>
      <c r="S300" s="64">
        <f t="shared" si="127"/>
        <v>0</v>
      </c>
      <c r="T300" s="64">
        <f t="shared" si="127"/>
        <v>0</v>
      </c>
      <c r="U300" s="64">
        <f t="shared" si="127"/>
        <v>0</v>
      </c>
      <c r="V300" s="64">
        <f t="shared" si="127"/>
        <v>0</v>
      </c>
      <c r="W300" s="64">
        <f t="shared" si="127"/>
        <v>0</v>
      </c>
      <c r="X300" s="64">
        <f t="shared" si="127"/>
        <v>0</v>
      </c>
      <c r="Y300" s="64">
        <f t="shared" si="127"/>
        <v>0</v>
      </c>
      <c r="Z300" s="64">
        <f t="shared" si="127"/>
        <v>0</v>
      </c>
      <c r="AA300" s="64">
        <f t="shared" si="127"/>
        <v>0</v>
      </c>
      <c r="AB300" s="64">
        <f t="shared" si="127"/>
        <v>0</v>
      </c>
      <c r="AC300" s="64">
        <f t="shared" si="127"/>
        <v>0</v>
      </c>
      <c r="AD300" s="64">
        <f t="shared" si="127"/>
        <v>190000</v>
      </c>
      <c r="AE300" s="64">
        <f t="shared" si="127"/>
        <v>0</v>
      </c>
      <c r="AF300" s="64">
        <f t="shared" si="128"/>
        <v>190000</v>
      </c>
      <c r="AG300" s="59" t="str">
        <f t="shared" si="129"/>
        <v>ok</v>
      </c>
    </row>
    <row r="301" spans="1:33" x14ac:dyDescent="0.25">
      <c r="A301" s="61">
        <v>915</v>
      </c>
      <c r="B301" s="61" t="s">
        <v>161</v>
      </c>
      <c r="C301" s="45" t="s">
        <v>163</v>
      </c>
      <c r="D301" s="45" t="s">
        <v>670</v>
      </c>
      <c r="F301" s="80">
        <v>0</v>
      </c>
      <c r="H301" s="64">
        <f t="shared" si="126"/>
        <v>0</v>
      </c>
      <c r="I301" s="64">
        <f t="shared" si="126"/>
        <v>0</v>
      </c>
      <c r="J301" s="64">
        <f t="shared" si="126"/>
        <v>0</v>
      </c>
      <c r="K301" s="64">
        <f t="shared" si="126"/>
        <v>0</v>
      </c>
      <c r="L301" s="64">
        <f t="shared" si="126"/>
        <v>0</v>
      </c>
      <c r="M301" s="64">
        <f t="shared" si="126"/>
        <v>0</v>
      </c>
      <c r="N301" s="64">
        <f t="shared" si="126"/>
        <v>0</v>
      </c>
      <c r="O301" s="64">
        <f t="shared" si="126"/>
        <v>0</v>
      </c>
      <c r="P301" s="64">
        <f t="shared" si="126"/>
        <v>0</v>
      </c>
      <c r="Q301" s="64">
        <f t="shared" si="126"/>
        <v>0</v>
      </c>
      <c r="R301" s="64">
        <f t="shared" si="127"/>
        <v>0</v>
      </c>
      <c r="S301" s="64">
        <f t="shared" si="127"/>
        <v>0</v>
      </c>
      <c r="T301" s="64">
        <f t="shared" si="127"/>
        <v>0</v>
      </c>
      <c r="U301" s="64">
        <f t="shared" si="127"/>
        <v>0</v>
      </c>
      <c r="V301" s="64">
        <f t="shared" si="127"/>
        <v>0</v>
      </c>
      <c r="W301" s="64">
        <f t="shared" si="127"/>
        <v>0</v>
      </c>
      <c r="X301" s="64">
        <f t="shared" si="127"/>
        <v>0</v>
      </c>
      <c r="Y301" s="64">
        <f t="shared" si="127"/>
        <v>0</v>
      </c>
      <c r="Z301" s="64">
        <f t="shared" si="127"/>
        <v>0</v>
      </c>
      <c r="AA301" s="64">
        <f t="shared" si="127"/>
        <v>0</v>
      </c>
      <c r="AB301" s="64">
        <f t="shared" si="127"/>
        <v>0</v>
      </c>
      <c r="AC301" s="64">
        <f t="shared" si="127"/>
        <v>0</v>
      </c>
      <c r="AD301" s="64">
        <f t="shared" si="127"/>
        <v>0</v>
      </c>
      <c r="AE301" s="64">
        <f t="shared" si="127"/>
        <v>0</v>
      </c>
      <c r="AF301" s="64">
        <f t="shared" si="128"/>
        <v>0</v>
      </c>
      <c r="AG301" s="59" t="str">
        <f t="shared" si="129"/>
        <v>ok</v>
      </c>
    </row>
    <row r="302" spans="1:33" x14ac:dyDescent="0.25">
      <c r="A302" s="61">
        <v>916</v>
      </c>
      <c r="B302" s="61" t="s">
        <v>162</v>
      </c>
      <c r="C302" s="45" t="s">
        <v>164</v>
      </c>
      <c r="D302" s="45" t="s">
        <v>670</v>
      </c>
      <c r="F302" s="80">
        <v>0</v>
      </c>
      <c r="H302" s="64">
        <f t="shared" si="126"/>
        <v>0</v>
      </c>
      <c r="I302" s="64">
        <f t="shared" si="126"/>
        <v>0</v>
      </c>
      <c r="J302" s="64">
        <f t="shared" si="126"/>
        <v>0</v>
      </c>
      <c r="K302" s="64">
        <f t="shared" si="126"/>
        <v>0</v>
      </c>
      <c r="L302" s="64">
        <f t="shared" si="126"/>
        <v>0</v>
      </c>
      <c r="M302" s="64">
        <f t="shared" si="126"/>
        <v>0</v>
      </c>
      <c r="N302" s="64">
        <f t="shared" si="126"/>
        <v>0</v>
      </c>
      <c r="O302" s="64">
        <f t="shared" si="126"/>
        <v>0</v>
      </c>
      <c r="P302" s="64">
        <f t="shared" si="126"/>
        <v>0</v>
      </c>
      <c r="Q302" s="64">
        <f t="shared" si="126"/>
        <v>0</v>
      </c>
      <c r="R302" s="64">
        <f t="shared" si="127"/>
        <v>0</v>
      </c>
      <c r="S302" s="64">
        <f t="shared" si="127"/>
        <v>0</v>
      </c>
      <c r="T302" s="64">
        <f t="shared" si="127"/>
        <v>0</v>
      </c>
      <c r="U302" s="64">
        <f t="shared" si="127"/>
        <v>0</v>
      </c>
      <c r="V302" s="64">
        <f t="shared" si="127"/>
        <v>0</v>
      </c>
      <c r="W302" s="64">
        <f t="shared" si="127"/>
        <v>0</v>
      </c>
      <c r="X302" s="64">
        <f t="shared" si="127"/>
        <v>0</v>
      </c>
      <c r="Y302" s="64">
        <f t="shared" si="127"/>
        <v>0</v>
      </c>
      <c r="Z302" s="64">
        <f t="shared" si="127"/>
        <v>0</v>
      </c>
      <c r="AA302" s="64">
        <f t="shared" si="127"/>
        <v>0</v>
      </c>
      <c r="AB302" s="64">
        <f t="shared" si="127"/>
        <v>0</v>
      </c>
      <c r="AC302" s="64">
        <f t="shared" si="127"/>
        <v>0</v>
      </c>
      <c r="AD302" s="64">
        <f t="shared" si="127"/>
        <v>0</v>
      </c>
      <c r="AE302" s="64">
        <f t="shared" si="127"/>
        <v>0</v>
      </c>
      <c r="AF302" s="64">
        <f t="shared" si="128"/>
        <v>0</v>
      </c>
      <c r="AG302" s="59" t="str">
        <f t="shared" si="129"/>
        <v>ok</v>
      </c>
    </row>
    <row r="303" spans="1:33" x14ac:dyDescent="0.25">
      <c r="A303" s="61"/>
      <c r="B303" s="61"/>
      <c r="F303" s="80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59"/>
    </row>
    <row r="304" spans="1:33" x14ac:dyDescent="0.25">
      <c r="A304" s="61" t="s">
        <v>1067</v>
      </c>
      <c r="B304" s="61"/>
      <c r="C304" s="45" t="s">
        <v>1068</v>
      </c>
      <c r="F304" s="77">
        <f t="shared" ref="F304:M304" si="130">SUM(F292:F303)</f>
        <v>1300161.8074737564</v>
      </c>
      <c r="G304" s="63">
        <f t="shared" si="130"/>
        <v>0</v>
      </c>
      <c r="H304" s="63">
        <f t="shared" si="130"/>
        <v>0</v>
      </c>
      <c r="I304" s="63">
        <f t="shared" si="130"/>
        <v>0</v>
      </c>
      <c r="J304" s="63">
        <f t="shared" si="130"/>
        <v>0</v>
      </c>
      <c r="K304" s="63">
        <f t="shared" si="130"/>
        <v>0</v>
      </c>
      <c r="L304" s="63">
        <f t="shared" si="130"/>
        <v>0</v>
      </c>
      <c r="M304" s="63">
        <f t="shared" si="130"/>
        <v>0</v>
      </c>
      <c r="N304" s="63">
        <f>SUM(N292:N303)</f>
        <v>0</v>
      </c>
      <c r="O304" s="63">
        <f>SUM(O292:O303)</f>
        <v>0</v>
      </c>
      <c r="P304" s="63">
        <f>SUM(P292:P303)</f>
        <v>0</v>
      </c>
      <c r="Q304" s="63">
        <f t="shared" ref="Q304:AB304" si="131">SUM(Q292:Q303)</f>
        <v>0</v>
      </c>
      <c r="R304" s="63">
        <f t="shared" si="131"/>
        <v>0</v>
      </c>
      <c r="S304" s="63">
        <f t="shared" si="131"/>
        <v>0</v>
      </c>
      <c r="T304" s="63">
        <f t="shared" si="131"/>
        <v>0</v>
      </c>
      <c r="U304" s="63">
        <f t="shared" si="131"/>
        <v>0</v>
      </c>
      <c r="V304" s="63">
        <f t="shared" si="131"/>
        <v>0</v>
      </c>
      <c r="W304" s="63">
        <f t="shared" si="131"/>
        <v>0</v>
      </c>
      <c r="X304" s="63">
        <f t="shared" si="131"/>
        <v>0</v>
      </c>
      <c r="Y304" s="63">
        <f t="shared" si="131"/>
        <v>0</v>
      </c>
      <c r="Z304" s="63">
        <f t="shared" si="131"/>
        <v>0</v>
      </c>
      <c r="AA304" s="63">
        <f t="shared" si="131"/>
        <v>0</v>
      </c>
      <c r="AB304" s="63">
        <f t="shared" si="131"/>
        <v>0</v>
      </c>
      <c r="AC304" s="63">
        <f>SUM(AC292:AC303)</f>
        <v>0</v>
      </c>
      <c r="AD304" s="63">
        <f>SUM(AD292:AD303)</f>
        <v>1300161.8074737564</v>
      </c>
      <c r="AE304" s="63">
        <f>SUM(AE292:AE303)</f>
        <v>0</v>
      </c>
      <c r="AF304" s="64">
        <f>SUM(H304:AE304)</f>
        <v>1300161.8074737564</v>
      </c>
      <c r="AG304" s="59" t="str">
        <f>IF(ABS(AF304-F304)&lt;1,"ok","err")</f>
        <v>ok</v>
      </c>
    </row>
    <row r="305" spans="1:33" x14ac:dyDescent="0.25">
      <c r="A305" s="61"/>
      <c r="B305" s="61"/>
      <c r="F305" s="80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G305" s="59"/>
    </row>
    <row r="306" spans="1:33" x14ac:dyDescent="0.25">
      <c r="A306" s="61" t="s">
        <v>278</v>
      </c>
      <c r="B306" s="61"/>
      <c r="C306" s="45" t="s">
        <v>18</v>
      </c>
      <c r="F306" s="80">
        <f>F277+F289+F304</f>
        <v>607330749.17443252</v>
      </c>
      <c r="G306" s="64">
        <f>G275+G289+G304</f>
        <v>0</v>
      </c>
      <c r="H306" s="64">
        <f t="shared" ref="H306:M306" si="132">H277+H289+H304</f>
        <v>25854185.017924398</v>
      </c>
      <c r="I306" s="64">
        <f t="shared" si="132"/>
        <v>25193974.742304482</v>
      </c>
      <c r="J306" s="64">
        <f t="shared" si="132"/>
        <v>22842228.216070492</v>
      </c>
      <c r="K306" s="64">
        <f t="shared" si="132"/>
        <v>456736652.19065928</v>
      </c>
      <c r="L306" s="64">
        <f t="shared" si="132"/>
        <v>0</v>
      </c>
      <c r="M306" s="64">
        <f t="shared" si="132"/>
        <v>0</v>
      </c>
      <c r="N306" s="64">
        <f>N277+N289+N304</f>
        <v>5284960.6065975213</v>
      </c>
      <c r="O306" s="64">
        <f>O277+O289+O304</f>
        <v>5150004.3008271726</v>
      </c>
      <c r="P306" s="64">
        <f>P277+P289+P304</f>
        <v>4669274.0925753033</v>
      </c>
      <c r="Q306" s="64">
        <f t="shared" ref="Q306:AB306" si="133">Q277+Q289+Q304</f>
        <v>0</v>
      </c>
      <c r="R306" s="64">
        <f t="shared" si="133"/>
        <v>3726166.5709848618</v>
      </c>
      <c r="S306" s="64">
        <f t="shared" si="133"/>
        <v>0</v>
      </c>
      <c r="T306" s="64">
        <f t="shared" si="133"/>
        <v>10499885.851351622</v>
      </c>
      <c r="U306" s="64">
        <f t="shared" si="133"/>
        <v>14792217.13476398</v>
      </c>
      <c r="V306" s="64">
        <f t="shared" si="133"/>
        <v>3499961.9504505405</v>
      </c>
      <c r="W306" s="64">
        <f t="shared" si="133"/>
        <v>4930739.0449213274</v>
      </c>
      <c r="X306" s="64">
        <f t="shared" si="133"/>
        <v>576058.66694401577</v>
      </c>
      <c r="Y306" s="64">
        <f t="shared" si="133"/>
        <v>437176.76789674349</v>
      </c>
      <c r="Z306" s="64">
        <f t="shared" si="133"/>
        <v>125178.61587295201</v>
      </c>
      <c r="AA306" s="64">
        <f t="shared" si="133"/>
        <v>8057247.5617789784</v>
      </c>
      <c r="AB306" s="64">
        <f t="shared" si="133"/>
        <v>803222.83503496717</v>
      </c>
      <c r="AC306" s="64">
        <f>AC277+AC289+AC304</f>
        <v>12851453.199999992</v>
      </c>
      <c r="AD306" s="64">
        <f>AD277+AD289+AD304</f>
        <v>1300161.8074737564</v>
      </c>
      <c r="AE306" s="64">
        <f>AE277+AE289+AE304</f>
        <v>0</v>
      </c>
      <c r="AF306" s="64">
        <f>AF277+AF289+AF304</f>
        <v>607330749.17443252</v>
      </c>
      <c r="AG306" s="59" t="str">
        <f>IF(ABS(AF306-F306)&lt;1,"ok","err")</f>
        <v>ok</v>
      </c>
    </row>
    <row r="307" spans="1:33" x14ac:dyDescent="0.25">
      <c r="A307" s="61"/>
      <c r="B307" s="61"/>
      <c r="F307" s="80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G307" s="59"/>
    </row>
    <row r="308" spans="1:33" x14ac:dyDescent="0.25">
      <c r="A308" s="61"/>
      <c r="B308" s="61"/>
      <c r="F308" s="80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G308" s="59"/>
    </row>
    <row r="309" spans="1:33" x14ac:dyDescent="0.25">
      <c r="A309" s="61"/>
      <c r="B309" s="61"/>
      <c r="F309" s="80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G309" s="59"/>
    </row>
    <row r="310" spans="1:33" x14ac:dyDescent="0.25">
      <c r="A310" s="61"/>
      <c r="B310" s="61"/>
      <c r="F310" s="80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G310" s="59"/>
    </row>
    <row r="311" spans="1:33" x14ac:dyDescent="0.25">
      <c r="A311" s="61"/>
      <c r="B311" s="61"/>
      <c r="F311" s="80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G311" s="59"/>
    </row>
    <row r="312" spans="1:33" x14ac:dyDescent="0.25">
      <c r="A312" s="60" t="s">
        <v>1046</v>
      </c>
      <c r="B312" s="61"/>
      <c r="F312" s="80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G312" s="59"/>
    </row>
    <row r="313" spans="1:33" x14ac:dyDescent="0.25">
      <c r="A313" s="61"/>
      <c r="B313" s="61"/>
      <c r="F313" s="80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G313" s="59"/>
    </row>
    <row r="314" spans="1:33" x14ac:dyDescent="0.25">
      <c r="A314" s="66" t="s">
        <v>1069</v>
      </c>
      <c r="B314" s="61"/>
      <c r="F314" s="80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G314" s="59"/>
    </row>
    <row r="315" spans="1:33" x14ac:dyDescent="0.25">
      <c r="A315" s="61">
        <v>920</v>
      </c>
      <c r="B315" s="61" t="s">
        <v>1070</v>
      </c>
      <c r="C315" s="45" t="s">
        <v>1071</v>
      </c>
      <c r="D315" s="45" t="s">
        <v>671</v>
      </c>
      <c r="F315" s="77">
        <v>26699898.908929829</v>
      </c>
      <c r="H315" s="64">
        <f t="shared" ref="H315:Q327" si="134">IF(VLOOKUP($D315,$C$6:$AE$651,H$2,)=0,0,((VLOOKUP($D315,$C$6:$AE$651,H$2,)/VLOOKUP($D315,$C$6:$AE$651,4,))*$F315))</f>
        <v>3676835.0097665787</v>
      </c>
      <c r="I315" s="64">
        <f t="shared" si="134"/>
        <v>3582943.6628328422</v>
      </c>
      <c r="J315" s="64">
        <f t="shared" si="134"/>
        <v>3248491.6599652516</v>
      </c>
      <c r="K315" s="64">
        <f t="shared" si="134"/>
        <v>6178568.371632684</v>
      </c>
      <c r="L315" s="64">
        <f t="shared" si="134"/>
        <v>0</v>
      </c>
      <c r="M315" s="64">
        <f t="shared" si="134"/>
        <v>0</v>
      </c>
      <c r="N315" s="64">
        <f t="shared" si="134"/>
        <v>562991.17242731131</v>
      </c>
      <c r="O315" s="64">
        <f t="shared" si="134"/>
        <v>548614.67760211648</v>
      </c>
      <c r="P315" s="64">
        <f t="shared" si="134"/>
        <v>497403.91489045473</v>
      </c>
      <c r="Q315" s="64">
        <f t="shared" si="134"/>
        <v>0</v>
      </c>
      <c r="R315" s="64">
        <f t="shared" ref="R315:AE327" si="135">IF(VLOOKUP($D315,$C$6:$AE$651,R$2,)=0,0,((VLOOKUP($D315,$C$6:$AE$651,R$2,)/VLOOKUP($D315,$C$6:$AE$651,4,))*$F315))</f>
        <v>874712.99778927315</v>
      </c>
      <c r="S315" s="64">
        <f t="shared" si="135"/>
        <v>0</v>
      </c>
      <c r="T315" s="64">
        <f t="shared" si="135"/>
        <v>950877.06336959882</v>
      </c>
      <c r="U315" s="64">
        <f t="shared" si="135"/>
        <v>1394186.8784055025</v>
      </c>
      <c r="V315" s="64">
        <f t="shared" si="135"/>
        <v>316959.02112319961</v>
      </c>
      <c r="W315" s="64">
        <f t="shared" si="135"/>
        <v>464728.95946850075</v>
      </c>
      <c r="X315" s="64">
        <f t="shared" si="135"/>
        <v>87943.078174501468</v>
      </c>
      <c r="Y315" s="64">
        <f t="shared" si="135"/>
        <v>66740.894428649641</v>
      </c>
      <c r="Z315" s="64">
        <f t="shared" si="135"/>
        <v>19342.578454290586</v>
      </c>
      <c r="AA315" s="64">
        <f t="shared" si="135"/>
        <v>1551849.9747416952</v>
      </c>
      <c r="AB315" s="64">
        <f t="shared" si="135"/>
        <v>74981.73726637497</v>
      </c>
      <c r="AC315" s="64">
        <f t="shared" si="135"/>
        <v>2141939.2556509017</v>
      </c>
      <c r="AD315" s="64">
        <f t="shared" si="135"/>
        <v>459788.00094010262</v>
      </c>
      <c r="AE315" s="64">
        <f t="shared" si="135"/>
        <v>0</v>
      </c>
      <c r="AF315" s="64">
        <f t="shared" ref="AF315:AF326" si="136">SUM(H315:AE315)</f>
        <v>26699898.908929829</v>
      </c>
      <c r="AG315" s="59" t="str">
        <f t="shared" ref="AG315:AG326" si="137">IF(ABS(AF315-F315)&lt;1,"ok","err")</f>
        <v>ok</v>
      </c>
    </row>
    <row r="316" spans="1:33" x14ac:dyDescent="0.25">
      <c r="A316" s="61">
        <v>921</v>
      </c>
      <c r="B316" s="61" t="s">
        <v>1072</v>
      </c>
      <c r="C316" s="45" t="s">
        <v>1073</v>
      </c>
      <c r="D316" s="45" t="s">
        <v>671</v>
      </c>
      <c r="F316" s="80">
        <v>6299020.7007613834</v>
      </c>
      <c r="H316" s="64">
        <f t="shared" si="134"/>
        <v>867436.23707345966</v>
      </c>
      <c r="I316" s="64">
        <f t="shared" si="134"/>
        <v>845285.45890103094</v>
      </c>
      <c r="J316" s="64">
        <f t="shared" si="134"/>
        <v>766381.78601972794</v>
      </c>
      <c r="K316" s="64">
        <f t="shared" si="134"/>
        <v>1457643.3493898858</v>
      </c>
      <c r="L316" s="64">
        <f t="shared" si="134"/>
        <v>0</v>
      </c>
      <c r="M316" s="64">
        <f t="shared" si="134"/>
        <v>0</v>
      </c>
      <c r="N316" s="64">
        <f t="shared" si="134"/>
        <v>132820.46728197506</v>
      </c>
      <c r="O316" s="64">
        <f t="shared" si="134"/>
        <v>129428.77509552994</v>
      </c>
      <c r="P316" s="64">
        <f t="shared" si="134"/>
        <v>117347.16926163483</v>
      </c>
      <c r="Q316" s="64">
        <f t="shared" si="134"/>
        <v>0</v>
      </c>
      <c r="R316" s="64">
        <f t="shared" si="135"/>
        <v>206361.6532441965</v>
      </c>
      <c r="S316" s="64">
        <f t="shared" si="135"/>
        <v>0</v>
      </c>
      <c r="T316" s="64">
        <f t="shared" si="135"/>
        <v>224330.22411336045</v>
      </c>
      <c r="U316" s="64">
        <f t="shared" si="135"/>
        <v>328915.55274274817</v>
      </c>
      <c r="V316" s="64">
        <f t="shared" si="135"/>
        <v>74776.741371120152</v>
      </c>
      <c r="W316" s="64">
        <f t="shared" si="135"/>
        <v>109638.51758091604</v>
      </c>
      <c r="X316" s="64">
        <f t="shared" si="135"/>
        <v>20747.466939831371</v>
      </c>
      <c r="Y316" s="64">
        <f t="shared" si="135"/>
        <v>15745.463195472619</v>
      </c>
      <c r="Z316" s="64">
        <f t="shared" si="135"/>
        <v>4563.2870186234359</v>
      </c>
      <c r="AA316" s="64">
        <f t="shared" si="135"/>
        <v>366111.31557897612</v>
      </c>
      <c r="AB316" s="64">
        <f t="shared" si="135"/>
        <v>17689.636834616696</v>
      </c>
      <c r="AC316" s="64">
        <f t="shared" si="135"/>
        <v>505324.74887408636</v>
      </c>
      <c r="AD316" s="64">
        <f t="shared" si="135"/>
        <v>108472.85024419164</v>
      </c>
      <c r="AE316" s="64">
        <f t="shared" si="135"/>
        <v>0</v>
      </c>
      <c r="AF316" s="64">
        <f t="shared" si="136"/>
        <v>6299020.7007613834</v>
      </c>
      <c r="AG316" s="59" t="str">
        <f t="shared" si="137"/>
        <v>ok</v>
      </c>
    </row>
    <row r="317" spans="1:33" x14ac:dyDescent="0.25">
      <c r="A317" s="61">
        <v>922</v>
      </c>
      <c r="B317" s="61" t="s">
        <v>279</v>
      </c>
      <c r="C317" s="45" t="s">
        <v>280</v>
      </c>
      <c r="D317" s="45" t="s">
        <v>671</v>
      </c>
      <c r="F317" s="80">
        <v>-4005467.4074290548</v>
      </c>
      <c r="H317" s="64">
        <f t="shared" si="134"/>
        <v>-551591.706183895</v>
      </c>
      <c r="I317" s="64">
        <f t="shared" si="134"/>
        <v>-537506.30716176936</v>
      </c>
      <c r="J317" s="64">
        <f t="shared" si="134"/>
        <v>-487332.46188224811</v>
      </c>
      <c r="K317" s="64">
        <f t="shared" si="134"/>
        <v>-926896.92652243318</v>
      </c>
      <c r="L317" s="64">
        <f t="shared" si="134"/>
        <v>0</v>
      </c>
      <c r="M317" s="64">
        <f t="shared" si="134"/>
        <v>0</v>
      </c>
      <c r="N317" s="64">
        <f t="shared" si="134"/>
        <v>-84458.851305750213</v>
      </c>
      <c r="O317" s="64">
        <f t="shared" si="134"/>
        <v>-82302.117242756023</v>
      </c>
      <c r="P317" s="64">
        <f t="shared" si="134"/>
        <v>-74619.577258211721</v>
      </c>
      <c r="Q317" s="64">
        <f t="shared" si="134"/>
        <v>0</v>
      </c>
      <c r="R317" s="64">
        <f t="shared" si="135"/>
        <v>-131222.75913665351</v>
      </c>
      <c r="S317" s="64">
        <f t="shared" si="135"/>
        <v>0</v>
      </c>
      <c r="T317" s="64">
        <f t="shared" si="135"/>
        <v>-142648.74555479875</v>
      </c>
      <c r="U317" s="64">
        <f t="shared" si="135"/>
        <v>-209153.23014390861</v>
      </c>
      <c r="V317" s="64">
        <f t="shared" si="135"/>
        <v>-47549.581851599585</v>
      </c>
      <c r="W317" s="64">
        <f t="shared" si="135"/>
        <v>-69717.743381302862</v>
      </c>
      <c r="X317" s="64">
        <f t="shared" si="135"/>
        <v>-13193.051199873247</v>
      </c>
      <c r="Y317" s="64">
        <f t="shared" si="135"/>
        <v>-10012.340432016055</v>
      </c>
      <c r="Z317" s="64">
        <f t="shared" si="135"/>
        <v>-2901.7363638177821</v>
      </c>
      <c r="AA317" s="64">
        <f t="shared" si="135"/>
        <v>-232805.54418011481</v>
      </c>
      <c r="AB317" s="64">
        <f t="shared" si="135"/>
        <v>-11248.615801778384</v>
      </c>
      <c r="AC317" s="64">
        <f t="shared" si="135"/>
        <v>-321329.6015264357</v>
      </c>
      <c r="AD317" s="64">
        <f t="shared" si="135"/>
        <v>-68976.510299692265</v>
      </c>
      <c r="AE317" s="64">
        <f t="shared" si="135"/>
        <v>0</v>
      </c>
      <c r="AF317" s="64">
        <f>SUM(H317:AE317)</f>
        <v>-4005467.4074290548</v>
      </c>
      <c r="AG317" s="59" t="str">
        <f t="shared" si="137"/>
        <v>ok</v>
      </c>
    </row>
    <row r="318" spans="1:33" x14ac:dyDescent="0.25">
      <c r="A318" s="61">
        <v>923</v>
      </c>
      <c r="B318" s="61" t="s">
        <v>1074</v>
      </c>
      <c r="C318" s="45" t="s">
        <v>1075</v>
      </c>
      <c r="D318" s="45" t="s">
        <v>671</v>
      </c>
      <c r="F318" s="80">
        <v>16261534.590000002</v>
      </c>
      <c r="H318" s="64">
        <f t="shared" si="134"/>
        <v>2239371.0139870611</v>
      </c>
      <c r="I318" s="64">
        <f t="shared" si="134"/>
        <v>2182186.6257213061</v>
      </c>
      <c r="J318" s="64">
        <f t="shared" si="134"/>
        <v>1978489.119903892</v>
      </c>
      <c r="K318" s="64">
        <f t="shared" si="134"/>
        <v>3763048.0787469014</v>
      </c>
      <c r="L318" s="64">
        <f t="shared" si="134"/>
        <v>0</v>
      </c>
      <c r="M318" s="64">
        <f t="shared" si="134"/>
        <v>0</v>
      </c>
      <c r="N318" s="64">
        <f t="shared" si="134"/>
        <v>342888.95458062727</v>
      </c>
      <c r="O318" s="64">
        <f t="shared" si="134"/>
        <v>334132.97132090514</v>
      </c>
      <c r="P318" s="64">
        <f t="shared" si="134"/>
        <v>302943.13078793406</v>
      </c>
      <c r="Q318" s="64">
        <f t="shared" si="134"/>
        <v>0</v>
      </c>
      <c r="R318" s="64">
        <f t="shared" si="135"/>
        <v>532742.6788539472</v>
      </c>
      <c r="S318" s="64">
        <f t="shared" si="135"/>
        <v>0</v>
      </c>
      <c r="T318" s="64">
        <f t="shared" si="135"/>
        <v>579130.29219937685</v>
      </c>
      <c r="U318" s="64">
        <f t="shared" si="135"/>
        <v>849127.49016186874</v>
      </c>
      <c r="V318" s="64">
        <f t="shared" si="135"/>
        <v>193043.4307331256</v>
      </c>
      <c r="W318" s="64">
        <f t="shared" si="135"/>
        <v>283042.49672062288</v>
      </c>
      <c r="X318" s="64">
        <f t="shared" si="135"/>
        <v>53561.603830920641</v>
      </c>
      <c r="Y318" s="64">
        <f t="shared" si="135"/>
        <v>40648.444663438066</v>
      </c>
      <c r="Z318" s="64">
        <f t="shared" si="135"/>
        <v>11780.569269834827</v>
      </c>
      <c r="AA318" s="64">
        <f t="shared" si="135"/>
        <v>945151.9696320896</v>
      </c>
      <c r="AB318" s="64">
        <f t="shared" si="135"/>
        <v>45667.518005757156</v>
      </c>
      <c r="AC318" s="64">
        <f t="shared" si="135"/>
        <v>1304544.9877638537</v>
      </c>
      <c r="AD318" s="64">
        <f t="shared" si="135"/>
        <v>280033.21311654046</v>
      </c>
      <c r="AE318" s="64">
        <f t="shared" si="135"/>
        <v>0</v>
      </c>
      <c r="AF318" s="64">
        <f t="shared" si="136"/>
        <v>16261534.590000002</v>
      </c>
      <c r="AG318" s="59" t="str">
        <f t="shared" si="137"/>
        <v>ok</v>
      </c>
    </row>
    <row r="319" spans="1:33" x14ac:dyDescent="0.25">
      <c r="A319" s="61">
        <v>924</v>
      </c>
      <c r="B319" s="61" t="s">
        <v>1076</v>
      </c>
      <c r="C319" s="45" t="s">
        <v>1077</v>
      </c>
      <c r="D319" s="45" t="s">
        <v>990</v>
      </c>
      <c r="F319" s="80">
        <v>4261747.4300000006</v>
      </c>
      <c r="H319" s="64">
        <f t="shared" si="134"/>
        <v>872241.13252045074</v>
      </c>
      <c r="I319" s="64">
        <f t="shared" si="134"/>
        <v>849967.65694544744</v>
      </c>
      <c r="J319" s="64">
        <f t="shared" si="134"/>
        <v>770626.92150856426</v>
      </c>
      <c r="K319" s="64">
        <f t="shared" si="134"/>
        <v>0</v>
      </c>
      <c r="L319" s="64">
        <f t="shared" si="134"/>
        <v>0</v>
      </c>
      <c r="M319" s="64">
        <f t="shared" si="134"/>
        <v>0</v>
      </c>
      <c r="N319" s="64">
        <f t="shared" si="134"/>
        <v>154646.85262580332</v>
      </c>
      <c r="O319" s="64">
        <f t="shared" si="134"/>
        <v>150697.80371457094</v>
      </c>
      <c r="P319" s="64">
        <f t="shared" si="134"/>
        <v>136630.82777997426</v>
      </c>
      <c r="Q319" s="64">
        <f t="shared" si="134"/>
        <v>0</v>
      </c>
      <c r="R319" s="64">
        <f t="shared" si="135"/>
        <v>158161.63505621781</v>
      </c>
      <c r="S319" s="64">
        <f t="shared" si="135"/>
        <v>0</v>
      </c>
      <c r="T319" s="64">
        <f t="shared" si="135"/>
        <v>232110.44831662186</v>
      </c>
      <c r="U319" s="64">
        <f t="shared" si="135"/>
        <v>377162.04845308122</v>
      </c>
      <c r="V319" s="64">
        <f t="shared" si="135"/>
        <v>77370.149438873952</v>
      </c>
      <c r="W319" s="64">
        <f t="shared" si="135"/>
        <v>125720.68281769376</v>
      </c>
      <c r="X319" s="64">
        <f t="shared" si="135"/>
        <v>95907.522321418786</v>
      </c>
      <c r="Y319" s="64">
        <f t="shared" si="135"/>
        <v>72785.191910909067</v>
      </c>
      <c r="Z319" s="64">
        <f t="shared" si="135"/>
        <v>34541.513525852497</v>
      </c>
      <c r="AA319" s="64">
        <f t="shared" si="135"/>
        <v>45617.829597941905</v>
      </c>
      <c r="AB319" s="64">
        <f t="shared" si="135"/>
        <v>107559.21346657889</v>
      </c>
      <c r="AC319" s="64">
        <f t="shared" si="135"/>
        <v>0</v>
      </c>
      <c r="AD319" s="64">
        <f t="shared" si="135"/>
        <v>0</v>
      </c>
      <c r="AE319" s="64">
        <f t="shared" si="135"/>
        <v>0</v>
      </c>
      <c r="AF319" s="64">
        <f t="shared" si="136"/>
        <v>4261747.4300000006</v>
      </c>
      <c r="AG319" s="59" t="str">
        <f t="shared" si="137"/>
        <v>ok</v>
      </c>
    </row>
    <row r="320" spans="1:33" x14ac:dyDescent="0.25">
      <c r="A320" s="61">
        <v>925</v>
      </c>
      <c r="B320" s="61" t="s">
        <v>1078</v>
      </c>
      <c r="C320" s="45" t="s">
        <v>1079</v>
      </c>
      <c r="D320" s="45" t="s">
        <v>671</v>
      </c>
      <c r="F320" s="80">
        <v>3223432.2288445644</v>
      </c>
      <c r="H320" s="64">
        <f t="shared" si="134"/>
        <v>443897.87808004307</v>
      </c>
      <c r="I320" s="64">
        <f t="shared" si="134"/>
        <v>432562.53951759596</v>
      </c>
      <c r="J320" s="64">
        <f t="shared" si="134"/>
        <v>392184.73251831776</v>
      </c>
      <c r="K320" s="64">
        <f t="shared" si="134"/>
        <v>745927.78366585751</v>
      </c>
      <c r="L320" s="64">
        <f t="shared" si="134"/>
        <v>0</v>
      </c>
      <c r="M320" s="64">
        <f t="shared" si="134"/>
        <v>0</v>
      </c>
      <c r="N320" s="64">
        <f t="shared" si="134"/>
        <v>67968.942352445825</v>
      </c>
      <c r="O320" s="64">
        <f t="shared" si="134"/>
        <v>66233.293205779904</v>
      </c>
      <c r="P320" s="64">
        <f t="shared" si="134"/>
        <v>60050.707138636695</v>
      </c>
      <c r="Q320" s="64">
        <f t="shared" si="134"/>
        <v>0</v>
      </c>
      <c r="R320" s="64">
        <f t="shared" si="135"/>
        <v>105602.57466443718</v>
      </c>
      <c r="S320" s="64">
        <f t="shared" si="135"/>
        <v>0</v>
      </c>
      <c r="T320" s="64">
        <f t="shared" si="135"/>
        <v>114797.72946666536</v>
      </c>
      <c r="U320" s="64">
        <f t="shared" si="135"/>
        <v>168317.7502736329</v>
      </c>
      <c r="V320" s="64">
        <f t="shared" si="135"/>
        <v>38265.909822221787</v>
      </c>
      <c r="W320" s="64">
        <f t="shared" si="135"/>
        <v>56105.916757877625</v>
      </c>
      <c r="X320" s="64">
        <f t="shared" si="135"/>
        <v>10617.214449327937</v>
      </c>
      <c r="Y320" s="64">
        <f t="shared" si="135"/>
        <v>8057.5117837344942</v>
      </c>
      <c r="Z320" s="64">
        <f t="shared" si="135"/>
        <v>2335.1957620207268</v>
      </c>
      <c r="AA320" s="64">
        <f t="shared" si="135"/>
        <v>187352.14091919208</v>
      </c>
      <c r="AB320" s="64">
        <f t="shared" si="135"/>
        <v>9052.4143669454916</v>
      </c>
      <c r="AC320" s="64">
        <f t="shared" si="135"/>
        <v>258592.5906477221</v>
      </c>
      <c r="AD320" s="64">
        <f t="shared" si="135"/>
        <v>55509.403452110164</v>
      </c>
      <c r="AE320" s="64">
        <f t="shared" si="135"/>
        <v>0</v>
      </c>
      <c r="AF320" s="64">
        <f t="shared" si="136"/>
        <v>3223432.2288445644</v>
      </c>
      <c r="AG320" s="59" t="str">
        <f t="shared" si="137"/>
        <v>ok</v>
      </c>
    </row>
    <row r="321" spans="1:33" x14ac:dyDescent="0.25">
      <c r="A321" s="61">
        <v>926</v>
      </c>
      <c r="B321" s="61" t="s">
        <v>1080</v>
      </c>
      <c r="C321" s="45" t="s">
        <v>1081</v>
      </c>
      <c r="D321" s="45" t="s">
        <v>671</v>
      </c>
      <c r="F321" s="80">
        <v>32171796.69949922</v>
      </c>
      <c r="H321" s="64">
        <f t="shared" si="134"/>
        <v>4430368.4008424906</v>
      </c>
      <c r="I321" s="64">
        <f t="shared" si="134"/>
        <v>4317234.8891502768</v>
      </c>
      <c r="J321" s="64">
        <f t="shared" si="134"/>
        <v>3914240.0359226577</v>
      </c>
      <c r="K321" s="64">
        <f t="shared" si="134"/>
        <v>7444808.9194690473</v>
      </c>
      <c r="L321" s="64">
        <f t="shared" si="134"/>
        <v>0</v>
      </c>
      <c r="M321" s="64">
        <f t="shared" si="134"/>
        <v>0</v>
      </c>
      <c r="N321" s="64">
        <f t="shared" si="134"/>
        <v>678371.01573768258</v>
      </c>
      <c r="O321" s="64">
        <f t="shared" si="134"/>
        <v>661048.19102043682</v>
      </c>
      <c r="P321" s="64">
        <f t="shared" si="134"/>
        <v>599342.25526369689</v>
      </c>
      <c r="Q321" s="64">
        <f t="shared" si="134"/>
        <v>0</v>
      </c>
      <c r="R321" s="64">
        <f t="shared" si="135"/>
        <v>1053977.3514226365</v>
      </c>
      <c r="S321" s="64">
        <f t="shared" si="135"/>
        <v>0</v>
      </c>
      <c r="T321" s="64">
        <f t="shared" si="135"/>
        <v>1145750.5391045588</v>
      </c>
      <c r="U321" s="64">
        <f t="shared" si="135"/>
        <v>1679912.6081398732</v>
      </c>
      <c r="V321" s="64">
        <f t="shared" si="135"/>
        <v>381916.84636818623</v>
      </c>
      <c r="W321" s="64">
        <f t="shared" si="135"/>
        <v>559970.86937995767</v>
      </c>
      <c r="X321" s="64">
        <f t="shared" si="135"/>
        <v>105966.20016459943</v>
      </c>
      <c r="Y321" s="64">
        <f t="shared" si="135"/>
        <v>80418.824596490507</v>
      </c>
      <c r="Z321" s="64">
        <f t="shared" si="135"/>
        <v>23306.661339733619</v>
      </c>
      <c r="AA321" s="64">
        <f t="shared" si="135"/>
        <v>1869887.3005401173</v>
      </c>
      <c r="AB321" s="64">
        <f t="shared" si="135"/>
        <v>90348.552095164778</v>
      </c>
      <c r="AC321" s="64">
        <f t="shared" si="135"/>
        <v>2580909.9319260125</v>
      </c>
      <c r="AD321" s="64">
        <f t="shared" si="135"/>
        <v>554017.30701560294</v>
      </c>
      <c r="AE321" s="64">
        <f t="shared" si="135"/>
        <v>0</v>
      </c>
      <c r="AF321" s="64">
        <f t="shared" si="136"/>
        <v>32171796.69949922</v>
      </c>
      <c r="AG321" s="59" t="str">
        <f t="shared" si="137"/>
        <v>ok</v>
      </c>
    </row>
    <row r="322" spans="1:33" x14ac:dyDescent="0.25">
      <c r="A322" s="61">
        <v>927</v>
      </c>
      <c r="B322" s="61" t="s">
        <v>604</v>
      </c>
      <c r="C322" s="45" t="s">
        <v>603</v>
      </c>
      <c r="D322" s="45" t="s">
        <v>990</v>
      </c>
      <c r="F322" s="80">
        <v>0</v>
      </c>
      <c r="H322" s="64">
        <f t="shared" si="134"/>
        <v>0</v>
      </c>
      <c r="I322" s="64">
        <f t="shared" si="134"/>
        <v>0</v>
      </c>
      <c r="J322" s="64">
        <f t="shared" si="134"/>
        <v>0</v>
      </c>
      <c r="K322" s="64">
        <f t="shared" si="134"/>
        <v>0</v>
      </c>
      <c r="L322" s="64">
        <f t="shared" si="134"/>
        <v>0</v>
      </c>
      <c r="M322" s="64">
        <f t="shared" si="134"/>
        <v>0</v>
      </c>
      <c r="N322" s="64">
        <f t="shared" si="134"/>
        <v>0</v>
      </c>
      <c r="O322" s="64">
        <f t="shared" si="134"/>
        <v>0</v>
      </c>
      <c r="P322" s="64">
        <f t="shared" si="134"/>
        <v>0</v>
      </c>
      <c r="Q322" s="64">
        <f t="shared" si="134"/>
        <v>0</v>
      </c>
      <c r="R322" s="64">
        <f t="shared" si="135"/>
        <v>0</v>
      </c>
      <c r="S322" s="64">
        <f t="shared" si="135"/>
        <v>0</v>
      </c>
      <c r="T322" s="64">
        <f t="shared" si="135"/>
        <v>0</v>
      </c>
      <c r="U322" s="64">
        <f t="shared" si="135"/>
        <v>0</v>
      </c>
      <c r="V322" s="64">
        <f t="shared" si="135"/>
        <v>0</v>
      </c>
      <c r="W322" s="64">
        <f t="shared" si="135"/>
        <v>0</v>
      </c>
      <c r="X322" s="64">
        <f t="shared" si="135"/>
        <v>0</v>
      </c>
      <c r="Y322" s="64">
        <f t="shared" si="135"/>
        <v>0</v>
      </c>
      <c r="Z322" s="64">
        <f t="shared" si="135"/>
        <v>0</v>
      </c>
      <c r="AA322" s="64">
        <f t="shared" si="135"/>
        <v>0</v>
      </c>
      <c r="AB322" s="64">
        <f t="shared" si="135"/>
        <v>0</v>
      </c>
      <c r="AC322" s="64">
        <f t="shared" si="135"/>
        <v>0</v>
      </c>
      <c r="AD322" s="64">
        <f t="shared" si="135"/>
        <v>0</v>
      </c>
      <c r="AE322" s="64">
        <f t="shared" si="135"/>
        <v>0</v>
      </c>
      <c r="AF322" s="64">
        <f>SUM(H322:AE322)</f>
        <v>0</v>
      </c>
      <c r="AG322" s="59" t="str">
        <f t="shared" si="137"/>
        <v>ok</v>
      </c>
    </row>
    <row r="323" spans="1:33" x14ac:dyDescent="0.25">
      <c r="A323" s="61">
        <v>928</v>
      </c>
      <c r="B323" s="61" t="s">
        <v>908</v>
      </c>
      <c r="C323" s="45" t="s">
        <v>1082</v>
      </c>
      <c r="D323" s="45" t="s">
        <v>990</v>
      </c>
      <c r="F323" s="80">
        <v>1064723.9999999988</v>
      </c>
      <c r="H323" s="64">
        <f t="shared" si="134"/>
        <v>217914.38437770191</v>
      </c>
      <c r="I323" s="64">
        <f t="shared" si="134"/>
        <v>212349.74114211724</v>
      </c>
      <c r="J323" s="64">
        <f t="shared" si="134"/>
        <v>192527.82851476572</v>
      </c>
      <c r="K323" s="64">
        <f t="shared" si="134"/>
        <v>0</v>
      </c>
      <c r="L323" s="64">
        <f t="shared" si="134"/>
        <v>0</v>
      </c>
      <c r="M323" s="64">
        <f t="shared" si="134"/>
        <v>0</v>
      </c>
      <c r="N323" s="64">
        <f t="shared" si="134"/>
        <v>38635.845558580091</v>
      </c>
      <c r="O323" s="64">
        <f t="shared" si="134"/>
        <v>37649.243883557087</v>
      </c>
      <c r="P323" s="64">
        <f t="shared" si="134"/>
        <v>34134.852866493107</v>
      </c>
      <c r="Q323" s="64">
        <f t="shared" si="134"/>
        <v>0</v>
      </c>
      <c r="R323" s="64">
        <f t="shared" si="135"/>
        <v>39513.953252644125</v>
      </c>
      <c r="S323" s="64">
        <f t="shared" si="135"/>
        <v>0</v>
      </c>
      <c r="T323" s="64">
        <f t="shared" si="135"/>
        <v>57988.787236381715</v>
      </c>
      <c r="U323" s="64">
        <f t="shared" si="135"/>
        <v>94227.424659268931</v>
      </c>
      <c r="V323" s="64">
        <f t="shared" si="135"/>
        <v>19329.595745460574</v>
      </c>
      <c r="W323" s="64">
        <f t="shared" si="135"/>
        <v>31409.141553089645</v>
      </c>
      <c r="X323" s="64">
        <f t="shared" si="135"/>
        <v>23960.838241451154</v>
      </c>
      <c r="Y323" s="64">
        <f t="shared" si="135"/>
        <v>18184.123283943802</v>
      </c>
      <c r="Z323" s="64">
        <f t="shared" si="135"/>
        <v>8629.6006629608564</v>
      </c>
      <c r="AA323" s="64">
        <f t="shared" si="135"/>
        <v>11396.826958569676</v>
      </c>
      <c r="AB323" s="64">
        <f t="shared" si="135"/>
        <v>26871.812063013222</v>
      </c>
      <c r="AC323" s="64">
        <f t="shared" si="135"/>
        <v>0</v>
      </c>
      <c r="AD323" s="64">
        <f t="shared" si="135"/>
        <v>0</v>
      </c>
      <c r="AE323" s="64">
        <f t="shared" si="135"/>
        <v>0</v>
      </c>
      <c r="AF323" s="64">
        <f t="shared" si="136"/>
        <v>1064723.9999999988</v>
      </c>
      <c r="AG323" s="59" t="str">
        <f t="shared" si="137"/>
        <v>ok</v>
      </c>
    </row>
    <row r="324" spans="1:33" x14ac:dyDescent="0.25">
      <c r="A324" s="61">
        <v>929</v>
      </c>
      <c r="B324" s="61" t="s">
        <v>1181</v>
      </c>
      <c r="C324" s="45" t="s">
        <v>1182</v>
      </c>
      <c r="D324" s="45" t="s">
        <v>671</v>
      </c>
      <c r="F324" s="80">
        <v>0</v>
      </c>
      <c r="H324" s="64">
        <f t="shared" si="134"/>
        <v>0</v>
      </c>
      <c r="I324" s="64">
        <f t="shared" si="134"/>
        <v>0</v>
      </c>
      <c r="J324" s="64">
        <f t="shared" si="134"/>
        <v>0</v>
      </c>
      <c r="K324" s="64">
        <f t="shared" si="134"/>
        <v>0</v>
      </c>
      <c r="L324" s="64">
        <f t="shared" si="134"/>
        <v>0</v>
      </c>
      <c r="M324" s="64">
        <f t="shared" si="134"/>
        <v>0</v>
      </c>
      <c r="N324" s="64">
        <f t="shared" si="134"/>
        <v>0</v>
      </c>
      <c r="O324" s="64">
        <f t="shared" si="134"/>
        <v>0</v>
      </c>
      <c r="P324" s="64">
        <f t="shared" si="134"/>
        <v>0</v>
      </c>
      <c r="Q324" s="64">
        <f t="shared" si="134"/>
        <v>0</v>
      </c>
      <c r="R324" s="64">
        <f t="shared" si="135"/>
        <v>0</v>
      </c>
      <c r="S324" s="64">
        <f t="shared" si="135"/>
        <v>0</v>
      </c>
      <c r="T324" s="64">
        <f t="shared" si="135"/>
        <v>0</v>
      </c>
      <c r="U324" s="64">
        <f t="shared" si="135"/>
        <v>0</v>
      </c>
      <c r="V324" s="64">
        <f t="shared" si="135"/>
        <v>0</v>
      </c>
      <c r="W324" s="64">
        <f t="shared" si="135"/>
        <v>0</v>
      </c>
      <c r="X324" s="64">
        <f t="shared" si="135"/>
        <v>0</v>
      </c>
      <c r="Y324" s="64">
        <f t="shared" si="135"/>
        <v>0</v>
      </c>
      <c r="Z324" s="64">
        <f t="shared" si="135"/>
        <v>0</v>
      </c>
      <c r="AA324" s="64">
        <f t="shared" si="135"/>
        <v>0</v>
      </c>
      <c r="AB324" s="64">
        <f t="shared" si="135"/>
        <v>0</v>
      </c>
      <c r="AC324" s="64">
        <f t="shared" si="135"/>
        <v>0</v>
      </c>
      <c r="AD324" s="64">
        <f t="shared" si="135"/>
        <v>0</v>
      </c>
      <c r="AE324" s="64">
        <f t="shared" si="135"/>
        <v>0</v>
      </c>
      <c r="AF324" s="64">
        <f t="shared" si="136"/>
        <v>0</v>
      </c>
      <c r="AG324" s="59" t="str">
        <f t="shared" si="137"/>
        <v>ok</v>
      </c>
    </row>
    <row r="325" spans="1:33" x14ac:dyDescent="0.25">
      <c r="A325" s="61">
        <v>930</v>
      </c>
      <c r="B325" s="61" t="s">
        <v>1083</v>
      </c>
      <c r="C325" s="45" t="s">
        <v>1084</v>
      </c>
      <c r="D325" s="45" t="s">
        <v>671</v>
      </c>
      <c r="F325" s="80">
        <v>3120919.4148818296</v>
      </c>
      <c r="H325" s="64">
        <f t="shared" si="134"/>
        <v>429780.86944965424</v>
      </c>
      <c r="I325" s="64">
        <f t="shared" si="134"/>
        <v>418806.02162216301</v>
      </c>
      <c r="J325" s="64">
        <f t="shared" si="134"/>
        <v>379712.32495103159</v>
      </c>
      <c r="K325" s="64">
        <f t="shared" si="134"/>
        <v>722205.50545807811</v>
      </c>
      <c r="L325" s="64">
        <f t="shared" si="134"/>
        <v>0</v>
      </c>
      <c r="M325" s="64">
        <f t="shared" si="134"/>
        <v>0</v>
      </c>
      <c r="N325" s="64">
        <f t="shared" si="134"/>
        <v>65807.368276133479</v>
      </c>
      <c r="O325" s="64">
        <f t="shared" si="134"/>
        <v>64126.916901731733</v>
      </c>
      <c r="P325" s="64">
        <f t="shared" si="134"/>
        <v>58140.951780932053</v>
      </c>
      <c r="Q325" s="64">
        <f t="shared" si="134"/>
        <v>0</v>
      </c>
      <c r="R325" s="64">
        <f t="shared" si="135"/>
        <v>102244.16154388535</v>
      </c>
      <c r="S325" s="64">
        <f t="shared" si="135"/>
        <v>0</v>
      </c>
      <c r="T325" s="64">
        <f t="shared" si="135"/>
        <v>111146.88854658839</v>
      </c>
      <c r="U325" s="64">
        <f t="shared" si="135"/>
        <v>162964.8453587956</v>
      </c>
      <c r="V325" s="64">
        <f t="shared" si="135"/>
        <v>37048.9628488628</v>
      </c>
      <c r="W325" s="64">
        <f t="shared" si="135"/>
        <v>54321.615119598529</v>
      </c>
      <c r="X325" s="64">
        <f t="shared" si="135"/>
        <v>10279.561769706828</v>
      </c>
      <c r="Y325" s="64">
        <f t="shared" si="135"/>
        <v>7801.2637388408702</v>
      </c>
      <c r="Z325" s="64">
        <f t="shared" si="135"/>
        <v>2260.9309809664014</v>
      </c>
      <c r="AA325" s="64">
        <f t="shared" si="135"/>
        <v>181393.89709582075</v>
      </c>
      <c r="AB325" s="64">
        <f t="shared" si="135"/>
        <v>8764.5260528657782</v>
      </c>
      <c r="AC325" s="64">
        <f t="shared" si="135"/>
        <v>250368.73103001463</v>
      </c>
      <c r="AD325" s="64">
        <f t="shared" si="135"/>
        <v>53744.072356159595</v>
      </c>
      <c r="AE325" s="64">
        <f t="shared" si="135"/>
        <v>0</v>
      </c>
      <c r="AF325" s="64">
        <f t="shared" si="136"/>
        <v>3120919.4148818292</v>
      </c>
      <c r="AG325" s="59" t="str">
        <f t="shared" si="137"/>
        <v>ok</v>
      </c>
    </row>
    <row r="326" spans="1:33" x14ac:dyDescent="0.25">
      <c r="A326" s="61">
        <v>931</v>
      </c>
      <c r="B326" s="61" t="s">
        <v>1085</v>
      </c>
      <c r="C326" s="45" t="s">
        <v>1086</v>
      </c>
      <c r="D326" s="45" t="s">
        <v>980</v>
      </c>
      <c r="F326" s="80">
        <v>1293338.23</v>
      </c>
      <c r="H326" s="64">
        <f t="shared" si="134"/>
        <v>264503.91381743929</v>
      </c>
      <c r="I326" s="64">
        <f t="shared" si="134"/>
        <v>257749.56430988791</v>
      </c>
      <c r="J326" s="64">
        <f t="shared" si="134"/>
        <v>233689.778241822</v>
      </c>
      <c r="K326" s="64">
        <f t="shared" si="134"/>
        <v>0</v>
      </c>
      <c r="L326" s="64">
        <f t="shared" si="134"/>
        <v>0</v>
      </c>
      <c r="M326" s="64">
        <f t="shared" si="134"/>
        <v>0</v>
      </c>
      <c r="N326" s="64">
        <f t="shared" si="134"/>
        <v>47359.892564511072</v>
      </c>
      <c r="O326" s="64">
        <f t="shared" si="134"/>
        <v>46150.514365133742</v>
      </c>
      <c r="P326" s="64">
        <f t="shared" si="134"/>
        <v>41842.567209027817</v>
      </c>
      <c r="Q326" s="64">
        <f t="shared" si="134"/>
        <v>0</v>
      </c>
      <c r="R326" s="64">
        <f t="shared" si="135"/>
        <v>47920.629739602635</v>
      </c>
      <c r="S326" s="64">
        <f t="shared" si="135"/>
        <v>0</v>
      </c>
      <c r="T326" s="64">
        <f t="shared" si="135"/>
        <v>70326.023428630069</v>
      </c>
      <c r="U326" s="64">
        <f t="shared" si="135"/>
        <v>114274.50702141464</v>
      </c>
      <c r="V326" s="64">
        <f t="shared" si="135"/>
        <v>23442.007809543356</v>
      </c>
      <c r="W326" s="64">
        <f t="shared" si="135"/>
        <v>38091.502340471547</v>
      </c>
      <c r="X326" s="64">
        <f t="shared" si="135"/>
        <v>29058.556866674888</v>
      </c>
      <c r="Y326" s="64">
        <f t="shared" si="135"/>
        <v>22052.833677704672</v>
      </c>
      <c r="Z326" s="64">
        <f t="shared" si="135"/>
        <v>10465.56631593688</v>
      </c>
      <c r="AA326" s="64">
        <f t="shared" si="135"/>
        <v>13821.525813831178</v>
      </c>
      <c r="AB326" s="64">
        <f t="shared" si="135"/>
        <v>32588.846478368385</v>
      </c>
      <c r="AC326" s="64">
        <f t="shared" si="135"/>
        <v>0</v>
      </c>
      <c r="AD326" s="64">
        <f t="shared" si="135"/>
        <v>0</v>
      </c>
      <c r="AE326" s="64">
        <f t="shared" si="135"/>
        <v>0</v>
      </c>
      <c r="AF326" s="64">
        <f t="shared" si="136"/>
        <v>1293338.2300000002</v>
      </c>
      <c r="AG326" s="59" t="str">
        <f t="shared" si="137"/>
        <v>ok</v>
      </c>
    </row>
    <row r="327" spans="1:33" x14ac:dyDescent="0.25">
      <c r="A327" s="61">
        <v>935</v>
      </c>
      <c r="B327" s="61" t="s">
        <v>1087</v>
      </c>
      <c r="C327" s="45" t="s">
        <v>283</v>
      </c>
      <c r="D327" s="45" t="s">
        <v>980</v>
      </c>
      <c r="F327" s="80">
        <v>870957.81013059476</v>
      </c>
      <c r="H327" s="64">
        <f t="shared" si="134"/>
        <v>178121.81238113443</v>
      </c>
      <c r="I327" s="64">
        <f t="shared" si="134"/>
        <v>173573.3088887776</v>
      </c>
      <c r="J327" s="64">
        <f t="shared" si="134"/>
        <v>157371.00534591143</v>
      </c>
      <c r="K327" s="64">
        <f t="shared" si="134"/>
        <v>0</v>
      </c>
      <c r="L327" s="64">
        <f t="shared" si="134"/>
        <v>0</v>
      </c>
      <c r="M327" s="64">
        <f t="shared" si="134"/>
        <v>0</v>
      </c>
      <c r="N327" s="64">
        <f t="shared" si="134"/>
        <v>31893.024855537442</v>
      </c>
      <c r="O327" s="64">
        <f t="shared" si="134"/>
        <v>31078.60727804933</v>
      </c>
      <c r="P327" s="64">
        <f t="shared" si="134"/>
        <v>28177.556234935622</v>
      </c>
      <c r="Q327" s="64">
        <f t="shared" si="134"/>
        <v>0</v>
      </c>
      <c r="R327" s="64">
        <f t="shared" si="135"/>
        <v>32270.635607889952</v>
      </c>
      <c r="S327" s="64">
        <f t="shared" si="135"/>
        <v>0</v>
      </c>
      <c r="T327" s="64">
        <f t="shared" si="135"/>
        <v>47358.840819692276</v>
      </c>
      <c r="U327" s="64">
        <f t="shared" si="135"/>
        <v>76954.559975486511</v>
      </c>
      <c r="V327" s="64">
        <f t="shared" si="135"/>
        <v>15786.280273230757</v>
      </c>
      <c r="W327" s="64">
        <f t="shared" si="135"/>
        <v>25651.519991828838</v>
      </c>
      <c r="X327" s="64">
        <f t="shared" si="135"/>
        <v>19568.567963969115</v>
      </c>
      <c r="Y327" s="64">
        <f t="shared" si="135"/>
        <v>14850.78479981829</v>
      </c>
      <c r="Z327" s="64">
        <f t="shared" si="135"/>
        <v>7047.7053170421632</v>
      </c>
      <c r="AA327" s="64">
        <f t="shared" si="135"/>
        <v>9307.6703187517232</v>
      </c>
      <c r="AB327" s="64">
        <f t="shared" si="135"/>
        <v>21945.930078539375</v>
      </c>
      <c r="AC327" s="64">
        <f t="shared" si="135"/>
        <v>0</v>
      </c>
      <c r="AD327" s="64">
        <f t="shared" si="135"/>
        <v>0</v>
      </c>
      <c r="AE327" s="64">
        <f t="shared" si="135"/>
        <v>0</v>
      </c>
      <c r="AF327" s="64"/>
      <c r="AG327" s="59"/>
    </row>
    <row r="328" spans="1:33" x14ac:dyDescent="0.25">
      <c r="A328" s="61"/>
      <c r="B328" s="61"/>
      <c r="F328" s="80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59"/>
    </row>
    <row r="329" spans="1:33" x14ac:dyDescent="0.25">
      <c r="A329" s="61" t="s">
        <v>1088</v>
      </c>
      <c r="B329" s="61"/>
      <c r="C329" s="45" t="s">
        <v>1089</v>
      </c>
      <c r="F329" s="77">
        <f t="shared" ref="F329:M329" si="138">SUM(F315:F328)</f>
        <v>91261902.605618373</v>
      </c>
      <c r="G329" s="63">
        <f t="shared" si="138"/>
        <v>0</v>
      </c>
      <c r="H329" s="63">
        <f t="shared" si="138"/>
        <v>13068878.946112119</v>
      </c>
      <c r="I329" s="63">
        <f t="shared" si="138"/>
        <v>12735153.161869675</v>
      </c>
      <c r="J329" s="63">
        <f t="shared" si="138"/>
        <v>11546382.731009696</v>
      </c>
      <c r="K329" s="63">
        <f t="shared" si="138"/>
        <v>19385305.081840023</v>
      </c>
      <c r="L329" s="63">
        <f t="shared" si="138"/>
        <v>0</v>
      </c>
      <c r="M329" s="63">
        <f t="shared" si="138"/>
        <v>0</v>
      </c>
      <c r="N329" s="63">
        <f>SUM(N315:N328)</f>
        <v>2038924.684954857</v>
      </c>
      <c r="O329" s="63">
        <f>SUM(O315:O328)</f>
        <v>1986858.877145055</v>
      </c>
      <c r="P329" s="63">
        <f>SUM(P315:P328)</f>
        <v>1801394.3559555083</v>
      </c>
      <c r="Q329" s="63">
        <f t="shared" ref="Q329:AB329" si="139">SUM(Q315:Q328)</f>
        <v>0</v>
      </c>
      <c r="R329" s="63">
        <f t="shared" si="139"/>
        <v>3022285.5120380768</v>
      </c>
      <c r="S329" s="63">
        <f t="shared" si="139"/>
        <v>0</v>
      </c>
      <c r="T329" s="63">
        <f t="shared" si="139"/>
        <v>3391168.091046676</v>
      </c>
      <c r="U329" s="63">
        <f t="shared" si="139"/>
        <v>5036890.4350477643</v>
      </c>
      <c r="V329" s="63">
        <f t="shared" si="139"/>
        <v>1130389.3636822251</v>
      </c>
      <c r="W329" s="63">
        <f t="shared" si="139"/>
        <v>1678963.4783492547</v>
      </c>
      <c r="X329" s="63">
        <f t="shared" si="139"/>
        <v>444417.55952252838</v>
      </c>
      <c r="Y329" s="63">
        <f t="shared" si="139"/>
        <v>337272.99564698595</v>
      </c>
      <c r="Z329" s="63">
        <f t="shared" si="139"/>
        <v>121371.8722834442</v>
      </c>
      <c r="AA329" s="63">
        <f t="shared" si="139"/>
        <v>4949084.9070168715</v>
      </c>
      <c r="AB329" s="63">
        <f t="shared" si="139"/>
        <v>424221.57090644632</v>
      </c>
      <c r="AC329" s="63">
        <f>SUM(AC315:AC328)</f>
        <v>6720350.6443661554</v>
      </c>
      <c r="AD329" s="63">
        <f>SUM(AD315:AD328)</f>
        <v>1442588.336825015</v>
      </c>
      <c r="AE329" s="63">
        <f>SUM(AE315:AE328)</f>
        <v>0</v>
      </c>
      <c r="AF329" s="64">
        <f>SUM(H329:AE329)</f>
        <v>91261902.605618373</v>
      </c>
      <c r="AG329" s="59" t="str">
        <f>IF(ABS(AF329-F329)&lt;1,"ok","err")</f>
        <v>ok</v>
      </c>
    </row>
    <row r="330" spans="1:33" x14ac:dyDescent="0.25">
      <c r="A330" s="61"/>
      <c r="B330" s="61"/>
      <c r="F330" s="80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59"/>
    </row>
    <row r="331" spans="1:33" x14ac:dyDescent="0.25">
      <c r="A331" s="61" t="s">
        <v>1090</v>
      </c>
      <c r="B331" s="61"/>
      <c r="C331" s="45" t="s">
        <v>1091</v>
      </c>
      <c r="F331" s="77">
        <f>F277+F289+F304+F329</f>
        <v>698592651.78005087</v>
      </c>
      <c r="G331" s="63"/>
      <c r="H331" s="63">
        <f t="shared" ref="H331:M331" si="140">H277+H289+H304+H329</f>
        <v>38923063.964036517</v>
      </c>
      <c r="I331" s="63">
        <f t="shared" si="140"/>
        <v>37929127.904174156</v>
      </c>
      <c r="J331" s="63">
        <f t="shared" si="140"/>
        <v>34388610.947080187</v>
      </c>
      <c r="K331" s="63">
        <f t="shared" si="140"/>
        <v>476121957.27249932</v>
      </c>
      <c r="L331" s="63">
        <f t="shared" si="140"/>
        <v>0</v>
      </c>
      <c r="M331" s="63">
        <f t="shared" si="140"/>
        <v>0</v>
      </c>
      <c r="N331" s="63">
        <f>N277+N289+N304+N329</f>
        <v>7323885.2915523779</v>
      </c>
      <c r="O331" s="63">
        <f>O277+O289+O304+O329</f>
        <v>7136863.1779722273</v>
      </c>
      <c r="P331" s="63">
        <f>P277+P289+P304+P329</f>
        <v>6470668.4485308118</v>
      </c>
      <c r="Q331" s="63">
        <f t="shared" ref="Q331:AB331" si="141">Q277+Q289+Q304+Q329</f>
        <v>0</v>
      </c>
      <c r="R331" s="63">
        <f t="shared" si="141"/>
        <v>6748452.083022939</v>
      </c>
      <c r="S331" s="63">
        <f t="shared" si="141"/>
        <v>0</v>
      </c>
      <c r="T331" s="63">
        <f t="shared" si="141"/>
        <v>13891053.942398299</v>
      </c>
      <c r="U331" s="63">
        <f t="shared" si="141"/>
        <v>19829107.569811746</v>
      </c>
      <c r="V331" s="63">
        <f t="shared" si="141"/>
        <v>4630351.3141327659</v>
      </c>
      <c r="W331" s="63">
        <f t="shared" si="141"/>
        <v>6609702.5232705818</v>
      </c>
      <c r="X331" s="63">
        <f t="shared" si="141"/>
        <v>1020476.2264665442</v>
      </c>
      <c r="Y331" s="63">
        <f t="shared" si="141"/>
        <v>774449.76354372944</v>
      </c>
      <c r="Z331" s="63">
        <f t="shared" si="141"/>
        <v>246550.4881563962</v>
      </c>
      <c r="AA331" s="63">
        <f t="shared" si="141"/>
        <v>13006332.468795851</v>
      </c>
      <c r="AB331" s="63">
        <f t="shared" si="141"/>
        <v>1227444.4059414135</v>
      </c>
      <c r="AC331" s="63">
        <f>AC277+AC289+AC304+AC329</f>
        <v>19571803.844366148</v>
      </c>
      <c r="AD331" s="63">
        <f>AD277+AD289+AD304+AD329</f>
        <v>2742750.1442987714</v>
      </c>
      <c r="AE331" s="63">
        <f>AE277+AE289+AE304+AE329</f>
        <v>0</v>
      </c>
      <c r="AF331" s="64">
        <f>SUM(H331:AE331)</f>
        <v>698592651.78005099</v>
      </c>
      <c r="AG331" s="59" t="str">
        <f>IF(ABS(AF331-F331)&lt;1,"ok","err")</f>
        <v>ok</v>
      </c>
    </row>
    <row r="332" spans="1:33" x14ac:dyDescent="0.25">
      <c r="A332" s="61"/>
      <c r="B332" s="61"/>
      <c r="F332" s="80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59"/>
    </row>
    <row r="333" spans="1:33" x14ac:dyDescent="0.25">
      <c r="A333" s="61" t="s">
        <v>19</v>
      </c>
      <c r="B333" s="61"/>
      <c r="C333" s="45" t="s">
        <v>999</v>
      </c>
      <c r="F333" s="81">
        <f>F331-F211-F212-F213-F214</f>
        <v>630410449.5603019</v>
      </c>
      <c r="G333" s="65">
        <f>G331-G211</f>
        <v>0</v>
      </c>
      <c r="H333" s="65">
        <f t="shared" ref="H333:M333" si="142">H331-H211-H212-H213-H214</f>
        <v>31750300.310032018</v>
      </c>
      <c r="I333" s="65">
        <f t="shared" si="142"/>
        <v>30939527.33443179</v>
      </c>
      <c r="J333" s="65">
        <f t="shared" si="142"/>
        <v>28051458.791206125</v>
      </c>
      <c r="K333" s="65">
        <f t="shared" si="142"/>
        <v>428439271.43237126</v>
      </c>
      <c r="L333" s="65">
        <f t="shared" si="142"/>
        <v>0</v>
      </c>
      <c r="M333" s="65">
        <f t="shared" si="142"/>
        <v>0</v>
      </c>
      <c r="N333" s="65">
        <f>N331-N211-N212-N213-N214</f>
        <v>7323885.2915523779</v>
      </c>
      <c r="O333" s="65">
        <f>O331-O211-O212-O213-O214</f>
        <v>7136863.1779722273</v>
      </c>
      <c r="P333" s="65">
        <f>P331-P211-P212-P213-P214</f>
        <v>6470668.4485308118</v>
      </c>
      <c r="Q333" s="65">
        <f t="shared" ref="Q333:AB333" si="143">Q331-Q211-Q212-Q213-Q214</f>
        <v>0</v>
      </c>
      <c r="R333" s="65">
        <f t="shared" si="143"/>
        <v>6748452.083022939</v>
      </c>
      <c r="S333" s="65">
        <f t="shared" si="143"/>
        <v>0</v>
      </c>
      <c r="T333" s="65">
        <f t="shared" si="143"/>
        <v>13891053.942398299</v>
      </c>
      <c r="U333" s="65">
        <f t="shared" si="143"/>
        <v>19829107.569811746</v>
      </c>
      <c r="V333" s="65">
        <f t="shared" si="143"/>
        <v>4630351.3141327659</v>
      </c>
      <c r="W333" s="65">
        <f t="shared" si="143"/>
        <v>6609702.5232705818</v>
      </c>
      <c r="X333" s="65">
        <f t="shared" si="143"/>
        <v>1020476.2264665442</v>
      </c>
      <c r="Y333" s="65">
        <f t="shared" si="143"/>
        <v>774449.76354372944</v>
      </c>
      <c r="Z333" s="65">
        <f t="shared" si="143"/>
        <v>246550.4881563962</v>
      </c>
      <c r="AA333" s="65">
        <f t="shared" si="143"/>
        <v>13006332.468795851</v>
      </c>
      <c r="AB333" s="65">
        <f t="shared" si="143"/>
        <v>1227444.4059414135</v>
      </c>
      <c r="AC333" s="65">
        <f>AC331-AC211-AC212-AC213-AC214</f>
        <v>19571803.844366148</v>
      </c>
      <c r="AD333" s="65">
        <f>AD331-AD211-AD212-AD213-AD214</f>
        <v>2742750.1442987714</v>
      </c>
      <c r="AE333" s="65">
        <f>AE331-AE211-AE212-AE213-AE214</f>
        <v>0</v>
      </c>
      <c r="AF333" s="64">
        <f>SUM(H333:AE333)</f>
        <v>630410449.5603019</v>
      </c>
      <c r="AG333" s="59" t="str">
        <f>IF(ABS(AF333-F333)&lt;1,"ok","err")</f>
        <v>ok</v>
      </c>
    </row>
    <row r="334" spans="1:33" x14ac:dyDescent="0.25">
      <c r="A334" s="61"/>
      <c r="B334" s="61"/>
      <c r="W334" s="45"/>
      <c r="AG334" s="59"/>
    </row>
    <row r="335" spans="1:33" x14ac:dyDescent="0.25">
      <c r="A335" s="61"/>
      <c r="B335" s="61"/>
      <c r="W335" s="45"/>
      <c r="AA335" s="65">
        <f>R333+T333+U333+V333+W333+X333+Y333+Z333+AA333</f>
        <v>66756476.379598856</v>
      </c>
      <c r="AG335" s="59"/>
    </row>
    <row r="336" spans="1:33" x14ac:dyDescent="0.25">
      <c r="A336" s="61"/>
      <c r="B336" s="61"/>
      <c r="W336" s="45"/>
      <c r="AG336" s="59"/>
    </row>
    <row r="337" spans="1:33" x14ac:dyDescent="0.25">
      <c r="A337" s="61"/>
      <c r="B337" s="61"/>
      <c r="H337" s="65"/>
      <c r="W337" s="45"/>
      <c r="AG337" s="59"/>
    </row>
    <row r="338" spans="1:33" x14ac:dyDescent="0.25">
      <c r="A338" s="61"/>
      <c r="B338" s="61"/>
      <c r="W338" s="45"/>
      <c r="AG338" s="59"/>
    </row>
    <row r="339" spans="1:33" x14ac:dyDescent="0.25">
      <c r="A339" s="61"/>
      <c r="B339" s="61"/>
      <c r="W339" s="45"/>
      <c r="AG339" s="59"/>
    </row>
    <row r="340" spans="1:33" x14ac:dyDescent="0.25">
      <c r="A340" s="61"/>
      <c r="B340" s="61"/>
      <c r="W340" s="45"/>
      <c r="AG340" s="59"/>
    </row>
    <row r="341" spans="1:33" x14ac:dyDescent="0.25">
      <c r="A341" s="61"/>
      <c r="B341" s="61"/>
      <c r="W341" s="45"/>
      <c r="AG341" s="59"/>
    </row>
    <row r="342" spans="1:33" x14ac:dyDescent="0.25">
      <c r="A342" s="61"/>
      <c r="B342" s="61"/>
      <c r="W342" s="45"/>
      <c r="AG342" s="59"/>
    </row>
    <row r="343" spans="1:33" x14ac:dyDescent="0.25">
      <c r="A343" s="61"/>
      <c r="B343" s="61"/>
      <c r="W343" s="45"/>
      <c r="AG343" s="59"/>
    </row>
    <row r="344" spans="1:33" x14ac:dyDescent="0.25">
      <c r="A344" s="61"/>
      <c r="B344" s="61"/>
      <c r="W344" s="45"/>
      <c r="AG344" s="59"/>
    </row>
    <row r="345" spans="1:33" x14ac:dyDescent="0.25">
      <c r="A345" s="61"/>
      <c r="B345" s="61"/>
      <c r="W345" s="45"/>
      <c r="AG345" s="59"/>
    </row>
    <row r="346" spans="1:33" x14ac:dyDescent="0.25">
      <c r="A346" s="61"/>
      <c r="B346" s="61"/>
      <c r="W346" s="45"/>
      <c r="AG346" s="59"/>
    </row>
    <row r="347" spans="1:33" x14ac:dyDescent="0.25">
      <c r="A347" s="61"/>
      <c r="B347" s="61"/>
      <c r="AG347" s="59"/>
    </row>
    <row r="348" spans="1:33" x14ac:dyDescent="0.25">
      <c r="A348" s="61"/>
      <c r="B348" s="61"/>
      <c r="AG348" s="59"/>
    </row>
    <row r="349" spans="1:33" x14ac:dyDescent="0.25">
      <c r="A349" s="61"/>
      <c r="B349" s="61"/>
      <c r="AG349" s="59"/>
    </row>
    <row r="350" spans="1:33" x14ac:dyDescent="0.25">
      <c r="A350" s="61"/>
      <c r="B350" s="61"/>
      <c r="AG350" s="59"/>
    </row>
    <row r="351" spans="1:33" x14ac:dyDescent="0.25">
      <c r="A351" s="61"/>
      <c r="B351" s="61"/>
      <c r="AG351" s="59"/>
    </row>
    <row r="352" spans="1:33" x14ac:dyDescent="0.25">
      <c r="A352" s="61"/>
      <c r="B352" s="61"/>
      <c r="AG352" s="59"/>
    </row>
    <row r="353" spans="1:33" x14ac:dyDescent="0.25">
      <c r="A353" s="61"/>
      <c r="B353" s="61"/>
      <c r="AG353" s="59"/>
    </row>
    <row r="354" spans="1:33" x14ac:dyDescent="0.25">
      <c r="A354" s="61"/>
      <c r="B354" s="61"/>
      <c r="AG354" s="59"/>
    </row>
    <row r="355" spans="1:33" x14ac:dyDescent="0.25">
      <c r="A355" s="61"/>
      <c r="B355" s="61"/>
      <c r="AG355" s="59"/>
    </row>
    <row r="356" spans="1:33" x14ac:dyDescent="0.25">
      <c r="A356" s="61"/>
      <c r="B356" s="61"/>
      <c r="AG356" s="59"/>
    </row>
    <row r="357" spans="1:33" x14ac:dyDescent="0.25">
      <c r="A357" s="61"/>
      <c r="B357" s="61"/>
      <c r="AG357" s="59"/>
    </row>
    <row r="358" spans="1:33" x14ac:dyDescent="0.25">
      <c r="A358" s="61"/>
      <c r="B358" s="61"/>
      <c r="AG358" s="59"/>
    </row>
    <row r="359" spans="1:33" x14ac:dyDescent="0.25">
      <c r="A359" s="60" t="s">
        <v>1092</v>
      </c>
      <c r="B359" s="61"/>
      <c r="W359" s="45"/>
      <c r="AG359" s="59"/>
    </row>
    <row r="360" spans="1:33" x14ac:dyDescent="0.25">
      <c r="A360" s="60"/>
      <c r="B360" s="61"/>
      <c r="W360" s="45"/>
      <c r="AG360" s="59"/>
    </row>
    <row r="361" spans="1:33" x14ac:dyDescent="0.25">
      <c r="A361" s="66" t="s">
        <v>218</v>
      </c>
      <c r="B361" s="61"/>
      <c r="W361" s="45"/>
      <c r="AG361" s="59"/>
    </row>
    <row r="362" spans="1:33" x14ac:dyDescent="0.25">
      <c r="A362" s="61">
        <v>500</v>
      </c>
      <c r="B362" s="61" t="s">
        <v>210</v>
      </c>
      <c r="C362" s="45" t="s">
        <v>284</v>
      </c>
      <c r="D362" s="45" t="s">
        <v>650</v>
      </c>
      <c r="F362" s="77">
        <v>3999848</v>
      </c>
      <c r="H362" s="64">
        <f t="shared" ref="H362:Q368" si="144">IF(VLOOKUP($D362,$C$6:$AE$651,H$2,)=0,0,((VLOOKUP($D362,$C$6:$AE$651,H$2,)/VLOOKUP($D362,$C$6:$AE$651,4,))*$F362))</f>
        <v>1192429.0755009679</v>
      </c>
      <c r="I362" s="64">
        <f t="shared" si="144"/>
        <v>1161979.3077729228</v>
      </c>
      <c r="J362" s="64">
        <f t="shared" si="144"/>
        <v>1053513.6595946637</v>
      </c>
      <c r="K362" s="64">
        <f t="shared" si="144"/>
        <v>591925.95713144564</v>
      </c>
      <c r="L362" s="64">
        <f t="shared" si="144"/>
        <v>0</v>
      </c>
      <c r="M362" s="64">
        <f t="shared" si="144"/>
        <v>0</v>
      </c>
      <c r="N362" s="64">
        <f t="shared" si="144"/>
        <v>0</v>
      </c>
      <c r="O362" s="64">
        <f t="shared" si="144"/>
        <v>0</v>
      </c>
      <c r="P362" s="64">
        <f t="shared" si="144"/>
        <v>0</v>
      </c>
      <c r="Q362" s="64">
        <f t="shared" si="144"/>
        <v>0</v>
      </c>
      <c r="R362" s="64">
        <f t="shared" ref="R362:AE368" si="145">IF(VLOOKUP($D362,$C$6:$AE$651,R$2,)=0,0,((VLOOKUP($D362,$C$6:$AE$651,R$2,)/VLOOKUP($D362,$C$6:$AE$651,4,))*$F362))</f>
        <v>0</v>
      </c>
      <c r="S362" s="64">
        <f t="shared" si="145"/>
        <v>0</v>
      </c>
      <c r="T362" s="64">
        <f t="shared" si="145"/>
        <v>0</v>
      </c>
      <c r="U362" s="64">
        <f t="shared" si="145"/>
        <v>0</v>
      </c>
      <c r="V362" s="64">
        <f t="shared" si="145"/>
        <v>0</v>
      </c>
      <c r="W362" s="64">
        <f t="shared" si="145"/>
        <v>0</v>
      </c>
      <c r="X362" s="64">
        <f t="shared" si="145"/>
        <v>0</v>
      </c>
      <c r="Y362" s="64">
        <f t="shared" si="145"/>
        <v>0</v>
      </c>
      <c r="Z362" s="64">
        <f t="shared" si="145"/>
        <v>0</v>
      </c>
      <c r="AA362" s="64">
        <f t="shared" si="145"/>
        <v>0</v>
      </c>
      <c r="AB362" s="64">
        <f t="shared" si="145"/>
        <v>0</v>
      </c>
      <c r="AC362" s="64">
        <f t="shared" si="145"/>
        <v>0</v>
      </c>
      <c r="AD362" s="64">
        <f t="shared" si="145"/>
        <v>0</v>
      </c>
      <c r="AE362" s="64">
        <f t="shared" si="145"/>
        <v>0</v>
      </c>
      <c r="AF362" s="64">
        <f t="shared" ref="AF362:AF381" si="146">SUM(H362:AE362)</f>
        <v>3999848</v>
      </c>
      <c r="AG362" s="59" t="str">
        <f t="shared" ref="AG362:AG368" si="147">IF(ABS(AF362-F362)&lt;1,"ok","err")</f>
        <v>ok</v>
      </c>
    </row>
    <row r="363" spans="1:33" x14ac:dyDescent="0.25">
      <c r="A363" s="302">
        <v>501</v>
      </c>
      <c r="B363" s="61" t="s">
        <v>212</v>
      </c>
      <c r="C363" s="45" t="s">
        <v>285</v>
      </c>
      <c r="D363" s="45" t="s">
        <v>952</v>
      </c>
      <c r="F363" s="80">
        <v>2498619</v>
      </c>
      <c r="H363" s="64">
        <f t="shared" si="144"/>
        <v>0</v>
      </c>
      <c r="I363" s="64">
        <f t="shared" si="144"/>
        <v>0</v>
      </c>
      <c r="J363" s="64">
        <f t="shared" si="144"/>
        <v>0</v>
      </c>
      <c r="K363" s="64">
        <f t="shared" si="144"/>
        <v>2498619</v>
      </c>
      <c r="L363" s="64">
        <f t="shared" si="144"/>
        <v>0</v>
      </c>
      <c r="M363" s="64">
        <f t="shared" si="144"/>
        <v>0</v>
      </c>
      <c r="N363" s="64">
        <f t="shared" si="144"/>
        <v>0</v>
      </c>
      <c r="O363" s="64">
        <f t="shared" si="144"/>
        <v>0</v>
      </c>
      <c r="P363" s="64">
        <f t="shared" si="144"/>
        <v>0</v>
      </c>
      <c r="Q363" s="64">
        <f t="shared" si="144"/>
        <v>0</v>
      </c>
      <c r="R363" s="64">
        <f t="shared" si="145"/>
        <v>0</v>
      </c>
      <c r="S363" s="64">
        <f t="shared" si="145"/>
        <v>0</v>
      </c>
      <c r="T363" s="64">
        <f t="shared" si="145"/>
        <v>0</v>
      </c>
      <c r="U363" s="64">
        <f t="shared" si="145"/>
        <v>0</v>
      </c>
      <c r="V363" s="64">
        <f t="shared" si="145"/>
        <v>0</v>
      </c>
      <c r="W363" s="64">
        <f t="shared" si="145"/>
        <v>0</v>
      </c>
      <c r="X363" s="64">
        <f t="shared" si="145"/>
        <v>0</v>
      </c>
      <c r="Y363" s="64">
        <f t="shared" si="145"/>
        <v>0</v>
      </c>
      <c r="Z363" s="64">
        <f t="shared" si="145"/>
        <v>0</v>
      </c>
      <c r="AA363" s="64">
        <f t="shared" si="145"/>
        <v>0</v>
      </c>
      <c r="AB363" s="64">
        <f t="shared" si="145"/>
        <v>0</v>
      </c>
      <c r="AC363" s="64">
        <f t="shared" si="145"/>
        <v>0</v>
      </c>
      <c r="AD363" s="64">
        <f t="shared" si="145"/>
        <v>0</v>
      </c>
      <c r="AE363" s="64">
        <f t="shared" si="145"/>
        <v>0</v>
      </c>
      <c r="AF363" s="64">
        <f t="shared" si="146"/>
        <v>2498619</v>
      </c>
      <c r="AG363" s="59" t="str">
        <f t="shared" si="147"/>
        <v>ok</v>
      </c>
    </row>
    <row r="364" spans="1:33" x14ac:dyDescent="0.25">
      <c r="A364" s="61">
        <v>502</v>
      </c>
      <c r="B364" s="61" t="s">
        <v>214</v>
      </c>
      <c r="C364" s="45" t="s">
        <v>286</v>
      </c>
      <c r="D364" s="45" t="s">
        <v>653</v>
      </c>
      <c r="F364" s="80">
        <v>9474704</v>
      </c>
      <c r="H364" s="64">
        <f t="shared" si="144"/>
        <v>3315191.0135407662</v>
      </c>
      <c r="I364" s="64">
        <f t="shared" si="144"/>
        <v>3230534.5770193674</v>
      </c>
      <c r="J364" s="64">
        <f t="shared" si="144"/>
        <v>2928978.4094398664</v>
      </c>
      <c r="K364" s="64">
        <f t="shared" si="144"/>
        <v>0</v>
      </c>
      <c r="L364" s="64">
        <f t="shared" si="144"/>
        <v>0</v>
      </c>
      <c r="M364" s="64">
        <f t="shared" si="144"/>
        <v>0</v>
      </c>
      <c r="N364" s="64">
        <f t="shared" si="144"/>
        <v>0</v>
      </c>
      <c r="O364" s="64">
        <f t="shared" si="144"/>
        <v>0</v>
      </c>
      <c r="P364" s="64">
        <f t="shared" si="144"/>
        <v>0</v>
      </c>
      <c r="Q364" s="64">
        <f t="shared" si="144"/>
        <v>0</v>
      </c>
      <c r="R364" s="64">
        <f t="shared" si="145"/>
        <v>0</v>
      </c>
      <c r="S364" s="64">
        <f t="shared" si="145"/>
        <v>0</v>
      </c>
      <c r="T364" s="64">
        <f t="shared" si="145"/>
        <v>0</v>
      </c>
      <c r="U364" s="64">
        <f t="shared" si="145"/>
        <v>0</v>
      </c>
      <c r="V364" s="64">
        <f t="shared" si="145"/>
        <v>0</v>
      </c>
      <c r="W364" s="64">
        <f t="shared" si="145"/>
        <v>0</v>
      </c>
      <c r="X364" s="64">
        <f t="shared" si="145"/>
        <v>0</v>
      </c>
      <c r="Y364" s="64">
        <f t="shared" si="145"/>
        <v>0</v>
      </c>
      <c r="Z364" s="64">
        <f t="shared" si="145"/>
        <v>0</v>
      </c>
      <c r="AA364" s="64">
        <f t="shared" si="145"/>
        <v>0</v>
      </c>
      <c r="AB364" s="64">
        <f t="shared" si="145"/>
        <v>0</v>
      </c>
      <c r="AC364" s="64">
        <f t="shared" si="145"/>
        <v>0</v>
      </c>
      <c r="AD364" s="64">
        <f t="shared" si="145"/>
        <v>0</v>
      </c>
      <c r="AE364" s="64">
        <f t="shared" si="145"/>
        <v>0</v>
      </c>
      <c r="AF364" s="64">
        <f t="shared" si="146"/>
        <v>9474704</v>
      </c>
      <c r="AG364" s="59" t="str">
        <f t="shared" si="147"/>
        <v>ok</v>
      </c>
    </row>
    <row r="365" spans="1:33" x14ac:dyDescent="0.25">
      <c r="A365" s="61">
        <v>504</v>
      </c>
      <c r="B365" s="61" t="s">
        <v>1321</v>
      </c>
      <c r="C365" s="45" t="s">
        <v>1320</v>
      </c>
      <c r="D365" s="45" t="s">
        <v>653</v>
      </c>
      <c r="F365" s="80">
        <v>0</v>
      </c>
      <c r="H365" s="64">
        <f t="shared" si="144"/>
        <v>0</v>
      </c>
      <c r="I365" s="64">
        <f t="shared" si="144"/>
        <v>0</v>
      </c>
      <c r="J365" s="64">
        <f t="shared" si="144"/>
        <v>0</v>
      </c>
      <c r="K365" s="64">
        <f t="shared" si="144"/>
        <v>0</v>
      </c>
      <c r="L365" s="64">
        <f t="shared" si="144"/>
        <v>0</v>
      </c>
      <c r="M365" s="64">
        <f t="shared" si="144"/>
        <v>0</v>
      </c>
      <c r="N365" s="64">
        <f t="shared" si="144"/>
        <v>0</v>
      </c>
      <c r="O365" s="64">
        <f t="shared" si="144"/>
        <v>0</v>
      </c>
      <c r="P365" s="64">
        <f t="shared" si="144"/>
        <v>0</v>
      </c>
      <c r="Q365" s="64">
        <f t="shared" si="144"/>
        <v>0</v>
      </c>
      <c r="R365" s="64">
        <f t="shared" si="145"/>
        <v>0</v>
      </c>
      <c r="S365" s="64">
        <f t="shared" si="145"/>
        <v>0</v>
      </c>
      <c r="T365" s="64">
        <f t="shared" si="145"/>
        <v>0</v>
      </c>
      <c r="U365" s="64">
        <f t="shared" si="145"/>
        <v>0</v>
      </c>
      <c r="V365" s="64">
        <f t="shared" si="145"/>
        <v>0</v>
      </c>
      <c r="W365" s="64">
        <f t="shared" si="145"/>
        <v>0</v>
      </c>
      <c r="X365" s="64">
        <f t="shared" si="145"/>
        <v>0</v>
      </c>
      <c r="Y365" s="64">
        <f t="shared" si="145"/>
        <v>0</v>
      </c>
      <c r="Z365" s="64">
        <f t="shared" si="145"/>
        <v>0</v>
      </c>
      <c r="AA365" s="64">
        <f t="shared" si="145"/>
        <v>0</v>
      </c>
      <c r="AB365" s="64">
        <f t="shared" si="145"/>
        <v>0</v>
      </c>
      <c r="AC365" s="64">
        <f t="shared" si="145"/>
        <v>0</v>
      </c>
      <c r="AD365" s="64">
        <f t="shared" si="145"/>
        <v>0</v>
      </c>
      <c r="AE365" s="64">
        <f t="shared" si="145"/>
        <v>0</v>
      </c>
      <c r="AF365" s="64">
        <f>SUM(H365:AE365)</f>
        <v>0</v>
      </c>
      <c r="AG365" s="59" t="str">
        <f>IF(ABS(AF365-F365)&lt;1,"ok","err")</f>
        <v>ok</v>
      </c>
    </row>
    <row r="366" spans="1:33" x14ac:dyDescent="0.25">
      <c r="A366" s="61">
        <v>505</v>
      </c>
      <c r="B366" s="61" t="s">
        <v>216</v>
      </c>
      <c r="C366" s="45" t="s">
        <v>287</v>
      </c>
      <c r="D366" s="45" t="s">
        <v>653</v>
      </c>
      <c r="F366" s="80">
        <v>644891</v>
      </c>
      <c r="H366" s="64">
        <f t="shared" si="144"/>
        <v>225646.82209737829</v>
      </c>
      <c r="I366" s="64">
        <f t="shared" si="144"/>
        <v>219884.72398806305</v>
      </c>
      <c r="J366" s="64">
        <f t="shared" si="144"/>
        <v>199359.45391455869</v>
      </c>
      <c r="K366" s="64">
        <f t="shared" si="144"/>
        <v>0</v>
      </c>
      <c r="L366" s="64">
        <f t="shared" si="144"/>
        <v>0</v>
      </c>
      <c r="M366" s="64">
        <f t="shared" si="144"/>
        <v>0</v>
      </c>
      <c r="N366" s="64">
        <f t="shared" si="144"/>
        <v>0</v>
      </c>
      <c r="O366" s="64">
        <f t="shared" si="144"/>
        <v>0</v>
      </c>
      <c r="P366" s="64">
        <f t="shared" si="144"/>
        <v>0</v>
      </c>
      <c r="Q366" s="64">
        <f t="shared" si="144"/>
        <v>0</v>
      </c>
      <c r="R366" s="64">
        <f t="shared" si="145"/>
        <v>0</v>
      </c>
      <c r="S366" s="64">
        <f t="shared" si="145"/>
        <v>0</v>
      </c>
      <c r="T366" s="64">
        <f t="shared" si="145"/>
        <v>0</v>
      </c>
      <c r="U366" s="64">
        <f t="shared" si="145"/>
        <v>0</v>
      </c>
      <c r="V366" s="64">
        <f t="shared" si="145"/>
        <v>0</v>
      </c>
      <c r="W366" s="64">
        <f t="shared" si="145"/>
        <v>0</v>
      </c>
      <c r="X366" s="64">
        <f t="shared" si="145"/>
        <v>0</v>
      </c>
      <c r="Y366" s="64">
        <f t="shared" si="145"/>
        <v>0</v>
      </c>
      <c r="Z366" s="64">
        <f t="shared" si="145"/>
        <v>0</v>
      </c>
      <c r="AA366" s="64">
        <f t="shared" si="145"/>
        <v>0</v>
      </c>
      <c r="AB366" s="64">
        <f t="shared" si="145"/>
        <v>0</v>
      </c>
      <c r="AC366" s="64">
        <f t="shared" si="145"/>
        <v>0</v>
      </c>
      <c r="AD366" s="64">
        <f t="shared" si="145"/>
        <v>0</v>
      </c>
      <c r="AE366" s="64">
        <f t="shared" si="145"/>
        <v>0</v>
      </c>
      <c r="AF366" s="64">
        <f t="shared" si="146"/>
        <v>644891</v>
      </c>
      <c r="AG366" s="59" t="str">
        <f t="shared" si="147"/>
        <v>ok</v>
      </c>
    </row>
    <row r="367" spans="1:33" x14ac:dyDescent="0.25">
      <c r="A367" s="61">
        <v>506</v>
      </c>
      <c r="B367" s="61" t="s">
        <v>219</v>
      </c>
      <c r="C367" s="45" t="s">
        <v>288</v>
      </c>
      <c r="D367" s="45" t="s">
        <v>653</v>
      </c>
      <c r="F367" s="80">
        <v>4265817</v>
      </c>
      <c r="H367" s="64">
        <f t="shared" si="144"/>
        <v>1492605.8042350907</v>
      </c>
      <c r="I367" s="64">
        <f t="shared" si="144"/>
        <v>1454490.7490236135</v>
      </c>
      <c r="J367" s="64">
        <f t="shared" si="144"/>
        <v>1318720.4467412957</v>
      </c>
      <c r="K367" s="64">
        <f t="shared" si="144"/>
        <v>0</v>
      </c>
      <c r="L367" s="64">
        <f t="shared" si="144"/>
        <v>0</v>
      </c>
      <c r="M367" s="64">
        <f t="shared" si="144"/>
        <v>0</v>
      </c>
      <c r="N367" s="64">
        <f t="shared" si="144"/>
        <v>0</v>
      </c>
      <c r="O367" s="64">
        <f t="shared" si="144"/>
        <v>0</v>
      </c>
      <c r="P367" s="64">
        <f t="shared" si="144"/>
        <v>0</v>
      </c>
      <c r="Q367" s="64">
        <f t="shared" si="144"/>
        <v>0</v>
      </c>
      <c r="R367" s="64">
        <f t="shared" si="145"/>
        <v>0</v>
      </c>
      <c r="S367" s="64">
        <f t="shared" si="145"/>
        <v>0</v>
      </c>
      <c r="T367" s="64">
        <f t="shared" si="145"/>
        <v>0</v>
      </c>
      <c r="U367" s="64">
        <f t="shared" si="145"/>
        <v>0</v>
      </c>
      <c r="V367" s="64">
        <f t="shared" si="145"/>
        <v>0</v>
      </c>
      <c r="W367" s="64">
        <f t="shared" si="145"/>
        <v>0</v>
      </c>
      <c r="X367" s="64">
        <f t="shared" si="145"/>
        <v>0</v>
      </c>
      <c r="Y367" s="64">
        <f t="shared" si="145"/>
        <v>0</v>
      </c>
      <c r="Z367" s="64">
        <f t="shared" si="145"/>
        <v>0</v>
      </c>
      <c r="AA367" s="64">
        <f t="shared" si="145"/>
        <v>0</v>
      </c>
      <c r="AB367" s="64">
        <f t="shared" si="145"/>
        <v>0</v>
      </c>
      <c r="AC367" s="64">
        <f t="shared" si="145"/>
        <v>0</v>
      </c>
      <c r="AD367" s="64">
        <f t="shared" si="145"/>
        <v>0</v>
      </c>
      <c r="AE367" s="64">
        <f t="shared" si="145"/>
        <v>0</v>
      </c>
      <c r="AF367" s="64">
        <f t="shared" si="146"/>
        <v>4265817</v>
      </c>
      <c r="AG367" s="59" t="str">
        <f t="shared" si="147"/>
        <v>ok</v>
      </c>
    </row>
    <row r="368" spans="1:33" x14ac:dyDescent="0.25">
      <c r="A368" s="61">
        <v>507</v>
      </c>
      <c r="B368" s="61" t="s">
        <v>1026</v>
      </c>
      <c r="C368" s="45" t="s">
        <v>360</v>
      </c>
      <c r="D368" s="45" t="s">
        <v>653</v>
      </c>
      <c r="F368" s="80">
        <v>0</v>
      </c>
      <c r="H368" s="64">
        <f t="shared" si="144"/>
        <v>0</v>
      </c>
      <c r="I368" s="64">
        <f t="shared" si="144"/>
        <v>0</v>
      </c>
      <c r="J368" s="64">
        <f t="shared" si="144"/>
        <v>0</v>
      </c>
      <c r="K368" s="64">
        <f t="shared" si="144"/>
        <v>0</v>
      </c>
      <c r="L368" s="64">
        <f t="shared" si="144"/>
        <v>0</v>
      </c>
      <c r="M368" s="64">
        <f t="shared" si="144"/>
        <v>0</v>
      </c>
      <c r="N368" s="64">
        <f t="shared" si="144"/>
        <v>0</v>
      </c>
      <c r="O368" s="64">
        <f t="shared" si="144"/>
        <v>0</v>
      </c>
      <c r="P368" s="64">
        <f t="shared" si="144"/>
        <v>0</v>
      </c>
      <c r="Q368" s="64">
        <f t="shared" si="144"/>
        <v>0</v>
      </c>
      <c r="R368" s="64">
        <f t="shared" si="145"/>
        <v>0</v>
      </c>
      <c r="S368" s="64">
        <f t="shared" si="145"/>
        <v>0</v>
      </c>
      <c r="T368" s="64">
        <f t="shared" si="145"/>
        <v>0</v>
      </c>
      <c r="U368" s="64">
        <f t="shared" si="145"/>
        <v>0</v>
      </c>
      <c r="V368" s="64">
        <f t="shared" si="145"/>
        <v>0</v>
      </c>
      <c r="W368" s="64">
        <f t="shared" si="145"/>
        <v>0</v>
      </c>
      <c r="X368" s="64">
        <f t="shared" si="145"/>
        <v>0</v>
      </c>
      <c r="Y368" s="64">
        <f t="shared" si="145"/>
        <v>0</v>
      </c>
      <c r="Z368" s="64">
        <f t="shared" si="145"/>
        <v>0</v>
      </c>
      <c r="AA368" s="64">
        <f t="shared" si="145"/>
        <v>0</v>
      </c>
      <c r="AB368" s="64">
        <f t="shared" si="145"/>
        <v>0</v>
      </c>
      <c r="AC368" s="64">
        <f t="shared" si="145"/>
        <v>0</v>
      </c>
      <c r="AD368" s="64">
        <f t="shared" si="145"/>
        <v>0</v>
      </c>
      <c r="AE368" s="64">
        <f t="shared" si="145"/>
        <v>0</v>
      </c>
      <c r="AF368" s="64">
        <f t="shared" si="146"/>
        <v>0</v>
      </c>
      <c r="AG368" s="59" t="str">
        <f t="shared" si="147"/>
        <v>ok</v>
      </c>
    </row>
    <row r="369" spans="1:33" x14ac:dyDescent="0.25">
      <c r="A369" s="61"/>
      <c r="B369" s="61"/>
      <c r="F369" s="77"/>
      <c r="W369" s="45"/>
      <c r="AF369" s="64"/>
      <c r="AG369" s="59"/>
    </row>
    <row r="370" spans="1:33" x14ac:dyDescent="0.25">
      <c r="A370" s="61"/>
      <c r="B370" s="61" t="s">
        <v>221</v>
      </c>
      <c r="C370" s="45" t="s">
        <v>658</v>
      </c>
      <c r="F370" s="77">
        <f>SUM(F362:F369)</f>
        <v>20883879</v>
      </c>
      <c r="H370" s="63">
        <f t="shared" ref="H370:M370" si="148">SUM(H362:H369)</f>
        <v>6225872.7153742025</v>
      </c>
      <c r="I370" s="63">
        <f t="shared" si="148"/>
        <v>6066889.3578039669</v>
      </c>
      <c r="J370" s="63">
        <f t="shared" si="148"/>
        <v>5500571.9696903843</v>
      </c>
      <c r="K370" s="63">
        <f t="shared" si="148"/>
        <v>3090544.9571314454</v>
      </c>
      <c r="L370" s="63">
        <f t="shared" si="148"/>
        <v>0</v>
      </c>
      <c r="M370" s="63">
        <f t="shared" si="148"/>
        <v>0</v>
      </c>
      <c r="N370" s="63">
        <f>SUM(N362:N369)</f>
        <v>0</v>
      </c>
      <c r="O370" s="63">
        <f>SUM(O362:O369)</f>
        <v>0</v>
      </c>
      <c r="P370" s="63">
        <f>SUM(P362:P369)</f>
        <v>0</v>
      </c>
      <c r="Q370" s="63">
        <f t="shared" ref="Q370:AB370" si="149">SUM(Q362:Q369)</f>
        <v>0</v>
      </c>
      <c r="R370" s="63">
        <f t="shared" si="149"/>
        <v>0</v>
      </c>
      <c r="S370" s="63">
        <f t="shared" si="149"/>
        <v>0</v>
      </c>
      <c r="T370" s="63">
        <f t="shared" si="149"/>
        <v>0</v>
      </c>
      <c r="U370" s="63">
        <f t="shared" si="149"/>
        <v>0</v>
      </c>
      <c r="V370" s="63">
        <f t="shared" si="149"/>
        <v>0</v>
      </c>
      <c r="W370" s="63">
        <f t="shared" si="149"/>
        <v>0</v>
      </c>
      <c r="X370" s="63">
        <f t="shared" si="149"/>
        <v>0</v>
      </c>
      <c r="Y370" s="63">
        <f t="shared" si="149"/>
        <v>0</v>
      </c>
      <c r="Z370" s="63">
        <f t="shared" si="149"/>
        <v>0</v>
      </c>
      <c r="AA370" s="63">
        <f t="shared" si="149"/>
        <v>0</v>
      </c>
      <c r="AB370" s="63">
        <f t="shared" si="149"/>
        <v>0</v>
      </c>
      <c r="AC370" s="63">
        <f>SUM(AC362:AC369)</f>
        <v>0</v>
      </c>
      <c r="AD370" s="63">
        <f>SUM(AD362:AD369)</f>
        <v>0</v>
      </c>
      <c r="AE370" s="63">
        <f>SUM(AE362:AE369)</f>
        <v>0</v>
      </c>
      <c r="AF370" s="64">
        <f t="shared" si="146"/>
        <v>20883879</v>
      </c>
      <c r="AG370" s="59" t="str">
        <f>IF(ABS(AF370-F370)&lt;1,"ok","err")</f>
        <v>ok</v>
      </c>
    </row>
    <row r="371" spans="1:33" x14ac:dyDescent="0.25">
      <c r="A371" s="61"/>
      <c r="B371" s="61"/>
      <c r="F371" s="77"/>
      <c r="W371" s="45"/>
      <c r="AF371" s="64"/>
      <c r="AG371" s="59"/>
    </row>
    <row r="372" spans="1:33" x14ac:dyDescent="0.25">
      <c r="A372" s="66" t="s">
        <v>222</v>
      </c>
      <c r="B372" s="61"/>
      <c r="F372" s="77"/>
      <c r="W372" s="45"/>
      <c r="AF372" s="64"/>
      <c r="AG372" s="59"/>
    </row>
    <row r="373" spans="1:33" x14ac:dyDescent="0.25">
      <c r="A373" s="61">
        <v>510</v>
      </c>
      <c r="B373" s="61" t="s">
        <v>225</v>
      </c>
      <c r="C373" s="45" t="s">
        <v>289</v>
      </c>
      <c r="D373" s="45" t="s">
        <v>655</v>
      </c>
      <c r="F373" s="77">
        <v>352153</v>
      </c>
      <c r="H373" s="64">
        <f t="shared" ref="H373:Q377" si="150">IF(VLOOKUP($D373,$C$6:$AE$651,H$2,)=0,0,((VLOOKUP($D373,$C$6:$AE$651,H$2,)/VLOOKUP($D373,$C$6:$AE$651,4,))*$F373))</f>
        <v>3057.7053174618677</v>
      </c>
      <c r="I373" s="64">
        <f t="shared" si="150"/>
        <v>2979.6240138351459</v>
      </c>
      <c r="J373" s="64">
        <f t="shared" si="150"/>
        <v>2701.4892417043384</v>
      </c>
      <c r="K373" s="64">
        <f t="shared" si="150"/>
        <v>343414.18142699864</v>
      </c>
      <c r="L373" s="64">
        <f t="shared" si="150"/>
        <v>0</v>
      </c>
      <c r="M373" s="64">
        <f t="shared" si="150"/>
        <v>0</v>
      </c>
      <c r="N373" s="64">
        <f t="shared" si="150"/>
        <v>0</v>
      </c>
      <c r="O373" s="64">
        <f t="shared" si="150"/>
        <v>0</v>
      </c>
      <c r="P373" s="64">
        <f t="shared" si="150"/>
        <v>0</v>
      </c>
      <c r="Q373" s="64">
        <f t="shared" si="150"/>
        <v>0</v>
      </c>
      <c r="R373" s="64">
        <f t="shared" ref="R373:AE377" si="151">IF(VLOOKUP($D373,$C$6:$AE$651,R$2,)=0,0,((VLOOKUP($D373,$C$6:$AE$651,R$2,)/VLOOKUP($D373,$C$6:$AE$651,4,))*$F373))</f>
        <v>0</v>
      </c>
      <c r="S373" s="64">
        <f t="shared" si="151"/>
        <v>0</v>
      </c>
      <c r="T373" s="64">
        <f t="shared" si="151"/>
        <v>0</v>
      </c>
      <c r="U373" s="64">
        <f t="shared" si="151"/>
        <v>0</v>
      </c>
      <c r="V373" s="64">
        <f t="shared" si="151"/>
        <v>0</v>
      </c>
      <c r="W373" s="64">
        <f t="shared" si="151"/>
        <v>0</v>
      </c>
      <c r="X373" s="64">
        <f t="shared" si="151"/>
        <v>0</v>
      </c>
      <c r="Y373" s="64">
        <f t="shared" si="151"/>
        <v>0</v>
      </c>
      <c r="Z373" s="64">
        <f t="shared" si="151"/>
        <v>0</v>
      </c>
      <c r="AA373" s="64">
        <f t="shared" si="151"/>
        <v>0</v>
      </c>
      <c r="AB373" s="64">
        <f t="shared" si="151"/>
        <v>0</v>
      </c>
      <c r="AC373" s="64">
        <f t="shared" si="151"/>
        <v>0</v>
      </c>
      <c r="AD373" s="64">
        <f t="shared" si="151"/>
        <v>0</v>
      </c>
      <c r="AE373" s="64">
        <f t="shared" si="151"/>
        <v>0</v>
      </c>
      <c r="AF373" s="64">
        <f t="shared" si="146"/>
        <v>352153</v>
      </c>
      <c r="AG373" s="59" t="str">
        <f>IF(ABS(AF373-F373)&lt;1,"ok","err")</f>
        <v>ok</v>
      </c>
    </row>
    <row r="374" spans="1:33" x14ac:dyDescent="0.25">
      <c r="A374" s="61">
        <v>511</v>
      </c>
      <c r="B374" s="61" t="s">
        <v>224</v>
      </c>
      <c r="C374" s="45" t="s">
        <v>290</v>
      </c>
      <c r="D374" s="45" t="s">
        <v>653</v>
      </c>
      <c r="F374" s="80">
        <v>217444</v>
      </c>
      <c r="H374" s="64">
        <f t="shared" si="150"/>
        <v>76083.473926822247</v>
      </c>
      <c r="I374" s="64">
        <f t="shared" si="150"/>
        <v>74140.61279016202</v>
      </c>
      <c r="J374" s="64">
        <f t="shared" si="150"/>
        <v>67219.913283015732</v>
      </c>
      <c r="K374" s="64">
        <f t="shared" si="150"/>
        <v>0</v>
      </c>
      <c r="L374" s="64">
        <f t="shared" si="150"/>
        <v>0</v>
      </c>
      <c r="M374" s="64">
        <f t="shared" si="150"/>
        <v>0</v>
      </c>
      <c r="N374" s="64">
        <f t="shared" si="150"/>
        <v>0</v>
      </c>
      <c r="O374" s="64">
        <f t="shared" si="150"/>
        <v>0</v>
      </c>
      <c r="P374" s="64">
        <f t="shared" si="150"/>
        <v>0</v>
      </c>
      <c r="Q374" s="64">
        <f t="shared" si="150"/>
        <v>0</v>
      </c>
      <c r="R374" s="64">
        <f t="shared" si="151"/>
        <v>0</v>
      </c>
      <c r="S374" s="64">
        <f t="shared" si="151"/>
        <v>0</v>
      </c>
      <c r="T374" s="64">
        <f t="shared" si="151"/>
        <v>0</v>
      </c>
      <c r="U374" s="64">
        <f t="shared" si="151"/>
        <v>0</v>
      </c>
      <c r="V374" s="64">
        <f t="shared" si="151"/>
        <v>0</v>
      </c>
      <c r="W374" s="64">
        <f t="shared" si="151"/>
        <v>0</v>
      </c>
      <c r="X374" s="64">
        <f t="shared" si="151"/>
        <v>0</v>
      </c>
      <c r="Y374" s="64">
        <f t="shared" si="151"/>
        <v>0</v>
      </c>
      <c r="Z374" s="64">
        <f t="shared" si="151"/>
        <v>0</v>
      </c>
      <c r="AA374" s="64">
        <f t="shared" si="151"/>
        <v>0</v>
      </c>
      <c r="AB374" s="64">
        <f t="shared" si="151"/>
        <v>0</v>
      </c>
      <c r="AC374" s="64">
        <f t="shared" si="151"/>
        <v>0</v>
      </c>
      <c r="AD374" s="64">
        <f t="shared" si="151"/>
        <v>0</v>
      </c>
      <c r="AE374" s="64">
        <f t="shared" si="151"/>
        <v>0</v>
      </c>
      <c r="AF374" s="64">
        <f t="shared" si="146"/>
        <v>217444</v>
      </c>
      <c r="AG374" s="59" t="str">
        <f>IF(ABS(AF374-F374)&lt;1,"ok","err")</f>
        <v>ok</v>
      </c>
    </row>
    <row r="375" spans="1:33" x14ac:dyDescent="0.25">
      <c r="A375" s="61">
        <v>512</v>
      </c>
      <c r="B375" s="61" t="s">
        <v>227</v>
      </c>
      <c r="C375" s="45" t="s">
        <v>291</v>
      </c>
      <c r="D375" s="45" t="s">
        <v>952</v>
      </c>
      <c r="F375" s="80">
        <v>6510518</v>
      </c>
      <c r="H375" s="64">
        <f t="shared" si="150"/>
        <v>0</v>
      </c>
      <c r="I375" s="64">
        <f t="shared" si="150"/>
        <v>0</v>
      </c>
      <c r="J375" s="64">
        <f t="shared" si="150"/>
        <v>0</v>
      </c>
      <c r="K375" s="64">
        <f t="shared" si="150"/>
        <v>6510518</v>
      </c>
      <c r="L375" s="64">
        <f t="shared" si="150"/>
        <v>0</v>
      </c>
      <c r="M375" s="64">
        <f t="shared" si="150"/>
        <v>0</v>
      </c>
      <c r="N375" s="64">
        <f t="shared" si="150"/>
        <v>0</v>
      </c>
      <c r="O375" s="64">
        <f t="shared" si="150"/>
        <v>0</v>
      </c>
      <c r="P375" s="64">
        <f t="shared" si="150"/>
        <v>0</v>
      </c>
      <c r="Q375" s="64">
        <f t="shared" si="150"/>
        <v>0</v>
      </c>
      <c r="R375" s="64">
        <f t="shared" si="151"/>
        <v>0</v>
      </c>
      <c r="S375" s="64">
        <f t="shared" si="151"/>
        <v>0</v>
      </c>
      <c r="T375" s="64">
        <f t="shared" si="151"/>
        <v>0</v>
      </c>
      <c r="U375" s="64">
        <f t="shared" si="151"/>
        <v>0</v>
      </c>
      <c r="V375" s="64">
        <f t="shared" si="151"/>
        <v>0</v>
      </c>
      <c r="W375" s="64">
        <f t="shared" si="151"/>
        <v>0</v>
      </c>
      <c r="X375" s="64">
        <f t="shared" si="151"/>
        <v>0</v>
      </c>
      <c r="Y375" s="64">
        <f t="shared" si="151"/>
        <v>0</v>
      </c>
      <c r="Z375" s="64">
        <f t="shared" si="151"/>
        <v>0</v>
      </c>
      <c r="AA375" s="64">
        <f t="shared" si="151"/>
        <v>0</v>
      </c>
      <c r="AB375" s="64">
        <f t="shared" si="151"/>
        <v>0</v>
      </c>
      <c r="AC375" s="64">
        <f t="shared" si="151"/>
        <v>0</v>
      </c>
      <c r="AD375" s="64">
        <f t="shared" si="151"/>
        <v>0</v>
      </c>
      <c r="AE375" s="64">
        <f t="shared" si="151"/>
        <v>0</v>
      </c>
      <c r="AF375" s="64">
        <f t="shared" si="146"/>
        <v>6510518</v>
      </c>
      <c r="AG375" s="59" t="str">
        <f>IF(ABS(AF375-F375)&lt;1,"ok","err")</f>
        <v>ok</v>
      </c>
    </row>
    <row r="376" spans="1:33" x14ac:dyDescent="0.25">
      <c r="A376" s="61">
        <v>513</v>
      </c>
      <c r="B376" s="61" t="s">
        <v>228</v>
      </c>
      <c r="C376" s="45" t="s">
        <v>292</v>
      </c>
      <c r="D376" s="45" t="s">
        <v>952</v>
      </c>
      <c r="F376" s="80">
        <v>1878117</v>
      </c>
      <c r="H376" s="64">
        <f t="shared" si="150"/>
        <v>0</v>
      </c>
      <c r="I376" s="64">
        <f t="shared" si="150"/>
        <v>0</v>
      </c>
      <c r="J376" s="64">
        <f t="shared" si="150"/>
        <v>0</v>
      </c>
      <c r="K376" s="64">
        <f t="shared" si="150"/>
        <v>1878117</v>
      </c>
      <c r="L376" s="64">
        <f t="shared" si="150"/>
        <v>0</v>
      </c>
      <c r="M376" s="64">
        <f t="shared" si="150"/>
        <v>0</v>
      </c>
      <c r="N376" s="64">
        <f t="shared" si="150"/>
        <v>0</v>
      </c>
      <c r="O376" s="64">
        <f t="shared" si="150"/>
        <v>0</v>
      </c>
      <c r="P376" s="64">
        <f t="shared" si="150"/>
        <v>0</v>
      </c>
      <c r="Q376" s="64">
        <f t="shared" si="150"/>
        <v>0</v>
      </c>
      <c r="R376" s="64">
        <f t="shared" si="151"/>
        <v>0</v>
      </c>
      <c r="S376" s="64">
        <f t="shared" si="151"/>
        <v>0</v>
      </c>
      <c r="T376" s="64">
        <f t="shared" si="151"/>
        <v>0</v>
      </c>
      <c r="U376" s="64">
        <f t="shared" si="151"/>
        <v>0</v>
      </c>
      <c r="V376" s="64">
        <f t="shared" si="151"/>
        <v>0</v>
      </c>
      <c r="W376" s="64">
        <f t="shared" si="151"/>
        <v>0</v>
      </c>
      <c r="X376" s="64">
        <f t="shared" si="151"/>
        <v>0</v>
      </c>
      <c r="Y376" s="64">
        <f t="shared" si="151"/>
        <v>0</v>
      </c>
      <c r="Z376" s="64">
        <f t="shared" si="151"/>
        <v>0</v>
      </c>
      <c r="AA376" s="64">
        <f t="shared" si="151"/>
        <v>0</v>
      </c>
      <c r="AB376" s="64">
        <f t="shared" si="151"/>
        <v>0</v>
      </c>
      <c r="AC376" s="64">
        <f t="shared" si="151"/>
        <v>0</v>
      </c>
      <c r="AD376" s="64">
        <f t="shared" si="151"/>
        <v>0</v>
      </c>
      <c r="AE376" s="64">
        <f t="shared" si="151"/>
        <v>0</v>
      </c>
      <c r="AF376" s="64">
        <f t="shared" si="146"/>
        <v>1878117</v>
      </c>
      <c r="AG376" s="59" t="str">
        <f>IF(ABS(AF376-F376)&lt;1,"ok","err")</f>
        <v>ok</v>
      </c>
    </row>
    <row r="377" spans="1:33" x14ac:dyDescent="0.25">
      <c r="A377" s="61">
        <v>514</v>
      </c>
      <c r="B377" s="61" t="s">
        <v>231</v>
      </c>
      <c r="C377" s="45" t="s">
        <v>293</v>
      </c>
      <c r="D377" s="45" t="s">
        <v>952</v>
      </c>
      <c r="F377" s="80">
        <v>156382</v>
      </c>
      <c r="H377" s="64">
        <f t="shared" si="150"/>
        <v>0</v>
      </c>
      <c r="I377" s="64">
        <f t="shared" si="150"/>
        <v>0</v>
      </c>
      <c r="J377" s="64">
        <f t="shared" si="150"/>
        <v>0</v>
      </c>
      <c r="K377" s="64">
        <f t="shared" si="150"/>
        <v>156382</v>
      </c>
      <c r="L377" s="64">
        <f t="shared" si="150"/>
        <v>0</v>
      </c>
      <c r="M377" s="64">
        <f t="shared" si="150"/>
        <v>0</v>
      </c>
      <c r="N377" s="64">
        <f t="shared" si="150"/>
        <v>0</v>
      </c>
      <c r="O377" s="64">
        <f t="shared" si="150"/>
        <v>0</v>
      </c>
      <c r="P377" s="64">
        <f t="shared" si="150"/>
        <v>0</v>
      </c>
      <c r="Q377" s="64">
        <f t="shared" si="150"/>
        <v>0</v>
      </c>
      <c r="R377" s="64">
        <f t="shared" si="151"/>
        <v>0</v>
      </c>
      <c r="S377" s="64">
        <f t="shared" si="151"/>
        <v>0</v>
      </c>
      <c r="T377" s="64">
        <f t="shared" si="151"/>
        <v>0</v>
      </c>
      <c r="U377" s="64">
        <f t="shared" si="151"/>
        <v>0</v>
      </c>
      <c r="V377" s="64">
        <f t="shared" si="151"/>
        <v>0</v>
      </c>
      <c r="W377" s="64">
        <f t="shared" si="151"/>
        <v>0</v>
      </c>
      <c r="X377" s="64">
        <f t="shared" si="151"/>
        <v>0</v>
      </c>
      <c r="Y377" s="64">
        <f t="shared" si="151"/>
        <v>0</v>
      </c>
      <c r="Z377" s="64">
        <f t="shared" si="151"/>
        <v>0</v>
      </c>
      <c r="AA377" s="64">
        <f t="shared" si="151"/>
        <v>0</v>
      </c>
      <c r="AB377" s="64">
        <f t="shared" si="151"/>
        <v>0</v>
      </c>
      <c r="AC377" s="64">
        <f t="shared" si="151"/>
        <v>0</v>
      </c>
      <c r="AD377" s="64">
        <f t="shared" si="151"/>
        <v>0</v>
      </c>
      <c r="AE377" s="64">
        <f t="shared" si="151"/>
        <v>0</v>
      </c>
      <c r="AF377" s="64">
        <f t="shared" si="146"/>
        <v>156382</v>
      </c>
      <c r="AG377" s="59" t="str">
        <f>IF(ABS(AF377-F377)&lt;1,"ok","err")</f>
        <v>ok</v>
      </c>
    </row>
    <row r="378" spans="1:33" x14ac:dyDescent="0.25">
      <c r="A378" s="61"/>
      <c r="B378" s="61"/>
      <c r="F378" s="77"/>
      <c r="W378" s="45"/>
      <c r="AF378" s="64"/>
      <c r="AG378" s="59"/>
    </row>
    <row r="379" spans="1:33" x14ac:dyDescent="0.25">
      <c r="A379" s="61"/>
      <c r="B379" s="61" t="s">
        <v>233</v>
      </c>
      <c r="C379" s="45" t="s">
        <v>87</v>
      </c>
      <c r="F379" s="77">
        <f>SUM(F373:F378)</f>
        <v>9114614</v>
      </c>
      <c r="H379" s="63">
        <f t="shared" ref="H379:M379" si="152">SUM(H373:H378)</f>
        <v>79141.179244284111</v>
      </c>
      <c r="I379" s="63">
        <f t="shared" si="152"/>
        <v>77120.236803997162</v>
      </c>
      <c r="J379" s="63">
        <f t="shared" si="152"/>
        <v>69921.402524720077</v>
      </c>
      <c r="K379" s="63">
        <f t="shared" si="152"/>
        <v>8888431.1814269982</v>
      </c>
      <c r="L379" s="63">
        <f t="shared" si="152"/>
        <v>0</v>
      </c>
      <c r="M379" s="63">
        <f t="shared" si="152"/>
        <v>0</v>
      </c>
      <c r="N379" s="63">
        <f>SUM(N373:N378)</f>
        <v>0</v>
      </c>
      <c r="O379" s="63">
        <f>SUM(O373:O378)</f>
        <v>0</v>
      </c>
      <c r="P379" s="63">
        <f>SUM(P373:P378)</f>
        <v>0</v>
      </c>
      <c r="Q379" s="63">
        <f t="shared" ref="Q379:AB379" si="153">SUM(Q373:Q378)</f>
        <v>0</v>
      </c>
      <c r="R379" s="63">
        <f t="shared" si="153"/>
        <v>0</v>
      </c>
      <c r="S379" s="63">
        <f t="shared" si="153"/>
        <v>0</v>
      </c>
      <c r="T379" s="63">
        <f t="shared" si="153"/>
        <v>0</v>
      </c>
      <c r="U379" s="63">
        <f t="shared" si="153"/>
        <v>0</v>
      </c>
      <c r="V379" s="63">
        <f t="shared" si="153"/>
        <v>0</v>
      </c>
      <c r="W379" s="63">
        <f t="shared" si="153"/>
        <v>0</v>
      </c>
      <c r="X379" s="63">
        <f t="shared" si="153"/>
        <v>0</v>
      </c>
      <c r="Y379" s="63">
        <f t="shared" si="153"/>
        <v>0</v>
      </c>
      <c r="Z379" s="63">
        <f t="shared" si="153"/>
        <v>0</v>
      </c>
      <c r="AA379" s="63">
        <f t="shared" si="153"/>
        <v>0</v>
      </c>
      <c r="AB379" s="63">
        <f t="shared" si="153"/>
        <v>0</v>
      </c>
      <c r="AC379" s="63">
        <f>SUM(AC373:AC378)</f>
        <v>0</v>
      </c>
      <c r="AD379" s="63">
        <f>SUM(AD373:AD378)</f>
        <v>0</v>
      </c>
      <c r="AE379" s="63">
        <f>SUM(AE373:AE378)</f>
        <v>0</v>
      </c>
      <c r="AF379" s="64">
        <f t="shared" si="146"/>
        <v>9114614</v>
      </c>
      <c r="AG379" s="59" t="str">
        <f>IF(ABS(AF379-F379)&lt;1,"ok","err")</f>
        <v>ok</v>
      </c>
    </row>
    <row r="380" spans="1:33" x14ac:dyDescent="0.25">
      <c r="A380" s="61"/>
      <c r="B380" s="61"/>
      <c r="F380" s="77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4"/>
      <c r="AG380" s="59"/>
    </row>
    <row r="381" spans="1:33" x14ac:dyDescent="0.25">
      <c r="A381" s="61"/>
      <c r="B381" s="61" t="s">
        <v>234</v>
      </c>
      <c r="F381" s="77">
        <f>F370+F379</f>
        <v>29998493</v>
      </c>
      <c r="H381" s="63">
        <f t="shared" ref="H381:M381" si="154">H370+H379</f>
        <v>6305013.894618487</v>
      </c>
      <c r="I381" s="63">
        <f t="shared" si="154"/>
        <v>6144009.5946079642</v>
      </c>
      <c r="J381" s="63">
        <f t="shared" si="154"/>
        <v>5570493.3722151043</v>
      </c>
      <c r="K381" s="63">
        <f t="shared" si="154"/>
        <v>11978976.138558444</v>
      </c>
      <c r="L381" s="63">
        <f t="shared" si="154"/>
        <v>0</v>
      </c>
      <c r="M381" s="63">
        <f t="shared" si="154"/>
        <v>0</v>
      </c>
      <c r="N381" s="63">
        <f>N370+N379</f>
        <v>0</v>
      </c>
      <c r="O381" s="63">
        <f>O370+O379</f>
        <v>0</v>
      </c>
      <c r="P381" s="63">
        <f>P370+P379</f>
        <v>0</v>
      </c>
      <c r="Q381" s="63">
        <f t="shared" ref="Q381:AB381" si="155">Q370+Q379</f>
        <v>0</v>
      </c>
      <c r="R381" s="63">
        <f t="shared" si="155"/>
        <v>0</v>
      </c>
      <c r="S381" s="63">
        <f t="shared" si="155"/>
        <v>0</v>
      </c>
      <c r="T381" s="63">
        <f t="shared" si="155"/>
        <v>0</v>
      </c>
      <c r="U381" s="63">
        <f t="shared" si="155"/>
        <v>0</v>
      </c>
      <c r="V381" s="63">
        <f t="shared" si="155"/>
        <v>0</v>
      </c>
      <c r="W381" s="63">
        <f t="shared" si="155"/>
        <v>0</v>
      </c>
      <c r="X381" s="63">
        <f t="shared" si="155"/>
        <v>0</v>
      </c>
      <c r="Y381" s="63">
        <f t="shared" si="155"/>
        <v>0</v>
      </c>
      <c r="Z381" s="63">
        <f t="shared" si="155"/>
        <v>0</v>
      </c>
      <c r="AA381" s="63">
        <f t="shared" si="155"/>
        <v>0</v>
      </c>
      <c r="AB381" s="63">
        <f t="shared" si="155"/>
        <v>0</v>
      </c>
      <c r="AC381" s="63">
        <f>AC370+AC379</f>
        <v>0</v>
      </c>
      <c r="AD381" s="63">
        <f>AD370+AD379</f>
        <v>0</v>
      </c>
      <c r="AE381" s="63">
        <f>AE370+AE379</f>
        <v>0</v>
      </c>
      <c r="AF381" s="64">
        <f t="shared" si="146"/>
        <v>29998493</v>
      </c>
      <c r="AG381" s="59" t="str">
        <f>IF(ABS(AF381-F381)&lt;1,"ok","err")</f>
        <v>ok</v>
      </c>
    </row>
    <row r="382" spans="1:33" x14ac:dyDescent="0.25">
      <c r="A382" s="61"/>
      <c r="B382" s="61"/>
      <c r="F382" s="77"/>
      <c r="W382" s="45"/>
      <c r="AF382" s="64"/>
      <c r="AG382" s="59"/>
    </row>
    <row r="383" spans="1:33" x14ac:dyDescent="0.25">
      <c r="A383" s="66" t="s">
        <v>322</v>
      </c>
      <c r="B383" s="61"/>
      <c r="W383" s="45"/>
      <c r="AG383" s="59"/>
    </row>
    <row r="384" spans="1:33" x14ac:dyDescent="0.25">
      <c r="A384" s="71">
        <v>535</v>
      </c>
      <c r="B384" s="61" t="s">
        <v>210</v>
      </c>
      <c r="C384" s="45" t="s">
        <v>605</v>
      </c>
      <c r="D384" s="45" t="s">
        <v>657</v>
      </c>
      <c r="F384" s="77">
        <v>93075</v>
      </c>
      <c r="H384" s="64">
        <f t="shared" ref="H384:Q389" si="156">IF(VLOOKUP($D384,$C$6:$AE$651,H$2,)=0,0,((VLOOKUP($D384,$C$6:$AE$651,H$2,)/VLOOKUP($D384,$C$6:$AE$651,4,))*$F384))</f>
        <v>32566.864736387204</v>
      </c>
      <c r="I384" s="64">
        <f t="shared" si="156"/>
        <v>31735.240040858018</v>
      </c>
      <c r="J384" s="64">
        <f t="shared" si="156"/>
        <v>28772.895222754782</v>
      </c>
      <c r="K384" s="64">
        <f t="shared" si="156"/>
        <v>0</v>
      </c>
      <c r="L384" s="64">
        <f t="shared" si="156"/>
        <v>0</v>
      </c>
      <c r="M384" s="64">
        <f t="shared" si="156"/>
        <v>0</v>
      </c>
      <c r="N384" s="64">
        <f t="shared" si="156"/>
        <v>0</v>
      </c>
      <c r="O384" s="64">
        <f t="shared" si="156"/>
        <v>0</v>
      </c>
      <c r="P384" s="64">
        <f t="shared" si="156"/>
        <v>0</v>
      </c>
      <c r="Q384" s="64">
        <f t="shared" si="156"/>
        <v>0</v>
      </c>
      <c r="R384" s="64">
        <f t="shared" ref="R384:AE389" si="157">IF(VLOOKUP($D384,$C$6:$AE$651,R$2,)=0,0,((VLOOKUP($D384,$C$6:$AE$651,R$2,)/VLOOKUP($D384,$C$6:$AE$651,4,))*$F384))</f>
        <v>0</v>
      </c>
      <c r="S384" s="64">
        <f t="shared" si="157"/>
        <v>0</v>
      </c>
      <c r="T384" s="64">
        <f t="shared" si="157"/>
        <v>0</v>
      </c>
      <c r="U384" s="64">
        <f t="shared" si="157"/>
        <v>0</v>
      </c>
      <c r="V384" s="64">
        <f t="shared" si="157"/>
        <v>0</v>
      </c>
      <c r="W384" s="64">
        <f t="shared" si="157"/>
        <v>0</v>
      </c>
      <c r="X384" s="64">
        <f t="shared" si="157"/>
        <v>0</v>
      </c>
      <c r="Y384" s="64">
        <f t="shared" si="157"/>
        <v>0</v>
      </c>
      <c r="Z384" s="64">
        <f t="shared" si="157"/>
        <v>0</v>
      </c>
      <c r="AA384" s="64">
        <f t="shared" si="157"/>
        <v>0</v>
      </c>
      <c r="AB384" s="64">
        <f t="shared" si="157"/>
        <v>0</v>
      </c>
      <c r="AC384" s="64">
        <f t="shared" si="157"/>
        <v>0</v>
      </c>
      <c r="AD384" s="64">
        <f t="shared" si="157"/>
        <v>0</v>
      </c>
      <c r="AE384" s="64">
        <f t="shared" si="157"/>
        <v>0</v>
      </c>
      <c r="AF384" s="64">
        <f t="shared" ref="AF384:AF389" si="158">SUM(H384:AE384)</f>
        <v>93075</v>
      </c>
      <c r="AG384" s="59" t="str">
        <f t="shared" ref="AG384:AG389" si="159">IF(ABS(AF384-F384)&lt;1,"ok","err")</f>
        <v>ok</v>
      </c>
    </row>
    <row r="385" spans="1:33" x14ac:dyDescent="0.25">
      <c r="A385" s="303">
        <v>536</v>
      </c>
      <c r="B385" s="61" t="s">
        <v>329</v>
      </c>
      <c r="C385" s="45" t="s">
        <v>606</v>
      </c>
      <c r="D385" s="45" t="s">
        <v>653</v>
      </c>
      <c r="F385" s="80">
        <v>0</v>
      </c>
      <c r="H385" s="64">
        <f t="shared" si="156"/>
        <v>0</v>
      </c>
      <c r="I385" s="64">
        <f t="shared" si="156"/>
        <v>0</v>
      </c>
      <c r="J385" s="64">
        <f t="shared" si="156"/>
        <v>0</v>
      </c>
      <c r="K385" s="64">
        <f t="shared" si="156"/>
        <v>0</v>
      </c>
      <c r="L385" s="64">
        <f t="shared" si="156"/>
        <v>0</v>
      </c>
      <c r="M385" s="64">
        <f t="shared" si="156"/>
        <v>0</v>
      </c>
      <c r="N385" s="64">
        <f t="shared" si="156"/>
        <v>0</v>
      </c>
      <c r="O385" s="64">
        <f t="shared" si="156"/>
        <v>0</v>
      </c>
      <c r="P385" s="64">
        <f t="shared" si="156"/>
        <v>0</v>
      </c>
      <c r="Q385" s="64">
        <f t="shared" si="156"/>
        <v>0</v>
      </c>
      <c r="R385" s="64">
        <f t="shared" si="157"/>
        <v>0</v>
      </c>
      <c r="S385" s="64">
        <f t="shared" si="157"/>
        <v>0</v>
      </c>
      <c r="T385" s="64">
        <f t="shared" si="157"/>
        <v>0</v>
      </c>
      <c r="U385" s="64">
        <f t="shared" si="157"/>
        <v>0</v>
      </c>
      <c r="V385" s="64">
        <f t="shared" si="157"/>
        <v>0</v>
      </c>
      <c r="W385" s="64">
        <f t="shared" si="157"/>
        <v>0</v>
      </c>
      <c r="X385" s="64">
        <f t="shared" si="157"/>
        <v>0</v>
      </c>
      <c r="Y385" s="64">
        <f t="shared" si="157"/>
        <v>0</v>
      </c>
      <c r="Z385" s="64">
        <f t="shared" si="157"/>
        <v>0</v>
      </c>
      <c r="AA385" s="64">
        <f t="shared" si="157"/>
        <v>0</v>
      </c>
      <c r="AB385" s="64">
        <f t="shared" si="157"/>
        <v>0</v>
      </c>
      <c r="AC385" s="64">
        <f t="shared" si="157"/>
        <v>0</v>
      </c>
      <c r="AD385" s="64">
        <f t="shared" si="157"/>
        <v>0</v>
      </c>
      <c r="AE385" s="64">
        <f t="shared" si="157"/>
        <v>0</v>
      </c>
      <c r="AF385" s="64">
        <f t="shared" si="158"/>
        <v>0</v>
      </c>
      <c r="AG385" s="59" t="str">
        <f t="shared" si="159"/>
        <v>ok</v>
      </c>
    </row>
    <row r="386" spans="1:33" x14ac:dyDescent="0.25">
      <c r="A386" s="61">
        <v>537</v>
      </c>
      <c r="B386" s="61" t="s">
        <v>328</v>
      </c>
      <c r="C386" s="45" t="s">
        <v>607</v>
      </c>
      <c r="D386" s="45" t="s">
        <v>653</v>
      </c>
      <c r="F386" s="80">
        <v>0</v>
      </c>
      <c r="H386" s="64">
        <f t="shared" si="156"/>
        <v>0</v>
      </c>
      <c r="I386" s="64">
        <f t="shared" si="156"/>
        <v>0</v>
      </c>
      <c r="J386" s="64">
        <f t="shared" si="156"/>
        <v>0</v>
      </c>
      <c r="K386" s="64">
        <f t="shared" si="156"/>
        <v>0</v>
      </c>
      <c r="L386" s="64">
        <f t="shared" si="156"/>
        <v>0</v>
      </c>
      <c r="M386" s="64">
        <f t="shared" si="156"/>
        <v>0</v>
      </c>
      <c r="N386" s="64">
        <f t="shared" si="156"/>
        <v>0</v>
      </c>
      <c r="O386" s="64">
        <f t="shared" si="156"/>
        <v>0</v>
      </c>
      <c r="P386" s="64">
        <f t="shared" si="156"/>
        <v>0</v>
      </c>
      <c r="Q386" s="64">
        <f t="shared" si="156"/>
        <v>0</v>
      </c>
      <c r="R386" s="64">
        <f t="shared" si="157"/>
        <v>0</v>
      </c>
      <c r="S386" s="64">
        <f t="shared" si="157"/>
        <v>0</v>
      </c>
      <c r="T386" s="64">
        <f t="shared" si="157"/>
        <v>0</v>
      </c>
      <c r="U386" s="64">
        <f t="shared" si="157"/>
        <v>0</v>
      </c>
      <c r="V386" s="64">
        <f t="shared" si="157"/>
        <v>0</v>
      </c>
      <c r="W386" s="64">
        <f t="shared" si="157"/>
        <v>0</v>
      </c>
      <c r="X386" s="64">
        <f t="shared" si="157"/>
        <v>0</v>
      </c>
      <c r="Y386" s="64">
        <f t="shared" si="157"/>
        <v>0</v>
      </c>
      <c r="Z386" s="64">
        <f t="shared" si="157"/>
        <v>0</v>
      </c>
      <c r="AA386" s="64">
        <f t="shared" si="157"/>
        <v>0</v>
      </c>
      <c r="AB386" s="64">
        <f t="shared" si="157"/>
        <v>0</v>
      </c>
      <c r="AC386" s="64">
        <f t="shared" si="157"/>
        <v>0</v>
      </c>
      <c r="AD386" s="64">
        <f t="shared" si="157"/>
        <v>0</v>
      </c>
      <c r="AE386" s="64">
        <f t="shared" si="157"/>
        <v>0</v>
      </c>
      <c r="AF386" s="64">
        <f t="shared" si="158"/>
        <v>0</v>
      </c>
      <c r="AG386" s="59" t="str">
        <f t="shared" si="159"/>
        <v>ok</v>
      </c>
    </row>
    <row r="387" spans="1:33" x14ac:dyDescent="0.25">
      <c r="A387" s="302">
        <v>538</v>
      </c>
      <c r="B387" s="61" t="s">
        <v>216</v>
      </c>
      <c r="C387" s="45" t="s">
        <v>608</v>
      </c>
      <c r="D387" s="45" t="s">
        <v>653</v>
      </c>
      <c r="F387" s="80">
        <v>336347</v>
      </c>
      <c r="H387" s="64">
        <f t="shared" si="156"/>
        <v>117687.534284068</v>
      </c>
      <c r="I387" s="64">
        <f t="shared" si="156"/>
        <v>114682.27539105529</v>
      </c>
      <c r="J387" s="64">
        <f t="shared" si="156"/>
        <v>103977.19032487672</v>
      </c>
      <c r="K387" s="64">
        <f t="shared" si="156"/>
        <v>0</v>
      </c>
      <c r="L387" s="64">
        <f t="shared" si="156"/>
        <v>0</v>
      </c>
      <c r="M387" s="64">
        <f t="shared" si="156"/>
        <v>0</v>
      </c>
      <c r="N387" s="64">
        <f t="shared" si="156"/>
        <v>0</v>
      </c>
      <c r="O387" s="64">
        <f t="shared" si="156"/>
        <v>0</v>
      </c>
      <c r="P387" s="64">
        <f t="shared" si="156"/>
        <v>0</v>
      </c>
      <c r="Q387" s="64">
        <f t="shared" si="156"/>
        <v>0</v>
      </c>
      <c r="R387" s="64">
        <f t="shared" si="157"/>
        <v>0</v>
      </c>
      <c r="S387" s="64">
        <f t="shared" si="157"/>
        <v>0</v>
      </c>
      <c r="T387" s="64">
        <f t="shared" si="157"/>
        <v>0</v>
      </c>
      <c r="U387" s="64">
        <f t="shared" si="157"/>
        <v>0</v>
      </c>
      <c r="V387" s="64">
        <f t="shared" si="157"/>
        <v>0</v>
      </c>
      <c r="W387" s="64">
        <f t="shared" si="157"/>
        <v>0</v>
      </c>
      <c r="X387" s="64">
        <f t="shared" si="157"/>
        <v>0</v>
      </c>
      <c r="Y387" s="64">
        <f t="shared" si="157"/>
        <v>0</v>
      </c>
      <c r="Z387" s="64">
        <f t="shared" si="157"/>
        <v>0</v>
      </c>
      <c r="AA387" s="64">
        <f t="shared" si="157"/>
        <v>0</v>
      </c>
      <c r="AB387" s="64">
        <f t="shared" si="157"/>
        <v>0</v>
      </c>
      <c r="AC387" s="64">
        <f t="shared" si="157"/>
        <v>0</v>
      </c>
      <c r="AD387" s="64">
        <f t="shared" si="157"/>
        <v>0</v>
      </c>
      <c r="AE387" s="64">
        <f t="shared" si="157"/>
        <v>0</v>
      </c>
      <c r="AF387" s="64">
        <f t="shared" si="158"/>
        <v>336347</v>
      </c>
      <c r="AG387" s="59" t="str">
        <f t="shared" si="159"/>
        <v>ok</v>
      </c>
    </row>
    <row r="388" spans="1:33" x14ac:dyDescent="0.25">
      <c r="A388" s="61">
        <v>539</v>
      </c>
      <c r="B388" s="61" t="s">
        <v>330</v>
      </c>
      <c r="C388" s="45" t="s">
        <v>609</v>
      </c>
      <c r="D388" s="45" t="s">
        <v>653</v>
      </c>
      <c r="F388" s="80">
        <v>-117581</v>
      </c>
      <c r="H388" s="64">
        <f t="shared" si="156"/>
        <v>-41141.493661768945</v>
      </c>
      <c r="I388" s="64">
        <f t="shared" si="156"/>
        <v>-40090.907969316424</v>
      </c>
      <c r="J388" s="64">
        <f t="shared" si="156"/>
        <v>-36348.598368914631</v>
      </c>
      <c r="K388" s="64">
        <f t="shared" si="156"/>
        <v>0</v>
      </c>
      <c r="L388" s="64">
        <f t="shared" si="156"/>
        <v>0</v>
      </c>
      <c r="M388" s="64">
        <f t="shared" si="156"/>
        <v>0</v>
      </c>
      <c r="N388" s="64">
        <f t="shared" si="156"/>
        <v>0</v>
      </c>
      <c r="O388" s="64">
        <f t="shared" si="156"/>
        <v>0</v>
      </c>
      <c r="P388" s="64">
        <f t="shared" si="156"/>
        <v>0</v>
      </c>
      <c r="Q388" s="64">
        <f t="shared" si="156"/>
        <v>0</v>
      </c>
      <c r="R388" s="64">
        <f t="shared" si="157"/>
        <v>0</v>
      </c>
      <c r="S388" s="64">
        <f t="shared" si="157"/>
        <v>0</v>
      </c>
      <c r="T388" s="64">
        <f t="shared" si="157"/>
        <v>0</v>
      </c>
      <c r="U388" s="64">
        <f t="shared" si="157"/>
        <v>0</v>
      </c>
      <c r="V388" s="64">
        <f t="shared" si="157"/>
        <v>0</v>
      </c>
      <c r="W388" s="64">
        <f t="shared" si="157"/>
        <v>0</v>
      </c>
      <c r="X388" s="64">
        <f t="shared" si="157"/>
        <v>0</v>
      </c>
      <c r="Y388" s="64">
        <f t="shared" si="157"/>
        <v>0</v>
      </c>
      <c r="Z388" s="64">
        <f t="shared" si="157"/>
        <v>0</v>
      </c>
      <c r="AA388" s="64">
        <f t="shared" si="157"/>
        <v>0</v>
      </c>
      <c r="AB388" s="64">
        <f t="shared" si="157"/>
        <v>0</v>
      </c>
      <c r="AC388" s="64">
        <f t="shared" si="157"/>
        <v>0</v>
      </c>
      <c r="AD388" s="64">
        <f t="shared" si="157"/>
        <v>0</v>
      </c>
      <c r="AE388" s="64">
        <f t="shared" si="157"/>
        <v>0</v>
      </c>
      <c r="AF388" s="64">
        <f t="shared" si="158"/>
        <v>-117581</v>
      </c>
      <c r="AG388" s="59" t="str">
        <f t="shared" si="159"/>
        <v>ok</v>
      </c>
    </row>
    <row r="389" spans="1:33" x14ac:dyDescent="0.25">
      <c r="A389" s="302">
        <v>540</v>
      </c>
      <c r="B389" s="61" t="s">
        <v>1026</v>
      </c>
      <c r="D389" s="45" t="s">
        <v>653</v>
      </c>
      <c r="F389" s="80">
        <v>0</v>
      </c>
      <c r="H389" s="64">
        <f t="shared" si="156"/>
        <v>0</v>
      </c>
      <c r="I389" s="64">
        <f t="shared" si="156"/>
        <v>0</v>
      </c>
      <c r="J389" s="64">
        <f t="shared" si="156"/>
        <v>0</v>
      </c>
      <c r="K389" s="64">
        <f t="shared" si="156"/>
        <v>0</v>
      </c>
      <c r="L389" s="64">
        <f t="shared" si="156"/>
        <v>0</v>
      </c>
      <c r="M389" s="64">
        <f t="shared" si="156"/>
        <v>0</v>
      </c>
      <c r="N389" s="64">
        <f t="shared" si="156"/>
        <v>0</v>
      </c>
      <c r="O389" s="64">
        <f t="shared" si="156"/>
        <v>0</v>
      </c>
      <c r="P389" s="64">
        <f t="shared" si="156"/>
        <v>0</v>
      </c>
      <c r="Q389" s="64">
        <f t="shared" si="156"/>
        <v>0</v>
      </c>
      <c r="R389" s="64">
        <f t="shared" si="157"/>
        <v>0</v>
      </c>
      <c r="S389" s="64">
        <f t="shared" si="157"/>
        <v>0</v>
      </c>
      <c r="T389" s="64">
        <f t="shared" si="157"/>
        <v>0</v>
      </c>
      <c r="U389" s="64">
        <f t="shared" si="157"/>
        <v>0</v>
      </c>
      <c r="V389" s="64">
        <f t="shared" si="157"/>
        <v>0</v>
      </c>
      <c r="W389" s="64">
        <f t="shared" si="157"/>
        <v>0</v>
      </c>
      <c r="X389" s="64">
        <f t="shared" si="157"/>
        <v>0</v>
      </c>
      <c r="Y389" s="64">
        <f t="shared" si="157"/>
        <v>0</v>
      </c>
      <c r="Z389" s="64">
        <f t="shared" si="157"/>
        <v>0</v>
      </c>
      <c r="AA389" s="64">
        <f t="shared" si="157"/>
        <v>0</v>
      </c>
      <c r="AB389" s="64">
        <f t="shared" si="157"/>
        <v>0</v>
      </c>
      <c r="AC389" s="64">
        <f t="shared" si="157"/>
        <v>0</v>
      </c>
      <c r="AD389" s="64">
        <f t="shared" si="157"/>
        <v>0</v>
      </c>
      <c r="AE389" s="64">
        <f t="shared" si="157"/>
        <v>0</v>
      </c>
      <c r="AF389" s="64">
        <f t="shared" si="158"/>
        <v>0</v>
      </c>
      <c r="AG389" s="59" t="str">
        <f t="shared" si="159"/>
        <v>ok</v>
      </c>
    </row>
    <row r="390" spans="1:33" x14ac:dyDescent="0.25">
      <c r="A390" s="61"/>
      <c r="B390" s="61"/>
      <c r="F390" s="77"/>
      <c r="W390" s="45"/>
      <c r="AF390" s="64"/>
      <c r="AG390" s="59"/>
    </row>
    <row r="391" spans="1:33" x14ac:dyDescent="0.25">
      <c r="A391" s="61"/>
      <c r="B391" s="61" t="s">
        <v>325</v>
      </c>
      <c r="C391" s="45" t="s">
        <v>659</v>
      </c>
      <c r="F391" s="77">
        <f>SUM(F384:F390)</f>
        <v>311841</v>
      </c>
      <c r="H391" s="63">
        <f t="shared" ref="H391:M391" si="160">SUM(H384:H390)</f>
        <v>109112.90535868626</v>
      </c>
      <c r="I391" s="63">
        <f t="shared" si="160"/>
        <v>106326.60746259689</v>
      </c>
      <c r="J391" s="63">
        <f t="shared" si="160"/>
        <v>96401.487178716867</v>
      </c>
      <c r="K391" s="63">
        <f t="shared" si="160"/>
        <v>0</v>
      </c>
      <c r="L391" s="63">
        <f t="shared" si="160"/>
        <v>0</v>
      </c>
      <c r="M391" s="63">
        <f t="shared" si="160"/>
        <v>0</v>
      </c>
      <c r="N391" s="63">
        <f>SUM(N384:N390)</f>
        <v>0</v>
      </c>
      <c r="O391" s="63">
        <f>SUM(O384:O390)</f>
        <v>0</v>
      </c>
      <c r="P391" s="63">
        <f>SUM(P384:P390)</f>
        <v>0</v>
      </c>
      <c r="Q391" s="63">
        <f t="shared" ref="Q391:AB391" si="161">SUM(Q384:Q390)</f>
        <v>0</v>
      </c>
      <c r="R391" s="63">
        <f t="shared" si="161"/>
        <v>0</v>
      </c>
      <c r="S391" s="63">
        <f t="shared" si="161"/>
        <v>0</v>
      </c>
      <c r="T391" s="63">
        <f t="shared" si="161"/>
        <v>0</v>
      </c>
      <c r="U391" s="63">
        <f t="shared" si="161"/>
        <v>0</v>
      </c>
      <c r="V391" s="63">
        <f t="shared" si="161"/>
        <v>0</v>
      </c>
      <c r="W391" s="63">
        <f t="shared" si="161"/>
        <v>0</v>
      </c>
      <c r="X391" s="63">
        <f t="shared" si="161"/>
        <v>0</v>
      </c>
      <c r="Y391" s="63">
        <f t="shared" si="161"/>
        <v>0</v>
      </c>
      <c r="Z391" s="63">
        <f t="shared" si="161"/>
        <v>0</v>
      </c>
      <c r="AA391" s="63">
        <f t="shared" si="161"/>
        <v>0</v>
      </c>
      <c r="AB391" s="63">
        <f t="shared" si="161"/>
        <v>0</v>
      </c>
      <c r="AC391" s="63">
        <f>SUM(AC384:AC390)</f>
        <v>0</v>
      </c>
      <c r="AD391" s="63">
        <f>SUM(AD384:AD390)</f>
        <v>0</v>
      </c>
      <c r="AE391" s="63">
        <f>SUM(AE384:AE390)</f>
        <v>0</v>
      </c>
      <c r="AF391" s="64">
        <f>SUM(H391:AE391)</f>
        <v>311841</v>
      </c>
      <c r="AG391" s="59" t="str">
        <f>IF(ABS(AF391-F391)&lt;1,"ok","err")</f>
        <v>ok</v>
      </c>
    </row>
    <row r="392" spans="1:33" x14ac:dyDescent="0.25">
      <c r="A392" s="61"/>
      <c r="B392" s="61"/>
      <c r="F392" s="77"/>
      <c r="W392" s="45"/>
      <c r="AG392" s="59"/>
    </row>
    <row r="393" spans="1:33" x14ac:dyDescent="0.25">
      <c r="A393" s="66" t="s">
        <v>323</v>
      </c>
      <c r="B393" s="61"/>
      <c r="F393" s="77"/>
      <c r="W393" s="45"/>
      <c r="AG393" s="59"/>
    </row>
    <row r="394" spans="1:33" x14ac:dyDescent="0.25">
      <c r="A394" s="71">
        <v>541</v>
      </c>
      <c r="B394" s="61" t="s">
        <v>225</v>
      </c>
      <c r="C394" s="45" t="s">
        <v>610</v>
      </c>
      <c r="D394" s="45" t="s">
        <v>664</v>
      </c>
      <c r="F394" s="77">
        <v>0</v>
      </c>
      <c r="H394" s="64">
        <f t="shared" ref="H394:Q398" si="162">IF(VLOOKUP($D394,$C$6:$AE$651,H$2,)=0,0,((VLOOKUP($D394,$C$6:$AE$651,H$2,)/VLOOKUP($D394,$C$6:$AE$651,4,))*$F394))</f>
        <v>0</v>
      </c>
      <c r="I394" s="64">
        <f t="shared" si="162"/>
        <v>0</v>
      </c>
      <c r="J394" s="64">
        <f t="shared" si="162"/>
        <v>0</v>
      </c>
      <c r="K394" s="64">
        <f t="shared" si="162"/>
        <v>0</v>
      </c>
      <c r="L394" s="64">
        <f t="shared" si="162"/>
        <v>0</v>
      </c>
      <c r="M394" s="64">
        <f t="shared" si="162"/>
        <v>0</v>
      </c>
      <c r="N394" s="64">
        <f t="shared" si="162"/>
        <v>0</v>
      </c>
      <c r="O394" s="64">
        <f t="shared" si="162"/>
        <v>0</v>
      </c>
      <c r="P394" s="64">
        <f t="shared" si="162"/>
        <v>0</v>
      </c>
      <c r="Q394" s="64">
        <f t="shared" si="162"/>
        <v>0</v>
      </c>
      <c r="R394" s="64">
        <f t="shared" ref="R394:AE398" si="163">IF(VLOOKUP($D394,$C$6:$AE$651,R$2,)=0,0,((VLOOKUP($D394,$C$6:$AE$651,R$2,)/VLOOKUP($D394,$C$6:$AE$651,4,))*$F394))</f>
        <v>0</v>
      </c>
      <c r="S394" s="64">
        <f t="shared" si="163"/>
        <v>0</v>
      </c>
      <c r="T394" s="64">
        <f t="shared" si="163"/>
        <v>0</v>
      </c>
      <c r="U394" s="64">
        <f t="shared" si="163"/>
        <v>0</v>
      </c>
      <c r="V394" s="64">
        <f t="shared" si="163"/>
        <v>0</v>
      </c>
      <c r="W394" s="64">
        <f t="shared" si="163"/>
        <v>0</v>
      </c>
      <c r="X394" s="64">
        <f t="shared" si="163"/>
        <v>0</v>
      </c>
      <c r="Y394" s="64">
        <f t="shared" si="163"/>
        <v>0</v>
      </c>
      <c r="Z394" s="64">
        <f t="shared" si="163"/>
        <v>0</v>
      </c>
      <c r="AA394" s="64">
        <f t="shared" si="163"/>
        <v>0</v>
      </c>
      <c r="AB394" s="64">
        <f t="shared" si="163"/>
        <v>0</v>
      </c>
      <c r="AC394" s="64">
        <f t="shared" si="163"/>
        <v>0</v>
      </c>
      <c r="AD394" s="64">
        <f t="shared" si="163"/>
        <v>0</v>
      </c>
      <c r="AE394" s="64">
        <f t="shared" si="163"/>
        <v>0</v>
      </c>
      <c r="AF394" s="64">
        <f>SUM(H394:AE394)</f>
        <v>0</v>
      </c>
      <c r="AG394" s="59" t="str">
        <f>IF(ABS(AF394-F394)&lt;1,"ok","err")</f>
        <v>ok</v>
      </c>
    </row>
    <row r="395" spans="1:33" x14ac:dyDescent="0.25">
      <c r="A395" s="71">
        <v>542</v>
      </c>
      <c r="B395" s="61" t="s">
        <v>224</v>
      </c>
      <c r="C395" s="45" t="s">
        <v>611</v>
      </c>
      <c r="D395" s="45" t="s">
        <v>653</v>
      </c>
      <c r="F395" s="80">
        <v>42043</v>
      </c>
      <c r="H395" s="64">
        <f t="shared" si="162"/>
        <v>14710.810573321809</v>
      </c>
      <c r="I395" s="64">
        <f t="shared" si="162"/>
        <v>14335.156562318491</v>
      </c>
      <c r="J395" s="64">
        <f t="shared" si="162"/>
        <v>12997.032864359699</v>
      </c>
      <c r="K395" s="64">
        <f t="shared" si="162"/>
        <v>0</v>
      </c>
      <c r="L395" s="64">
        <f t="shared" si="162"/>
        <v>0</v>
      </c>
      <c r="M395" s="64">
        <f t="shared" si="162"/>
        <v>0</v>
      </c>
      <c r="N395" s="64">
        <f t="shared" si="162"/>
        <v>0</v>
      </c>
      <c r="O395" s="64">
        <f t="shared" si="162"/>
        <v>0</v>
      </c>
      <c r="P395" s="64">
        <f t="shared" si="162"/>
        <v>0</v>
      </c>
      <c r="Q395" s="64">
        <f t="shared" si="162"/>
        <v>0</v>
      </c>
      <c r="R395" s="64">
        <f t="shared" si="163"/>
        <v>0</v>
      </c>
      <c r="S395" s="64">
        <f t="shared" si="163"/>
        <v>0</v>
      </c>
      <c r="T395" s="64">
        <f t="shared" si="163"/>
        <v>0</v>
      </c>
      <c r="U395" s="64">
        <f t="shared" si="163"/>
        <v>0</v>
      </c>
      <c r="V395" s="64">
        <f t="shared" si="163"/>
        <v>0</v>
      </c>
      <c r="W395" s="64">
        <f t="shared" si="163"/>
        <v>0</v>
      </c>
      <c r="X395" s="64">
        <f t="shared" si="163"/>
        <v>0</v>
      </c>
      <c r="Y395" s="64">
        <f t="shared" si="163"/>
        <v>0</v>
      </c>
      <c r="Z395" s="64">
        <f t="shared" si="163"/>
        <v>0</v>
      </c>
      <c r="AA395" s="64">
        <f t="shared" si="163"/>
        <v>0</v>
      </c>
      <c r="AB395" s="64">
        <f t="shared" si="163"/>
        <v>0</v>
      </c>
      <c r="AC395" s="64">
        <f t="shared" si="163"/>
        <v>0</v>
      </c>
      <c r="AD395" s="64">
        <f t="shared" si="163"/>
        <v>0</v>
      </c>
      <c r="AE395" s="64">
        <f t="shared" si="163"/>
        <v>0</v>
      </c>
      <c r="AF395" s="64">
        <f>SUM(H395:AE395)</f>
        <v>42043</v>
      </c>
      <c r="AG395" s="59" t="str">
        <f>IF(ABS(AF395-F395)&lt;1,"ok","err")</f>
        <v>ok</v>
      </c>
    </row>
    <row r="396" spans="1:33" x14ac:dyDescent="0.25">
      <c r="A396" s="71">
        <v>543</v>
      </c>
      <c r="B396" s="61" t="s">
        <v>324</v>
      </c>
      <c r="C396" s="45" t="s">
        <v>612</v>
      </c>
      <c r="D396" s="45" t="s">
        <v>653</v>
      </c>
      <c r="F396" s="80">
        <v>54057</v>
      </c>
      <c r="H396" s="64">
        <f t="shared" si="162"/>
        <v>18914.499135695765</v>
      </c>
      <c r="I396" s="64">
        <f t="shared" si="162"/>
        <v>18431.500090127982</v>
      </c>
      <c r="J396" s="64">
        <f t="shared" si="162"/>
        <v>16711.000774176253</v>
      </c>
      <c r="K396" s="64">
        <f t="shared" si="162"/>
        <v>0</v>
      </c>
      <c r="L396" s="64">
        <f t="shared" si="162"/>
        <v>0</v>
      </c>
      <c r="M396" s="64">
        <f t="shared" si="162"/>
        <v>0</v>
      </c>
      <c r="N396" s="64">
        <f t="shared" si="162"/>
        <v>0</v>
      </c>
      <c r="O396" s="64">
        <f t="shared" si="162"/>
        <v>0</v>
      </c>
      <c r="P396" s="64">
        <f t="shared" si="162"/>
        <v>0</v>
      </c>
      <c r="Q396" s="64">
        <f t="shared" si="162"/>
        <v>0</v>
      </c>
      <c r="R396" s="64">
        <f t="shared" si="163"/>
        <v>0</v>
      </c>
      <c r="S396" s="64">
        <f t="shared" si="163"/>
        <v>0</v>
      </c>
      <c r="T396" s="64">
        <f t="shared" si="163"/>
        <v>0</v>
      </c>
      <c r="U396" s="64">
        <f t="shared" si="163"/>
        <v>0</v>
      </c>
      <c r="V396" s="64">
        <f t="shared" si="163"/>
        <v>0</v>
      </c>
      <c r="W396" s="64">
        <f t="shared" si="163"/>
        <v>0</v>
      </c>
      <c r="X396" s="64">
        <f t="shared" si="163"/>
        <v>0</v>
      </c>
      <c r="Y396" s="64">
        <f t="shared" si="163"/>
        <v>0</v>
      </c>
      <c r="Z396" s="64">
        <f t="shared" si="163"/>
        <v>0</v>
      </c>
      <c r="AA396" s="64">
        <f t="shared" si="163"/>
        <v>0</v>
      </c>
      <c r="AB396" s="64">
        <f t="shared" si="163"/>
        <v>0</v>
      </c>
      <c r="AC396" s="64">
        <f t="shared" si="163"/>
        <v>0</v>
      </c>
      <c r="AD396" s="64">
        <f t="shared" si="163"/>
        <v>0</v>
      </c>
      <c r="AE396" s="64">
        <f t="shared" si="163"/>
        <v>0</v>
      </c>
      <c r="AF396" s="64">
        <f>SUM(H396:AE396)</f>
        <v>54057</v>
      </c>
      <c r="AG396" s="59" t="str">
        <f>IF(ABS(AF396-F396)&lt;1,"ok","err")</f>
        <v>ok</v>
      </c>
    </row>
    <row r="397" spans="1:33" x14ac:dyDescent="0.25">
      <c r="A397" s="61">
        <v>544</v>
      </c>
      <c r="B397" s="61" t="s">
        <v>228</v>
      </c>
      <c r="C397" s="45" t="s">
        <v>613</v>
      </c>
      <c r="D397" s="45" t="s">
        <v>952</v>
      </c>
      <c r="F397" s="80">
        <v>168173</v>
      </c>
      <c r="H397" s="64">
        <f t="shared" si="162"/>
        <v>0</v>
      </c>
      <c r="I397" s="64">
        <f t="shared" si="162"/>
        <v>0</v>
      </c>
      <c r="J397" s="64">
        <f t="shared" si="162"/>
        <v>0</v>
      </c>
      <c r="K397" s="64">
        <f t="shared" si="162"/>
        <v>168173</v>
      </c>
      <c r="L397" s="64">
        <f t="shared" si="162"/>
        <v>0</v>
      </c>
      <c r="M397" s="64">
        <f t="shared" si="162"/>
        <v>0</v>
      </c>
      <c r="N397" s="64">
        <f t="shared" si="162"/>
        <v>0</v>
      </c>
      <c r="O397" s="64">
        <f t="shared" si="162"/>
        <v>0</v>
      </c>
      <c r="P397" s="64">
        <f t="shared" si="162"/>
        <v>0</v>
      </c>
      <c r="Q397" s="64">
        <f t="shared" si="162"/>
        <v>0</v>
      </c>
      <c r="R397" s="64">
        <f t="shared" si="163"/>
        <v>0</v>
      </c>
      <c r="S397" s="64">
        <f t="shared" si="163"/>
        <v>0</v>
      </c>
      <c r="T397" s="64">
        <f t="shared" si="163"/>
        <v>0</v>
      </c>
      <c r="U397" s="64">
        <f t="shared" si="163"/>
        <v>0</v>
      </c>
      <c r="V397" s="64">
        <f t="shared" si="163"/>
        <v>0</v>
      </c>
      <c r="W397" s="64">
        <f t="shared" si="163"/>
        <v>0</v>
      </c>
      <c r="X397" s="64">
        <f t="shared" si="163"/>
        <v>0</v>
      </c>
      <c r="Y397" s="64">
        <f t="shared" si="163"/>
        <v>0</v>
      </c>
      <c r="Z397" s="64">
        <f t="shared" si="163"/>
        <v>0</v>
      </c>
      <c r="AA397" s="64">
        <f t="shared" si="163"/>
        <v>0</v>
      </c>
      <c r="AB397" s="64">
        <f t="shared" si="163"/>
        <v>0</v>
      </c>
      <c r="AC397" s="64">
        <f t="shared" si="163"/>
        <v>0</v>
      </c>
      <c r="AD397" s="64">
        <f t="shared" si="163"/>
        <v>0</v>
      </c>
      <c r="AE397" s="64">
        <f t="shared" si="163"/>
        <v>0</v>
      </c>
      <c r="AF397" s="64">
        <f>SUM(H397:AE397)</f>
        <v>168173</v>
      </c>
      <c r="AG397" s="59" t="str">
        <f>IF(ABS(AF397-F397)&lt;1,"ok","err")</f>
        <v>ok</v>
      </c>
    </row>
    <row r="398" spans="1:33" x14ac:dyDescent="0.25">
      <c r="A398" s="61">
        <v>545</v>
      </c>
      <c r="B398" s="61" t="s">
        <v>331</v>
      </c>
      <c r="C398" s="45" t="s">
        <v>614</v>
      </c>
      <c r="D398" s="45" t="s">
        <v>952</v>
      </c>
      <c r="F398" s="80">
        <v>0</v>
      </c>
      <c r="H398" s="64">
        <f t="shared" si="162"/>
        <v>0</v>
      </c>
      <c r="I398" s="64">
        <f t="shared" si="162"/>
        <v>0</v>
      </c>
      <c r="J398" s="64">
        <f t="shared" si="162"/>
        <v>0</v>
      </c>
      <c r="K398" s="64">
        <f t="shared" si="162"/>
        <v>0</v>
      </c>
      <c r="L398" s="64">
        <f t="shared" si="162"/>
        <v>0</v>
      </c>
      <c r="M398" s="64">
        <f t="shared" si="162"/>
        <v>0</v>
      </c>
      <c r="N398" s="64">
        <f t="shared" si="162"/>
        <v>0</v>
      </c>
      <c r="O398" s="64">
        <f t="shared" si="162"/>
        <v>0</v>
      </c>
      <c r="P398" s="64">
        <f t="shared" si="162"/>
        <v>0</v>
      </c>
      <c r="Q398" s="64">
        <f t="shared" si="162"/>
        <v>0</v>
      </c>
      <c r="R398" s="64">
        <f t="shared" si="163"/>
        <v>0</v>
      </c>
      <c r="S398" s="64">
        <f t="shared" si="163"/>
        <v>0</v>
      </c>
      <c r="T398" s="64">
        <f t="shared" si="163"/>
        <v>0</v>
      </c>
      <c r="U398" s="64">
        <f t="shared" si="163"/>
        <v>0</v>
      </c>
      <c r="V398" s="64">
        <f t="shared" si="163"/>
        <v>0</v>
      </c>
      <c r="W398" s="64">
        <f t="shared" si="163"/>
        <v>0</v>
      </c>
      <c r="X398" s="64">
        <f t="shared" si="163"/>
        <v>0</v>
      </c>
      <c r="Y398" s="64">
        <f t="shared" si="163"/>
        <v>0</v>
      </c>
      <c r="Z398" s="64">
        <f t="shared" si="163"/>
        <v>0</v>
      </c>
      <c r="AA398" s="64">
        <f t="shared" si="163"/>
        <v>0</v>
      </c>
      <c r="AB398" s="64">
        <f t="shared" si="163"/>
        <v>0</v>
      </c>
      <c r="AC398" s="64">
        <f t="shared" si="163"/>
        <v>0</v>
      </c>
      <c r="AD398" s="64">
        <f t="shared" si="163"/>
        <v>0</v>
      </c>
      <c r="AE398" s="64">
        <f t="shared" si="163"/>
        <v>0</v>
      </c>
      <c r="AF398" s="64">
        <f>SUM(H398:AE398)</f>
        <v>0</v>
      </c>
      <c r="AG398" s="59" t="str">
        <f>IF(ABS(AF398-F398)&lt;1,"ok","err")</f>
        <v>ok</v>
      </c>
    </row>
    <row r="399" spans="1:33" x14ac:dyDescent="0.25">
      <c r="A399" s="61"/>
      <c r="B399" s="61"/>
      <c r="F399" s="77"/>
      <c r="W399" s="45"/>
      <c r="AG399" s="59"/>
    </row>
    <row r="400" spans="1:33" x14ac:dyDescent="0.25">
      <c r="A400" s="61"/>
      <c r="B400" s="61" t="s">
        <v>327</v>
      </c>
      <c r="C400" s="45" t="s">
        <v>660</v>
      </c>
      <c r="F400" s="77">
        <f>SUM(F394:F399)</f>
        <v>264273</v>
      </c>
      <c r="H400" s="63">
        <f t="shared" ref="H400:M400" si="164">SUM(H394:H399)</f>
        <v>33625.309709017572</v>
      </c>
      <c r="I400" s="63">
        <f t="shared" si="164"/>
        <v>32766.656652446472</v>
      </c>
      <c r="J400" s="63">
        <f t="shared" si="164"/>
        <v>29708.033638535951</v>
      </c>
      <c r="K400" s="63">
        <f t="shared" si="164"/>
        <v>168173</v>
      </c>
      <c r="L400" s="63">
        <f t="shared" si="164"/>
        <v>0</v>
      </c>
      <c r="M400" s="63">
        <f t="shared" si="164"/>
        <v>0</v>
      </c>
      <c r="N400" s="63">
        <f>SUM(N394:N399)</f>
        <v>0</v>
      </c>
      <c r="O400" s="63">
        <f>SUM(O394:O399)</f>
        <v>0</v>
      </c>
      <c r="P400" s="63">
        <f>SUM(P394:P399)</f>
        <v>0</v>
      </c>
      <c r="Q400" s="63">
        <f t="shared" ref="Q400:AB400" si="165">SUM(Q394:Q399)</f>
        <v>0</v>
      </c>
      <c r="R400" s="63">
        <f t="shared" si="165"/>
        <v>0</v>
      </c>
      <c r="S400" s="63">
        <f t="shared" si="165"/>
        <v>0</v>
      </c>
      <c r="T400" s="63">
        <f t="shared" si="165"/>
        <v>0</v>
      </c>
      <c r="U400" s="63">
        <f t="shared" si="165"/>
        <v>0</v>
      </c>
      <c r="V400" s="63">
        <f t="shared" si="165"/>
        <v>0</v>
      </c>
      <c r="W400" s="63">
        <f t="shared" si="165"/>
        <v>0</v>
      </c>
      <c r="X400" s="63">
        <f t="shared" si="165"/>
        <v>0</v>
      </c>
      <c r="Y400" s="63">
        <f t="shared" si="165"/>
        <v>0</v>
      </c>
      <c r="Z400" s="63">
        <f t="shared" si="165"/>
        <v>0</v>
      </c>
      <c r="AA400" s="63">
        <f t="shared" si="165"/>
        <v>0</v>
      </c>
      <c r="AB400" s="63">
        <f t="shared" si="165"/>
        <v>0</v>
      </c>
      <c r="AC400" s="63">
        <f>SUM(AC394:AC399)</f>
        <v>0</v>
      </c>
      <c r="AD400" s="63">
        <f>SUM(AD394:AD399)</f>
        <v>0</v>
      </c>
      <c r="AE400" s="63">
        <f>SUM(AE394:AE399)</f>
        <v>0</v>
      </c>
      <c r="AF400" s="64">
        <f>SUM(H400:AE400)</f>
        <v>264273</v>
      </c>
      <c r="AG400" s="59" t="str">
        <f>IF(ABS(AF400-F400)&lt;1,"ok","err")</f>
        <v>ok</v>
      </c>
    </row>
    <row r="401" spans="1:33" x14ac:dyDescent="0.25">
      <c r="A401" s="61"/>
      <c r="B401" s="61"/>
      <c r="F401" s="77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4"/>
      <c r="AG401" s="59"/>
    </row>
    <row r="402" spans="1:33" x14ac:dyDescent="0.25">
      <c r="A402" s="61"/>
      <c r="B402" s="61" t="s">
        <v>326</v>
      </c>
      <c r="F402" s="77">
        <f>F391+F400</f>
        <v>576114</v>
      </c>
      <c r="H402" s="63">
        <f t="shared" ref="H402:M402" si="166">H391+H400</f>
        <v>142738.21506770383</v>
      </c>
      <c r="I402" s="63">
        <f t="shared" si="166"/>
        <v>139093.26411504336</v>
      </c>
      <c r="J402" s="63">
        <f t="shared" si="166"/>
        <v>126109.52081725282</v>
      </c>
      <c r="K402" s="63">
        <f t="shared" si="166"/>
        <v>168173</v>
      </c>
      <c r="L402" s="63">
        <f t="shared" si="166"/>
        <v>0</v>
      </c>
      <c r="M402" s="63">
        <f t="shared" si="166"/>
        <v>0</v>
      </c>
      <c r="N402" s="63">
        <f>N391+N400</f>
        <v>0</v>
      </c>
      <c r="O402" s="63">
        <f>O391+O400</f>
        <v>0</v>
      </c>
      <c r="P402" s="63">
        <f>P391+P400</f>
        <v>0</v>
      </c>
      <c r="Q402" s="63">
        <f t="shared" ref="Q402:AB402" si="167">Q391+Q400</f>
        <v>0</v>
      </c>
      <c r="R402" s="63">
        <f t="shared" si="167"/>
        <v>0</v>
      </c>
      <c r="S402" s="63">
        <f t="shared" si="167"/>
        <v>0</v>
      </c>
      <c r="T402" s="63">
        <f t="shared" si="167"/>
        <v>0</v>
      </c>
      <c r="U402" s="63">
        <f t="shared" si="167"/>
        <v>0</v>
      </c>
      <c r="V402" s="63">
        <f t="shared" si="167"/>
        <v>0</v>
      </c>
      <c r="W402" s="63">
        <f t="shared" si="167"/>
        <v>0</v>
      </c>
      <c r="X402" s="63">
        <f t="shared" si="167"/>
        <v>0</v>
      </c>
      <c r="Y402" s="63">
        <f t="shared" si="167"/>
        <v>0</v>
      </c>
      <c r="Z402" s="63">
        <f t="shared" si="167"/>
        <v>0</v>
      </c>
      <c r="AA402" s="63">
        <f t="shared" si="167"/>
        <v>0</v>
      </c>
      <c r="AB402" s="63">
        <f t="shared" si="167"/>
        <v>0</v>
      </c>
      <c r="AC402" s="63">
        <f>AC391+AC400</f>
        <v>0</v>
      </c>
      <c r="AD402" s="63">
        <f>AD391+AD400</f>
        <v>0</v>
      </c>
      <c r="AE402" s="63">
        <f>AE391+AE400</f>
        <v>0</v>
      </c>
      <c r="AF402" s="64">
        <f>SUM(H402:AE402)</f>
        <v>576114</v>
      </c>
      <c r="AG402" s="59" t="str">
        <f>IF(ABS(AF402-F402)&lt;1,"ok","err")</f>
        <v>ok</v>
      </c>
    </row>
    <row r="403" spans="1:33" x14ac:dyDescent="0.25">
      <c r="A403" s="61"/>
      <c r="B403" s="61"/>
      <c r="F403" s="77"/>
      <c r="W403" s="45"/>
      <c r="AF403" s="64"/>
      <c r="AG403" s="59"/>
    </row>
    <row r="404" spans="1:33" x14ac:dyDescent="0.25">
      <c r="A404" s="60" t="s">
        <v>45</v>
      </c>
      <c r="B404" s="61"/>
      <c r="F404" s="77"/>
      <c r="W404" s="45"/>
      <c r="AF404" s="64"/>
      <c r="AG404" s="59"/>
    </row>
    <row r="405" spans="1:33" x14ac:dyDescent="0.25">
      <c r="A405" s="61"/>
      <c r="B405" s="61"/>
      <c r="F405" s="77"/>
      <c r="W405" s="45"/>
      <c r="AF405" s="64"/>
      <c r="AG405" s="59"/>
    </row>
    <row r="406" spans="1:33" x14ac:dyDescent="0.25">
      <c r="A406" s="66" t="s">
        <v>235</v>
      </c>
      <c r="B406" s="61"/>
      <c r="F406" s="77"/>
      <c r="W406" s="45"/>
      <c r="AF406" s="64"/>
      <c r="AG406" s="59"/>
    </row>
    <row r="407" spans="1:33" x14ac:dyDescent="0.25">
      <c r="A407" s="61">
        <v>546</v>
      </c>
      <c r="B407" s="61" t="s">
        <v>210</v>
      </c>
      <c r="C407" s="45" t="s">
        <v>294</v>
      </c>
      <c r="D407" s="45" t="s">
        <v>653</v>
      </c>
      <c r="F407" s="77">
        <v>0</v>
      </c>
      <c r="H407" s="64">
        <f t="shared" ref="H407:Q411" si="168">IF(VLOOKUP($D407,$C$6:$AE$651,H$2,)=0,0,((VLOOKUP($D407,$C$6:$AE$651,H$2,)/VLOOKUP($D407,$C$6:$AE$651,4,))*$F407))</f>
        <v>0</v>
      </c>
      <c r="I407" s="64">
        <f t="shared" si="168"/>
        <v>0</v>
      </c>
      <c r="J407" s="64">
        <f t="shared" si="168"/>
        <v>0</v>
      </c>
      <c r="K407" s="64">
        <f t="shared" si="168"/>
        <v>0</v>
      </c>
      <c r="L407" s="64">
        <f t="shared" si="168"/>
        <v>0</v>
      </c>
      <c r="M407" s="64">
        <f t="shared" si="168"/>
        <v>0</v>
      </c>
      <c r="N407" s="64">
        <f t="shared" si="168"/>
        <v>0</v>
      </c>
      <c r="O407" s="64">
        <f t="shared" si="168"/>
        <v>0</v>
      </c>
      <c r="P407" s="64">
        <f t="shared" si="168"/>
        <v>0</v>
      </c>
      <c r="Q407" s="64">
        <f t="shared" si="168"/>
        <v>0</v>
      </c>
      <c r="R407" s="64">
        <f t="shared" ref="R407:AE411" si="169">IF(VLOOKUP($D407,$C$6:$AE$651,R$2,)=0,0,((VLOOKUP($D407,$C$6:$AE$651,R$2,)/VLOOKUP($D407,$C$6:$AE$651,4,))*$F407))</f>
        <v>0</v>
      </c>
      <c r="S407" s="64">
        <f t="shared" si="169"/>
        <v>0</v>
      </c>
      <c r="T407" s="64">
        <f t="shared" si="169"/>
        <v>0</v>
      </c>
      <c r="U407" s="64">
        <f t="shared" si="169"/>
        <v>0</v>
      </c>
      <c r="V407" s="64">
        <f t="shared" si="169"/>
        <v>0</v>
      </c>
      <c r="W407" s="64">
        <f t="shared" si="169"/>
        <v>0</v>
      </c>
      <c r="X407" s="64">
        <f t="shared" si="169"/>
        <v>0</v>
      </c>
      <c r="Y407" s="64">
        <f t="shared" si="169"/>
        <v>0</v>
      </c>
      <c r="Z407" s="64">
        <f t="shared" si="169"/>
        <v>0</v>
      </c>
      <c r="AA407" s="64">
        <f t="shared" si="169"/>
        <v>0</v>
      </c>
      <c r="AB407" s="64">
        <f t="shared" si="169"/>
        <v>0</v>
      </c>
      <c r="AC407" s="64">
        <f t="shared" si="169"/>
        <v>0</v>
      </c>
      <c r="AD407" s="64">
        <f t="shared" si="169"/>
        <v>0</v>
      </c>
      <c r="AE407" s="64">
        <f t="shared" si="169"/>
        <v>0</v>
      </c>
      <c r="AF407" s="64">
        <f t="shared" ref="AF407:AF413" si="170">SUM(H407:AE407)</f>
        <v>0</v>
      </c>
      <c r="AG407" s="59" t="str">
        <f>IF(ABS(AF407-F407)&lt;1,"ok","err")</f>
        <v>ok</v>
      </c>
    </row>
    <row r="408" spans="1:33" x14ac:dyDescent="0.25">
      <c r="A408" s="61">
        <v>547</v>
      </c>
      <c r="B408" s="61" t="s">
        <v>212</v>
      </c>
      <c r="C408" s="45" t="s">
        <v>295</v>
      </c>
      <c r="D408" s="45" t="s">
        <v>952</v>
      </c>
      <c r="F408" s="80">
        <v>0</v>
      </c>
      <c r="H408" s="64">
        <f t="shared" si="168"/>
        <v>0</v>
      </c>
      <c r="I408" s="64">
        <f t="shared" si="168"/>
        <v>0</v>
      </c>
      <c r="J408" s="64">
        <f t="shared" si="168"/>
        <v>0</v>
      </c>
      <c r="K408" s="64">
        <f t="shared" si="168"/>
        <v>0</v>
      </c>
      <c r="L408" s="64">
        <f t="shared" si="168"/>
        <v>0</v>
      </c>
      <c r="M408" s="64">
        <f t="shared" si="168"/>
        <v>0</v>
      </c>
      <c r="N408" s="64">
        <f t="shared" si="168"/>
        <v>0</v>
      </c>
      <c r="O408" s="64">
        <f t="shared" si="168"/>
        <v>0</v>
      </c>
      <c r="P408" s="64">
        <f t="shared" si="168"/>
        <v>0</v>
      </c>
      <c r="Q408" s="64">
        <f t="shared" si="168"/>
        <v>0</v>
      </c>
      <c r="R408" s="64">
        <f t="shared" si="169"/>
        <v>0</v>
      </c>
      <c r="S408" s="64">
        <f t="shared" si="169"/>
        <v>0</v>
      </c>
      <c r="T408" s="64">
        <f t="shared" si="169"/>
        <v>0</v>
      </c>
      <c r="U408" s="64">
        <f t="shared" si="169"/>
        <v>0</v>
      </c>
      <c r="V408" s="64">
        <f t="shared" si="169"/>
        <v>0</v>
      </c>
      <c r="W408" s="64">
        <f t="shared" si="169"/>
        <v>0</v>
      </c>
      <c r="X408" s="64">
        <f t="shared" si="169"/>
        <v>0</v>
      </c>
      <c r="Y408" s="64">
        <f t="shared" si="169"/>
        <v>0</v>
      </c>
      <c r="Z408" s="64">
        <f t="shared" si="169"/>
        <v>0</v>
      </c>
      <c r="AA408" s="64">
        <f t="shared" si="169"/>
        <v>0</v>
      </c>
      <c r="AB408" s="64">
        <f t="shared" si="169"/>
        <v>0</v>
      </c>
      <c r="AC408" s="64">
        <f t="shared" si="169"/>
        <v>0</v>
      </c>
      <c r="AD408" s="64">
        <f t="shared" si="169"/>
        <v>0</v>
      </c>
      <c r="AE408" s="64">
        <f t="shared" si="169"/>
        <v>0</v>
      </c>
      <c r="AF408" s="64">
        <f t="shared" si="170"/>
        <v>0</v>
      </c>
      <c r="AG408" s="59" t="str">
        <f>IF(ABS(AF408-F408)&lt;1,"ok","err")</f>
        <v>ok</v>
      </c>
    </row>
    <row r="409" spans="1:33" x14ac:dyDescent="0.25">
      <c r="A409" s="61">
        <v>548</v>
      </c>
      <c r="B409" s="61" t="s">
        <v>238</v>
      </c>
      <c r="C409" s="45" t="s">
        <v>296</v>
      </c>
      <c r="D409" s="45" t="s">
        <v>653</v>
      </c>
      <c r="F409" s="80">
        <v>146403</v>
      </c>
      <c r="H409" s="64">
        <f t="shared" si="168"/>
        <v>51226.287381158167</v>
      </c>
      <c r="I409" s="64">
        <f t="shared" si="168"/>
        <v>49918.177251697409</v>
      </c>
      <c r="J409" s="64">
        <f t="shared" si="168"/>
        <v>45258.535367144425</v>
      </c>
      <c r="K409" s="64">
        <f t="shared" si="168"/>
        <v>0</v>
      </c>
      <c r="L409" s="64">
        <f t="shared" si="168"/>
        <v>0</v>
      </c>
      <c r="M409" s="64">
        <f t="shared" si="168"/>
        <v>0</v>
      </c>
      <c r="N409" s="64">
        <f t="shared" si="168"/>
        <v>0</v>
      </c>
      <c r="O409" s="64">
        <f t="shared" si="168"/>
        <v>0</v>
      </c>
      <c r="P409" s="64">
        <f t="shared" si="168"/>
        <v>0</v>
      </c>
      <c r="Q409" s="64">
        <f t="shared" si="168"/>
        <v>0</v>
      </c>
      <c r="R409" s="64">
        <f t="shared" si="169"/>
        <v>0</v>
      </c>
      <c r="S409" s="64">
        <f t="shared" si="169"/>
        <v>0</v>
      </c>
      <c r="T409" s="64">
        <f t="shared" si="169"/>
        <v>0</v>
      </c>
      <c r="U409" s="64">
        <f t="shared" si="169"/>
        <v>0</v>
      </c>
      <c r="V409" s="64">
        <f t="shared" si="169"/>
        <v>0</v>
      </c>
      <c r="W409" s="64">
        <f t="shared" si="169"/>
        <v>0</v>
      </c>
      <c r="X409" s="64">
        <f t="shared" si="169"/>
        <v>0</v>
      </c>
      <c r="Y409" s="64">
        <f t="shared" si="169"/>
        <v>0</v>
      </c>
      <c r="Z409" s="64">
        <f t="shared" si="169"/>
        <v>0</v>
      </c>
      <c r="AA409" s="64">
        <f t="shared" si="169"/>
        <v>0</v>
      </c>
      <c r="AB409" s="64">
        <f t="shared" si="169"/>
        <v>0</v>
      </c>
      <c r="AC409" s="64">
        <f t="shared" si="169"/>
        <v>0</v>
      </c>
      <c r="AD409" s="64">
        <f t="shared" si="169"/>
        <v>0</v>
      </c>
      <c r="AE409" s="64">
        <f t="shared" si="169"/>
        <v>0</v>
      </c>
      <c r="AF409" s="64">
        <f t="shared" si="170"/>
        <v>146403</v>
      </c>
      <c r="AG409" s="59" t="str">
        <f>IF(ABS(AF409-F409)&lt;1,"ok","err")</f>
        <v>ok</v>
      </c>
    </row>
    <row r="410" spans="1:33" x14ac:dyDescent="0.25">
      <c r="A410" s="61">
        <v>549</v>
      </c>
      <c r="B410" s="61" t="s">
        <v>240</v>
      </c>
      <c r="C410" s="45" t="s">
        <v>297</v>
      </c>
      <c r="D410" s="45" t="s">
        <v>653</v>
      </c>
      <c r="F410" s="80">
        <v>384254</v>
      </c>
      <c r="H410" s="64">
        <f t="shared" si="168"/>
        <v>134450.15355805244</v>
      </c>
      <c r="I410" s="64">
        <f t="shared" si="168"/>
        <v>131016.84584109434</v>
      </c>
      <c r="J410" s="64">
        <f t="shared" si="168"/>
        <v>118787.00060085322</v>
      </c>
      <c r="K410" s="64">
        <f t="shared" si="168"/>
        <v>0</v>
      </c>
      <c r="L410" s="64">
        <f t="shared" si="168"/>
        <v>0</v>
      </c>
      <c r="M410" s="64">
        <f t="shared" si="168"/>
        <v>0</v>
      </c>
      <c r="N410" s="64">
        <f t="shared" si="168"/>
        <v>0</v>
      </c>
      <c r="O410" s="64">
        <f t="shared" si="168"/>
        <v>0</v>
      </c>
      <c r="P410" s="64">
        <f t="shared" si="168"/>
        <v>0</v>
      </c>
      <c r="Q410" s="64">
        <f t="shared" si="168"/>
        <v>0</v>
      </c>
      <c r="R410" s="64">
        <f t="shared" si="169"/>
        <v>0</v>
      </c>
      <c r="S410" s="64">
        <f t="shared" si="169"/>
        <v>0</v>
      </c>
      <c r="T410" s="64">
        <f t="shared" si="169"/>
        <v>0</v>
      </c>
      <c r="U410" s="64">
        <f t="shared" si="169"/>
        <v>0</v>
      </c>
      <c r="V410" s="64">
        <f t="shared" si="169"/>
        <v>0</v>
      </c>
      <c r="W410" s="64">
        <f t="shared" si="169"/>
        <v>0</v>
      </c>
      <c r="X410" s="64">
        <f t="shared" si="169"/>
        <v>0</v>
      </c>
      <c r="Y410" s="64">
        <f t="shared" si="169"/>
        <v>0</v>
      </c>
      <c r="Z410" s="64">
        <f t="shared" si="169"/>
        <v>0</v>
      </c>
      <c r="AA410" s="64">
        <f t="shared" si="169"/>
        <v>0</v>
      </c>
      <c r="AB410" s="64">
        <f t="shared" si="169"/>
        <v>0</v>
      </c>
      <c r="AC410" s="64">
        <f t="shared" si="169"/>
        <v>0</v>
      </c>
      <c r="AD410" s="64">
        <f t="shared" si="169"/>
        <v>0</v>
      </c>
      <c r="AE410" s="64">
        <f t="shared" si="169"/>
        <v>0</v>
      </c>
      <c r="AF410" s="64">
        <f t="shared" si="170"/>
        <v>384254</v>
      </c>
      <c r="AG410" s="59" t="str">
        <f>IF(ABS(AF410-F410)&lt;1,"ok","err")</f>
        <v>ok</v>
      </c>
    </row>
    <row r="411" spans="1:33" x14ac:dyDescent="0.25">
      <c r="A411" s="61">
        <v>550</v>
      </c>
      <c r="B411" s="61" t="s">
        <v>1026</v>
      </c>
      <c r="C411" s="45" t="s">
        <v>298</v>
      </c>
      <c r="D411" s="45" t="s">
        <v>653</v>
      </c>
      <c r="F411" s="80">
        <v>0</v>
      </c>
      <c r="H411" s="64">
        <f t="shared" si="168"/>
        <v>0</v>
      </c>
      <c r="I411" s="64">
        <f t="shared" si="168"/>
        <v>0</v>
      </c>
      <c r="J411" s="64">
        <f t="shared" si="168"/>
        <v>0</v>
      </c>
      <c r="K411" s="64">
        <f t="shared" si="168"/>
        <v>0</v>
      </c>
      <c r="L411" s="64">
        <f t="shared" si="168"/>
        <v>0</v>
      </c>
      <c r="M411" s="64">
        <f t="shared" si="168"/>
        <v>0</v>
      </c>
      <c r="N411" s="64">
        <f t="shared" si="168"/>
        <v>0</v>
      </c>
      <c r="O411" s="64">
        <f t="shared" si="168"/>
        <v>0</v>
      </c>
      <c r="P411" s="64">
        <f t="shared" si="168"/>
        <v>0</v>
      </c>
      <c r="Q411" s="64">
        <f t="shared" si="168"/>
        <v>0</v>
      </c>
      <c r="R411" s="64">
        <f t="shared" si="169"/>
        <v>0</v>
      </c>
      <c r="S411" s="64">
        <f t="shared" si="169"/>
        <v>0</v>
      </c>
      <c r="T411" s="64">
        <f t="shared" si="169"/>
        <v>0</v>
      </c>
      <c r="U411" s="64">
        <f t="shared" si="169"/>
        <v>0</v>
      </c>
      <c r="V411" s="64">
        <f t="shared" si="169"/>
        <v>0</v>
      </c>
      <c r="W411" s="64">
        <f t="shared" si="169"/>
        <v>0</v>
      </c>
      <c r="X411" s="64">
        <f t="shared" si="169"/>
        <v>0</v>
      </c>
      <c r="Y411" s="64">
        <f t="shared" si="169"/>
        <v>0</v>
      </c>
      <c r="Z411" s="64">
        <f t="shared" si="169"/>
        <v>0</v>
      </c>
      <c r="AA411" s="64">
        <f t="shared" si="169"/>
        <v>0</v>
      </c>
      <c r="AB411" s="64">
        <f t="shared" si="169"/>
        <v>0</v>
      </c>
      <c r="AC411" s="64">
        <f t="shared" si="169"/>
        <v>0</v>
      </c>
      <c r="AD411" s="64">
        <f t="shared" si="169"/>
        <v>0</v>
      </c>
      <c r="AE411" s="64">
        <f t="shared" si="169"/>
        <v>0</v>
      </c>
      <c r="AF411" s="64">
        <f t="shared" si="170"/>
        <v>0</v>
      </c>
      <c r="AG411" s="59" t="str">
        <f>IF(ABS(AF411-F411)&lt;1,"ok","err")</f>
        <v>ok</v>
      </c>
    </row>
    <row r="412" spans="1:33" x14ac:dyDescent="0.25">
      <c r="A412" s="61"/>
      <c r="B412" s="61"/>
      <c r="F412" s="80"/>
      <c r="W412" s="45"/>
      <c r="AF412" s="64"/>
      <c r="AG412" s="59"/>
    </row>
    <row r="413" spans="1:33" x14ac:dyDescent="0.25">
      <c r="A413" s="61"/>
      <c r="B413" s="61" t="s">
        <v>243</v>
      </c>
      <c r="C413" s="45" t="s">
        <v>661</v>
      </c>
      <c r="F413" s="77">
        <f>SUM(F407:F412)</f>
        <v>530657</v>
      </c>
      <c r="H413" s="63">
        <f t="shared" ref="H413:M413" si="171">SUM(H407:H412)</f>
        <v>185676.44093921059</v>
      </c>
      <c r="I413" s="63">
        <f t="shared" si="171"/>
        <v>180935.02309279176</v>
      </c>
      <c r="J413" s="63">
        <f t="shared" si="171"/>
        <v>164045.53596799765</v>
      </c>
      <c r="K413" s="63">
        <f t="shared" si="171"/>
        <v>0</v>
      </c>
      <c r="L413" s="63">
        <f t="shared" si="171"/>
        <v>0</v>
      </c>
      <c r="M413" s="63">
        <f t="shared" si="171"/>
        <v>0</v>
      </c>
      <c r="N413" s="63">
        <f>SUM(N407:N412)</f>
        <v>0</v>
      </c>
      <c r="O413" s="63">
        <f>SUM(O407:O412)</f>
        <v>0</v>
      </c>
      <c r="P413" s="63">
        <f>SUM(P407:P412)</f>
        <v>0</v>
      </c>
      <c r="Q413" s="63">
        <f t="shared" ref="Q413:AB413" si="172">SUM(Q407:Q412)</f>
        <v>0</v>
      </c>
      <c r="R413" s="63">
        <f t="shared" si="172"/>
        <v>0</v>
      </c>
      <c r="S413" s="63">
        <f t="shared" si="172"/>
        <v>0</v>
      </c>
      <c r="T413" s="63">
        <f t="shared" si="172"/>
        <v>0</v>
      </c>
      <c r="U413" s="63">
        <f t="shared" si="172"/>
        <v>0</v>
      </c>
      <c r="V413" s="63">
        <f t="shared" si="172"/>
        <v>0</v>
      </c>
      <c r="W413" s="63">
        <f t="shared" si="172"/>
        <v>0</v>
      </c>
      <c r="X413" s="63">
        <f t="shared" si="172"/>
        <v>0</v>
      </c>
      <c r="Y413" s="63">
        <f t="shared" si="172"/>
        <v>0</v>
      </c>
      <c r="Z413" s="63">
        <f t="shared" si="172"/>
        <v>0</v>
      </c>
      <c r="AA413" s="63">
        <f t="shared" si="172"/>
        <v>0</v>
      </c>
      <c r="AB413" s="63">
        <f t="shared" si="172"/>
        <v>0</v>
      </c>
      <c r="AC413" s="63">
        <f>SUM(AC407:AC412)</f>
        <v>0</v>
      </c>
      <c r="AD413" s="63">
        <f>SUM(AD407:AD412)</f>
        <v>0</v>
      </c>
      <c r="AE413" s="63">
        <f>SUM(AE407:AE412)</f>
        <v>0</v>
      </c>
      <c r="AF413" s="64">
        <f t="shared" si="170"/>
        <v>530657</v>
      </c>
      <c r="AG413" s="59" t="str">
        <f>IF(ABS(AF413-F413)&lt;1,"ok","err")</f>
        <v>ok</v>
      </c>
    </row>
    <row r="414" spans="1:33" x14ac:dyDescent="0.25">
      <c r="A414" s="61"/>
      <c r="B414" s="61"/>
      <c r="F414" s="77"/>
      <c r="W414" s="45"/>
      <c r="AF414" s="64"/>
      <c r="AG414" s="59"/>
    </row>
    <row r="415" spans="1:33" x14ac:dyDescent="0.25">
      <c r="A415" s="66" t="s">
        <v>244</v>
      </c>
      <c r="B415" s="61"/>
      <c r="F415" s="77"/>
      <c r="W415" s="45"/>
      <c r="AF415" s="64"/>
      <c r="AG415" s="59"/>
    </row>
    <row r="416" spans="1:33" x14ac:dyDescent="0.25">
      <c r="A416" s="61">
        <v>551</v>
      </c>
      <c r="B416" s="61" t="s">
        <v>225</v>
      </c>
      <c r="C416" s="45" t="s">
        <v>299</v>
      </c>
      <c r="D416" s="45" t="s">
        <v>653</v>
      </c>
      <c r="F416" s="77">
        <v>0</v>
      </c>
      <c r="H416" s="64">
        <f t="shared" ref="H416:Q419" si="173">IF(VLOOKUP($D416,$C$6:$AE$651,H$2,)=0,0,((VLOOKUP($D416,$C$6:$AE$651,H$2,)/VLOOKUP($D416,$C$6:$AE$651,4,))*$F416))</f>
        <v>0</v>
      </c>
      <c r="I416" s="64">
        <f t="shared" si="173"/>
        <v>0</v>
      </c>
      <c r="J416" s="64">
        <f t="shared" si="173"/>
        <v>0</v>
      </c>
      <c r="K416" s="64">
        <f t="shared" si="173"/>
        <v>0</v>
      </c>
      <c r="L416" s="64">
        <f t="shared" si="173"/>
        <v>0</v>
      </c>
      <c r="M416" s="64">
        <f t="shared" si="173"/>
        <v>0</v>
      </c>
      <c r="N416" s="64">
        <f t="shared" si="173"/>
        <v>0</v>
      </c>
      <c r="O416" s="64">
        <f t="shared" si="173"/>
        <v>0</v>
      </c>
      <c r="P416" s="64">
        <f t="shared" si="173"/>
        <v>0</v>
      </c>
      <c r="Q416" s="64">
        <f t="shared" si="173"/>
        <v>0</v>
      </c>
      <c r="R416" s="64">
        <f t="shared" ref="R416:AE419" si="174">IF(VLOOKUP($D416,$C$6:$AE$651,R$2,)=0,0,((VLOOKUP($D416,$C$6:$AE$651,R$2,)/VLOOKUP($D416,$C$6:$AE$651,4,))*$F416))</f>
        <v>0</v>
      </c>
      <c r="S416" s="64">
        <f t="shared" si="174"/>
        <v>0</v>
      </c>
      <c r="T416" s="64">
        <f t="shared" si="174"/>
        <v>0</v>
      </c>
      <c r="U416" s="64">
        <f t="shared" si="174"/>
        <v>0</v>
      </c>
      <c r="V416" s="64">
        <f t="shared" si="174"/>
        <v>0</v>
      </c>
      <c r="W416" s="64">
        <f t="shared" si="174"/>
        <v>0</v>
      </c>
      <c r="X416" s="64">
        <f t="shared" si="174"/>
        <v>0</v>
      </c>
      <c r="Y416" s="64">
        <f t="shared" si="174"/>
        <v>0</v>
      </c>
      <c r="Z416" s="64">
        <f t="shared" si="174"/>
        <v>0</v>
      </c>
      <c r="AA416" s="64">
        <f t="shared" si="174"/>
        <v>0</v>
      </c>
      <c r="AB416" s="64">
        <f t="shared" si="174"/>
        <v>0</v>
      </c>
      <c r="AC416" s="64">
        <f t="shared" si="174"/>
        <v>0</v>
      </c>
      <c r="AD416" s="64">
        <f t="shared" si="174"/>
        <v>0</v>
      </c>
      <c r="AE416" s="64">
        <f t="shared" si="174"/>
        <v>0</v>
      </c>
      <c r="AF416" s="64">
        <f t="shared" ref="AF416:AF423" si="175">SUM(H416:AE416)</f>
        <v>0</v>
      </c>
      <c r="AG416" s="59" t="str">
        <f>IF(ABS(AF416-F416)&lt;1,"ok","err")</f>
        <v>ok</v>
      </c>
    </row>
    <row r="417" spans="1:33" x14ac:dyDescent="0.25">
      <c r="A417" s="61">
        <v>552</v>
      </c>
      <c r="B417" s="61" t="s">
        <v>224</v>
      </c>
      <c r="C417" s="45" t="s">
        <v>300</v>
      </c>
      <c r="D417" s="45" t="s">
        <v>653</v>
      </c>
      <c r="F417" s="80">
        <v>-0.38999999999941792</v>
      </c>
      <c r="H417" s="64">
        <f t="shared" si="173"/>
        <v>-0.1364606741570997</v>
      </c>
      <c r="I417" s="64">
        <f t="shared" si="173"/>
        <v>-0.13297602595666028</v>
      </c>
      <c r="J417" s="64">
        <f t="shared" si="173"/>
        <v>-0.12056329988565796</v>
      </c>
      <c r="K417" s="64">
        <f t="shared" si="173"/>
        <v>0</v>
      </c>
      <c r="L417" s="64">
        <f t="shared" si="173"/>
        <v>0</v>
      </c>
      <c r="M417" s="64">
        <f t="shared" si="173"/>
        <v>0</v>
      </c>
      <c r="N417" s="64">
        <f t="shared" si="173"/>
        <v>0</v>
      </c>
      <c r="O417" s="64">
        <f t="shared" si="173"/>
        <v>0</v>
      </c>
      <c r="P417" s="64">
        <f t="shared" si="173"/>
        <v>0</v>
      </c>
      <c r="Q417" s="64">
        <f t="shared" si="173"/>
        <v>0</v>
      </c>
      <c r="R417" s="64">
        <f t="shared" si="174"/>
        <v>0</v>
      </c>
      <c r="S417" s="64">
        <f t="shared" si="174"/>
        <v>0</v>
      </c>
      <c r="T417" s="64">
        <f t="shared" si="174"/>
        <v>0</v>
      </c>
      <c r="U417" s="64">
        <f t="shared" si="174"/>
        <v>0</v>
      </c>
      <c r="V417" s="64">
        <f t="shared" si="174"/>
        <v>0</v>
      </c>
      <c r="W417" s="64">
        <f t="shared" si="174"/>
        <v>0</v>
      </c>
      <c r="X417" s="64">
        <f t="shared" si="174"/>
        <v>0</v>
      </c>
      <c r="Y417" s="64">
        <f t="shared" si="174"/>
        <v>0</v>
      </c>
      <c r="Z417" s="64">
        <f t="shared" si="174"/>
        <v>0</v>
      </c>
      <c r="AA417" s="64">
        <f t="shared" si="174"/>
        <v>0</v>
      </c>
      <c r="AB417" s="64">
        <f t="shared" si="174"/>
        <v>0</v>
      </c>
      <c r="AC417" s="64">
        <f t="shared" si="174"/>
        <v>0</v>
      </c>
      <c r="AD417" s="64">
        <f t="shared" si="174"/>
        <v>0</v>
      </c>
      <c r="AE417" s="64">
        <f t="shared" si="174"/>
        <v>0</v>
      </c>
      <c r="AF417" s="64">
        <f t="shared" si="175"/>
        <v>-0.38999999999941792</v>
      </c>
      <c r="AG417" s="59" t="str">
        <f>IF(ABS(AF417-F417)&lt;1,"ok","err")</f>
        <v>ok</v>
      </c>
    </row>
    <row r="418" spans="1:33" x14ac:dyDescent="0.25">
      <c r="A418" s="61">
        <v>553</v>
      </c>
      <c r="B418" s="61" t="s">
        <v>247</v>
      </c>
      <c r="C418" s="45" t="s">
        <v>301</v>
      </c>
      <c r="D418" s="45" t="s">
        <v>653</v>
      </c>
      <c r="F418" s="80">
        <v>217632.39</v>
      </c>
      <c r="H418" s="64">
        <f t="shared" si="173"/>
        <v>76149.391430423508</v>
      </c>
      <c r="I418" s="64">
        <f t="shared" si="173"/>
        <v>74204.847029982571</v>
      </c>
      <c r="J418" s="64">
        <f t="shared" si="173"/>
        <v>67278.15153959392</v>
      </c>
      <c r="K418" s="64">
        <f t="shared" si="173"/>
        <v>0</v>
      </c>
      <c r="L418" s="64">
        <f t="shared" si="173"/>
        <v>0</v>
      </c>
      <c r="M418" s="64">
        <f t="shared" si="173"/>
        <v>0</v>
      </c>
      <c r="N418" s="64">
        <f t="shared" si="173"/>
        <v>0</v>
      </c>
      <c r="O418" s="64">
        <f t="shared" si="173"/>
        <v>0</v>
      </c>
      <c r="P418" s="64">
        <f t="shared" si="173"/>
        <v>0</v>
      </c>
      <c r="Q418" s="64">
        <f t="shared" si="173"/>
        <v>0</v>
      </c>
      <c r="R418" s="64">
        <f t="shared" si="174"/>
        <v>0</v>
      </c>
      <c r="S418" s="64">
        <f t="shared" si="174"/>
        <v>0</v>
      </c>
      <c r="T418" s="64">
        <f t="shared" si="174"/>
        <v>0</v>
      </c>
      <c r="U418" s="64">
        <f t="shared" si="174"/>
        <v>0</v>
      </c>
      <c r="V418" s="64">
        <f t="shared" si="174"/>
        <v>0</v>
      </c>
      <c r="W418" s="64">
        <f t="shared" si="174"/>
        <v>0</v>
      </c>
      <c r="X418" s="64">
        <f t="shared" si="174"/>
        <v>0</v>
      </c>
      <c r="Y418" s="64">
        <f t="shared" si="174"/>
        <v>0</v>
      </c>
      <c r="Z418" s="64">
        <f t="shared" si="174"/>
        <v>0</v>
      </c>
      <c r="AA418" s="64">
        <f t="shared" si="174"/>
        <v>0</v>
      </c>
      <c r="AB418" s="64">
        <f t="shared" si="174"/>
        <v>0</v>
      </c>
      <c r="AC418" s="64">
        <f t="shared" si="174"/>
        <v>0</v>
      </c>
      <c r="AD418" s="64">
        <f t="shared" si="174"/>
        <v>0</v>
      </c>
      <c r="AE418" s="64">
        <f t="shared" si="174"/>
        <v>0</v>
      </c>
      <c r="AF418" s="64">
        <f t="shared" si="175"/>
        <v>217632.39</v>
      </c>
      <c r="AG418" s="59" t="str">
        <f>IF(ABS(AF418-F418)&lt;1,"ok","err")</f>
        <v>ok</v>
      </c>
    </row>
    <row r="419" spans="1:33" x14ac:dyDescent="0.25">
      <c r="A419" s="61">
        <v>554</v>
      </c>
      <c r="B419" s="61" t="s">
        <v>249</v>
      </c>
      <c r="C419" s="45" t="s">
        <v>302</v>
      </c>
      <c r="D419" s="45" t="s">
        <v>653</v>
      </c>
      <c r="F419" s="80">
        <v>441652</v>
      </c>
      <c r="H419" s="64">
        <f t="shared" si="173"/>
        <v>154533.66580236243</v>
      </c>
      <c r="I419" s="64">
        <f t="shared" si="173"/>
        <v>150587.50722025274</v>
      </c>
      <c r="J419" s="64">
        <f t="shared" si="173"/>
        <v>136530.82697738483</v>
      </c>
      <c r="K419" s="64">
        <f t="shared" si="173"/>
        <v>0</v>
      </c>
      <c r="L419" s="64">
        <f t="shared" si="173"/>
        <v>0</v>
      </c>
      <c r="M419" s="64">
        <f t="shared" si="173"/>
        <v>0</v>
      </c>
      <c r="N419" s="64">
        <f t="shared" si="173"/>
        <v>0</v>
      </c>
      <c r="O419" s="64">
        <f t="shared" si="173"/>
        <v>0</v>
      </c>
      <c r="P419" s="64">
        <f t="shared" si="173"/>
        <v>0</v>
      </c>
      <c r="Q419" s="64">
        <f t="shared" si="173"/>
        <v>0</v>
      </c>
      <c r="R419" s="64">
        <f t="shared" si="174"/>
        <v>0</v>
      </c>
      <c r="S419" s="64">
        <f t="shared" si="174"/>
        <v>0</v>
      </c>
      <c r="T419" s="64">
        <f t="shared" si="174"/>
        <v>0</v>
      </c>
      <c r="U419" s="64">
        <f t="shared" si="174"/>
        <v>0</v>
      </c>
      <c r="V419" s="64">
        <f t="shared" si="174"/>
        <v>0</v>
      </c>
      <c r="W419" s="64">
        <f t="shared" si="174"/>
        <v>0</v>
      </c>
      <c r="X419" s="64">
        <f t="shared" si="174"/>
        <v>0</v>
      </c>
      <c r="Y419" s="64">
        <f t="shared" si="174"/>
        <v>0</v>
      </c>
      <c r="Z419" s="64">
        <f t="shared" si="174"/>
        <v>0</v>
      </c>
      <c r="AA419" s="64">
        <f t="shared" si="174"/>
        <v>0</v>
      </c>
      <c r="AB419" s="64">
        <f t="shared" si="174"/>
        <v>0</v>
      </c>
      <c r="AC419" s="64">
        <f t="shared" si="174"/>
        <v>0</v>
      </c>
      <c r="AD419" s="64">
        <f t="shared" si="174"/>
        <v>0</v>
      </c>
      <c r="AE419" s="64">
        <f t="shared" si="174"/>
        <v>0</v>
      </c>
      <c r="AF419" s="64">
        <f t="shared" si="175"/>
        <v>441652</v>
      </c>
      <c r="AG419" s="59" t="str">
        <f>IF(ABS(AF419-F419)&lt;1,"ok","err")</f>
        <v>ok</v>
      </c>
    </row>
    <row r="420" spans="1:33" x14ac:dyDescent="0.25">
      <c r="A420" s="61"/>
      <c r="B420" s="61"/>
      <c r="F420" s="80"/>
      <c r="W420" s="45"/>
      <c r="AF420" s="64"/>
      <c r="AG420" s="59"/>
    </row>
    <row r="421" spans="1:33" x14ac:dyDescent="0.25">
      <c r="A421" s="61"/>
      <c r="B421" s="61" t="s">
        <v>252</v>
      </c>
      <c r="C421" s="45" t="s">
        <v>662</v>
      </c>
      <c r="F421" s="77">
        <f>SUM(F416:F420)</f>
        <v>659284</v>
      </c>
      <c r="H421" s="63">
        <f t="shared" ref="H421:M421" si="176">SUM(H416:H420)</f>
        <v>230682.9207721118</v>
      </c>
      <c r="I421" s="63">
        <f t="shared" si="176"/>
        <v>224792.22127420935</v>
      </c>
      <c r="J421" s="63">
        <f t="shared" si="176"/>
        <v>203808.85795367887</v>
      </c>
      <c r="K421" s="63">
        <f t="shared" si="176"/>
        <v>0</v>
      </c>
      <c r="L421" s="63">
        <f t="shared" si="176"/>
        <v>0</v>
      </c>
      <c r="M421" s="63">
        <f t="shared" si="176"/>
        <v>0</v>
      </c>
      <c r="N421" s="63">
        <f>SUM(N416:N420)</f>
        <v>0</v>
      </c>
      <c r="O421" s="63">
        <f>SUM(O416:O420)</f>
        <v>0</v>
      </c>
      <c r="P421" s="63">
        <f>SUM(P416:P420)</f>
        <v>0</v>
      </c>
      <c r="Q421" s="63">
        <f t="shared" ref="Q421:AB421" si="177">SUM(Q416:Q420)</f>
        <v>0</v>
      </c>
      <c r="R421" s="63">
        <f t="shared" si="177"/>
        <v>0</v>
      </c>
      <c r="S421" s="63">
        <f t="shared" si="177"/>
        <v>0</v>
      </c>
      <c r="T421" s="63">
        <f t="shared" si="177"/>
        <v>0</v>
      </c>
      <c r="U421" s="63">
        <f t="shared" si="177"/>
        <v>0</v>
      </c>
      <c r="V421" s="63">
        <f t="shared" si="177"/>
        <v>0</v>
      </c>
      <c r="W421" s="63">
        <f t="shared" si="177"/>
        <v>0</v>
      </c>
      <c r="X421" s="63">
        <f t="shared" si="177"/>
        <v>0</v>
      </c>
      <c r="Y421" s="63">
        <f t="shared" si="177"/>
        <v>0</v>
      </c>
      <c r="Z421" s="63">
        <f t="shared" si="177"/>
        <v>0</v>
      </c>
      <c r="AA421" s="63">
        <f t="shared" si="177"/>
        <v>0</v>
      </c>
      <c r="AB421" s="63">
        <f t="shared" si="177"/>
        <v>0</v>
      </c>
      <c r="AC421" s="63">
        <f>SUM(AC416:AC420)</f>
        <v>0</v>
      </c>
      <c r="AD421" s="63">
        <f>SUM(AD416:AD420)</f>
        <v>0</v>
      </c>
      <c r="AE421" s="63">
        <f>SUM(AE416:AE420)</f>
        <v>0</v>
      </c>
      <c r="AF421" s="64">
        <f t="shared" si="175"/>
        <v>659284</v>
      </c>
      <c r="AG421" s="59" t="str">
        <f>IF(ABS(AF421-F421)&lt;1,"ok","err")</f>
        <v>ok</v>
      </c>
    </row>
    <row r="422" spans="1:33" x14ac:dyDescent="0.25">
      <c r="A422" s="61"/>
      <c r="B422" s="61"/>
      <c r="F422" s="77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4"/>
      <c r="AG422" s="59"/>
    </row>
    <row r="423" spans="1:33" x14ac:dyDescent="0.25">
      <c r="A423" s="61"/>
      <c r="B423" s="61" t="s">
        <v>251</v>
      </c>
      <c r="F423" s="77">
        <f>F413+F421</f>
        <v>1189941</v>
      </c>
      <c r="H423" s="63">
        <f t="shared" ref="H423:M423" si="178">H413+H421</f>
        <v>416359.36171132239</v>
      </c>
      <c r="I423" s="63">
        <f t="shared" si="178"/>
        <v>405727.24436700111</v>
      </c>
      <c r="J423" s="63">
        <f t="shared" si="178"/>
        <v>367854.39392167656</v>
      </c>
      <c r="K423" s="63">
        <f t="shared" si="178"/>
        <v>0</v>
      </c>
      <c r="L423" s="63">
        <f t="shared" si="178"/>
        <v>0</v>
      </c>
      <c r="M423" s="63">
        <f t="shared" si="178"/>
        <v>0</v>
      </c>
      <c r="N423" s="63">
        <f>N413+N421</f>
        <v>0</v>
      </c>
      <c r="O423" s="63">
        <f>O413+O421</f>
        <v>0</v>
      </c>
      <c r="P423" s="63">
        <f>P413+P421</f>
        <v>0</v>
      </c>
      <c r="Q423" s="63">
        <f t="shared" ref="Q423:AB423" si="179">Q413+Q421</f>
        <v>0</v>
      </c>
      <c r="R423" s="63">
        <f t="shared" si="179"/>
        <v>0</v>
      </c>
      <c r="S423" s="63">
        <f t="shared" si="179"/>
        <v>0</v>
      </c>
      <c r="T423" s="63">
        <f t="shared" si="179"/>
        <v>0</v>
      </c>
      <c r="U423" s="63">
        <f t="shared" si="179"/>
        <v>0</v>
      </c>
      <c r="V423" s="63">
        <f t="shared" si="179"/>
        <v>0</v>
      </c>
      <c r="W423" s="63">
        <f t="shared" si="179"/>
        <v>0</v>
      </c>
      <c r="X423" s="63">
        <f t="shared" si="179"/>
        <v>0</v>
      </c>
      <c r="Y423" s="63">
        <f t="shared" si="179"/>
        <v>0</v>
      </c>
      <c r="Z423" s="63">
        <f t="shared" si="179"/>
        <v>0</v>
      </c>
      <c r="AA423" s="63">
        <f t="shared" si="179"/>
        <v>0</v>
      </c>
      <c r="AB423" s="63">
        <f t="shared" si="179"/>
        <v>0</v>
      </c>
      <c r="AC423" s="63">
        <f>AC413+AC421</f>
        <v>0</v>
      </c>
      <c r="AD423" s="63">
        <f>AD413+AD421</f>
        <v>0</v>
      </c>
      <c r="AE423" s="63">
        <f>AE413+AE421</f>
        <v>0</v>
      </c>
      <c r="AF423" s="64">
        <f t="shared" si="175"/>
        <v>1189941</v>
      </c>
      <c r="AG423" s="59" t="str">
        <f>IF(ABS(AF423-F423)&lt;1,"ok","err")</f>
        <v>ok</v>
      </c>
    </row>
    <row r="424" spans="1:33" x14ac:dyDescent="0.25">
      <c r="A424" s="61"/>
      <c r="B424" s="61"/>
      <c r="F424" s="77"/>
      <c r="W424" s="45"/>
      <c r="AF424" s="64"/>
      <c r="AG424" s="59"/>
    </row>
    <row r="425" spans="1:33" x14ac:dyDescent="0.25">
      <c r="A425" s="61"/>
      <c r="B425" s="61" t="s">
        <v>343</v>
      </c>
      <c r="C425" s="45" t="s">
        <v>344</v>
      </c>
      <c r="F425" s="77">
        <f>F381+F402+F423</f>
        <v>31764548</v>
      </c>
      <c r="H425" s="63">
        <f t="shared" ref="H425:M425" si="180">H381+H402+H423</f>
        <v>6864111.4713975135</v>
      </c>
      <c r="I425" s="63">
        <f t="shared" si="180"/>
        <v>6688830.1030900087</v>
      </c>
      <c r="J425" s="63">
        <f t="shared" si="180"/>
        <v>6064457.2869540341</v>
      </c>
      <c r="K425" s="63">
        <f t="shared" si="180"/>
        <v>12147149.138558444</v>
      </c>
      <c r="L425" s="63">
        <f t="shared" si="180"/>
        <v>0</v>
      </c>
      <c r="M425" s="63">
        <f t="shared" si="180"/>
        <v>0</v>
      </c>
      <c r="N425" s="63">
        <f>N381+N402+N423</f>
        <v>0</v>
      </c>
      <c r="O425" s="63">
        <f>O381+O402+O423</f>
        <v>0</v>
      </c>
      <c r="P425" s="63">
        <f>P381+P402+P423</f>
        <v>0</v>
      </c>
      <c r="Q425" s="63">
        <f t="shared" ref="Q425:AB425" si="181">Q381+Q402+Q423</f>
        <v>0</v>
      </c>
      <c r="R425" s="63">
        <f t="shared" si="181"/>
        <v>0</v>
      </c>
      <c r="S425" s="63">
        <f t="shared" si="181"/>
        <v>0</v>
      </c>
      <c r="T425" s="63">
        <f t="shared" si="181"/>
        <v>0</v>
      </c>
      <c r="U425" s="63">
        <f t="shared" si="181"/>
        <v>0</v>
      </c>
      <c r="V425" s="63">
        <f t="shared" si="181"/>
        <v>0</v>
      </c>
      <c r="W425" s="63">
        <f t="shared" si="181"/>
        <v>0</v>
      </c>
      <c r="X425" s="63">
        <f t="shared" si="181"/>
        <v>0</v>
      </c>
      <c r="Y425" s="63">
        <f t="shared" si="181"/>
        <v>0</v>
      </c>
      <c r="Z425" s="63">
        <f t="shared" si="181"/>
        <v>0</v>
      </c>
      <c r="AA425" s="63">
        <f t="shared" si="181"/>
        <v>0</v>
      </c>
      <c r="AB425" s="63">
        <f t="shared" si="181"/>
        <v>0</v>
      </c>
      <c r="AC425" s="63">
        <f>AC381+AC402+AC423</f>
        <v>0</v>
      </c>
      <c r="AD425" s="63">
        <f>AD381+AD402+AD423</f>
        <v>0</v>
      </c>
      <c r="AE425" s="63">
        <f>AE381+AE402+AE423</f>
        <v>0</v>
      </c>
      <c r="AF425" s="64">
        <f>SUM(H425:AE425)</f>
        <v>31764548</v>
      </c>
      <c r="AG425" s="59" t="str">
        <f>IF(ABS(AF425-F425)&lt;1,"ok","err")</f>
        <v>ok</v>
      </c>
    </row>
    <row r="426" spans="1:33" x14ac:dyDescent="0.25">
      <c r="A426" s="60"/>
      <c r="B426" s="61"/>
      <c r="W426" s="45"/>
      <c r="AG426" s="59"/>
    </row>
    <row r="427" spans="1:33" x14ac:dyDescent="0.25">
      <c r="A427" s="66" t="s">
        <v>1007</v>
      </c>
      <c r="B427" s="61"/>
      <c r="W427" s="45"/>
      <c r="AG427" s="59"/>
    </row>
    <row r="428" spans="1:33" x14ac:dyDescent="0.25">
      <c r="A428" s="61">
        <v>555</v>
      </c>
      <c r="B428" s="61" t="s">
        <v>1174</v>
      </c>
      <c r="C428" s="45" t="s">
        <v>101</v>
      </c>
      <c r="D428" s="45" t="s">
        <v>1008</v>
      </c>
      <c r="F428" s="77">
        <v>0</v>
      </c>
      <c r="G428" s="63"/>
      <c r="H428" s="64">
        <f t="shared" ref="H428:Q430" si="182">IF(VLOOKUP($D428,$C$6:$AE$651,H$2,)=0,0,((VLOOKUP($D428,$C$6:$AE$651,H$2,)/VLOOKUP($D428,$C$6:$AE$651,4,))*$F428))</f>
        <v>0</v>
      </c>
      <c r="I428" s="64">
        <f t="shared" si="182"/>
        <v>0</v>
      </c>
      <c r="J428" s="64">
        <f t="shared" si="182"/>
        <v>0</v>
      </c>
      <c r="K428" s="64">
        <f t="shared" si="182"/>
        <v>0</v>
      </c>
      <c r="L428" s="64">
        <f t="shared" si="182"/>
        <v>0</v>
      </c>
      <c r="M428" s="64">
        <f t="shared" si="182"/>
        <v>0</v>
      </c>
      <c r="N428" s="64">
        <f t="shared" si="182"/>
        <v>0</v>
      </c>
      <c r="O428" s="64">
        <f t="shared" si="182"/>
        <v>0</v>
      </c>
      <c r="P428" s="64">
        <f t="shared" si="182"/>
        <v>0</v>
      </c>
      <c r="Q428" s="64">
        <f t="shared" si="182"/>
        <v>0</v>
      </c>
      <c r="R428" s="64">
        <f t="shared" ref="R428:AE430" si="183">IF(VLOOKUP($D428,$C$6:$AE$651,R$2,)=0,0,((VLOOKUP($D428,$C$6:$AE$651,R$2,)/VLOOKUP($D428,$C$6:$AE$651,4,))*$F428))</f>
        <v>0</v>
      </c>
      <c r="S428" s="64">
        <f t="shared" si="183"/>
        <v>0</v>
      </c>
      <c r="T428" s="64">
        <f t="shared" si="183"/>
        <v>0</v>
      </c>
      <c r="U428" s="64">
        <f t="shared" si="183"/>
        <v>0</v>
      </c>
      <c r="V428" s="64">
        <f t="shared" si="183"/>
        <v>0</v>
      </c>
      <c r="W428" s="64">
        <f t="shared" si="183"/>
        <v>0</v>
      </c>
      <c r="X428" s="64">
        <f t="shared" si="183"/>
        <v>0</v>
      </c>
      <c r="Y428" s="64">
        <f t="shared" si="183"/>
        <v>0</v>
      </c>
      <c r="Z428" s="64">
        <f t="shared" si="183"/>
        <v>0</v>
      </c>
      <c r="AA428" s="64">
        <f t="shared" si="183"/>
        <v>0</v>
      </c>
      <c r="AB428" s="64">
        <f t="shared" si="183"/>
        <v>0</v>
      </c>
      <c r="AC428" s="64">
        <f t="shared" si="183"/>
        <v>0</v>
      </c>
      <c r="AD428" s="64">
        <f t="shared" si="183"/>
        <v>0</v>
      </c>
      <c r="AE428" s="64">
        <f t="shared" si="183"/>
        <v>0</v>
      </c>
      <c r="AF428" s="64">
        <f>SUM(H428:AE428)</f>
        <v>0</v>
      </c>
      <c r="AG428" s="59" t="str">
        <f>IF(ABS(AF428-F428)&lt;1,"ok","err")</f>
        <v>ok</v>
      </c>
    </row>
    <row r="429" spans="1:33" x14ac:dyDescent="0.25">
      <c r="A429" s="61">
        <v>556</v>
      </c>
      <c r="B429" s="61" t="s">
        <v>261</v>
      </c>
      <c r="C429" s="45" t="s">
        <v>615</v>
      </c>
      <c r="D429" s="45" t="s">
        <v>653</v>
      </c>
      <c r="F429" s="80">
        <v>1042003</v>
      </c>
      <c r="G429" s="63"/>
      <c r="H429" s="64">
        <f t="shared" si="182"/>
        <v>364595.97911264765</v>
      </c>
      <c r="I429" s="64">
        <f t="shared" si="182"/>
        <v>355285.68711570429</v>
      </c>
      <c r="J429" s="64">
        <f t="shared" si="182"/>
        <v>322121.33377164806</v>
      </c>
      <c r="K429" s="64">
        <f t="shared" si="182"/>
        <v>0</v>
      </c>
      <c r="L429" s="64">
        <f t="shared" si="182"/>
        <v>0</v>
      </c>
      <c r="M429" s="64">
        <f t="shared" si="182"/>
        <v>0</v>
      </c>
      <c r="N429" s="64">
        <f t="shared" si="182"/>
        <v>0</v>
      </c>
      <c r="O429" s="64">
        <f t="shared" si="182"/>
        <v>0</v>
      </c>
      <c r="P429" s="64">
        <f t="shared" si="182"/>
        <v>0</v>
      </c>
      <c r="Q429" s="64">
        <f t="shared" si="182"/>
        <v>0</v>
      </c>
      <c r="R429" s="64">
        <f t="shared" si="183"/>
        <v>0</v>
      </c>
      <c r="S429" s="64">
        <f t="shared" si="183"/>
        <v>0</v>
      </c>
      <c r="T429" s="64">
        <f t="shared" si="183"/>
        <v>0</v>
      </c>
      <c r="U429" s="64">
        <f t="shared" si="183"/>
        <v>0</v>
      </c>
      <c r="V429" s="64">
        <f t="shared" si="183"/>
        <v>0</v>
      </c>
      <c r="W429" s="64">
        <f t="shared" si="183"/>
        <v>0</v>
      </c>
      <c r="X429" s="64">
        <f t="shared" si="183"/>
        <v>0</v>
      </c>
      <c r="Y429" s="64">
        <f t="shared" si="183"/>
        <v>0</v>
      </c>
      <c r="Z429" s="64">
        <f t="shared" si="183"/>
        <v>0</v>
      </c>
      <c r="AA429" s="64">
        <f t="shared" si="183"/>
        <v>0</v>
      </c>
      <c r="AB429" s="64">
        <f t="shared" si="183"/>
        <v>0</v>
      </c>
      <c r="AC429" s="64">
        <f t="shared" si="183"/>
        <v>0</v>
      </c>
      <c r="AD429" s="64">
        <f t="shared" si="183"/>
        <v>0</v>
      </c>
      <c r="AE429" s="64">
        <f t="shared" si="183"/>
        <v>0</v>
      </c>
      <c r="AF429" s="64">
        <f>SUM(H429:AE429)</f>
        <v>1042003</v>
      </c>
      <c r="AG429" s="59" t="str">
        <f>IF(ABS(AF429-F429)&lt;1,"ok","err")</f>
        <v>ok</v>
      </c>
    </row>
    <row r="430" spans="1:33" x14ac:dyDescent="0.25">
      <c r="A430" s="61">
        <v>557</v>
      </c>
      <c r="B430" s="61" t="s">
        <v>7</v>
      </c>
      <c r="C430" s="45" t="s">
        <v>47</v>
      </c>
      <c r="D430" s="45" t="s">
        <v>653</v>
      </c>
      <c r="F430" s="80">
        <v>0</v>
      </c>
      <c r="G430" s="63"/>
      <c r="H430" s="64">
        <f t="shared" si="182"/>
        <v>0</v>
      </c>
      <c r="I430" s="64">
        <f t="shared" si="182"/>
        <v>0</v>
      </c>
      <c r="J430" s="64">
        <f t="shared" si="182"/>
        <v>0</v>
      </c>
      <c r="K430" s="64">
        <f t="shared" si="182"/>
        <v>0</v>
      </c>
      <c r="L430" s="64">
        <f t="shared" si="182"/>
        <v>0</v>
      </c>
      <c r="M430" s="64">
        <f t="shared" si="182"/>
        <v>0</v>
      </c>
      <c r="N430" s="64">
        <f t="shared" si="182"/>
        <v>0</v>
      </c>
      <c r="O430" s="64">
        <f t="shared" si="182"/>
        <v>0</v>
      </c>
      <c r="P430" s="64">
        <f t="shared" si="182"/>
        <v>0</v>
      </c>
      <c r="Q430" s="64">
        <f t="shared" si="182"/>
        <v>0</v>
      </c>
      <c r="R430" s="64">
        <f t="shared" si="183"/>
        <v>0</v>
      </c>
      <c r="S430" s="64">
        <f t="shared" si="183"/>
        <v>0</v>
      </c>
      <c r="T430" s="64">
        <f t="shared" si="183"/>
        <v>0</v>
      </c>
      <c r="U430" s="64">
        <f t="shared" si="183"/>
        <v>0</v>
      </c>
      <c r="V430" s="64">
        <f t="shared" si="183"/>
        <v>0</v>
      </c>
      <c r="W430" s="64">
        <f t="shared" si="183"/>
        <v>0</v>
      </c>
      <c r="X430" s="64">
        <f t="shared" si="183"/>
        <v>0</v>
      </c>
      <c r="Y430" s="64">
        <f t="shared" si="183"/>
        <v>0</v>
      </c>
      <c r="Z430" s="64">
        <f t="shared" si="183"/>
        <v>0</v>
      </c>
      <c r="AA430" s="64">
        <f t="shared" si="183"/>
        <v>0</v>
      </c>
      <c r="AB430" s="64">
        <f t="shared" si="183"/>
        <v>0</v>
      </c>
      <c r="AC430" s="64">
        <f t="shared" si="183"/>
        <v>0</v>
      </c>
      <c r="AD430" s="64">
        <f t="shared" si="183"/>
        <v>0</v>
      </c>
      <c r="AE430" s="64">
        <f t="shared" si="183"/>
        <v>0</v>
      </c>
      <c r="AF430" s="64">
        <f>SUM(H430:AE430)</f>
        <v>0</v>
      </c>
      <c r="AG430" s="59" t="str">
        <f>IF(ABS(AF430-F430)&lt;1,"ok","err")</f>
        <v>ok</v>
      </c>
    </row>
    <row r="431" spans="1:33" x14ac:dyDescent="0.25">
      <c r="A431" s="61"/>
      <c r="B431" s="61"/>
      <c r="F431" s="77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4"/>
      <c r="AG431" s="59"/>
    </row>
    <row r="432" spans="1:33" x14ac:dyDescent="0.25">
      <c r="A432" s="61"/>
      <c r="B432" s="61" t="s">
        <v>103</v>
      </c>
      <c r="C432" s="45" t="s">
        <v>46</v>
      </c>
      <c r="F432" s="77">
        <f>SUM(F428:F430)</f>
        <v>1042003</v>
      </c>
      <c r="G432" s="63"/>
      <c r="H432" s="63">
        <f t="shared" ref="H432:M432" si="184">SUM(H428:H430)</f>
        <v>364595.97911264765</v>
      </c>
      <c r="I432" s="63">
        <f t="shared" si="184"/>
        <v>355285.68711570429</v>
      </c>
      <c r="J432" s="63">
        <f t="shared" si="184"/>
        <v>322121.33377164806</v>
      </c>
      <c r="K432" s="63">
        <f t="shared" si="184"/>
        <v>0</v>
      </c>
      <c r="L432" s="63">
        <f t="shared" si="184"/>
        <v>0</v>
      </c>
      <c r="M432" s="63">
        <f t="shared" si="184"/>
        <v>0</v>
      </c>
      <c r="N432" s="63">
        <f>SUM(N428:N430)</f>
        <v>0</v>
      </c>
      <c r="O432" s="63">
        <f>SUM(O428:O430)</f>
        <v>0</v>
      </c>
      <c r="P432" s="63">
        <f>SUM(P428:P430)</f>
        <v>0</v>
      </c>
      <c r="Q432" s="63">
        <f t="shared" ref="Q432:AB432" si="185">SUM(Q428:Q430)</f>
        <v>0</v>
      </c>
      <c r="R432" s="63">
        <f t="shared" si="185"/>
        <v>0</v>
      </c>
      <c r="S432" s="63">
        <f t="shared" si="185"/>
        <v>0</v>
      </c>
      <c r="T432" s="63">
        <f t="shared" si="185"/>
        <v>0</v>
      </c>
      <c r="U432" s="63">
        <f t="shared" si="185"/>
        <v>0</v>
      </c>
      <c r="V432" s="63">
        <f t="shared" si="185"/>
        <v>0</v>
      </c>
      <c r="W432" s="63">
        <f t="shared" si="185"/>
        <v>0</v>
      </c>
      <c r="X432" s="63">
        <f t="shared" si="185"/>
        <v>0</v>
      </c>
      <c r="Y432" s="63">
        <f t="shared" si="185"/>
        <v>0</v>
      </c>
      <c r="Z432" s="63">
        <f t="shared" si="185"/>
        <v>0</v>
      </c>
      <c r="AA432" s="63">
        <f t="shared" si="185"/>
        <v>0</v>
      </c>
      <c r="AB432" s="63">
        <f t="shared" si="185"/>
        <v>0</v>
      </c>
      <c r="AC432" s="63">
        <f>SUM(AC428:AC430)</f>
        <v>0</v>
      </c>
      <c r="AD432" s="63">
        <f>SUM(AD428:AD430)</f>
        <v>0</v>
      </c>
      <c r="AE432" s="63">
        <f>SUM(AE428:AE430)</f>
        <v>0</v>
      </c>
      <c r="AF432" s="64">
        <f>SUM(H432:AE432)</f>
        <v>1042003</v>
      </c>
      <c r="AG432" s="59" t="str">
        <f>IF(ABS(AF432-F432)&lt;1,"ok","err")</f>
        <v>ok</v>
      </c>
    </row>
    <row r="433" spans="1:33" x14ac:dyDescent="0.25">
      <c r="A433" s="61"/>
      <c r="B433" s="61"/>
      <c r="F433" s="77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4"/>
      <c r="AG433" s="59"/>
    </row>
    <row r="434" spans="1:33" x14ac:dyDescent="0.25">
      <c r="A434" s="61"/>
      <c r="B434" s="61"/>
      <c r="F434" s="77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4"/>
      <c r="AG434" s="59"/>
    </row>
    <row r="435" spans="1:33" x14ac:dyDescent="0.25">
      <c r="A435" s="60" t="s">
        <v>45</v>
      </c>
      <c r="B435" s="61"/>
      <c r="F435" s="77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4"/>
      <c r="AG435" s="59"/>
    </row>
    <row r="436" spans="1:33" x14ac:dyDescent="0.25">
      <c r="A436" s="61"/>
      <c r="B436" s="61"/>
      <c r="F436" s="77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4"/>
      <c r="AG436" s="59"/>
    </row>
    <row r="437" spans="1:33" x14ac:dyDescent="0.25">
      <c r="A437" s="66" t="s">
        <v>105</v>
      </c>
      <c r="B437" s="61"/>
      <c r="F437" s="77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4"/>
      <c r="AG437" s="59"/>
    </row>
    <row r="438" spans="1:33" x14ac:dyDescent="0.25">
      <c r="A438" s="61">
        <v>560</v>
      </c>
      <c r="B438" s="61" t="s">
        <v>1169</v>
      </c>
      <c r="C438" s="45" t="s">
        <v>102</v>
      </c>
      <c r="D438" s="45" t="s">
        <v>1184</v>
      </c>
      <c r="F438" s="77">
        <v>607863</v>
      </c>
      <c r="G438" s="63"/>
      <c r="H438" s="64">
        <f t="shared" ref="H438:Q446" si="186">IF(VLOOKUP($D438,$C$6:$AE$651,H$2,)=0,0,((VLOOKUP($D438,$C$6:$AE$651,H$2,)/VLOOKUP($D438,$C$6:$AE$651,4,))*$F438))</f>
        <v>0</v>
      </c>
      <c r="I438" s="64">
        <f t="shared" si="186"/>
        <v>0</v>
      </c>
      <c r="J438" s="64">
        <f t="shared" si="186"/>
        <v>0</v>
      </c>
      <c r="K438" s="64">
        <f t="shared" si="186"/>
        <v>0</v>
      </c>
      <c r="L438" s="64">
        <f t="shared" si="186"/>
        <v>0</v>
      </c>
      <c r="M438" s="64">
        <f t="shared" si="186"/>
        <v>0</v>
      </c>
      <c r="N438" s="64">
        <f t="shared" si="186"/>
        <v>212690.75583405359</v>
      </c>
      <c r="O438" s="64">
        <f t="shared" si="186"/>
        <v>207259.50273388208</v>
      </c>
      <c r="P438" s="64">
        <f t="shared" si="186"/>
        <v>187912.7414320643</v>
      </c>
      <c r="Q438" s="64">
        <f t="shared" si="186"/>
        <v>0</v>
      </c>
      <c r="R438" s="64">
        <f t="shared" ref="R438:AE446" si="187">IF(VLOOKUP($D438,$C$6:$AE$651,R$2,)=0,0,((VLOOKUP($D438,$C$6:$AE$651,R$2,)/VLOOKUP($D438,$C$6:$AE$651,4,))*$F438))</f>
        <v>0</v>
      </c>
      <c r="S438" s="64">
        <f t="shared" si="187"/>
        <v>0</v>
      </c>
      <c r="T438" s="64">
        <f t="shared" si="187"/>
        <v>0</v>
      </c>
      <c r="U438" s="64">
        <f t="shared" si="187"/>
        <v>0</v>
      </c>
      <c r="V438" s="64">
        <f t="shared" si="187"/>
        <v>0</v>
      </c>
      <c r="W438" s="64">
        <f t="shared" si="187"/>
        <v>0</v>
      </c>
      <c r="X438" s="64">
        <f t="shared" si="187"/>
        <v>0</v>
      </c>
      <c r="Y438" s="64">
        <f t="shared" si="187"/>
        <v>0</v>
      </c>
      <c r="Z438" s="64">
        <f t="shared" si="187"/>
        <v>0</v>
      </c>
      <c r="AA438" s="64">
        <f t="shared" si="187"/>
        <v>0</v>
      </c>
      <c r="AB438" s="64">
        <f t="shared" si="187"/>
        <v>0</v>
      </c>
      <c r="AC438" s="64">
        <f t="shared" si="187"/>
        <v>0</v>
      </c>
      <c r="AD438" s="64">
        <f t="shared" si="187"/>
        <v>0</v>
      </c>
      <c r="AE438" s="64">
        <f t="shared" si="187"/>
        <v>0</v>
      </c>
      <c r="AF438" s="64">
        <f t="shared" ref="AF438:AF445" si="188">SUM(H438:AE438)</f>
        <v>607863</v>
      </c>
      <c r="AG438" s="59" t="str">
        <f t="shared" ref="AG438:AG446" si="189">IF(ABS(AF438-F438)&lt;1,"ok","err")</f>
        <v>ok</v>
      </c>
    </row>
    <row r="439" spans="1:33" x14ac:dyDescent="0.25">
      <c r="A439" s="61">
        <v>561</v>
      </c>
      <c r="B439" s="61" t="s">
        <v>1012</v>
      </c>
      <c r="C439" s="45" t="s">
        <v>48</v>
      </c>
      <c r="D439" s="45" t="s">
        <v>1184</v>
      </c>
      <c r="F439" s="80">
        <v>1288136</v>
      </c>
      <c r="G439" s="63"/>
      <c r="H439" s="64">
        <f t="shared" si="186"/>
        <v>0</v>
      </c>
      <c r="I439" s="64">
        <f t="shared" si="186"/>
        <v>0</v>
      </c>
      <c r="J439" s="64">
        <f t="shared" si="186"/>
        <v>0</v>
      </c>
      <c r="K439" s="64">
        <f t="shared" si="186"/>
        <v>0</v>
      </c>
      <c r="L439" s="64">
        <f t="shared" si="186"/>
        <v>0</v>
      </c>
      <c r="M439" s="64">
        <f t="shared" si="186"/>
        <v>0</v>
      </c>
      <c r="N439" s="64">
        <f t="shared" si="186"/>
        <v>450717.71016997984</v>
      </c>
      <c r="O439" s="64">
        <f t="shared" si="186"/>
        <v>439208.22095375421</v>
      </c>
      <c r="P439" s="64">
        <f t="shared" si="186"/>
        <v>398210.06887626584</v>
      </c>
      <c r="Q439" s="64">
        <f t="shared" si="186"/>
        <v>0</v>
      </c>
      <c r="R439" s="64">
        <f t="shared" si="187"/>
        <v>0</v>
      </c>
      <c r="S439" s="64">
        <f t="shared" si="187"/>
        <v>0</v>
      </c>
      <c r="T439" s="64">
        <f t="shared" si="187"/>
        <v>0</v>
      </c>
      <c r="U439" s="64">
        <f t="shared" si="187"/>
        <v>0</v>
      </c>
      <c r="V439" s="64">
        <f t="shared" si="187"/>
        <v>0</v>
      </c>
      <c r="W439" s="64">
        <f t="shared" si="187"/>
        <v>0</v>
      </c>
      <c r="X439" s="64">
        <f t="shared" si="187"/>
        <v>0</v>
      </c>
      <c r="Y439" s="64">
        <f t="shared" si="187"/>
        <v>0</v>
      </c>
      <c r="Z439" s="64">
        <f t="shared" si="187"/>
        <v>0</v>
      </c>
      <c r="AA439" s="64">
        <f t="shared" si="187"/>
        <v>0</v>
      </c>
      <c r="AB439" s="64">
        <f t="shared" si="187"/>
        <v>0</v>
      </c>
      <c r="AC439" s="64">
        <f t="shared" si="187"/>
        <v>0</v>
      </c>
      <c r="AD439" s="64">
        <f t="shared" si="187"/>
        <v>0</v>
      </c>
      <c r="AE439" s="64">
        <f t="shared" si="187"/>
        <v>0</v>
      </c>
      <c r="AF439" s="64">
        <f t="shared" si="188"/>
        <v>1288135.9999999998</v>
      </c>
      <c r="AG439" s="59" t="str">
        <f t="shared" si="189"/>
        <v>ok</v>
      </c>
    </row>
    <row r="440" spans="1:33" x14ac:dyDescent="0.25">
      <c r="A440" s="61">
        <v>562</v>
      </c>
      <c r="B440" s="61" t="s">
        <v>1167</v>
      </c>
      <c r="C440" s="45" t="s">
        <v>49</v>
      </c>
      <c r="D440" s="45" t="s">
        <v>1184</v>
      </c>
      <c r="F440" s="80">
        <v>617058</v>
      </c>
      <c r="G440" s="63"/>
      <c r="H440" s="64">
        <f t="shared" si="186"/>
        <v>0</v>
      </c>
      <c r="I440" s="64">
        <f t="shared" si="186"/>
        <v>0</v>
      </c>
      <c r="J440" s="64">
        <f t="shared" si="186"/>
        <v>0</v>
      </c>
      <c r="K440" s="64">
        <f t="shared" si="186"/>
        <v>0</v>
      </c>
      <c r="L440" s="64">
        <f t="shared" si="186"/>
        <v>0</v>
      </c>
      <c r="M440" s="64">
        <f t="shared" si="186"/>
        <v>0</v>
      </c>
      <c r="N440" s="64">
        <f t="shared" si="186"/>
        <v>215908.07865168538</v>
      </c>
      <c r="O440" s="64">
        <f t="shared" si="186"/>
        <v>210394.66826894184</v>
      </c>
      <c r="P440" s="64">
        <f t="shared" si="186"/>
        <v>190755.25307937272</v>
      </c>
      <c r="Q440" s="64">
        <f t="shared" si="186"/>
        <v>0</v>
      </c>
      <c r="R440" s="64">
        <f t="shared" si="187"/>
        <v>0</v>
      </c>
      <c r="S440" s="64">
        <f t="shared" si="187"/>
        <v>0</v>
      </c>
      <c r="T440" s="64">
        <f t="shared" si="187"/>
        <v>0</v>
      </c>
      <c r="U440" s="64">
        <f t="shared" si="187"/>
        <v>0</v>
      </c>
      <c r="V440" s="64">
        <f t="shared" si="187"/>
        <v>0</v>
      </c>
      <c r="W440" s="64">
        <f t="shared" si="187"/>
        <v>0</v>
      </c>
      <c r="X440" s="64">
        <f t="shared" si="187"/>
        <v>0</v>
      </c>
      <c r="Y440" s="64">
        <f t="shared" si="187"/>
        <v>0</v>
      </c>
      <c r="Z440" s="64">
        <f t="shared" si="187"/>
        <v>0</v>
      </c>
      <c r="AA440" s="64">
        <f t="shared" si="187"/>
        <v>0</v>
      </c>
      <c r="AB440" s="64">
        <f t="shared" si="187"/>
        <v>0</v>
      </c>
      <c r="AC440" s="64">
        <f t="shared" si="187"/>
        <v>0</v>
      </c>
      <c r="AD440" s="64">
        <f t="shared" si="187"/>
        <v>0</v>
      </c>
      <c r="AE440" s="64">
        <f t="shared" si="187"/>
        <v>0</v>
      </c>
      <c r="AF440" s="64">
        <f t="shared" si="188"/>
        <v>617057.99999999988</v>
      </c>
      <c r="AG440" s="59" t="str">
        <f t="shared" si="189"/>
        <v>ok</v>
      </c>
    </row>
    <row r="441" spans="1:33" x14ac:dyDescent="0.25">
      <c r="A441" s="61">
        <v>563</v>
      </c>
      <c r="B441" s="61" t="s">
        <v>1014</v>
      </c>
      <c r="C441" s="45" t="s">
        <v>50</v>
      </c>
      <c r="D441" s="45" t="s">
        <v>1184</v>
      </c>
      <c r="F441" s="80">
        <v>0</v>
      </c>
      <c r="G441" s="63"/>
      <c r="H441" s="64">
        <f t="shared" si="186"/>
        <v>0</v>
      </c>
      <c r="I441" s="64">
        <f t="shared" si="186"/>
        <v>0</v>
      </c>
      <c r="J441" s="64">
        <f t="shared" si="186"/>
        <v>0</v>
      </c>
      <c r="K441" s="64">
        <f t="shared" si="186"/>
        <v>0</v>
      </c>
      <c r="L441" s="64">
        <f t="shared" si="186"/>
        <v>0</v>
      </c>
      <c r="M441" s="64">
        <f t="shared" si="186"/>
        <v>0</v>
      </c>
      <c r="N441" s="64">
        <f t="shared" si="186"/>
        <v>0</v>
      </c>
      <c r="O441" s="64">
        <f t="shared" si="186"/>
        <v>0</v>
      </c>
      <c r="P441" s="64">
        <f t="shared" si="186"/>
        <v>0</v>
      </c>
      <c r="Q441" s="64">
        <f t="shared" si="186"/>
        <v>0</v>
      </c>
      <c r="R441" s="64">
        <f t="shared" si="187"/>
        <v>0</v>
      </c>
      <c r="S441" s="64">
        <f t="shared" si="187"/>
        <v>0</v>
      </c>
      <c r="T441" s="64">
        <f t="shared" si="187"/>
        <v>0</v>
      </c>
      <c r="U441" s="64">
        <f t="shared" si="187"/>
        <v>0</v>
      </c>
      <c r="V441" s="64">
        <f t="shared" si="187"/>
        <v>0</v>
      </c>
      <c r="W441" s="64">
        <f t="shared" si="187"/>
        <v>0</v>
      </c>
      <c r="X441" s="64">
        <f t="shared" si="187"/>
        <v>0</v>
      </c>
      <c r="Y441" s="64">
        <f t="shared" si="187"/>
        <v>0</v>
      </c>
      <c r="Z441" s="64">
        <f t="shared" si="187"/>
        <v>0</v>
      </c>
      <c r="AA441" s="64">
        <f t="shared" si="187"/>
        <v>0</v>
      </c>
      <c r="AB441" s="64">
        <f t="shared" si="187"/>
        <v>0</v>
      </c>
      <c r="AC441" s="64">
        <f t="shared" si="187"/>
        <v>0</v>
      </c>
      <c r="AD441" s="64">
        <f t="shared" si="187"/>
        <v>0</v>
      </c>
      <c r="AE441" s="64">
        <f t="shared" si="187"/>
        <v>0</v>
      </c>
      <c r="AF441" s="64">
        <f t="shared" si="188"/>
        <v>0</v>
      </c>
      <c r="AG441" s="59" t="str">
        <f t="shared" si="189"/>
        <v>ok</v>
      </c>
    </row>
    <row r="442" spans="1:33" x14ac:dyDescent="0.25">
      <c r="A442" s="61">
        <v>566</v>
      </c>
      <c r="B442" s="61" t="s">
        <v>148</v>
      </c>
      <c r="C442" s="45" t="s">
        <v>152</v>
      </c>
      <c r="D442" s="45" t="s">
        <v>1184</v>
      </c>
      <c r="F442" s="80">
        <v>155807</v>
      </c>
      <c r="G442" s="63"/>
      <c r="H442" s="64">
        <f t="shared" si="186"/>
        <v>0</v>
      </c>
      <c r="I442" s="64">
        <f t="shared" si="186"/>
        <v>0</v>
      </c>
      <c r="J442" s="64">
        <f t="shared" si="186"/>
        <v>0</v>
      </c>
      <c r="K442" s="64">
        <f t="shared" si="186"/>
        <v>0</v>
      </c>
      <c r="L442" s="64">
        <f t="shared" si="186"/>
        <v>0</v>
      </c>
      <c r="M442" s="64">
        <f t="shared" si="186"/>
        <v>0</v>
      </c>
      <c r="N442" s="64">
        <f t="shared" si="186"/>
        <v>54516.739124171705</v>
      </c>
      <c r="O442" s="64">
        <f t="shared" si="186"/>
        <v>53124.604298103295</v>
      </c>
      <c r="P442" s="64">
        <f t="shared" si="186"/>
        <v>48165.656577724985</v>
      </c>
      <c r="Q442" s="64">
        <f t="shared" si="186"/>
        <v>0</v>
      </c>
      <c r="R442" s="64">
        <f t="shared" si="187"/>
        <v>0</v>
      </c>
      <c r="S442" s="64">
        <f t="shared" si="187"/>
        <v>0</v>
      </c>
      <c r="T442" s="64">
        <f t="shared" si="187"/>
        <v>0</v>
      </c>
      <c r="U442" s="64">
        <f t="shared" si="187"/>
        <v>0</v>
      </c>
      <c r="V442" s="64">
        <f t="shared" si="187"/>
        <v>0</v>
      </c>
      <c r="W442" s="64">
        <f t="shared" si="187"/>
        <v>0</v>
      </c>
      <c r="X442" s="64">
        <f t="shared" si="187"/>
        <v>0</v>
      </c>
      <c r="Y442" s="64">
        <f t="shared" si="187"/>
        <v>0</v>
      </c>
      <c r="Z442" s="64">
        <f t="shared" si="187"/>
        <v>0</v>
      </c>
      <c r="AA442" s="64">
        <f t="shared" si="187"/>
        <v>0</v>
      </c>
      <c r="AB442" s="64">
        <f t="shared" si="187"/>
        <v>0</v>
      </c>
      <c r="AC442" s="64">
        <f t="shared" si="187"/>
        <v>0</v>
      </c>
      <c r="AD442" s="64">
        <f t="shared" si="187"/>
        <v>0</v>
      </c>
      <c r="AE442" s="64">
        <f t="shared" si="187"/>
        <v>0</v>
      </c>
      <c r="AF442" s="64">
        <f t="shared" si="188"/>
        <v>155807</v>
      </c>
      <c r="AG442" s="59" t="str">
        <f t="shared" si="189"/>
        <v>ok</v>
      </c>
    </row>
    <row r="443" spans="1:33" x14ac:dyDescent="0.25">
      <c r="A443" s="61">
        <v>569</v>
      </c>
      <c r="B443" s="61" t="s">
        <v>616</v>
      </c>
      <c r="C443" s="45" t="s">
        <v>617</v>
      </c>
      <c r="D443" s="45" t="s">
        <v>1184</v>
      </c>
      <c r="F443" s="80">
        <v>0</v>
      </c>
      <c r="G443" s="63"/>
      <c r="H443" s="64">
        <f t="shared" si="186"/>
        <v>0</v>
      </c>
      <c r="I443" s="64">
        <f t="shared" si="186"/>
        <v>0</v>
      </c>
      <c r="J443" s="64">
        <f t="shared" si="186"/>
        <v>0</v>
      </c>
      <c r="K443" s="64">
        <f t="shared" si="186"/>
        <v>0</v>
      </c>
      <c r="L443" s="64">
        <f t="shared" si="186"/>
        <v>0</v>
      </c>
      <c r="M443" s="64">
        <f t="shared" si="186"/>
        <v>0</v>
      </c>
      <c r="N443" s="64">
        <f t="shared" si="186"/>
        <v>0</v>
      </c>
      <c r="O443" s="64">
        <f t="shared" si="186"/>
        <v>0</v>
      </c>
      <c r="P443" s="64">
        <f t="shared" si="186"/>
        <v>0</v>
      </c>
      <c r="Q443" s="64">
        <f t="shared" si="186"/>
        <v>0</v>
      </c>
      <c r="R443" s="64">
        <f t="shared" si="187"/>
        <v>0</v>
      </c>
      <c r="S443" s="64">
        <f t="shared" si="187"/>
        <v>0</v>
      </c>
      <c r="T443" s="64">
        <f t="shared" si="187"/>
        <v>0</v>
      </c>
      <c r="U443" s="64">
        <f t="shared" si="187"/>
        <v>0</v>
      </c>
      <c r="V443" s="64">
        <f t="shared" si="187"/>
        <v>0</v>
      </c>
      <c r="W443" s="64">
        <f t="shared" si="187"/>
        <v>0</v>
      </c>
      <c r="X443" s="64">
        <f t="shared" si="187"/>
        <v>0</v>
      </c>
      <c r="Y443" s="64">
        <f t="shared" si="187"/>
        <v>0</v>
      </c>
      <c r="Z443" s="64">
        <f t="shared" si="187"/>
        <v>0</v>
      </c>
      <c r="AA443" s="64">
        <f t="shared" si="187"/>
        <v>0</v>
      </c>
      <c r="AB443" s="64">
        <f t="shared" si="187"/>
        <v>0</v>
      </c>
      <c r="AC443" s="64">
        <f t="shared" si="187"/>
        <v>0</v>
      </c>
      <c r="AD443" s="64">
        <f t="shared" si="187"/>
        <v>0</v>
      </c>
      <c r="AE443" s="64">
        <f t="shared" si="187"/>
        <v>0</v>
      </c>
      <c r="AF443" s="64">
        <f t="shared" si="188"/>
        <v>0</v>
      </c>
      <c r="AG443" s="59" t="str">
        <f t="shared" si="189"/>
        <v>ok</v>
      </c>
    </row>
    <row r="444" spans="1:33" x14ac:dyDescent="0.25">
      <c r="A444" s="61">
        <v>570</v>
      </c>
      <c r="B444" s="61" t="s">
        <v>1170</v>
      </c>
      <c r="C444" s="45" t="s">
        <v>51</v>
      </c>
      <c r="D444" s="45" t="s">
        <v>1184</v>
      </c>
      <c r="F444" s="80">
        <v>379349</v>
      </c>
      <c r="G444" s="63"/>
      <c r="H444" s="64">
        <f t="shared" si="186"/>
        <v>0</v>
      </c>
      <c r="I444" s="64">
        <f t="shared" si="186"/>
        <v>0</v>
      </c>
      <c r="J444" s="64">
        <f t="shared" si="186"/>
        <v>0</v>
      </c>
      <c r="K444" s="64">
        <f t="shared" si="186"/>
        <v>0</v>
      </c>
      <c r="L444" s="64">
        <f t="shared" si="186"/>
        <v>0</v>
      </c>
      <c r="M444" s="64">
        <f t="shared" si="186"/>
        <v>0</v>
      </c>
      <c r="N444" s="64">
        <f t="shared" si="186"/>
        <v>132733.89815615097</v>
      </c>
      <c r="O444" s="64">
        <f t="shared" si="186"/>
        <v>129344.41659155999</v>
      </c>
      <c r="P444" s="64">
        <f t="shared" si="186"/>
        <v>117270.68525228903</v>
      </c>
      <c r="Q444" s="64">
        <f t="shared" si="186"/>
        <v>0</v>
      </c>
      <c r="R444" s="64">
        <f t="shared" si="187"/>
        <v>0</v>
      </c>
      <c r="S444" s="64">
        <f t="shared" si="187"/>
        <v>0</v>
      </c>
      <c r="T444" s="64">
        <f t="shared" si="187"/>
        <v>0</v>
      </c>
      <c r="U444" s="64">
        <f t="shared" si="187"/>
        <v>0</v>
      </c>
      <c r="V444" s="64">
        <f t="shared" si="187"/>
        <v>0</v>
      </c>
      <c r="W444" s="64">
        <f t="shared" si="187"/>
        <v>0</v>
      </c>
      <c r="X444" s="64">
        <f t="shared" si="187"/>
        <v>0</v>
      </c>
      <c r="Y444" s="64">
        <f t="shared" si="187"/>
        <v>0</v>
      </c>
      <c r="Z444" s="64">
        <f t="shared" si="187"/>
        <v>0</v>
      </c>
      <c r="AA444" s="64">
        <f t="shared" si="187"/>
        <v>0</v>
      </c>
      <c r="AB444" s="64">
        <f t="shared" si="187"/>
        <v>0</v>
      </c>
      <c r="AC444" s="64">
        <f t="shared" si="187"/>
        <v>0</v>
      </c>
      <c r="AD444" s="64">
        <f t="shared" si="187"/>
        <v>0</v>
      </c>
      <c r="AE444" s="64">
        <f t="shared" si="187"/>
        <v>0</v>
      </c>
      <c r="AF444" s="64">
        <f t="shared" si="188"/>
        <v>379349</v>
      </c>
      <c r="AG444" s="59" t="str">
        <f t="shared" si="189"/>
        <v>ok</v>
      </c>
    </row>
    <row r="445" spans="1:33" x14ac:dyDescent="0.25">
      <c r="A445" s="61">
        <v>571</v>
      </c>
      <c r="B445" s="61" t="s">
        <v>1171</v>
      </c>
      <c r="C445" s="45" t="s">
        <v>52</v>
      </c>
      <c r="D445" s="45" t="s">
        <v>1184</v>
      </c>
      <c r="F445" s="80">
        <v>115122</v>
      </c>
      <c r="G445" s="63"/>
      <c r="H445" s="64">
        <f t="shared" si="186"/>
        <v>0</v>
      </c>
      <c r="I445" s="64">
        <f t="shared" si="186"/>
        <v>0</v>
      </c>
      <c r="J445" s="64">
        <f t="shared" si="186"/>
        <v>0</v>
      </c>
      <c r="K445" s="64">
        <f t="shared" si="186"/>
        <v>0</v>
      </c>
      <c r="L445" s="64">
        <f t="shared" si="186"/>
        <v>0</v>
      </c>
      <c r="M445" s="64">
        <f t="shared" si="186"/>
        <v>0</v>
      </c>
      <c r="N445" s="64">
        <f t="shared" si="186"/>
        <v>40281.091616248923</v>
      </c>
      <c r="O445" s="64">
        <f t="shared" si="186"/>
        <v>39252.47707744997</v>
      </c>
      <c r="P445" s="64">
        <f t="shared" si="186"/>
        <v>35588.431306301107</v>
      </c>
      <c r="Q445" s="64">
        <f t="shared" si="186"/>
        <v>0</v>
      </c>
      <c r="R445" s="64">
        <f t="shared" si="187"/>
        <v>0</v>
      </c>
      <c r="S445" s="64">
        <f t="shared" si="187"/>
        <v>0</v>
      </c>
      <c r="T445" s="64">
        <f t="shared" si="187"/>
        <v>0</v>
      </c>
      <c r="U445" s="64">
        <f t="shared" si="187"/>
        <v>0</v>
      </c>
      <c r="V445" s="64">
        <f t="shared" si="187"/>
        <v>0</v>
      </c>
      <c r="W445" s="64">
        <f t="shared" si="187"/>
        <v>0</v>
      </c>
      <c r="X445" s="64">
        <f t="shared" si="187"/>
        <v>0</v>
      </c>
      <c r="Y445" s="64">
        <f t="shared" si="187"/>
        <v>0</v>
      </c>
      <c r="Z445" s="64">
        <f t="shared" si="187"/>
        <v>0</v>
      </c>
      <c r="AA445" s="64">
        <f t="shared" si="187"/>
        <v>0</v>
      </c>
      <c r="AB445" s="64">
        <f t="shared" si="187"/>
        <v>0</v>
      </c>
      <c r="AC445" s="64">
        <f t="shared" si="187"/>
        <v>0</v>
      </c>
      <c r="AD445" s="64">
        <f t="shared" si="187"/>
        <v>0</v>
      </c>
      <c r="AE445" s="64">
        <f t="shared" si="187"/>
        <v>0</v>
      </c>
      <c r="AF445" s="64">
        <f t="shared" si="188"/>
        <v>115122</v>
      </c>
      <c r="AG445" s="59" t="str">
        <f t="shared" si="189"/>
        <v>ok</v>
      </c>
    </row>
    <row r="446" spans="1:33" x14ac:dyDescent="0.25">
      <c r="A446" s="61">
        <v>573</v>
      </c>
      <c r="B446" s="61" t="s">
        <v>618</v>
      </c>
      <c r="C446" s="45" t="s">
        <v>619</v>
      </c>
      <c r="D446" s="45" t="s">
        <v>1184</v>
      </c>
      <c r="F446" s="80">
        <v>0</v>
      </c>
      <c r="G446" s="63"/>
      <c r="H446" s="64">
        <f t="shared" si="186"/>
        <v>0</v>
      </c>
      <c r="I446" s="64">
        <f t="shared" si="186"/>
        <v>0</v>
      </c>
      <c r="J446" s="64">
        <f t="shared" si="186"/>
        <v>0</v>
      </c>
      <c r="K446" s="64">
        <f t="shared" si="186"/>
        <v>0</v>
      </c>
      <c r="L446" s="64">
        <f t="shared" si="186"/>
        <v>0</v>
      </c>
      <c r="M446" s="64">
        <f t="shared" si="186"/>
        <v>0</v>
      </c>
      <c r="N446" s="64">
        <f t="shared" si="186"/>
        <v>0</v>
      </c>
      <c r="O446" s="64">
        <f t="shared" si="186"/>
        <v>0</v>
      </c>
      <c r="P446" s="64">
        <f t="shared" si="186"/>
        <v>0</v>
      </c>
      <c r="Q446" s="64">
        <f t="shared" si="186"/>
        <v>0</v>
      </c>
      <c r="R446" s="64">
        <f t="shared" si="187"/>
        <v>0</v>
      </c>
      <c r="S446" s="64">
        <f t="shared" si="187"/>
        <v>0</v>
      </c>
      <c r="T446" s="64">
        <f t="shared" si="187"/>
        <v>0</v>
      </c>
      <c r="U446" s="64">
        <f t="shared" si="187"/>
        <v>0</v>
      </c>
      <c r="V446" s="64">
        <f t="shared" si="187"/>
        <v>0</v>
      </c>
      <c r="W446" s="64">
        <f t="shared" si="187"/>
        <v>0</v>
      </c>
      <c r="X446" s="64">
        <f t="shared" si="187"/>
        <v>0</v>
      </c>
      <c r="Y446" s="64">
        <f t="shared" si="187"/>
        <v>0</v>
      </c>
      <c r="Z446" s="64">
        <f t="shared" si="187"/>
        <v>0</v>
      </c>
      <c r="AA446" s="64">
        <f t="shared" si="187"/>
        <v>0</v>
      </c>
      <c r="AB446" s="64">
        <f t="shared" si="187"/>
        <v>0</v>
      </c>
      <c r="AC446" s="64">
        <f t="shared" si="187"/>
        <v>0</v>
      </c>
      <c r="AD446" s="64">
        <f t="shared" si="187"/>
        <v>0</v>
      </c>
      <c r="AE446" s="64">
        <f t="shared" si="187"/>
        <v>0</v>
      </c>
      <c r="AF446" s="64">
        <f>SUM(H446:AE446)</f>
        <v>0</v>
      </c>
      <c r="AG446" s="59" t="str">
        <f t="shared" si="189"/>
        <v>ok</v>
      </c>
    </row>
    <row r="447" spans="1:33" x14ac:dyDescent="0.25">
      <c r="A447" s="61"/>
      <c r="B447" s="61"/>
      <c r="F447" s="77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4"/>
      <c r="AG447" s="59"/>
    </row>
    <row r="448" spans="1:33" x14ac:dyDescent="0.25">
      <c r="A448" s="61" t="s">
        <v>104</v>
      </c>
      <c r="B448" s="61"/>
      <c r="C448" s="45" t="s">
        <v>673</v>
      </c>
      <c r="F448" s="81">
        <f>SUM(F438:F447)</f>
        <v>3163335</v>
      </c>
      <c r="G448" s="65">
        <f>SUM(G438:G445)</f>
        <v>0</v>
      </c>
      <c r="H448" s="65">
        <f t="shared" ref="H448:M448" si="190">SUM(H438:H447)</f>
        <v>0</v>
      </c>
      <c r="I448" s="65">
        <f t="shared" si="190"/>
        <v>0</v>
      </c>
      <c r="J448" s="65">
        <f t="shared" si="190"/>
        <v>0</v>
      </c>
      <c r="K448" s="65">
        <f t="shared" si="190"/>
        <v>0</v>
      </c>
      <c r="L448" s="65">
        <f t="shared" si="190"/>
        <v>0</v>
      </c>
      <c r="M448" s="65">
        <f t="shared" si="190"/>
        <v>0</v>
      </c>
      <c r="N448" s="65">
        <f>SUM(N438:N447)</f>
        <v>1106848.2735522904</v>
      </c>
      <c r="O448" s="65">
        <f>SUM(O438:O447)</f>
        <v>1078583.8899236913</v>
      </c>
      <c r="P448" s="65">
        <f>SUM(P438:P447)</f>
        <v>977902.83652401797</v>
      </c>
      <c r="Q448" s="65">
        <f t="shared" ref="Q448:AB448" si="191">SUM(Q438:Q447)</f>
        <v>0</v>
      </c>
      <c r="R448" s="65">
        <f t="shared" si="191"/>
        <v>0</v>
      </c>
      <c r="S448" s="65">
        <f t="shared" si="191"/>
        <v>0</v>
      </c>
      <c r="T448" s="65">
        <f t="shared" si="191"/>
        <v>0</v>
      </c>
      <c r="U448" s="65">
        <f t="shared" si="191"/>
        <v>0</v>
      </c>
      <c r="V448" s="65">
        <f t="shared" si="191"/>
        <v>0</v>
      </c>
      <c r="W448" s="65">
        <f t="shared" si="191"/>
        <v>0</v>
      </c>
      <c r="X448" s="65">
        <f t="shared" si="191"/>
        <v>0</v>
      </c>
      <c r="Y448" s="65">
        <f t="shared" si="191"/>
        <v>0</v>
      </c>
      <c r="Z448" s="65">
        <f t="shared" si="191"/>
        <v>0</v>
      </c>
      <c r="AA448" s="65">
        <f t="shared" si="191"/>
        <v>0</v>
      </c>
      <c r="AB448" s="65">
        <f t="shared" si="191"/>
        <v>0</v>
      </c>
      <c r="AC448" s="65">
        <f>SUM(AC438:AC447)</f>
        <v>0</v>
      </c>
      <c r="AD448" s="65">
        <f>SUM(AD438:AD447)</f>
        <v>0</v>
      </c>
      <c r="AE448" s="65">
        <f>SUM(AE438:AE447)</f>
        <v>0</v>
      </c>
      <c r="AF448" s="63">
        <f>SUM(H448:AE448)</f>
        <v>3163335</v>
      </c>
      <c r="AG448" s="59" t="str">
        <f>IF(ABS(AF448-F448)&lt;1,"ok","err")</f>
        <v>ok</v>
      </c>
    </row>
    <row r="449" spans="1:33" x14ac:dyDescent="0.25">
      <c r="A449" s="61"/>
      <c r="B449" s="61"/>
      <c r="W449" s="45"/>
      <c r="AG449" s="59"/>
    </row>
    <row r="450" spans="1:33" x14ac:dyDescent="0.25">
      <c r="A450" s="66" t="s">
        <v>106</v>
      </c>
      <c r="B450" s="61"/>
      <c r="W450" s="45"/>
      <c r="AG450" s="59"/>
    </row>
    <row r="451" spans="1:33" x14ac:dyDescent="0.25">
      <c r="A451" s="61">
        <v>580</v>
      </c>
      <c r="B451" s="61" t="s">
        <v>1010</v>
      </c>
      <c r="C451" s="45" t="s">
        <v>53</v>
      </c>
      <c r="D451" s="45" t="s">
        <v>665</v>
      </c>
      <c r="F451" s="77">
        <v>612622</v>
      </c>
      <c r="H451" s="64">
        <f t="shared" ref="H451:Q461" si="192">IF(VLOOKUP($D451,$C$6:$AE$651,H$2,)=0,0,((VLOOKUP($D451,$C$6:$AE$651,H$2,)/VLOOKUP($D451,$C$6:$AE$651,4,))*$F451))</f>
        <v>0</v>
      </c>
      <c r="I451" s="64">
        <f t="shared" si="192"/>
        <v>0</v>
      </c>
      <c r="J451" s="64">
        <f t="shared" si="192"/>
        <v>0</v>
      </c>
      <c r="K451" s="64">
        <f t="shared" si="192"/>
        <v>0</v>
      </c>
      <c r="L451" s="64">
        <f t="shared" si="192"/>
        <v>0</v>
      </c>
      <c r="M451" s="64">
        <f t="shared" si="192"/>
        <v>0</v>
      </c>
      <c r="N451" s="64">
        <f t="shared" si="192"/>
        <v>0</v>
      </c>
      <c r="O451" s="64">
        <f t="shared" si="192"/>
        <v>0</v>
      </c>
      <c r="P451" s="64">
        <f t="shared" si="192"/>
        <v>0</v>
      </c>
      <c r="Q451" s="64">
        <f t="shared" si="192"/>
        <v>0</v>
      </c>
      <c r="R451" s="64">
        <f t="shared" ref="R451:AE461" si="193">IF(VLOOKUP($D451,$C$6:$AE$651,R$2,)=0,0,((VLOOKUP($D451,$C$6:$AE$651,R$2,)/VLOOKUP($D451,$C$6:$AE$651,4,))*$F451))</f>
        <v>115808.52864768435</v>
      </c>
      <c r="S451" s="64">
        <f t="shared" si="193"/>
        <v>0</v>
      </c>
      <c r="T451" s="64">
        <f t="shared" si="193"/>
        <v>64620.857572398505</v>
      </c>
      <c r="U451" s="64">
        <f t="shared" si="193"/>
        <v>94091.521382112624</v>
      </c>
      <c r="V451" s="64">
        <f t="shared" si="193"/>
        <v>21540.285857466166</v>
      </c>
      <c r="W451" s="64">
        <f t="shared" si="193"/>
        <v>31363.84046070421</v>
      </c>
      <c r="X451" s="64">
        <f t="shared" si="193"/>
        <v>8582.6721293947303</v>
      </c>
      <c r="Y451" s="64">
        <f t="shared" si="193"/>
        <v>6513.4769716274423</v>
      </c>
      <c r="Z451" s="64">
        <f t="shared" si="193"/>
        <v>3091.0868956859504</v>
      </c>
      <c r="AA451" s="64">
        <f t="shared" si="193"/>
        <v>257384.35929516397</v>
      </c>
      <c r="AB451" s="64">
        <f t="shared" si="193"/>
        <v>9625.3707877620909</v>
      </c>
      <c r="AC451" s="64">
        <f t="shared" si="193"/>
        <v>0</v>
      </c>
      <c r="AD451" s="64">
        <f t="shared" si="193"/>
        <v>0</v>
      </c>
      <c r="AE451" s="64">
        <f t="shared" si="193"/>
        <v>0</v>
      </c>
      <c r="AF451" s="64">
        <f t="shared" ref="AF451:AF461" si="194">SUM(H451:AE451)</f>
        <v>612622</v>
      </c>
      <c r="AG451" s="59" t="str">
        <f t="shared" ref="AG451:AG461" si="195">IF(ABS(AF451-F451)&lt;1,"ok","err")</f>
        <v>ok</v>
      </c>
    </row>
    <row r="452" spans="1:33" x14ac:dyDescent="0.25">
      <c r="A452" s="61">
        <v>581</v>
      </c>
      <c r="B452" s="61" t="s">
        <v>1012</v>
      </c>
      <c r="C452" s="45" t="s">
        <v>54</v>
      </c>
      <c r="D452" s="45" t="s">
        <v>961</v>
      </c>
      <c r="F452" s="80">
        <v>571596</v>
      </c>
      <c r="H452" s="64">
        <f t="shared" si="192"/>
        <v>0</v>
      </c>
      <c r="I452" s="64">
        <f t="shared" si="192"/>
        <v>0</v>
      </c>
      <c r="J452" s="64">
        <f t="shared" si="192"/>
        <v>0</v>
      </c>
      <c r="K452" s="64">
        <f t="shared" si="192"/>
        <v>0</v>
      </c>
      <c r="L452" s="64">
        <f t="shared" si="192"/>
        <v>0</v>
      </c>
      <c r="M452" s="64">
        <f t="shared" si="192"/>
        <v>0</v>
      </c>
      <c r="N452" s="64">
        <f t="shared" si="192"/>
        <v>0</v>
      </c>
      <c r="O452" s="64">
        <f t="shared" si="192"/>
        <v>0</v>
      </c>
      <c r="P452" s="64">
        <f t="shared" si="192"/>
        <v>0</v>
      </c>
      <c r="Q452" s="64">
        <f t="shared" si="192"/>
        <v>0</v>
      </c>
      <c r="R452" s="64">
        <f t="shared" si="193"/>
        <v>571596</v>
      </c>
      <c r="S452" s="64">
        <f t="shared" si="193"/>
        <v>0</v>
      </c>
      <c r="T452" s="64">
        <f t="shared" si="193"/>
        <v>0</v>
      </c>
      <c r="U452" s="64">
        <f t="shared" si="193"/>
        <v>0</v>
      </c>
      <c r="V452" s="64">
        <f t="shared" si="193"/>
        <v>0</v>
      </c>
      <c r="W452" s="64">
        <f t="shared" si="193"/>
        <v>0</v>
      </c>
      <c r="X452" s="64">
        <f t="shared" si="193"/>
        <v>0</v>
      </c>
      <c r="Y452" s="64">
        <f t="shared" si="193"/>
        <v>0</v>
      </c>
      <c r="Z452" s="64">
        <f t="shared" si="193"/>
        <v>0</v>
      </c>
      <c r="AA452" s="64">
        <f t="shared" si="193"/>
        <v>0</v>
      </c>
      <c r="AB452" s="64">
        <f t="shared" si="193"/>
        <v>0</v>
      </c>
      <c r="AC452" s="64">
        <f t="shared" si="193"/>
        <v>0</v>
      </c>
      <c r="AD452" s="64">
        <f t="shared" si="193"/>
        <v>0</v>
      </c>
      <c r="AE452" s="64">
        <f t="shared" si="193"/>
        <v>0</v>
      </c>
      <c r="AF452" s="64">
        <f t="shared" si="194"/>
        <v>571596</v>
      </c>
      <c r="AG452" s="59" t="str">
        <f t="shared" si="195"/>
        <v>ok</v>
      </c>
    </row>
    <row r="453" spans="1:33" x14ac:dyDescent="0.25">
      <c r="A453" s="61">
        <v>582</v>
      </c>
      <c r="B453" s="61" t="s">
        <v>1167</v>
      </c>
      <c r="C453" s="45" t="s">
        <v>55</v>
      </c>
      <c r="D453" s="45" t="s">
        <v>961</v>
      </c>
      <c r="F453" s="80">
        <v>531000</v>
      </c>
      <c r="H453" s="64">
        <f t="shared" si="192"/>
        <v>0</v>
      </c>
      <c r="I453" s="64">
        <f t="shared" si="192"/>
        <v>0</v>
      </c>
      <c r="J453" s="64">
        <f t="shared" si="192"/>
        <v>0</v>
      </c>
      <c r="K453" s="64">
        <f t="shared" si="192"/>
        <v>0</v>
      </c>
      <c r="L453" s="64">
        <f t="shared" si="192"/>
        <v>0</v>
      </c>
      <c r="M453" s="64">
        <f t="shared" si="192"/>
        <v>0</v>
      </c>
      <c r="N453" s="64">
        <f t="shared" si="192"/>
        <v>0</v>
      </c>
      <c r="O453" s="64">
        <f t="shared" si="192"/>
        <v>0</v>
      </c>
      <c r="P453" s="64">
        <f t="shared" si="192"/>
        <v>0</v>
      </c>
      <c r="Q453" s="64">
        <f t="shared" si="192"/>
        <v>0</v>
      </c>
      <c r="R453" s="64">
        <f t="shared" si="193"/>
        <v>531000</v>
      </c>
      <c r="S453" s="64">
        <f t="shared" si="193"/>
        <v>0</v>
      </c>
      <c r="T453" s="64">
        <f t="shared" si="193"/>
        <v>0</v>
      </c>
      <c r="U453" s="64">
        <f t="shared" si="193"/>
        <v>0</v>
      </c>
      <c r="V453" s="64">
        <f t="shared" si="193"/>
        <v>0</v>
      </c>
      <c r="W453" s="64">
        <f t="shared" si="193"/>
        <v>0</v>
      </c>
      <c r="X453" s="64">
        <f t="shared" si="193"/>
        <v>0</v>
      </c>
      <c r="Y453" s="64">
        <f t="shared" si="193"/>
        <v>0</v>
      </c>
      <c r="Z453" s="64">
        <f t="shared" si="193"/>
        <v>0</v>
      </c>
      <c r="AA453" s="64">
        <f t="shared" si="193"/>
        <v>0</v>
      </c>
      <c r="AB453" s="64">
        <f t="shared" si="193"/>
        <v>0</v>
      </c>
      <c r="AC453" s="64">
        <f t="shared" si="193"/>
        <v>0</v>
      </c>
      <c r="AD453" s="64">
        <f t="shared" si="193"/>
        <v>0</v>
      </c>
      <c r="AE453" s="64">
        <f t="shared" si="193"/>
        <v>0</v>
      </c>
      <c r="AF453" s="64">
        <f t="shared" si="194"/>
        <v>531000</v>
      </c>
      <c r="AG453" s="59" t="str">
        <f t="shared" si="195"/>
        <v>ok</v>
      </c>
    </row>
    <row r="454" spans="1:33" x14ac:dyDescent="0.25">
      <c r="A454" s="61">
        <v>583</v>
      </c>
      <c r="B454" s="61" t="s">
        <v>1014</v>
      </c>
      <c r="C454" s="45" t="s">
        <v>56</v>
      </c>
      <c r="D454" s="45" t="s">
        <v>964</v>
      </c>
      <c r="F454" s="80">
        <v>1427180</v>
      </c>
      <c r="H454" s="64">
        <f t="shared" si="192"/>
        <v>0</v>
      </c>
      <c r="I454" s="64">
        <f t="shared" si="192"/>
        <v>0</v>
      </c>
      <c r="J454" s="64">
        <f t="shared" si="192"/>
        <v>0</v>
      </c>
      <c r="K454" s="64">
        <f t="shared" si="192"/>
        <v>0</v>
      </c>
      <c r="L454" s="64">
        <f t="shared" si="192"/>
        <v>0</v>
      </c>
      <c r="M454" s="64">
        <f t="shared" si="192"/>
        <v>0</v>
      </c>
      <c r="N454" s="64">
        <f t="shared" si="192"/>
        <v>0</v>
      </c>
      <c r="O454" s="64">
        <f t="shared" si="192"/>
        <v>0</v>
      </c>
      <c r="P454" s="64">
        <f t="shared" si="192"/>
        <v>0</v>
      </c>
      <c r="Q454" s="64">
        <f t="shared" si="192"/>
        <v>0</v>
      </c>
      <c r="R454" s="64">
        <f t="shared" si="193"/>
        <v>0</v>
      </c>
      <c r="S454" s="64">
        <f t="shared" si="193"/>
        <v>0</v>
      </c>
      <c r="T454" s="64">
        <f t="shared" si="193"/>
        <v>457696.62599999999</v>
      </c>
      <c r="U454" s="64">
        <f t="shared" si="193"/>
        <v>612688.37400000007</v>
      </c>
      <c r="V454" s="64">
        <f t="shared" si="193"/>
        <v>152565.54199999999</v>
      </c>
      <c r="W454" s="64">
        <f t="shared" si="193"/>
        <v>204229.45800000004</v>
      </c>
      <c r="X454" s="64">
        <f t="shared" si="193"/>
        <v>0</v>
      </c>
      <c r="Y454" s="64">
        <f t="shared" si="193"/>
        <v>0</v>
      </c>
      <c r="Z454" s="64">
        <f t="shared" si="193"/>
        <v>0</v>
      </c>
      <c r="AA454" s="64">
        <f t="shared" si="193"/>
        <v>0</v>
      </c>
      <c r="AB454" s="64">
        <f t="shared" si="193"/>
        <v>0</v>
      </c>
      <c r="AC454" s="64">
        <f t="shared" si="193"/>
        <v>0</v>
      </c>
      <c r="AD454" s="64">
        <f t="shared" si="193"/>
        <v>0</v>
      </c>
      <c r="AE454" s="64">
        <f t="shared" si="193"/>
        <v>0</v>
      </c>
      <c r="AF454" s="64">
        <f t="shared" si="194"/>
        <v>1427180</v>
      </c>
      <c r="AG454" s="59" t="str">
        <f t="shared" si="195"/>
        <v>ok</v>
      </c>
    </row>
    <row r="455" spans="1:33" x14ac:dyDescent="0.25">
      <c r="A455" s="61">
        <v>584</v>
      </c>
      <c r="B455" s="61" t="s">
        <v>1016</v>
      </c>
      <c r="C455" s="45" t="s">
        <v>57</v>
      </c>
      <c r="D455" s="45" t="s">
        <v>967</v>
      </c>
      <c r="F455" s="80">
        <v>79600</v>
      </c>
      <c r="H455" s="64">
        <f t="shared" si="192"/>
        <v>0</v>
      </c>
      <c r="I455" s="64">
        <f t="shared" si="192"/>
        <v>0</v>
      </c>
      <c r="J455" s="64">
        <f t="shared" si="192"/>
        <v>0</v>
      </c>
      <c r="K455" s="64">
        <f t="shared" si="192"/>
        <v>0</v>
      </c>
      <c r="L455" s="64">
        <f t="shared" si="192"/>
        <v>0</v>
      </c>
      <c r="M455" s="64">
        <f t="shared" si="192"/>
        <v>0</v>
      </c>
      <c r="N455" s="64">
        <f t="shared" si="192"/>
        <v>0</v>
      </c>
      <c r="O455" s="64">
        <f t="shared" si="192"/>
        <v>0</v>
      </c>
      <c r="P455" s="64">
        <f t="shared" si="192"/>
        <v>0</v>
      </c>
      <c r="Q455" s="64">
        <f t="shared" si="192"/>
        <v>0</v>
      </c>
      <c r="R455" s="64">
        <f t="shared" si="193"/>
        <v>0</v>
      </c>
      <c r="S455" s="64">
        <f t="shared" si="193"/>
        <v>0</v>
      </c>
      <c r="T455" s="64">
        <f t="shared" si="193"/>
        <v>17915.969999999998</v>
      </c>
      <c r="U455" s="64">
        <f t="shared" si="193"/>
        <v>41784.03</v>
      </c>
      <c r="V455" s="64">
        <f t="shared" si="193"/>
        <v>5971.99</v>
      </c>
      <c r="W455" s="64">
        <f t="shared" si="193"/>
        <v>13928.01</v>
      </c>
      <c r="X455" s="64">
        <f t="shared" si="193"/>
        <v>0</v>
      </c>
      <c r="Y455" s="64">
        <f t="shared" si="193"/>
        <v>0</v>
      </c>
      <c r="Z455" s="64">
        <f t="shared" si="193"/>
        <v>0</v>
      </c>
      <c r="AA455" s="64">
        <f t="shared" si="193"/>
        <v>0</v>
      </c>
      <c r="AB455" s="64">
        <f t="shared" si="193"/>
        <v>0</v>
      </c>
      <c r="AC455" s="64">
        <f t="shared" si="193"/>
        <v>0</v>
      </c>
      <c r="AD455" s="64">
        <f t="shared" si="193"/>
        <v>0</v>
      </c>
      <c r="AE455" s="64">
        <f t="shared" si="193"/>
        <v>0</v>
      </c>
      <c r="AF455" s="64">
        <f t="shared" si="194"/>
        <v>79600</v>
      </c>
      <c r="AG455" s="59" t="str">
        <f t="shared" si="195"/>
        <v>ok</v>
      </c>
    </row>
    <row r="456" spans="1:33" x14ac:dyDescent="0.25">
      <c r="A456" s="61">
        <v>585</v>
      </c>
      <c r="B456" s="61" t="s">
        <v>1018</v>
      </c>
      <c r="C456" s="45" t="s">
        <v>58</v>
      </c>
      <c r="D456" s="45" t="s">
        <v>975</v>
      </c>
      <c r="F456" s="80">
        <v>0</v>
      </c>
      <c r="H456" s="64">
        <f t="shared" si="192"/>
        <v>0</v>
      </c>
      <c r="I456" s="64">
        <f t="shared" si="192"/>
        <v>0</v>
      </c>
      <c r="J456" s="64">
        <f t="shared" si="192"/>
        <v>0</v>
      </c>
      <c r="K456" s="64">
        <f t="shared" si="192"/>
        <v>0</v>
      </c>
      <c r="L456" s="64">
        <f t="shared" si="192"/>
        <v>0</v>
      </c>
      <c r="M456" s="64">
        <f t="shared" si="192"/>
        <v>0</v>
      </c>
      <c r="N456" s="64">
        <f t="shared" si="192"/>
        <v>0</v>
      </c>
      <c r="O456" s="64">
        <f t="shared" si="192"/>
        <v>0</v>
      </c>
      <c r="P456" s="64">
        <f t="shared" si="192"/>
        <v>0</v>
      </c>
      <c r="Q456" s="64">
        <f t="shared" si="192"/>
        <v>0</v>
      </c>
      <c r="R456" s="64">
        <f t="shared" si="193"/>
        <v>0</v>
      </c>
      <c r="S456" s="64">
        <f t="shared" si="193"/>
        <v>0</v>
      </c>
      <c r="T456" s="64">
        <f t="shared" si="193"/>
        <v>0</v>
      </c>
      <c r="U456" s="64">
        <f t="shared" si="193"/>
        <v>0</v>
      </c>
      <c r="V456" s="64">
        <f t="shared" si="193"/>
        <v>0</v>
      </c>
      <c r="W456" s="64">
        <f t="shared" si="193"/>
        <v>0</v>
      </c>
      <c r="X456" s="64">
        <f t="shared" si="193"/>
        <v>0</v>
      </c>
      <c r="Y456" s="64">
        <f t="shared" si="193"/>
        <v>0</v>
      </c>
      <c r="Z456" s="64">
        <f t="shared" si="193"/>
        <v>0</v>
      </c>
      <c r="AA456" s="64">
        <f t="shared" si="193"/>
        <v>0</v>
      </c>
      <c r="AB456" s="64">
        <f t="shared" si="193"/>
        <v>0</v>
      </c>
      <c r="AC456" s="64">
        <f t="shared" si="193"/>
        <v>0</v>
      </c>
      <c r="AD456" s="64">
        <f t="shared" si="193"/>
        <v>0</v>
      </c>
      <c r="AE456" s="64">
        <f t="shared" si="193"/>
        <v>0</v>
      </c>
      <c r="AF456" s="64">
        <f t="shared" si="194"/>
        <v>0</v>
      </c>
      <c r="AG456" s="59" t="str">
        <f t="shared" si="195"/>
        <v>ok</v>
      </c>
    </row>
    <row r="457" spans="1:33" x14ac:dyDescent="0.25">
      <c r="A457" s="61">
        <v>586</v>
      </c>
      <c r="B457" s="61" t="s">
        <v>1020</v>
      </c>
      <c r="C457" s="45" t="s">
        <v>59</v>
      </c>
      <c r="D457" s="45" t="s">
        <v>972</v>
      </c>
      <c r="F457" s="80">
        <v>2747434</v>
      </c>
      <c r="H457" s="64">
        <f t="shared" si="192"/>
        <v>0</v>
      </c>
      <c r="I457" s="64">
        <f t="shared" si="192"/>
        <v>0</v>
      </c>
      <c r="J457" s="64">
        <f t="shared" si="192"/>
        <v>0</v>
      </c>
      <c r="K457" s="64">
        <f t="shared" si="192"/>
        <v>0</v>
      </c>
      <c r="L457" s="64">
        <f t="shared" si="192"/>
        <v>0</v>
      </c>
      <c r="M457" s="64">
        <f t="shared" si="192"/>
        <v>0</v>
      </c>
      <c r="N457" s="64">
        <f t="shared" si="192"/>
        <v>0</v>
      </c>
      <c r="O457" s="64">
        <f t="shared" si="192"/>
        <v>0</v>
      </c>
      <c r="P457" s="64">
        <f t="shared" si="192"/>
        <v>0</v>
      </c>
      <c r="Q457" s="64">
        <f t="shared" si="192"/>
        <v>0</v>
      </c>
      <c r="R457" s="64">
        <f t="shared" si="193"/>
        <v>0</v>
      </c>
      <c r="S457" s="64">
        <f t="shared" si="193"/>
        <v>0</v>
      </c>
      <c r="T457" s="64">
        <f t="shared" si="193"/>
        <v>0</v>
      </c>
      <c r="U457" s="64">
        <f t="shared" si="193"/>
        <v>0</v>
      </c>
      <c r="V457" s="64">
        <f t="shared" si="193"/>
        <v>0</v>
      </c>
      <c r="W457" s="64">
        <f t="shared" si="193"/>
        <v>0</v>
      </c>
      <c r="X457" s="64">
        <f t="shared" si="193"/>
        <v>0</v>
      </c>
      <c r="Y457" s="64">
        <f t="shared" si="193"/>
        <v>0</v>
      </c>
      <c r="Z457" s="64">
        <f t="shared" si="193"/>
        <v>0</v>
      </c>
      <c r="AA457" s="64">
        <f t="shared" si="193"/>
        <v>2747434</v>
      </c>
      <c r="AB457" s="64">
        <f t="shared" si="193"/>
        <v>0</v>
      </c>
      <c r="AC457" s="64">
        <f t="shared" si="193"/>
        <v>0</v>
      </c>
      <c r="AD457" s="64">
        <f t="shared" si="193"/>
        <v>0</v>
      </c>
      <c r="AE457" s="64">
        <f t="shared" si="193"/>
        <v>0</v>
      </c>
      <c r="AF457" s="64">
        <f t="shared" si="194"/>
        <v>2747434</v>
      </c>
      <c r="AG457" s="59" t="str">
        <f t="shared" si="195"/>
        <v>ok</v>
      </c>
    </row>
    <row r="458" spans="1:33" x14ac:dyDescent="0.25">
      <c r="A458" s="61">
        <v>586</v>
      </c>
      <c r="B458" s="61" t="s">
        <v>27</v>
      </c>
      <c r="C458" s="45" t="s">
        <v>60</v>
      </c>
      <c r="D458" s="45" t="s">
        <v>42</v>
      </c>
      <c r="F458" s="80">
        <v>0</v>
      </c>
      <c r="H458" s="64">
        <f t="shared" si="192"/>
        <v>0</v>
      </c>
      <c r="I458" s="64">
        <f t="shared" si="192"/>
        <v>0</v>
      </c>
      <c r="J458" s="64">
        <f t="shared" si="192"/>
        <v>0</v>
      </c>
      <c r="K458" s="64">
        <f t="shared" si="192"/>
        <v>0</v>
      </c>
      <c r="L458" s="64">
        <f t="shared" si="192"/>
        <v>0</v>
      </c>
      <c r="M458" s="64">
        <f t="shared" si="192"/>
        <v>0</v>
      </c>
      <c r="N458" s="64">
        <f t="shared" si="192"/>
        <v>0</v>
      </c>
      <c r="O458" s="64">
        <f t="shared" si="192"/>
        <v>0</v>
      </c>
      <c r="P458" s="64">
        <f t="shared" si="192"/>
        <v>0</v>
      </c>
      <c r="Q458" s="64">
        <f t="shared" si="192"/>
        <v>0</v>
      </c>
      <c r="R458" s="64">
        <f t="shared" si="193"/>
        <v>0</v>
      </c>
      <c r="S458" s="64">
        <f t="shared" si="193"/>
        <v>0</v>
      </c>
      <c r="T458" s="64">
        <f t="shared" si="193"/>
        <v>0</v>
      </c>
      <c r="U458" s="64">
        <f t="shared" si="193"/>
        <v>0</v>
      </c>
      <c r="V458" s="64">
        <f t="shared" si="193"/>
        <v>0</v>
      </c>
      <c r="W458" s="64">
        <f t="shared" si="193"/>
        <v>0</v>
      </c>
      <c r="X458" s="64">
        <f t="shared" si="193"/>
        <v>0</v>
      </c>
      <c r="Y458" s="64">
        <f t="shared" si="193"/>
        <v>0</v>
      </c>
      <c r="Z458" s="64">
        <f t="shared" si="193"/>
        <v>0</v>
      </c>
      <c r="AA458" s="64">
        <f t="shared" si="193"/>
        <v>0</v>
      </c>
      <c r="AB458" s="64">
        <f t="shared" si="193"/>
        <v>0</v>
      </c>
      <c r="AC458" s="64">
        <f t="shared" si="193"/>
        <v>0</v>
      </c>
      <c r="AD458" s="64">
        <f t="shared" si="193"/>
        <v>0</v>
      </c>
      <c r="AE458" s="64">
        <f t="shared" si="193"/>
        <v>0</v>
      </c>
      <c r="AF458" s="64">
        <f t="shared" si="194"/>
        <v>0</v>
      </c>
      <c r="AG458" s="59" t="str">
        <f t="shared" si="195"/>
        <v>ok</v>
      </c>
    </row>
    <row r="459" spans="1:33" x14ac:dyDescent="0.25">
      <c r="A459" s="61">
        <v>587</v>
      </c>
      <c r="B459" s="61" t="s">
        <v>1022</v>
      </c>
      <c r="C459" s="45" t="s">
        <v>61</v>
      </c>
      <c r="D459" s="45" t="s">
        <v>974</v>
      </c>
      <c r="F459" s="80">
        <v>0</v>
      </c>
      <c r="H459" s="64">
        <f t="shared" si="192"/>
        <v>0</v>
      </c>
      <c r="I459" s="64">
        <f t="shared" si="192"/>
        <v>0</v>
      </c>
      <c r="J459" s="64">
        <f t="shared" si="192"/>
        <v>0</v>
      </c>
      <c r="K459" s="64">
        <f t="shared" si="192"/>
        <v>0</v>
      </c>
      <c r="L459" s="64">
        <f t="shared" si="192"/>
        <v>0</v>
      </c>
      <c r="M459" s="64">
        <f t="shared" si="192"/>
        <v>0</v>
      </c>
      <c r="N459" s="64">
        <f t="shared" si="192"/>
        <v>0</v>
      </c>
      <c r="O459" s="64">
        <f t="shared" si="192"/>
        <v>0</v>
      </c>
      <c r="P459" s="64">
        <f t="shared" si="192"/>
        <v>0</v>
      </c>
      <c r="Q459" s="64">
        <f t="shared" si="192"/>
        <v>0</v>
      </c>
      <c r="R459" s="64">
        <f t="shared" si="193"/>
        <v>0</v>
      </c>
      <c r="S459" s="64">
        <f t="shared" si="193"/>
        <v>0</v>
      </c>
      <c r="T459" s="64">
        <f t="shared" si="193"/>
        <v>0</v>
      </c>
      <c r="U459" s="64">
        <f t="shared" si="193"/>
        <v>0</v>
      </c>
      <c r="V459" s="64">
        <f t="shared" si="193"/>
        <v>0</v>
      </c>
      <c r="W459" s="64">
        <f t="shared" si="193"/>
        <v>0</v>
      </c>
      <c r="X459" s="64">
        <f t="shared" si="193"/>
        <v>0</v>
      </c>
      <c r="Y459" s="64">
        <f t="shared" si="193"/>
        <v>0</v>
      </c>
      <c r="Z459" s="64">
        <f t="shared" si="193"/>
        <v>0</v>
      </c>
      <c r="AA459" s="64">
        <f t="shared" si="193"/>
        <v>0</v>
      </c>
      <c r="AB459" s="64">
        <f t="shared" si="193"/>
        <v>0</v>
      </c>
      <c r="AC459" s="64">
        <f t="shared" si="193"/>
        <v>0</v>
      </c>
      <c r="AD459" s="64">
        <f t="shared" si="193"/>
        <v>0</v>
      </c>
      <c r="AE459" s="64">
        <f t="shared" si="193"/>
        <v>0</v>
      </c>
      <c r="AF459" s="64">
        <f t="shared" si="194"/>
        <v>0</v>
      </c>
      <c r="AG459" s="59" t="str">
        <f t="shared" si="195"/>
        <v>ok</v>
      </c>
    </row>
    <row r="460" spans="1:33" x14ac:dyDescent="0.25">
      <c r="A460" s="61">
        <v>588</v>
      </c>
      <c r="B460" s="61" t="s">
        <v>1024</v>
      </c>
      <c r="C460" s="45" t="s">
        <v>62</v>
      </c>
      <c r="D460" s="45" t="s">
        <v>957</v>
      </c>
      <c r="F460" s="80">
        <v>1287978</v>
      </c>
      <c r="H460" s="64">
        <f t="shared" si="192"/>
        <v>0</v>
      </c>
      <c r="I460" s="64">
        <f t="shared" si="192"/>
        <v>0</v>
      </c>
      <c r="J460" s="64">
        <f t="shared" si="192"/>
        <v>0</v>
      </c>
      <c r="K460" s="64">
        <f t="shared" si="192"/>
        <v>0</v>
      </c>
      <c r="L460" s="64">
        <f t="shared" si="192"/>
        <v>0</v>
      </c>
      <c r="M460" s="64">
        <f t="shared" si="192"/>
        <v>0</v>
      </c>
      <c r="N460" s="64">
        <f t="shared" si="192"/>
        <v>0</v>
      </c>
      <c r="O460" s="64">
        <f t="shared" si="192"/>
        <v>0</v>
      </c>
      <c r="P460" s="64">
        <f t="shared" si="192"/>
        <v>0</v>
      </c>
      <c r="Q460" s="64">
        <f t="shared" si="192"/>
        <v>0</v>
      </c>
      <c r="R460" s="64">
        <f t="shared" si="193"/>
        <v>153518.08251056794</v>
      </c>
      <c r="S460" s="64">
        <f t="shared" si="193"/>
        <v>0</v>
      </c>
      <c r="T460" s="64">
        <f t="shared" si="193"/>
        <v>225295.79277282031</v>
      </c>
      <c r="U460" s="64">
        <f t="shared" si="193"/>
        <v>366088.74493295589</v>
      </c>
      <c r="V460" s="64">
        <f t="shared" si="193"/>
        <v>75098.597590940102</v>
      </c>
      <c r="W460" s="64">
        <f t="shared" si="193"/>
        <v>122029.58164431863</v>
      </c>
      <c r="X460" s="64">
        <f t="shared" si="193"/>
        <v>93091.721768621675</v>
      </c>
      <c r="Y460" s="64">
        <f t="shared" si="193"/>
        <v>70648.252298066946</v>
      </c>
      <c r="Z460" s="64">
        <f t="shared" si="193"/>
        <v>33527.39064449408</v>
      </c>
      <c r="AA460" s="64">
        <f t="shared" si="193"/>
        <v>44278.511193189392</v>
      </c>
      <c r="AB460" s="64">
        <f t="shared" si="193"/>
        <v>104401.32464402533</v>
      </c>
      <c r="AC460" s="64">
        <f t="shared" si="193"/>
        <v>0</v>
      </c>
      <c r="AD460" s="64">
        <f t="shared" si="193"/>
        <v>0</v>
      </c>
      <c r="AE460" s="64">
        <f t="shared" si="193"/>
        <v>0</v>
      </c>
      <c r="AF460" s="64">
        <f t="shared" si="194"/>
        <v>1287978.0000000002</v>
      </c>
      <c r="AG460" s="59" t="str">
        <f t="shared" si="195"/>
        <v>ok</v>
      </c>
    </row>
    <row r="461" spans="1:33" x14ac:dyDescent="0.25">
      <c r="A461" s="61">
        <v>589</v>
      </c>
      <c r="B461" s="61" t="s">
        <v>1026</v>
      </c>
      <c r="C461" s="45" t="s">
        <v>63</v>
      </c>
      <c r="D461" s="45" t="s">
        <v>957</v>
      </c>
      <c r="F461" s="80">
        <v>0</v>
      </c>
      <c r="H461" s="64">
        <f t="shared" si="192"/>
        <v>0</v>
      </c>
      <c r="I461" s="64">
        <f t="shared" si="192"/>
        <v>0</v>
      </c>
      <c r="J461" s="64">
        <f t="shared" si="192"/>
        <v>0</v>
      </c>
      <c r="K461" s="64">
        <f t="shared" si="192"/>
        <v>0</v>
      </c>
      <c r="L461" s="64">
        <f t="shared" si="192"/>
        <v>0</v>
      </c>
      <c r="M461" s="64">
        <f t="shared" si="192"/>
        <v>0</v>
      </c>
      <c r="N461" s="64">
        <f t="shared" si="192"/>
        <v>0</v>
      </c>
      <c r="O461" s="64">
        <f t="shared" si="192"/>
        <v>0</v>
      </c>
      <c r="P461" s="64">
        <f t="shared" si="192"/>
        <v>0</v>
      </c>
      <c r="Q461" s="64">
        <f t="shared" si="192"/>
        <v>0</v>
      </c>
      <c r="R461" s="64">
        <f t="shared" si="193"/>
        <v>0</v>
      </c>
      <c r="S461" s="64">
        <f t="shared" si="193"/>
        <v>0</v>
      </c>
      <c r="T461" s="64">
        <f t="shared" si="193"/>
        <v>0</v>
      </c>
      <c r="U461" s="64">
        <f t="shared" si="193"/>
        <v>0</v>
      </c>
      <c r="V461" s="64">
        <f t="shared" si="193"/>
        <v>0</v>
      </c>
      <c r="W461" s="64">
        <f t="shared" si="193"/>
        <v>0</v>
      </c>
      <c r="X461" s="64">
        <f t="shared" si="193"/>
        <v>0</v>
      </c>
      <c r="Y461" s="64">
        <f t="shared" si="193"/>
        <v>0</v>
      </c>
      <c r="Z461" s="64">
        <f t="shared" si="193"/>
        <v>0</v>
      </c>
      <c r="AA461" s="64">
        <f t="shared" si="193"/>
        <v>0</v>
      </c>
      <c r="AB461" s="64">
        <f t="shared" si="193"/>
        <v>0</v>
      </c>
      <c r="AC461" s="64">
        <f t="shared" si="193"/>
        <v>0</v>
      </c>
      <c r="AD461" s="64">
        <f t="shared" si="193"/>
        <v>0</v>
      </c>
      <c r="AE461" s="64">
        <f t="shared" si="193"/>
        <v>0</v>
      </c>
      <c r="AF461" s="64">
        <f t="shared" si="194"/>
        <v>0</v>
      </c>
      <c r="AG461" s="59" t="str">
        <f t="shared" si="195"/>
        <v>ok</v>
      </c>
    </row>
    <row r="462" spans="1:33" x14ac:dyDescent="0.25">
      <c r="A462" s="61"/>
      <c r="B462" s="61"/>
      <c r="F462" s="80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  <c r="AA462" s="64"/>
      <c r="AB462" s="64"/>
      <c r="AC462" s="64"/>
      <c r="AD462" s="64"/>
      <c r="AE462" s="64"/>
      <c r="AG462" s="59"/>
    </row>
    <row r="463" spans="1:33" x14ac:dyDescent="0.25">
      <c r="A463" s="61" t="s">
        <v>107</v>
      </c>
      <c r="B463" s="61"/>
      <c r="C463" s="45" t="s">
        <v>64</v>
      </c>
      <c r="F463" s="77">
        <f>SUM(F451:F462)</f>
        <v>7257410</v>
      </c>
      <c r="G463" s="63">
        <f t="shared" ref="G463:M463" si="196">SUM(G451:G462)</f>
        <v>0</v>
      </c>
      <c r="H463" s="63">
        <f t="shared" si="196"/>
        <v>0</v>
      </c>
      <c r="I463" s="63">
        <f t="shared" si="196"/>
        <v>0</v>
      </c>
      <c r="J463" s="63">
        <f t="shared" si="196"/>
        <v>0</v>
      </c>
      <c r="K463" s="63">
        <f t="shared" si="196"/>
        <v>0</v>
      </c>
      <c r="L463" s="63">
        <f t="shared" si="196"/>
        <v>0</v>
      </c>
      <c r="M463" s="63">
        <f t="shared" si="196"/>
        <v>0</v>
      </c>
      <c r="N463" s="63">
        <f>SUM(N451:N462)</f>
        <v>0</v>
      </c>
      <c r="O463" s="63">
        <f>SUM(O451:O462)</f>
        <v>0</v>
      </c>
      <c r="P463" s="63">
        <f>SUM(P451:P462)</f>
        <v>0</v>
      </c>
      <c r="Q463" s="63">
        <f t="shared" ref="Q463:AB463" si="197">SUM(Q451:Q462)</f>
        <v>0</v>
      </c>
      <c r="R463" s="63">
        <f t="shared" si="197"/>
        <v>1371922.6111582525</v>
      </c>
      <c r="S463" s="63">
        <f t="shared" si="197"/>
        <v>0</v>
      </c>
      <c r="T463" s="63">
        <f t="shared" si="197"/>
        <v>765529.24634521885</v>
      </c>
      <c r="U463" s="63">
        <f t="shared" si="197"/>
        <v>1114652.6703150687</v>
      </c>
      <c r="V463" s="63">
        <f t="shared" si="197"/>
        <v>255176.41544840625</v>
      </c>
      <c r="W463" s="63">
        <f t="shared" si="197"/>
        <v>371550.89010502287</v>
      </c>
      <c r="X463" s="63">
        <f t="shared" si="197"/>
        <v>101674.39389801641</v>
      </c>
      <c r="Y463" s="63">
        <f t="shared" si="197"/>
        <v>77161.729269694391</v>
      </c>
      <c r="Z463" s="63">
        <f t="shared" si="197"/>
        <v>36618.477540180029</v>
      </c>
      <c r="AA463" s="63">
        <f t="shared" si="197"/>
        <v>3049096.8704883531</v>
      </c>
      <c r="AB463" s="63">
        <f t="shared" si="197"/>
        <v>114026.69543178742</v>
      </c>
      <c r="AC463" s="63">
        <f>SUM(AC451:AC462)</f>
        <v>0</v>
      </c>
      <c r="AD463" s="63">
        <f>SUM(AD451:AD462)</f>
        <v>0</v>
      </c>
      <c r="AE463" s="63">
        <f>SUM(AE451:AE462)</f>
        <v>0</v>
      </c>
      <c r="AF463" s="64">
        <f>SUM(H463:AE463)</f>
        <v>7257410.0000000009</v>
      </c>
      <c r="AG463" s="59" t="str">
        <f>IF(ABS(AF463-F463)&lt;1,"ok","err")</f>
        <v>ok</v>
      </c>
    </row>
    <row r="464" spans="1:33" x14ac:dyDescent="0.25">
      <c r="A464" s="61"/>
      <c r="B464" s="61"/>
      <c r="F464" s="77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4"/>
      <c r="AG464" s="59"/>
    </row>
    <row r="465" spans="1:33" x14ac:dyDescent="0.25">
      <c r="A465" s="61"/>
      <c r="B465" s="61"/>
      <c r="F465" s="77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4"/>
      <c r="AG465" s="59"/>
    </row>
    <row r="466" spans="1:33" x14ac:dyDescent="0.25">
      <c r="A466" s="61"/>
      <c r="B466" s="61"/>
      <c r="F466" s="77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4"/>
      <c r="AG466" s="59"/>
    </row>
    <row r="467" spans="1:33" x14ac:dyDescent="0.25">
      <c r="A467" s="61"/>
      <c r="B467" s="61"/>
      <c r="F467" s="77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4"/>
      <c r="AG467" s="59"/>
    </row>
    <row r="468" spans="1:33" x14ac:dyDescent="0.25">
      <c r="A468" s="66"/>
      <c r="B468" s="61"/>
      <c r="F468" s="80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  <c r="AA468" s="64"/>
      <c r="AB468" s="64"/>
      <c r="AC468" s="64"/>
      <c r="AD468" s="64"/>
      <c r="AE468" s="64"/>
      <c r="AG468" s="59"/>
    </row>
    <row r="469" spans="1:33" x14ac:dyDescent="0.25">
      <c r="A469" s="60" t="s">
        <v>45</v>
      </c>
      <c r="B469" s="61"/>
      <c r="F469" s="80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  <c r="AA469" s="64"/>
      <c r="AB469" s="64"/>
      <c r="AC469" s="64"/>
      <c r="AD469" s="64"/>
      <c r="AE469" s="64"/>
      <c r="AG469" s="59"/>
    </row>
    <row r="470" spans="1:33" x14ac:dyDescent="0.25">
      <c r="A470" s="61"/>
      <c r="B470" s="61"/>
      <c r="F470" s="80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  <c r="AE470" s="64"/>
      <c r="AG470" s="59"/>
    </row>
    <row r="471" spans="1:33" x14ac:dyDescent="0.25">
      <c r="A471" s="66" t="s">
        <v>108</v>
      </c>
      <c r="B471" s="61"/>
      <c r="F471" s="80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  <c r="AA471" s="64"/>
      <c r="AB471" s="64"/>
      <c r="AC471" s="64"/>
      <c r="AD471" s="64"/>
      <c r="AE471" s="64"/>
      <c r="AG471" s="59"/>
    </row>
    <row r="472" spans="1:33" x14ac:dyDescent="0.25">
      <c r="A472" s="61">
        <v>590</v>
      </c>
      <c r="B472" s="61" t="s">
        <v>1031</v>
      </c>
      <c r="C472" s="45" t="s">
        <v>65</v>
      </c>
      <c r="D472" s="45" t="s">
        <v>668</v>
      </c>
      <c r="F472" s="77">
        <v>0</v>
      </c>
      <c r="H472" s="64">
        <f t="shared" ref="H472:Q480" si="198">IF(VLOOKUP($D472,$C$6:$AE$651,H$2,)=0,0,((VLOOKUP($D472,$C$6:$AE$651,H$2,)/VLOOKUP($D472,$C$6:$AE$651,4,))*$F472))</f>
        <v>0</v>
      </c>
      <c r="I472" s="64">
        <f t="shared" si="198"/>
        <v>0</v>
      </c>
      <c r="J472" s="64">
        <f t="shared" si="198"/>
        <v>0</v>
      </c>
      <c r="K472" s="64">
        <f t="shared" si="198"/>
        <v>0</v>
      </c>
      <c r="L472" s="64">
        <f t="shared" si="198"/>
        <v>0</v>
      </c>
      <c r="M472" s="64">
        <f t="shared" si="198"/>
        <v>0</v>
      </c>
      <c r="N472" s="64">
        <f t="shared" si="198"/>
        <v>0</v>
      </c>
      <c r="O472" s="64">
        <f t="shared" si="198"/>
        <v>0</v>
      </c>
      <c r="P472" s="64">
        <f t="shared" si="198"/>
        <v>0</v>
      </c>
      <c r="Q472" s="64">
        <f t="shared" si="198"/>
        <v>0</v>
      </c>
      <c r="R472" s="64">
        <f t="shared" ref="R472:AE480" si="199">IF(VLOOKUP($D472,$C$6:$AE$651,R$2,)=0,0,((VLOOKUP($D472,$C$6:$AE$651,R$2,)/VLOOKUP($D472,$C$6:$AE$651,4,))*$F472))</f>
        <v>0</v>
      </c>
      <c r="S472" s="64">
        <f t="shared" si="199"/>
        <v>0</v>
      </c>
      <c r="T472" s="64">
        <f t="shared" si="199"/>
        <v>0</v>
      </c>
      <c r="U472" s="64">
        <f t="shared" si="199"/>
        <v>0</v>
      </c>
      <c r="V472" s="64">
        <f t="shared" si="199"/>
        <v>0</v>
      </c>
      <c r="W472" s="64">
        <f t="shared" si="199"/>
        <v>0</v>
      </c>
      <c r="X472" s="64">
        <f t="shared" si="199"/>
        <v>0</v>
      </c>
      <c r="Y472" s="64">
        <f t="shared" si="199"/>
        <v>0</v>
      </c>
      <c r="Z472" s="64">
        <f t="shared" si="199"/>
        <v>0</v>
      </c>
      <c r="AA472" s="64">
        <f t="shared" si="199"/>
        <v>0</v>
      </c>
      <c r="AB472" s="64">
        <f t="shared" si="199"/>
        <v>0</v>
      </c>
      <c r="AC472" s="64">
        <f t="shared" si="199"/>
        <v>0</v>
      </c>
      <c r="AD472" s="64">
        <f t="shared" si="199"/>
        <v>0</v>
      </c>
      <c r="AE472" s="64">
        <f t="shared" si="199"/>
        <v>0</v>
      </c>
      <c r="AF472" s="64">
        <f t="shared" ref="AF472:AF480" si="200">SUM(H472:AE472)</f>
        <v>0</v>
      </c>
      <c r="AG472" s="59" t="str">
        <f t="shared" ref="AG472:AG480" si="201">IF(ABS(AF472-F472)&lt;1,"ok","err")</f>
        <v>ok</v>
      </c>
    </row>
    <row r="473" spans="1:33" x14ac:dyDescent="0.25">
      <c r="A473" s="61">
        <v>591</v>
      </c>
      <c r="B473" s="61" t="s">
        <v>224</v>
      </c>
      <c r="C473" s="45" t="s">
        <v>620</v>
      </c>
      <c r="D473" s="45" t="s">
        <v>961</v>
      </c>
      <c r="F473" s="80">
        <v>0</v>
      </c>
      <c r="H473" s="64">
        <f t="shared" si="198"/>
        <v>0</v>
      </c>
      <c r="I473" s="64">
        <f t="shared" si="198"/>
        <v>0</v>
      </c>
      <c r="J473" s="64">
        <f t="shared" si="198"/>
        <v>0</v>
      </c>
      <c r="K473" s="64">
        <f t="shared" si="198"/>
        <v>0</v>
      </c>
      <c r="L473" s="64">
        <f t="shared" si="198"/>
        <v>0</v>
      </c>
      <c r="M473" s="64">
        <f t="shared" si="198"/>
        <v>0</v>
      </c>
      <c r="N473" s="64">
        <f t="shared" si="198"/>
        <v>0</v>
      </c>
      <c r="O473" s="64">
        <f t="shared" si="198"/>
        <v>0</v>
      </c>
      <c r="P473" s="64">
        <f t="shared" si="198"/>
        <v>0</v>
      </c>
      <c r="Q473" s="64">
        <f t="shared" si="198"/>
        <v>0</v>
      </c>
      <c r="R473" s="64">
        <f t="shared" si="199"/>
        <v>0</v>
      </c>
      <c r="S473" s="64">
        <f t="shared" si="199"/>
        <v>0</v>
      </c>
      <c r="T473" s="64">
        <f t="shared" si="199"/>
        <v>0</v>
      </c>
      <c r="U473" s="64">
        <f t="shared" si="199"/>
        <v>0</v>
      </c>
      <c r="V473" s="64">
        <f t="shared" si="199"/>
        <v>0</v>
      </c>
      <c r="W473" s="64">
        <f t="shared" si="199"/>
        <v>0</v>
      </c>
      <c r="X473" s="64">
        <f t="shared" si="199"/>
        <v>0</v>
      </c>
      <c r="Y473" s="64">
        <f t="shared" si="199"/>
        <v>0</v>
      </c>
      <c r="Z473" s="64">
        <f t="shared" si="199"/>
        <v>0</v>
      </c>
      <c r="AA473" s="64">
        <f t="shared" si="199"/>
        <v>0</v>
      </c>
      <c r="AB473" s="64">
        <f t="shared" si="199"/>
        <v>0</v>
      </c>
      <c r="AC473" s="64">
        <f t="shared" si="199"/>
        <v>0</v>
      </c>
      <c r="AD473" s="64">
        <f t="shared" si="199"/>
        <v>0</v>
      </c>
      <c r="AE473" s="64">
        <f t="shared" si="199"/>
        <v>0</v>
      </c>
      <c r="AF473" s="64">
        <f>SUM(H473:AE473)</f>
        <v>0</v>
      </c>
      <c r="AG473" s="59" t="str">
        <f t="shared" si="201"/>
        <v>ok</v>
      </c>
    </row>
    <row r="474" spans="1:33" x14ac:dyDescent="0.25">
      <c r="A474" s="61">
        <v>592</v>
      </c>
      <c r="B474" s="61" t="s">
        <v>1033</v>
      </c>
      <c r="C474" s="45" t="s">
        <v>66</v>
      </c>
      <c r="D474" s="45" t="s">
        <v>961</v>
      </c>
      <c r="F474" s="80">
        <v>341322</v>
      </c>
      <c r="H474" s="64">
        <f t="shared" si="198"/>
        <v>0</v>
      </c>
      <c r="I474" s="64">
        <f t="shared" si="198"/>
        <v>0</v>
      </c>
      <c r="J474" s="64">
        <f t="shared" si="198"/>
        <v>0</v>
      </c>
      <c r="K474" s="64">
        <f t="shared" si="198"/>
        <v>0</v>
      </c>
      <c r="L474" s="64">
        <f t="shared" si="198"/>
        <v>0</v>
      </c>
      <c r="M474" s="64">
        <f t="shared" si="198"/>
        <v>0</v>
      </c>
      <c r="N474" s="64">
        <f t="shared" si="198"/>
        <v>0</v>
      </c>
      <c r="O474" s="64">
        <f t="shared" si="198"/>
        <v>0</v>
      </c>
      <c r="P474" s="64">
        <f t="shared" si="198"/>
        <v>0</v>
      </c>
      <c r="Q474" s="64">
        <f t="shared" si="198"/>
        <v>0</v>
      </c>
      <c r="R474" s="64">
        <f t="shared" si="199"/>
        <v>341322</v>
      </c>
      <c r="S474" s="64">
        <f t="shared" si="199"/>
        <v>0</v>
      </c>
      <c r="T474" s="64">
        <f t="shared" si="199"/>
        <v>0</v>
      </c>
      <c r="U474" s="64">
        <f t="shared" si="199"/>
        <v>0</v>
      </c>
      <c r="V474" s="64">
        <f t="shared" si="199"/>
        <v>0</v>
      </c>
      <c r="W474" s="64">
        <f t="shared" si="199"/>
        <v>0</v>
      </c>
      <c r="X474" s="64">
        <f t="shared" si="199"/>
        <v>0</v>
      </c>
      <c r="Y474" s="64">
        <f t="shared" si="199"/>
        <v>0</v>
      </c>
      <c r="Z474" s="64">
        <f t="shared" si="199"/>
        <v>0</v>
      </c>
      <c r="AA474" s="64">
        <f t="shared" si="199"/>
        <v>0</v>
      </c>
      <c r="AB474" s="64">
        <f t="shared" si="199"/>
        <v>0</v>
      </c>
      <c r="AC474" s="64">
        <f t="shared" si="199"/>
        <v>0</v>
      </c>
      <c r="AD474" s="64">
        <f t="shared" si="199"/>
        <v>0</v>
      </c>
      <c r="AE474" s="64">
        <f t="shared" si="199"/>
        <v>0</v>
      </c>
      <c r="AF474" s="64">
        <f t="shared" si="200"/>
        <v>341322</v>
      </c>
      <c r="AG474" s="59" t="str">
        <f t="shared" si="201"/>
        <v>ok</v>
      </c>
    </row>
    <row r="475" spans="1:33" x14ac:dyDescent="0.25">
      <c r="A475" s="61">
        <v>593</v>
      </c>
      <c r="B475" s="61" t="s">
        <v>1035</v>
      </c>
      <c r="C475" s="45" t="s">
        <v>67</v>
      </c>
      <c r="D475" s="45" t="s">
        <v>964</v>
      </c>
      <c r="F475" s="80">
        <v>2954783</v>
      </c>
      <c r="H475" s="64">
        <f t="shared" si="198"/>
        <v>0</v>
      </c>
      <c r="I475" s="64">
        <f t="shared" si="198"/>
        <v>0</v>
      </c>
      <c r="J475" s="64">
        <f t="shared" si="198"/>
        <v>0</v>
      </c>
      <c r="K475" s="64">
        <f t="shared" si="198"/>
        <v>0</v>
      </c>
      <c r="L475" s="64">
        <f t="shared" si="198"/>
        <v>0</v>
      </c>
      <c r="M475" s="64">
        <f t="shared" si="198"/>
        <v>0</v>
      </c>
      <c r="N475" s="64">
        <f t="shared" si="198"/>
        <v>0</v>
      </c>
      <c r="O475" s="64">
        <f t="shared" si="198"/>
        <v>0</v>
      </c>
      <c r="P475" s="64">
        <f t="shared" si="198"/>
        <v>0</v>
      </c>
      <c r="Q475" s="64">
        <f t="shared" si="198"/>
        <v>0</v>
      </c>
      <c r="R475" s="64">
        <f t="shared" si="199"/>
        <v>0</v>
      </c>
      <c r="S475" s="64">
        <f t="shared" si="199"/>
        <v>0</v>
      </c>
      <c r="T475" s="64">
        <f t="shared" si="199"/>
        <v>947598.9081</v>
      </c>
      <c r="U475" s="64">
        <f t="shared" si="199"/>
        <v>1268488.3419000001</v>
      </c>
      <c r="V475" s="64">
        <f t="shared" si="199"/>
        <v>315866.3027</v>
      </c>
      <c r="W475" s="64">
        <f t="shared" si="199"/>
        <v>422829.44730000012</v>
      </c>
      <c r="X475" s="64">
        <f t="shared" si="199"/>
        <v>0</v>
      </c>
      <c r="Y475" s="64">
        <f t="shared" si="199"/>
        <v>0</v>
      </c>
      <c r="Z475" s="64">
        <f t="shared" si="199"/>
        <v>0</v>
      </c>
      <c r="AA475" s="64">
        <f t="shared" si="199"/>
        <v>0</v>
      </c>
      <c r="AB475" s="64">
        <f t="shared" si="199"/>
        <v>0</v>
      </c>
      <c r="AC475" s="64">
        <f t="shared" si="199"/>
        <v>0</v>
      </c>
      <c r="AD475" s="64">
        <f t="shared" si="199"/>
        <v>0</v>
      </c>
      <c r="AE475" s="64">
        <f t="shared" si="199"/>
        <v>0</v>
      </c>
      <c r="AF475" s="64">
        <f t="shared" si="200"/>
        <v>2954783</v>
      </c>
      <c r="AG475" s="59" t="str">
        <f t="shared" si="201"/>
        <v>ok</v>
      </c>
    </row>
    <row r="476" spans="1:33" x14ac:dyDescent="0.25">
      <c r="A476" s="61">
        <v>594</v>
      </c>
      <c r="B476" s="61" t="s">
        <v>1037</v>
      </c>
      <c r="C476" s="45" t="s">
        <v>68</v>
      </c>
      <c r="D476" s="45" t="s">
        <v>967</v>
      </c>
      <c r="F476" s="80">
        <v>652400</v>
      </c>
      <c r="H476" s="64">
        <f t="shared" si="198"/>
        <v>0</v>
      </c>
      <c r="I476" s="64">
        <f t="shared" si="198"/>
        <v>0</v>
      </c>
      <c r="J476" s="64">
        <f t="shared" si="198"/>
        <v>0</v>
      </c>
      <c r="K476" s="64">
        <f t="shared" si="198"/>
        <v>0</v>
      </c>
      <c r="L476" s="64">
        <f t="shared" si="198"/>
        <v>0</v>
      </c>
      <c r="M476" s="64">
        <f t="shared" si="198"/>
        <v>0</v>
      </c>
      <c r="N476" s="64">
        <f t="shared" si="198"/>
        <v>0</v>
      </c>
      <c r="O476" s="64">
        <f t="shared" si="198"/>
        <v>0</v>
      </c>
      <c r="P476" s="64">
        <f t="shared" si="198"/>
        <v>0</v>
      </c>
      <c r="Q476" s="64">
        <f t="shared" si="198"/>
        <v>0</v>
      </c>
      <c r="R476" s="64">
        <f t="shared" si="199"/>
        <v>0</v>
      </c>
      <c r="S476" s="64">
        <f t="shared" si="199"/>
        <v>0</v>
      </c>
      <c r="T476" s="64">
        <f t="shared" si="199"/>
        <v>146838.93</v>
      </c>
      <c r="U476" s="64">
        <f t="shared" si="199"/>
        <v>342461.07</v>
      </c>
      <c r="V476" s="64">
        <f t="shared" si="199"/>
        <v>48946.31</v>
      </c>
      <c r="W476" s="64">
        <f t="shared" si="199"/>
        <v>114153.68999999999</v>
      </c>
      <c r="X476" s="64">
        <f t="shared" si="199"/>
        <v>0</v>
      </c>
      <c r="Y476" s="64">
        <f t="shared" si="199"/>
        <v>0</v>
      </c>
      <c r="Z476" s="64">
        <f t="shared" si="199"/>
        <v>0</v>
      </c>
      <c r="AA476" s="64">
        <f t="shared" si="199"/>
        <v>0</v>
      </c>
      <c r="AB476" s="64">
        <f t="shared" si="199"/>
        <v>0</v>
      </c>
      <c r="AC476" s="64">
        <f t="shared" si="199"/>
        <v>0</v>
      </c>
      <c r="AD476" s="64">
        <f t="shared" si="199"/>
        <v>0</v>
      </c>
      <c r="AE476" s="64">
        <f t="shared" si="199"/>
        <v>0</v>
      </c>
      <c r="AF476" s="64">
        <f t="shared" si="200"/>
        <v>652400</v>
      </c>
      <c r="AG476" s="59" t="str">
        <f t="shared" si="201"/>
        <v>ok</v>
      </c>
    </row>
    <row r="477" spans="1:33" x14ac:dyDescent="0.25">
      <c r="A477" s="61">
        <v>595</v>
      </c>
      <c r="B477" s="61" t="s">
        <v>1039</v>
      </c>
      <c r="C477" s="45" t="s">
        <v>69</v>
      </c>
      <c r="D477" s="45" t="s">
        <v>968</v>
      </c>
      <c r="F477" s="80">
        <v>118392</v>
      </c>
      <c r="H477" s="64">
        <f t="shared" si="198"/>
        <v>0</v>
      </c>
      <c r="I477" s="64">
        <f t="shared" si="198"/>
        <v>0</v>
      </c>
      <c r="J477" s="64">
        <f t="shared" si="198"/>
        <v>0</v>
      </c>
      <c r="K477" s="64">
        <f t="shared" si="198"/>
        <v>0</v>
      </c>
      <c r="L477" s="64">
        <f t="shared" si="198"/>
        <v>0</v>
      </c>
      <c r="M477" s="64">
        <f t="shared" si="198"/>
        <v>0</v>
      </c>
      <c r="N477" s="64">
        <f t="shared" si="198"/>
        <v>0</v>
      </c>
      <c r="O477" s="64">
        <f t="shared" si="198"/>
        <v>0</v>
      </c>
      <c r="P477" s="64">
        <f t="shared" si="198"/>
        <v>0</v>
      </c>
      <c r="Q477" s="64">
        <f t="shared" si="198"/>
        <v>0</v>
      </c>
      <c r="R477" s="64">
        <f t="shared" si="199"/>
        <v>0</v>
      </c>
      <c r="S477" s="64">
        <f t="shared" si="199"/>
        <v>0</v>
      </c>
      <c r="T477" s="64">
        <f t="shared" si="199"/>
        <v>0</v>
      </c>
      <c r="U477" s="64">
        <f t="shared" si="199"/>
        <v>0</v>
      </c>
      <c r="V477" s="64">
        <f t="shared" si="199"/>
        <v>0</v>
      </c>
      <c r="W477" s="64">
        <f t="shared" si="199"/>
        <v>0</v>
      </c>
      <c r="X477" s="64">
        <f t="shared" si="199"/>
        <v>67309.8623989146</v>
      </c>
      <c r="Y477" s="64">
        <f t="shared" si="199"/>
        <v>51082.137601085386</v>
      </c>
      <c r="Z477" s="64">
        <f t="shared" si="199"/>
        <v>0</v>
      </c>
      <c r="AA477" s="64">
        <f t="shared" si="199"/>
        <v>0</v>
      </c>
      <c r="AB477" s="64">
        <f t="shared" si="199"/>
        <v>0</v>
      </c>
      <c r="AC477" s="64">
        <f t="shared" si="199"/>
        <v>0</v>
      </c>
      <c r="AD477" s="64">
        <f t="shared" si="199"/>
        <v>0</v>
      </c>
      <c r="AE477" s="64">
        <f t="shared" si="199"/>
        <v>0</v>
      </c>
      <c r="AF477" s="64">
        <f t="shared" si="200"/>
        <v>118391.99999999999</v>
      </c>
      <c r="AG477" s="59" t="str">
        <f t="shared" si="201"/>
        <v>ok</v>
      </c>
    </row>
    <row r="478" spans="1:33" x14ac:dyDescent="0.25">
      <c r="A478" s="61">
        <v>596</v>
      </c>
      <c r="B478" s="61" t="s">
        <v>1175</v>
      </c>
      <c r="C478" s="45" t="s">
        <v>70</v>
      </c>
      <c r="D478" s="45" t="s">
        <v>975</v>
      </c>
      <c r="F478" s="80">
        <v>29000</v>
      </c>
      <c r="H478" s="64">
        <f t="shared" si="198"/>
        <v>0</v>
      </c>
      <c r="I478" s="64">
        <f t="shared" si="198"/>
        <v>0</v>
      </c>
      <c r="J478" s="64">
        <f t="shared" si="198"/>
        <v>0</v>
      </c>
      <c r="K478" s="64">
        <f t="shared" si="198"/>
        <v>0</v>
      </c>
      <c r="L478" s="64">
        <f t="shared" si="198"/>
        <v>0</v>
      </c>
      <c r="M478" s="64">
        <f t="shared" si="198"/>
        <v>0</v>
      </c>
      <c r="N478" s="64">
        <f t="shared" si="198"/>
        <v>0</v>
      </c>
      <c r="O478" s="64">
        <f t="shared" si="198"/>
        <v>0</v>
      </c>
      <c r="P478" s="64">
        <f t="shared" si="198"/>
        <v>0</v>
      </c>
      <c r="Q478" s="64">
        <f t="shared" si="198"/>
        <v>0</v>
      </c>
      <c r="R478" s="64">
        <f t="shared" si="199"/>
        <v>0</v>
      </c>
      <c r="S478" s="64">
        <f t="shared" si="199"/>
        <v>0</v>
      </c>
      <c r="T478" s="64">
        <f t="shared" si="199"/>
        <v>0</v>
      </c>
      <c r="U478" s="64">
        <f t="shared" si="199"/>
        <v>0</v>
      </c>
      <c r="V478" s="64">
        <f t="shared" si="199"/>
        <v>0</v>
      </c>
      <c r="W478" s="64">
        <f t="shared" si="199"/>
        <v>0</v>
      </c>
      <c r="X478" s="64">
        <f t="shared" si="199"/>
        <v>0</v>
      </c>
      <c r="Y478" s="64">
        <f t="shared" si="199"/>
        <v>0</v>
      </c>
      <c r="Z478" s="64">
        <f t="shared" si="199"/>
        <v>0</v>
      </c>
      <c r="AA478" s="64">
        <f t="shared" si="199"/>
        <v>0</v>
      </c>
      <c r="AB478" s="64">
        <f t="shared" si="199"/>
        <v>29000</v>
      </c>
      <c r="AC478" s="64">
        <f t="shared" si="199"/>
        <v>0</v>
      </c>
      <c r="AD478" s="64">
        <f t="shared" si="199"/>
        <v>0</v>
      </c>
      <c r="AE478" s="64">
        <f t="shared" si="199"/>
        <v>0</v>
      </c>
      <c r="AF478" s="64">
        <f t="shared" si="200"/>
        <v>29000</v>
      </c>
      <c r="AG478" s="59" t="str">
        <f t="shared" si="201"/>
        <v>ok</v>
      </c>
    </row>
    <row r="479" spans="1:33" x14ac:dyDescent="0.25">
      <c r="A479" s="61">
        <v>597</v>
      </c>
      <c r="B479" s="61" t="s">
        <v>1041</v>
      </c>
      <c r="C479" s="45" t="s">
        <v>71</v>
      </c>
      <c r="D479" s="45" t="s">
        <v>972</v>
      </c>
      <c r="F479" s="80">
        <v>0</v>
      </c>
      <c r="H479" s="64">
        <f t="shared" si="198"/>
        <v>0</v>
      </c>
      <c r="I479" s="64">
        <f t="shared" si="198"/>
        <v>0</v>
      </c>
      <c r="J479" s="64">
        <f t="shared" si="198"/>
        <v>0</v>
      </c>
      <c r="K479" s="64">
        <f t="shared" si="198"/>
        <v>0</v>
      </c>
      <c r="L479" s="64">
        <f t="shared" si="198"/>
        <v>0</v>
      </c>
      <c r="M479" s="64">
        <f t="shared" si="198"/>
        <v>0</v>
      </c>
      <c r="N479" s="64">
        <f t="shared" si="198"/>
        <v>0</v>
      </c>
      <c r="O479" s="64">
        <f t="shared" si="198"/>
        <v>0</v>
      </c>
      <c r="P479" s="64">
        <f t="shared" si="198"/>
        <v>0</v>
      </c>
      <c r="Q479" s="64">
        <f t="shared" si="198"/>
        <v>0</v>
      </c>
      <c r="R479" s="64">
        <f t="shared" si="199"/>
        <v>0</v>
      </c>
      <c r="S479" s="64">
        <f t="shared" si="199"/>
        <v>0</v>
      </c>
      <c r="T479" s="64">
        <f t="shared" si="199"/>
        <v>0</v>
      </c>
      <c r="U479" s="64">
        <f t="shared" si="199"/>
        <v>0</v>
      </c>
      <c r="V479" s="64">
        <f t="shared" si="199"/>
        <v>0</v>
      </c>
      <c r="W479" s="64">
        <f t="shared" si="199"/>
        <v>0</v>
      </c>
      <c r="X479" s="64">
        <f t="shared" si="199"/>
        <v>0</v>
      </c>
      <c r="Y479" s="64">
        <f t="shared" si="199"/>
        <v>0</v>
      </c>
      <c r="Z479" s="64">
        <f t="shared" si="199"/>
        <v>0</v>
      </c>
      <c r="AA479" s="64">
        <f t="shared" si="199"/>
        <v>0</v>
      </c>
      <c r="AB479" s="64">
        <f t="shared" si="199"/>
        <v>0</v>
      </c>
      <c r="AC479" s="64">
        <f t="shared" si="199"/>
        <v>0</v>
      </c>
      <c r="AD479" s="64">
        <f t="shared" si="199"/>
        <v>0</v>
      </c>
      <c r="AE479" s="64">
        <f t="shared" si="199"/>
        <v>0</v>
      </c>
      <c r="AF479" s="64">
        <f t="shared" si="200"/>
        <v>0</v>
      </c>
      <c r="AG479" s="59" t="str">
        <f t="shared" si="201"/>
        <v>ok</v>
      </c>
    </row>
    <row r="480" spans="1:33" x14ac:dyDescent="0.25">
      <c r="A480" s="61">
        <v>598</v>
      </c>
      <c r="B480" s="61" t="s">
        <v>1179</v>
      </c>
      <c r="C480" s="45" t="s">
        <v>72</v>
      </c>
      <c r="D480" s="45" t="s">
        <v>957</v>
      </c>
      <c r="F480" s="80">
        <v>54139</v>
      </c>
      <c r="H480" s="64">
        <f t="shared" si="198"/>
        <v>0</v>
      </c>
      <c r="I480" s="64">
        <f t="shared" si="198"/>
        <v>0</v>
      </c>
      <c r="J480" s="64">
        <f t="shared" si="198"/>
        <v>0</v>
      </c>
      <c r="K480" s="64">
        <f t="shared" si="198"/>
        <v>0</v>
      </c>
      <c r="L480" s="64">
        <f t="shared" si="198"/>
        <v>0</v>
      </c>
      <c r="M480" s="64">
        <f t="shared" si="198"/>
        <v>0</v>
      </c>
      <c r="N480" s="64">
        <f t="shared" si="198"/>
        <v>0</v>
      </c>
      <c r="O480" s="64">
        <f t="shared" si="198"/>
        <v>0</v>
      </c>
      <c r="P480" s="64">
        <f t="shared" si="198"/>
        <v>0</v>
      </c>
      <c r="Q480" s="64">
        <f t="shared" si="198"/>
        <v>0</v>
      </c>
      <c r="R480" s="64">
        <f t="shared" si="199"/>
        <v>6452.9949028940227</v>
      </c>
      <c r="S480" s="64">
        <f t="shared" si="199"/>
        <v>0</v>
      </c>
      <c r="T480" s="64">
        <f t="shared" si="199"/>
        <v>9470.1065739692131</v>
      </c>
      <c r="U480" s="64">
        <f t="shared" si="199"/>
        <v>15388.212036172434</v>
      </c>
      <c r="V480" s="64">
        <f t="shared" si="199"/>
        <v>3156.702191323071</v>
      </c>
      <c r="W480" s="64">
        <f t="shared" si="199"/>
        <v>5129.4040120574782</v>
      </c>
      <c r="X480" s="64">
        <f t="shared" si="199"/>
        <v>3913.0270275046691</v>
      </c>
      <c r="Y480" s="64">
        <f t="shared" si="199"/>
        <v>2969.6359185988008</v>
      </c>
      <c r="Z480" s="64">
        <f t="shared" si="199"/>
        <v>1409.2937939174933</v>
      </c>
      <c r="AA480" s="64">
        <f t="shared" si="199"/>
        <v>1861.2075031468553</v>
      </c>
      <c r="AB480" s="64">
        <f t="shared" si="199"/>
        <v>4388.4160404159757</v>
      </c>
      <c r="AC480" s="64">
        <f t="shared" si="199"/>
        <v>0</v>
      </c>
      <c r="AD480" s="64">
        <f t="shared" si="199"/>
        <v>0</v>
      </c>
      <c r="AE480" s="64">
        <f t="shared" si="199"/>
        <v>0</v>
      </c>
      <c r="AF480" s="64">
        <f t="shared" si="200"/>
        <v>54139.000000000022</v>
      </c>
      <c r="AG480" s="59" t="str">
        <f t="shared" si="201"/>
        <v>ok</v>
      </c>
    </row>
    <row r="481" spans="1:33" x14ac:dyDescent="0.25">
      <c r="A481" s="61"/>
      <c r="B481" s="61"/>
      <c r="F481" s="80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59"/>
    </row>
    <row r="482" spans="1:33" x14ac:dyDescent="0.25">
      <c r="A482" s="61" t="s">
        <v>109</v>
      </c>
      <c r="B482" s="61"/>
      <c r="C482" s="45" t="s">
        <v>73</v>
      </c>
      <c r="F482" s="77">
        <f t="shared" ref="F482:M482" si="202">SUM(F472:F481)</f>
        <v>4150036</v>
      </c>
      <c r="G482" s="63">
        <f t="shared" si="202"/>
        <v>0</v>
      </c>
      <c r="H482" s="63">
        <f t="shared" si="202"/>
        <v>0</v>
      </c>
      <c r="I482" s="63">
        <f t="shared" si="202"/>
        <v>0</v>
      </c>
      <c r="J482" s="63">
        <f t="shared" si="202"/>
        <v>0</v>
      </c>
      <c r="K482" s="63">
        <f t="shared" si="202"/>
        <v>0</v>
      </c>
      <c r="L482" s="63">
        <f t="shared" si="202"/>
        <v>0</v>
      </c>
      <c r="M482" s="63">
        <f t="shared" si="202"/>
        <v>0</v>
      </c>
      <c r="N482" s="63">
        <f>SUM(N472:N481)</f>
        <v>0</v>
      </c>
      <c r="O482" s="63">
        <f>SUM(O472:O481)</f>
        <v>0</v>
      </c>
      <c r="P482" s="63">
        <f>SUM(P472:P481)</f>
        <v>0</v>
      </c>
      <c r="Q482" s="63">
        <f t="shared" ref="Q482:AB482" si="203">SUM(Q472:Q481)</f>
        <v>0</v>
      </c>
      <c r="R482" s="63">
        <f t="shared" si="203"/>
        <v>347774.99490289402</v>
      </c>
      <c r="S482" s="63">
        <f t="shared" si="203"/>
        <v>0</v>
      </c>
      <c r="T482" s="63">
        <f t="shared" si="203"/>
        <v>1103907.9446739692</v>
      </c>
      <c r="U482" s="63">
        <f t="shared" si="203"/>
        <v>1626337.6239361726</v>
      </c>
      <c r="V482" s="63">
        <f t="shared" si="203"/>
        <v>367969.3148913231</v>
      </c>
      <c r="W482" s="63">
        <f t="shared" si="203"/>
        <v>542112.54131205752</v>
      </c>
      <c r="X482" s="63">
        <f t="shared" si="203"/>
        <v>71222.889426419264</v>
      </c>
      <c r="Y482" s="63">
        <f t="shared" si="203"/>
        <v>54051.77351968419</v>
      </c>
      <c r="Z482" s="63">
        <f t="shared" si="203"/>
        <v>1409.2937939174933</v>
      </c>
      <c r="AA482" s="63">
        <f t="shared" si="203"/>
        <v>1861.2075031468553</v>
      </c>
      <c r="AB482" s="63">
        <f t="shared" si="203"/>
        <v>33388.416040415977</v>
      </c>
      <c r="AC482" s="63">
        <f>SUM(AC472:AC481)</f>
        <v>0</v>
      </c>
      <c r="AD482" s="63">
        <f>SUM(AD472:AD481)</f>
        <v>0</v>
      </c>
      <c r="AE482" s="63">
        <f>SUM(AE472:AE481)</f>
        <v>0</v>
      </c>
      <c r="AF482" s="64">
        <f>SUM(H482:AE482)</f>
        <v>4150036</v>
      </c>
      <c r="AG482" s="59" t="str">
        <f>IF(ABS(AF482-F482)&lt;1,"ok","err")</f>
        <v>ok</v>
      </c>
    </row>
    <row r="483" spans="1:33" x14ac:dyDescent="0.25">
      <c r="A483" s="61"/>
      <c r="B483" s="61"/>
      <c r="F483" s="80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G483" s="59"/>
    </row>
    <row r="484" spans="1:33" x14ac:dyDescent="0.25">
      <c r="A484" s="61" t="s">
        <v>110</v>
      </c>
      <c r="B484" s="61"/>
      <c r="D484" s="45" t="s">
        <v>957</v>
      </c>
      <c r="F484" s="77">
        <f>F482+F463</f>
        <v>11407446</v>
      </c>
      <c r="G484" s="64">
        <f>G463+G482</f>
        <v>0</v>
      </c>
      <c r="H484" s="64">
        <f t="shared" ref="H484:M484" si="204">H482+H463</f>
        <v>0</v>
      </c>
      <c r="I484" s="64">
        <f t="shared" si="204"/>
        <v>0</v>
      </c>
      <c r="J484" s="64">
        <f t="shared" si="204"/>
        <v>0</v>
      </c>
      <c r="K484" s="64">
        <f t="shared" si="204"/>
        <v>0</v>
      </c>
      <c r="L484" s="64">
        <f t="shared" si="204"/>
        <v>0</v>
      </c>
      <c r="M484" s="64">
        <f t="shared" si="204"/>
        <v>0</v>
      </c>
      <c r="N484" s="64">
        <f>N482+N463</f>
        <v>0</v>
      </c>
      <c r="O484" s="64">
        <f>O482+O463</f>
        <v>0</v>
      </c>
      <c r="P484" s="64">
        <f>P482+P463</f>
        <v>0</v>
      </c>
      <c r="Q484" s="64">
        <f t="shared" ref="Q484:AB484" si="205">Q482+Q463</f>
        <v>0</v>
      </c>
      <c r="R484" s="64">
        <f t="shared" si="205"/>
        <v>1719697.6060611466</v>
      </c>
      <c r="S484" s="64">
        <f t="shared" si="205"/>
        <v>0</v>
      </c>
      <c r="T484" s="64">
        <f t="shared" si="205"/>
        <v>1869437.1910191881</v>
      </c>
      <c r="U484" s="64">
        <f t="shared" si="205"/>
        <v>2740990.2942512413</v>
      </c>
      <c r="V484" s="64">
        <f t="shared" si="205"/>
        <v>623145.73033972934</v>
      </c>
      <c r="W484" s="64">
        <f t="shared" si="205"/>
        <v>913663.43141708034</v>
      </c>
      <c r="X484" s="64">
        <f t="shared" si="205"/>
        <v>172897.28332443567</v>
      </c>
      <c r="Y484" s="64">
        <f t="shared" si="205"/>
        <v>131213.50278937857</v>
      </c>
      <c r="Z484" s="64">
        <f t="shared" si="205"/>
        <v>38027.771334097524</v>
      </c>
      <c r="AA484" s="64">
        <f t="shared" si="205"/>
        <v>3050958.0779915</v>
      </c>
      <c r="AB484" s="64">
        <f t="shared" si="205"/>
        <v>147415.1114722034</v>
      </c>
      <c r="AC484" s="64">
        <f>AC482+AC463</f>
        <v>0</v>
      </c>
      <c r="AD484" s="64">
        <f>AD482+AD463</f>
        <v>0</v>
      </c>
      <c r="AE484" s="64">
        <f>AE482+AE463</f>
        <v>0</v>
      </c>
      <c r="AF484" s="64">
        <f>SUM(H484:AE484)</f>
        <v>11407446</v>
      </c>
      <c r="AG484" s="59" t="str">
        <f>IF(ABS(AF484-F484)&lt;1,"ok","err")</f>
        <v>ok</v>
      </c>
    </row>
    <row r="485" spans="1:33" x14ac:dyDescent="0.25">
      <c r="A485" s="61"/>
      <c r="B485" s="61"/>
      <c r="F485" s="80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  <c r="AA485" s="64"/>
      <c r="AB485" s="64"/>
      <c r="AC485" s="64"/>
      <c r="AD485" s="64"/>
      <c r="AE485" s="64"/>
      <c r="AG485" s="59"/>
    </row>
    <row r="486" spans="1:33" x14ac:dyDescent="0.25">
      <c r="A486" s="61" t="s">
        <v>111</v>
      </c>
      <c r="B486" s="61"/>
      <c r="F486" s="77">
        <f t="shared" ref="F486:M486" si="206">F484+F448</f>
        <v>14570781</v>
      </c>
      <c r="G486" s="64">
        <f t="shared" si="206"/>
        <v>0</v>
      </c>
      <c r="H486" s="64">
        <f t="shared" si="206"/>
        <v>0</v>
      </c>
      <c r="I486" s="64">
        <f t="shared" si="206"/>
        <v>0</v>
      </c>
      <c r="J486" s="64">
        <f t="shared" si="206"/>
        <v>0</v>
      </c>
      <c r="K486" s="64">
        <f t="shared" si="206"/>
        <v>0</v>
      </c>
      <c r="L486" s="64">
        <f t="shared" si="206"/>
        <v>0</v>
      </c>
      <c r="M486" s="64">
        <f t="shared" si="206"/>
        <v>0</v>
      </c>
      <c r="N486" s="64">
        <f>N484+N448</f>
        <v>1106848.2735522904</v>
      </c>
      <c r="O486" s="64">
        <f>O484+O448</f>
        <v>1078583.8899236913</v>
      </c>
      <c r="P486" s="64">
        <f>P484+P448</f>
        <v>977902.83652401797</v>
      </c>
      <c r="Q486" s="64">
        <f t="shared" ref="Q486:AB486" si="207">Q484+Q448</f>
        <v>0</v>
      </c>
      <c r="R486" s="64">
        <f t="shared" si="207"/>
        <v>1719697.6060611466</v>
      </c>
      <c r="S486" s="64">
        <f t="shared" si="207"/>
        <v>0</v>
      </c>
      <c r="T486" s="64">
        <f t="shared" si="207"/>
        <v>1869437.1910191881</v>
      </c>
      <c r="U486" s="64">
        <f t="shared" si="207"/>
        <v>2740990.2942512413</v>
      </c>
      <c r="V486" s="64">
        <f t="shared" si="207"/>
        <v>623145.73033972934</v>
      </c>
      <c r="W486" s="64">
        <f t="shared" si="207"/>
        <v>913663.43141708034</v>
      </c>
      <c r="X486" s="64">
        <f t="shared" si="207"/>
        <v>172897.28332443567</v>
      </c>
      <c r="Y486" s="64">
        <f t="shared" si="207"/>
        <v>131213.50278937857</v>
      </c>
      <c r="Z486" s="64">
        <f t="shared" si="207"/>
        <v>38027.771334097524</v>
      </c>
      <c r="AA486" s="64">
        <f t="shared" si="207"/>
        <v>3050958.0779915</v>
      </c>
      <c r="AB486" s="64">
        <f t="shared" si="207"/>
        <v>147415.1114722034</v>
      </c>
      <c r="AC486" s="64">
        <f>AC484+AC448</f>
        <v>0</v>
      </c>
      <c r="AD486" s="64">
        <f>AD484+AD448</f>
        <v>0</v>
      </c>
      <c r="AE486" s="64">
        <f>AE484+AE448</f>
        <v>0</v>
      </c>
      <c r="AF486" s="64">
        <f>SUM(H486:AE486)</f>
        <v>14570781</v>
      </c>
      <c r="AG486" s="59" t="str">
        <f>IF(ABS(AF486-F486)&lt;1,"ok","err")</f>
        <v>ok</v>
      </c>
    </row>
    <row r="487" spans="1:33" x14ac:dyDescent="0.25">
      <c r="A487" s="61"/>
      <c r="B487" s="61"/>
      <c r="F487" s="80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  <c r="AA487" s="64"/>
      <c r="AB487" s="64"/>
      <c r="AC487" s="64"/>
      <c r="AD487" s="64"/>
      <c r="AE487" s="64"/>
      <c r="AG487" s="59"/>
    </row>
    <row r="488" spans="1:33" x14ac:dyDescent="0.25">
      <c r="A488" s="61" t="s">
        <v>342</v>
      </c>
      <c r="B488" s="61"/>
      <c r="C488" s="45" t="s">
        <v>74</v>
      </c>
      <c r="F488" s="77">
        <f>F486+F425+F432</f>
        <v>47377332</v>
      </c>
      <c r="G488" s="63">
        <f>G486+G432</f>
        <v>0</v>
      </c>
      <c r="H488" s="63">
        <f>H486+H425+H432</f>
        <v>7228707.450510161</v>
      </c>
      <c r="I488" s="63">
        <f t="shared" ref="I488:AE488" si="208">I486+I425+I432</f>
        <v>7044115.7902057134</v>
      </c>
      <c r="J488" s="63">
        <f t="shared" si="208"/>
        <v>6386578.620725682</v>
      </c>
      <c r="K488" s="63">
        <f t="shared" si="208"/>
        <v>12147149.138558444</v>
      </c>
      <c r="L488" s="63">
        <f t="shared" si="208"/>
        <v>0</v>
      </c>
      <c r="M488" s="63">
        <f t="shared" si="208"/>
        <v>0</v>
      </c>
      <c r="N488" s="63">
        <f t="shared" si="208"/>
        <v>1106848.2735522904</v>
      </c>
      <c r="O488" s="63">
        <f t="shared" si="208"/>
        <v>1078583.8899236913</v>
      </c>
      <c r="P488" s="63">
        <f t="shared" si="208"/>
        <v>977902.83652401797</v>
      </c>
      <c r="Q488" s="63">
        <f t="shared" si="208"/>
        <v>0</v>
      </c>
      <c r="R488" s="63">
        <f t="shared" si="208"/>
        <v>1719697.6060611466</v>
      </c>
      <c r="S488" s="63">
        <f t="shared" si="208"/>
        <v>0</v>
      </c>
      <c r="T488" s="63">
        <f t="shared" si="208"/>
        <v>1869437.1910191881</v>
      </c>
      <c r="U488" s="63">
        <f t="shared" si="208"/>
        <v>2740990.2942512413</v>
      </c>
      <c r="V488" s="63">
        <f t="shared" si="208"/>
        <v>623145.73033972934</v>
      </c>
      <c r="W488" s="63">
        <f t="shared" si="208"/>
        <v>913663.43141708034</v>
      </c>
      <c r="X488" s="63">
        <f t="shared" si="208"/>
        <v>172897.28332443567</v>
      </c>
      <c r="Y488" s="63">
        <f t="shared" si="208"/>
        <v>131213.50278937857</v>
      </c>
      <c r="Z488" s="63">
        <f t="shared" si="208"/>
        <v>38027.771334097524</v>
      </c>
      <c r="AA488" s="63">
        <f t="shared" si="208"/>
        <v>3050958.0779915</v>
      </c>
      <c r="AB488" s="63">
        <f t="shared" si="208"/>
        <v>147415.1114722034</v>
      </c>
      <c r="AC488" s="63">
        <f t="shared" si="208"/>
        <v>0</v>
      </c>
      <c r="AD488" s="63">
        <f t="shared" si="208"/>
        <v>0</v>
      </c>
      <c r="AE488" s="63">
        <f t="shared" si="208"/>
        <v>0</v>
      </c>
      <c r="AF488" s="64">
        <f>SUM(H488:AE488)</f>
        <v>47377331.999999993</v>
      </c>
      <c r="AG488" s="59" t="str">
        <f>IF(ABS(AF488-F488)&lt;1,"ok","err")</f>
        <v>ok</v>
      </c>
    </row>
    <row r="489" spans="1:33" x14ac:dyDescent="0.25">
      <c r="A489" s="66"/>
      <c r="B489" s="61"/>
      <c r="F489" s="80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  <c r="AA489" s="64"/>
      <c r="AB489" s="64"/>
      <c r="AC489" s="64"/>
      <c r="AD489" s="64"/>
      <c r="AE489" s="64"/>
      <c r="AG489" s="59"/>
    </row>
    <row r="490" spans="1:33" x14ac:dyDescent="0.25">
      <c r="A490" s="66" t="s">
        <v>1047</v>
      </c>
      <c r="B490" s="61"/>
      <c r="F490" s="80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  <c r="AA490" s="64"/>
      <c r="AB490" s="64"/>
      <c r="AC490" s="64"/>
      <c r="AD490" s="64"/>
      <c r="AE490" s="64"/>
      <c r="AG490" s="59"/>
    </row>
    <row r="491" spans="1:33" x14ac:dyDescent="0.25">
      <c r="A491" s="61">
        <v>901</v>
      </c>
      <c r="B491" s="61" t="s">
        <v>1048</v>
      </c>
      <c r="C491" s="45" t="s">
        <v>75</v>
      </c>
      <c r="D491" s="45" t="s">
        <v>669</v>
      </c>
      <c r="F491" s="77">
        <v>764400.45000000007</v>
      </c>
      <c r="H491" s="64">
        <f t="shared" ref="H491:Q495" si="209">IF(VLOOKUP($D491,$C$6:$AE$651,H$2,)=0,0,((VLOOKUP($D491,$C$6:$AE$651,H$2,)/VLOOKUP($D491,$C$6:$AE$651,4,))*$F491))</f>
        <v>0</v>
      </c>
      <c r="I491" s="64">
        <f t="shared" si="209"/>
        <v>0</v>
      </c>
      <c r="J491" s="64">
        <f t="shared" si="209"/>
        <v>0</v>
      </c>
      <c r="K491" s="64">
        <f t="shared" si="209"/>
        <v>0</v>
      </c>
      <c r="L491" s="64">
        <f t="shared" si="209"/>
        <v>0</v>
      </c>
      <c r="M491" s="64">
        <f t="shared" si="209"/>
        <v>0</v>
      </c>
      <c r="N491" s="64">
        <f t="shared" si="209"/>
        <v>0</v>
      </c>
      <c r="O491" s="64">
        <f t="shared" si="209"/>
        <v>0</v>
      </c>
      <c r="P491" s="64">
        <f t="shared" si="209"/>
        <v>0</v>
      </c>
      <c r="Q491" s="64">
        <f t="shared" si="209"/>
        <v>0</v>
      </c>
      <c r="R491" s="64">
        <f t="shared" ref="R491:AE495" si="210">IF(VLOOKUP($D491,$C$6:$AE$651,R$2,)=0,0,((VLOOKUP($D491,$C$6:$AE$651,R$2,)/VLOOKUP($D491,$C$6:$AE$651,4,))*$F491))</f>
        <v>0</v>
      </c>
      <c r="S491" s="64">
        <f t="shared" si="210"/>
        <v>0</v>
      </c>
      <c r="T491" s="64">
        <f t="shared" si="210"/>
        <v>0</v>
      </c>
      <c r="U491" s="64">
        <f t="shared" si="210"/>
        <v>0</v>
      </c>
      <c r="V491" s="64">
        <f t="shared" si="210"/>
        <v>0</v>
      </c>
      <c r="W491" s="64">
        <f t="shared" si="210"/>
        <v>0</v>
      </c>
      <c r="X491" s="64">
        <f t="shared" si="210"/>
        <v>0</v>
      </c>
      <c r="Y491" s="64">
        <f t="shared" si="210"/>
        <v>0</v>
      </c>
      <c r="Z491" s="64">
        <f t="shared" si="210"/>
        <v>0</v>
      </c>
      <c r="AA491" s="64">
        <f t="shared" si="210"/>
        <v>0</v>
      </c>
      <c r="AB491" s="64">
        <f t="shared" si="210"/>
        <v>0</v>
      </c>
      <c r="AC491" s="64">
        <f t="shared" si="210"/>
        <v>764400.45000000007</v>
      </c>
      <c r="AD491" s="64">
        <f t="shared" si="210"/>
        <v>0</v>
      </c>
      <c r="AE491" s="64">
        <f t="shared" si="210"/>
        <v>0</v>
      </c>
      <c r="AF491" s="64">
        <f>SUM(H491:AE491)</f>
        <v>764400.45000000007</v>
      </c>
      <c r="AG491" s="59" t="str">
        <f>IF(ABS(AF491-F491)&lt;1,"ok","err")</f>
        <v>ok</v>
      </c>
    </row>
    <row r="492" spans="1:33" x14ac:dyDescent="0.25">
      <c r="A492" s="61">
        <v>902</v>
      </c>
      <c r="B492" s="61" t="s">
        <v>1051</v>
      </c>
      <c r="C492" s="45" t="s">
        <v>76</v>
      </c>
      <c r="D492" s="45" t="s">
        <v>669</v>
      </c>
      <c r="F492" s="80">
        <v>303454.80000000005</v>
      </c>
      <c r="H492" s="64">
        <f t="shared" si="209"/>
        <v>0</v>
      </c>
      <c r="I492" s="64">
        <f t="shared" si="209"/>
        <v>0</v>
      </c>
      <c r="J492" s="64">
        <f t="shared" si="209"/>
        <v>0</v>
      </c>
      <c r="K492" s="64">
        <f t="shared" si="209"/>
        <v>0</v>
      </c>
      <c r="L492" s="64">
        <f t="shared" si="209"/>
        <v>0</v>
      </c>
      <c r="M492" s="64">
        <f t="shared" si="209"/>
        <v>0</v>
      </c>
      <c r="N492" s="64">
        <f t="shared" si="209"/>
        <v>0</v>
      </c>
      <c r="O492" s="64">
        <f t="shared" si="209"/>
        <v>0</v>
      </c>
      <c r="P492" s="64">
        <f t="shared" si="209"/>
        <v>0</v>
      </c>
      <c r="Q492" s="64">
        <f t="shared" si="209"/>
        <v>0</v>
      </c>
      <c r="R492" s="64">
        <f t="shared" si="210"/>
        <v>0</v>
      </c>
      <c r="S492" s="64">
        <f t="shared" si="210"/>
        <v>0</v>
      </c>
      <c r="T492" s="64">
        <f t="shared" si="210"/>
        <v>0</v>
      </c>
      <c r="U492" s="64">
        <f t="shared" si="210"/>
        <v>0</v>
      </c>
      <c r="V492" s="64">
        <f t="shared" si="210"/>
        <v>0</v>
      </c>
      <c r="W492" s="64">
        <f t="shared" si="210"/>
        <v>0</v>
      </c>
      <c r="X492" s="64">
        <f t="shared" si="210"/>
        <v>0</v>
      </c>
      <c r="Y492" s="64">
        <f t="shared" si="210"/>
        <v>0</v>
      </c>
      <c r="Z492" s="64">
        <f t="shared" si="210"/>
        <v>0</v>
      </c>
      <c r="AA492" s="64">
        <f t="shared" si="210"/>
        <v>0</v>
      </c>
      <c r="AB492" s="64">
        <f t="shared" si="210"/>
        <v>0</v>
      </c>
      <c r="AC492" s="64">
        <f t="shared" si="210"/>
        <v>303454.80000000005</v>
      </c>
      <c r="AD492" s="64">
        <f t="shared" si="210"/>
        <v>0</v>
      </c>
      <c r="AE492" s="64">
        <f t="shared" si="210"/>
        <v>0</v>
      </c>
      <c r="AF492" s="64">
        <f>SUM(H492:AE492)</f>
        <v>303454.80000000005</v>
      </c>
      <c r="AG492" s="59" t="str">
        <f>IF(ABS(AF492-F492)&lt;1,"ok","err")</f>
        <v>ok</v>
      </c>
    </row>
    <row r="493" spans="1:33" x14ac:dyDescent="0.25">
      <c r="A493" s="61">
        <v>903</v>
      </c>
      <c r="B493" s="61" t="s">
        <v>29</v>
      </c>
      <c r="C493" s="45" t="s">
        <v>77</v>
      </c>
      <c r="D493" s="45" t="s">
        <v>669</v>
      </c>
      <c r="F493" s="80">
        <v>3128336.2</v>
      </c>
      <c r="H493" s="64">
        <f t="shared" si="209"/>
        <v>0</v>
      </c>
      <c r="I493" s="64">
        <f t="shared" si="209"/>
        <v>0</v>
      </c>
      <c r="J493" s="64">
        <f t="shared" si="209"/>
        <v>0</v>
      </c>
      <c r="K493" s="64">
        <f t="shared" si="209"/>
        <v>0</v>
      </c>
      <c r="L493" s="64">
        <f t="shared" si="209"/>
        <v>0</v>
      </c>
      <c r="M493" s="64">
        <f t="shared" si="209"/>
        <v>0</v>
      </c>
      <c r="N493" s="64">
        <f t="shared" si="209"/>
        <v>0</v>
      </c>
      <c r="O493" s="64">
        <f t="shared" si="209"/>
        <v>0</v>
      </c>
      <c r="P493" s="64">
        <f t="shared" si="209"/>
        <v>0</v>
      </c>
      <c r="Q493" s="64">
        <f t="shared" si="209"/>
        <v>0</v>
      </c>
      <c r="R493" s="64">
        <f t="shared" si="210"/>
        <v>0</v>
      </c>
      <c r="S493" s="64">
        <f t="shared" si="210"/>
        <v>0</v>
      </c>
      <c r="T493" s="64">
        <f t="shared" si="210"/>
        <v>0</v>
      </c>
      <c r="U493" s="64">
        <f t="shared" si="210"/>
        <v>0</v>
      </c>
      <c r="V493" s="64">
        <f t="shared" si="210"/>
        <v>0</v>
      </c>
      <c r="W493" s="64">
        <f t="shared" si="210"/>
        <v>0</v>
      </c>
      <c r="X493" s="64">
        <f t="shared" si="210"/>
        <v>0</v>
      </c>
      <c r="Y493" s="64">
        <f t="shared" si="210"/>
        <v>0</v>
      </c>
      <c r="Z493" s="64">
        <f t="shared" si="210"/>
        <v>0</v>
      </c>
      <c r="AA493" s="64">
        <f t="shared" si="210"/>
        <v>0</v>
      </c>
      <c r="AB493" s="64">
        <f t="shared" si="210"/>
        <v>0</v>
      </c>
      <c r="AC493" s="64">
        <f t="shared" si="210"/>
        <v>3128336.2</v>
      </c>
      <c r="AD493" s="64">
        <f t="shared" si="210"/>
        <v>0</v>
      </c>
      <c r="AE493" s="64">
        <f t="shared" si="210"/>
        <v>0</v>
      </c>
      <c r="AF493" s="64">
        <f>SUM(H493:AE493)</f>
        <v>3128336.2</v>
      </c>
      <c r="AG493" s="59" t="str">
        <f>IF(ABS(AF493-F493)&lt;1,"ok","err")</f>
        <v>ok</v>
      </c>
    </row>
    <row r="494" spans="1:33" x14ac:dyDescent="0.25">
      <c r="A494" s="61">
        <v>904</v>
      </c>
      <c r="B494" s="61" t="s">
        <v>1054</v>
      </c>
      <c r="C494" s="45" t="s">
        <v>78</v>
      </c>
      <c r="D494" s="45" t="s">
        <v>669</v>
      </c>
      <c r="F494" s="80">
        <v>0</v>
      </c>
      <c r="H494" s="64">
        <f t="shared" si="209"/>
        <v>0</v>
      </c>
      <c r="I494" s="64">
        <f t="shared" si="209"/>
        <v>0</v>
      </c>
      <c r="J494" s="64">
        <f t="shared" si="209"/>
        <v>0</v>
      </c>
      <c r="K494" s="64">
        <f t="shared" si="209"/>
        <v>0</v>
      </c>
      <c r="L494" s="64">
        <f t="shared" si="209"/>
        <v>0</v>
      </c>
      <c r="M494" s="64">
        <f t="shared" si="209"/>
        <v>0</v>
      </c>
      <c r="N494" s="64">
        <f t="shared" si="209"/>
        <v>0</v>
      </c>
      <c r="O494" s="64">
        <f t="shared" si="209"/>
        <v>0</v>
      </c>
      <c r="P494" s="64">
        <f t="shared" si="209"/>
        <v>0</v>
      </c>
      <c r="Q494" s="64">
        <f t="shared" si="209"/>
        <v>0</v>
      </c>
      <c r="R494" s="64">
        <f t="shared" si="210"/>
        <v>0</v>
      </c>
      <c r="S494" s="64">
        <f t="shared" si="210"/>
        <v>0</v>
      </c>
      <c r="T494" s="64">
        <f t="shared" si="210"/>
        <v>0</v>
      </c>
      <c r="U494" s="64">
        <f t="shared" si="210"/>
        <v>0</v>
      </c>
      <c r="V494" s="64">
        <f t="shared" si="210"/>
        <v>0</v>
      </c>
      <c r="W494" s="64">
        <f t="shared" si="210"/>
        <v>0</v>
      </c>
      <c r="X494" s="64">
        <f t="shared" si="210"/>
        <v>0</v>
      </c>
      <c r="Y494" s="64">
        <f t="shared" si="210"/>
        <v>0</v>
      </c>
      <c r="Z494" s="64">
        <f t="shared" si="210"/>
        <v>0</v>
      </c>
      <c r="AA494" s="64">
        <f t="shared" si="210"/>
        <v>0</v>
      </c>
      <c r="AB494" s="64">
        <f t="shared" si="210"/>
        <v>0</v>
      </c>
      <c r="AC494" s="64">
        <f t="shared" si="210"/>
        <v>0</v>
      </c>
      <c r="AD494" s="64">
        <f t="shared" si="210"/>
        <v>0</v>
      </c>
      <c r="AE494" s="64">
        <f t="shared" si="210"/>
        <v>0</v>
      </c>
      <c r="AF494" s="64">
        <f>SUM(H494:AE494)</f>
        <v>0</v>
      </c>
      <c r="AG494" s="59" t="str">
        <f>IF(ABS(AF494-F494)&lt;1,"ok","err")</f>
        <v>ok</v>
      </c>
    </row>
    <row r="495" spans="1:33" x14ac:dyDescent="0.25">
      <c r="A495" s="61">
        <v>905</v>
      </c>
      <c r="B495" s="61" t="s">
        <v>30</v>
      </c>
      <c r="C495" s="45" t="s">
        <v>77</v>
      </c>
      <c r="D495" s="45" t="s">
        <v>669</v>
      </c>
      <c r="F495" s="80">
        <v>14890.150000000001</v>
      </c>
      <c r="H495" s="64">
        <f t="shared" si="209"/>
        <v>0</v>
      </c>
      <c r="I495" s="64">
        <f t="shared" si="209"/>
        <v>0</v>
      </c>
      <c r="J495" s="64">
        <f t="shared" si="209"/>
        <v>0</v>
      </c>
      <c r="K495" s="64">
        <f t="shared" si="209"/>
        <v>0</v>
      </c>
      <c r="L495" s="64">
        <f t="shared" si="209"/>
        <v>0</v>
      </c>
      <c r="M495" s="64">
        <f t="shared" si="209"/>
        <v>0</v>
      </c>
      <c r="N495" s="64">
        <f t="shared" si="209"/>
        <v>0</v>
      </c>
      <c r="O495" s="64">
        <f t="shared" si="209"/>
        <v>0</v>
      </c>
      <c r="P495" s="64">
        <f t="shared" si="209"/>
        <v>0</v>
      </c>
      <c r="Q495" s="64">
        <f t="shared" si="209"/>
        <v>0</v>
      </c>
      <c r="R495" s="64">
        <f t="shared" si="210"/>
        <v>0</v>
      </c>
      <c r="S495" s="64">
        <f t="shared" si="210"/>
        <v>0</v>
      </c>
      <c r="T495" s="64">
        <f t="shared" si="210"/>
        <v>0</v>
      </c>
      <c r="U495" s="64">
        <f t="shared" si="210"/>
        <v>0</v>
      </c>
      <c r="V495" s="64">
        <f t="shared" si="210"/>
        <v>0</v>
      </c>
      <c r="W495" s="64">
        <f t="shared" si="210"/>
        <v>0</v>
      </c>
      <c r="X495" s="64">
        <f t="shared" si="210"/>
        <v>0</v>
      </c>
      <c r="Y495" s="64">
        <f t="shared" si="210"/>
        <v>0</v>
      </c>
      <c r="Z495" s="64">
        <f t="shared" si="210"/>
        <v>0</v>
      </c>
      <c r="AA495" s="64">
        <f t="shared" si="210"/>
        <v>0</v>
      </c>
      <c r="AB495" s="64">
        <f t="shared" si="210"/>
        <v>0</v>
      </c>
      <c r="AC495" s="64">
        <f t="shared" si="210"/>
        <v>14890.150000000001</v>
      </c>
      <c r="AD495" s="64">
        <f t="shared" si="210"/>
        <v>0</v>
      </c>
      <c r="AE495" s="64">
        <f t="shared" si="210"/>
        <v>0</v>
      </c>
      <c r="AF495" s="64">
        <f>SUM(H495:AE495)</f>
        <v>14890.150000000001</v>
      </c>
      <c r="AG495" s="59" t="str">
        <f>IF(ABS(AF495-F495)&lt;1,"ok","err")</f>
        <v>ok</v>
      </c>
    </row>
    <row r="496" spans="1:33" x14ac:dyDescent="0.25">
      <c r="A496" s="66"/>
      <c r="B496" s="61"/>
      <c r="F496" s="80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  <c r="AA496" s="64"/>
      <c r="AB496" s="64"/>
      <c r="AC496" s="64"/>
      <c r="AD496" s="64"/>
      <c r="AE496" s="64"/>
      <c r="AF496" s="64"/>
      <c r="AG496" s="59"/>
    </row>
    <row r="497" spans="1:33" x14ac:dyDescent="0.25">
      <c r="A497" s="61" t="s">
        <v>112</v>
      </c>
      <c r="B497" s="61"/>
      <c r="C497" s="45" t="s">
        <v>79</v>
      </c>
      <c r="F497" s="77">
        <f>SUM(F491:F496)</f>
        <v>4211081.6000000006</v>
      </c>
      <c r="G497" s="63">
        <f>SUM(G491:G496)</f>
        <v>0</v>
      </c>
      <c r="H497" s="63">
        <f t="shared" ref="H497:M497" si="211">SUM(H491:H496)</f>
        <v>0</v>
      </c>
      <c r="I497" s="63">
        <f t="shared" si="211"/>
        <v>0</v>
      </c>
      <c r="J497" s="63">
        <f t="shared" si="211"/>
        <v>0</v>
      </c>
      <c r="K497" s="63">
        <f t="shared" si="211"/>
        <v>0</v>
      </c>
      <c r="L497" s="63">
        <f t="shared" si="211"/>
        <v>0</v>
      </c>
      <c r="M497" s="63">
        <f t="shared" si="211"/>
        <v>0</v>
      </c>
      <c r="N497" s="63">
        <f>SUM(N491:N496)</f>
        <v>0</v>
      </c>
      <c r="O497" s="63">
        <f>SUM(O491:O496)</f>
        <v>0</v>
      </c>
      <c r="P497" s="63">
        <f>SUM(P491:P496)</f>
        <v>0</v>
      </c>
      <c r="Q497" s="63">
        <f t="shared" ref="Q497:AB497" si="212">SUM(Q491:Q496)</f>
        <v>0</v>
      </c>
      <c r="R497" s="63">
        <f t="shared" si="212"/>
        <v>0</v>
      </c>
      <c r="S497" s="63">
        <f t="shared" si="212"/>
        <v>0</v>
      </c>
      <c r="T497" s="63">
        <f t="shared" si="212"/>
        <v>0</v>
      </c>
      <c r="U497" s="63">
        <f t="shared" si="212"/>
        <v>0</v>
      </c>
      <c r="V497" s="63">
        <f t="shared" si="212"/>
        <v>0</v>
      </c>
      <c r="W497" s="63">
        <f t="shared" si="212"/>
        <v>0</v>
      </c>
      <c r="X497" s="63">
        <f t="shared" si="212"/>
        <v>0</v>
      </c>
      <c r="Y497" s="63">
        <f t="shared" si="212"/>
        <v>0</v>
      </c>
      <c r="Z497" s="63">
        <f t="shared" si="212"/>
        <v>0</v>
      </c>
      <c r="AA497" s="63">
        <f t="shared" si="212"/>
        <v>0</v>
      </c>
      <c r="AB497" s="63">
        <f t="shared" si="212"/>
        <v>0</v>
      </c>
      <c r="AC497" s="63">
        <f>SUM(AC491:AC496)</f>
        <v>4211081.6000000006</v>
      </c>
      <c r="AD497" s="63">
        <f>SUM(AD491:AD496)</f>
        <v>0</v>
      </c>
      <c r="AE497" s="63">
        <f>SUM(AE491:AE496)</f>
        <v>0</v>
      </c>
      <c r="AF497" s="64">
        <f>SUM(H497:AE497)</f>
        <v>4211081.6000000006</v>
      </c>
      <c r="AG497" s="59" t="str">
        <f>IF(ABS(AF497-F497)&lt;1,"ok","err")</f>
        <v>ok</v>
      </c>
    </row>
    <row r="498" spans="1:33" x14ac:dyDescent="0.25">
      <c r="A498" s="61"/>
      <c r="B498" s="61"/>
      <c r="F498" s="80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  <c r="AA498" s="64"/>
      <c r="AB498" s="64"/>
      <c r="AC498" s="64"/>
      <c r="AD498" s="64"/>
      <c r="AE498" s="64"/>
      <c r="AG498" s="59"/>
    </row>
    <row r="499" spans="1:33" x14ac:dyDescent="0.25">
      <c r="A499" s="66" t="s">
        <v>1058</v>
      </c>
      <c r="B499" s="61"/>
      <c r="F499" s="80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  <c r="AA499" s="64"/>
      <c r="AB499" s="64"/>
      <c r="AC499" s="64"/>
      <c r="AD499" s="64"/>
      <c r="AE499" s="64"/>
      <c r="AG499" s="59"/>
    </row>
    <row r="500" spans="1:33" x14ac:dyDescent="0.25">
      <c r="A500" s="61">
        <v>907</v>
      </c>
      <c r="B500" s="61" t="s">
        <v>1180</v>
      </c>
      <c r="C500" s="45" t="s">
        <v>80</v>
      </c>
      <c r="D500" s="45" t="s">
        <v>670</v>
      </c>
      <c r="F500" s="77">
        <v>149017</v>
      </c>
      <c r="H500" s="64">
        <f t="shared" ref="H500:Q510" si="213">IF(VLOOKUP($D500,$C$6:$AE$651,H$2,)=0,0,((VLOOKUP($D500,$C$6:$AE$651,H$2,)/VLOOKUP($D500,$C$6:$AE$651,4,))*$F500))</f>
        <v>0</v>
      </c>
      <c r="I500" s="64">
        <f t="shared" si="213"/>
        <v>0</v>
      </c>
      <c r="J500" s="64">
        <f t="shared" si="213"/>
        <v>0</v>
      </c>
      <c r="K500" s="64">
        <f t="shared" si="213"/>
        <v>0</v>
      </c>
      <c r="L500" s="64">
        <f t="shared" si="213"/>
        <v>0</v>
      </c>
      <c r="M500" s="64">
        <f t="shared" si="213"/>
        <v>0</v>
      </c>
      <c r="N500" s="64">
        <f t="shared" si="213"/>
        <v>0</v>
      </c>
      <c r="O500" s="64">
        <f t="shared" si="213"/>
        <v>0</v>
      </c>
      <c r="P500" s="64">
        <f t="shared" si="213"/>
        <v>0</v>
      </c>
      <c r="Q500" s="64">
        <f t="shared" si="213"/>
        <v>0</v>
      </c>
      <c r="R500" s="64">
        <f t="shared" ref="R500:AE510" si="214">IF(VLOOKUP($D500,$C$6:$AE$651,R$2,)=0,0,((VLOOKUP($D500,$C$6:$AE$651,R$2,)/VLOOKUP($D500,$C$6:$AE$651,4,))*$F500))</f>
        <v>0</v>
      </c>
      <c r="S500" s="64">
        <f t="shared" si="214"/>
        <v>0</v>
      </c>
      <c r="T500" s="64">
        <f t="shared" si="214"/>
        <v>0</v>
      </c>
      <c r="U500" s="64">
        <f t="shared" si="214"/>
        <v>0</v>
      </c>
      <c r="V500" s="64">
        <f t="shared" si="214"/>
        <v>0</v>
      </c>
      <c r="W500" s="64">
        <f t="shared" si="214"/>
        <v>0</v>
      </c>
      <c r="X500" s="64">
        <f t="shared" si="214"/>
        <v>0</v>
      </c>
      <c r="Y500" s="64">
        <f t="shared" si="214"/>
        <v>0</v>
      </c>
      <c r="Z500" s="64">
        <f t="shared" si="214"/>
        <v>0</v>
      </c>
      <c r="AA500" s="64">
        <f t="shared" si="214"/>
        <v>0</v>
      </c>
      <c r="AB500" s="64">
        <f t="shared" si="214"/>
        <v>0</v>
      </c>
      <c r="AC500" s="64">
        <f t="shared" si="214"/>
        <v>0</v>
      </c>
      <c r="AD500" s="64">
        <f t="shared" si="214"/>
        <v>149017</v>
      </c>
      <c r="AE500" s="64">
        <f t="shared" si="214"/>
        <v>0</v>
      </c>
      <c r="AF500" s="64">
        <f t="shared" ref="AF500:AF510" si="215">SUM(H500:AE500)</f>
        <v>149017</v>
      </c>
      <c r="AG500" s="59" t="str">
        <f t="shared" ref="AG500:AG510" si="216">IF(ABS(AF500-F500)&lt;1,"ok","err")</f>
        <v>ok</v>
      </c>
    </row>
    <row r="501" spans="1:33" x14ac:dyDescent="0.25">
      <c r="A501" s="61">
        <v>908</v>
      </c>
      <c r="B501" s="61" t="s">
        <v>1061</v>
      </c>
      <c r="C501" s="45" t="s">
        <v>81</v>
      </c>
      <c r="D501" s="45" t="s">
        <v>670</v>
      </c>
      <c r="F501" s="80">
        <v>754932.44</v>
      </c>
      <c r="H501" s="64">
        <f t="shared" si="213"/>
        <v>0</v>
      </c>
      <c r="I501" s="64">
        <f t="shared" si="213"/>
        <v>0</v>
      </c>
      <c r="J501" s="64">
        <f t="shared" si="213"/>
        <v>0</v>
      </c>
      <c r="K501" s="64">
        <f t="shared" si="213"/>
        <v>0</v>
      </c>
      <c r="L501" s="64">
        <f t="shared" si="213"/>
        <v>0</v>
      </c>
      <c r="M501" s="64">
        <f t="shared" si="213"/>
        <v>0</v>
      </c>
      <c r="N501" s="64">
        <f t="shared" si="213"/>
        <v>0</v>
      </c>
      <c r="O501" s="64">
        <f t="shared" si="213"/>
        <v>0</v>
      </c>
      <c r="P501" s="64">
        <f t="shared" si="213"/>
        <v>0</v>
      </c>
      <c r="Q501" s="64">
        <f t="shared" si="213"/>
        <v>0</v>
      </c>
      <c r="R501" s="64">
        <f t="shared" si="214"/>
        <v>0</v>
      </c>
      <c r="S501" s="64">
        <f t="shared" si="214"/>
        <v>0</v>
      </c>
      <c r="T501" s="64">
        <f t="shared" si="214"/>
        <v>0</v>
      </c>
      <c r="U501" s="64">
        <f t="shared" si="214"/>
        <v>0</v>
      </c>
      <c r="V501" s="64">
        <f t="shared" si="214"/>
        <v>0</v>
      </c>
      <c r="W501" s="64">
        <f t="shared" si="214"/>
        <v>0</v>
      </c>
      <c r="X501" s="64">
        <f t="shared" si="214"/>
        <v>0</v>
      </c>
      <c r="Y501" s="64">
        <f t="shared" si="214"/>
        <v>0</v>
      </c>
      <c r="Z501" s="64">
        <f t="shared" si="214"/>
        <v>0</v>
      </c>
      <c r="AA501" s="64">
        <f t="shared" si="214"/>
        <v>0</v>
      </c>
      <c r="AB501" s="64">
        <f t="shared" si="214"/>
        <v>0</v>
      </c>
      <c r="AC501" s="64">
        <f t="shared" si="214"/>
        <v>0</v>
      </c>
      <c r="AD501" s="64">
        <f t="shared" si="214"/>
        <v>754932.44</v>
      </c>
      <c r="AE501" s="64">
        <f t="shared" si="214"/>
        <v>0</v>
      </c>
      <c r="AF501" s="64">
        <f t="shared" si="215"/>
        <v>754932.44</v>
      </c>
      <c r="AG501" s="59" t="str">
        <f t="shared" si="216"/>
        <v>ok</v>
      </c>
    </row>
    <row r="502" spans="1:33" x14ac:dyDescent="0.25">
      <c r="A502" s="61">
        <v>908</v>
      </c>
      <c r="B502" s="61" t="s">
        <v>31</v>
      </c>
      <c r="C502" s="45" t="s">
        <v>82</v>
      </c>
      <c r="D502" s="45" t="s">
        <v>670</v>
      </c>
      <c r="F502" s="80">
        <v>0</v>
      </c>
      <c r="H502" s="64">
        <f t="shared" si="213"/>
        <v>0</v>
      </c>
      <c r="I502" s="64">
        <f t="shared" si="213"/>
        <v>0</v>
      </c>
      <c r="J502" s="64">
        <f t="shared" si="213"/>
        <v>0</v>
      </c>
      <c r="K502" s="64">
        <f t="shared" si="213"/>
        <v>0</v>
      </c>
      <c r="L502" s="64">
        <f t="shared" si="213"/>
        <v>0</v>
      </c>
      <c r="M502" s="64">
        <f t="shared" si="213"/>
        <v>0</v>
      </c>
      <c r="N502" s="64">
        <f t="shared" si="213"/>
        <v>0</v>
      </c>
      <c r="O502" s="64">
        <f t="shared" si="213"/>
        <v>0</v>
      </c>
      <c r="P502" s="64">
        <f t="shared" si="213"/>
        <v>0</v>
      </c>
      <c r="Q502" s="64">
        <f t="shared" si="213"/>
        <v>0</v>
      </c>
      <c r="R502" s="64">
        <f t="shared" si="214"/>
        <v>0</v>
      </c>
      <c r="S502" s="64">
        <f t="shared" si="214"/>
        <v>0</v>
      </c>
      <c r="T502" s="64">
        <f t="shared" si="214"/>
        <v>0</v>
      </c>
      <c r="U502" s="64">
        <f t="shared" si="214"/>
        <v>0</v>
      </c>
      <c r="V502" s="64">
        <f t="shared" si="214"/>
        <v>0</v>
      </c>
      <c r="W502" s="64">
        <f t="shared" si="214"/>
        <v>0</v>
      </c>
      <c r="X502" s="64">
        <f t="shared" si="214"/>
        <v>0</v>
      </c>
      <c r="Y502" s="64">
        <f t="shared" si="214"/>
        <v>0</v>
      </c>
      <c r="Z502" s="64">
        <f t="shared" si="214"/>
        <v>0</v>
      </c>
      <c r="AA502" s="64">
        <f t="shared" si="214"/>
        <v>0</v>
      </c>
      <c r="AB502" s="64">
        <f t="shared" si="214"/>
        <v>0</v>
      </c>
      <c r="AC502" s="64">
        <f t="shared" si="214"/>
        <v>0</v>
      </c>
      <c r="AD502" s="64">
        <f t="shared" si="214"/>
        <v>0</v>
      </c>
      <c r="AE502" s="64">
        <f t="shared" si="214"/>
        <v>0</v>
      </c>
      <c r="AF502" s="64">
        <f t="shared" si="215"/>
        <v>0</v>
      </c>
      <c r="AG502" s="59" t="str">
        <f t="shared" si="216"/>
        <v>ok</v>
      </c>
    </row>
    <row r="503" spans="1:33" x14ac:dyDescent="0.25">
      <c r="A503" s="61">
        <v>909</v>
      </c>
      <c r="B503" s="61" t="s">
        <v>1063</v>
      </c>
      <c r="C503" s="45" t="s">
        <v>83</v>
      </c>
      <c r="D503" s="45" t="s">
        <v>670</v>
      </c>
      <c r="F503" s="80">
        <v>0</v>
      </c>
      <c r="H503" s="64">
        <f t="shared" si="213"/>
        <v>0</v>
      </c>
      <c r="I503" s="64">
        <f t="shared" si="213"/>
        <v>0</v>
      </c>
      <c r="J503" s="64">
        <f t="shared" si="213"/>
        <v>0</v>
      </c>
      <c r="K503" s="64">
        <f t="shared" si="213"/>
        <v>0</v>
      </c>
      <c r="L503" s="64">
        <f t="shared" si="213"/>
        <v>0</v>
      </c>
      <c r="M503" s="64">
        <f t="shared" si="213"/>
        <v>0</v>
      </c>
      <c r="N503" s="64">
        <f t="shared" si="213"/>
        <v>0</v>
      </c>
      <c r="O503" s="64">
        <f t="shared" si="213"/>
        <v>0</v>
      </c>
      <c r="P503" s="64">
        <f t="shared" si="213"/>
        <v>0</v>
      </c>
      <c r="Q503" s="64">
        <f t="shared" si="213"/>
        <v>0</v>
      </c>
      <c r="R503" s="64">
        <f t="shared" si="214"/>
        <v>0</v>
      </c>
      <c r="S503" s="64">
        <f t="shared" si="214"/>
        <v>0</v>
      </c>
      <c r="T503" s="64">
        <f t="shared" si="214"/>
        <v>0</v>
      </c>
      <c r="U503" s="64">
        <f t="shared" si="214"/>
        <v>0</v>
      </c>
      <c r="V503" s="64">
        <f t="shared" si="214"/>
        <v>0</v>
      </c>
      <c r="W503" s="64">
        <f t="shared" si="214"/>
        <v>0</v>
      </c>
      <c r="X503" s="64">
        <f t="shared" si="214"/>
        <v>0</v>
      </c>
      <c r="Y503" s="64">
        <f t="shared" si="214"/>
        <v>0</v>
      </c>
      <c r="Z503" s="64">
        <f t="shared" si="214"/>
        <v>0</v>
      </c>
      <c r="AA503" s="64">
        <f t="shared" si="214"/>
        <v>0</v>
      </c>
      <c r="AB503" s="64">
        <f t="shared" si="214"/>
        <v>0</v>
      </c>
      <c r="AC503" s="64">
        <f t="shared" si="214"/>
        <v>0</v>
      </c>
      <c r="AD503" s="64">
        <f t="shared" si="214"/>
        <v>0</v>
      </c>
      <c r="AE503" s="64">
        <f t="shared" si="214"/>
        <v>0</v>
      </c>
      <c r="AF503" s="64">
        <f t="shared" si="215"/>
        <v>0</v>
      </c>
      <c r="AG503" s="59" t="str">
        <f t="shared" si="216"/>
        <v>ok</v>
      </c>
    </row>
    <row r="504" spans="1:33" x14ac:dyDescent="0.25">
      <c r="A504" s="61">
        <v>909</v>
      </c>
      <c r="B504" s="61" t="s">
        <v>33</v>
      </c>
      <c r="C504" s="45" t="s">
        <v>84</v>
      </c>
      <c r="D504" s="45" t="s">
        <v>670</v>
      </c>
      <c r="F504" s="80">
        <v>0</v>
      </c>
      <c r="H504" s="64">
        <f t="shared" si="213"/>
        <v>0</v>
      </c>
      <c r="I504" s="64">
        <f t="shared" si="213"/>
        <v>0</v>
      </c>
      <c r="J504" s="64">
        <f t="shared" si="213"/>
        <v>0</v>
      </c>
      <c r="K504" s="64">
        <f t="shared" si="213"/>
        <v>0</v>
      </c>
      <c r="L504" s="64">
        <f t="shared" si="213"/>
        <v>0</v>
      </c>
      <c r="M504" s="64">
        <f t="shared" si="213"/>
        <v>0</v>
      </c>
      <c r="N504" s="64">
        <f t="shared" si="213"/>
        <v>0</v>
      </c>
      <c r="O504" s="64">
        <f t="shared" si="213"/>
        <v>0</v>
      </c>
      <c r="P504" s="64">
        <f t="shared" si="213"/>
        <v>0</v>
      </c>
      <c r="Q504" s="64">
        <f t="shared" si="213"/>
        <v>0</v>
      </c>
      <c r="R504" s="64">
        <f t="shared" si="214"/>
        <v>0</v>
      </c>
      <c r="S504" s="64">
        <f t="shared" si="214"/>
        <v>0</v>
      </c>
      <c r="T504" s="64">
        <f t="shared" si="214"/>
        <v>0</v>
      </c>
      <c r="U504" s="64">
        <f t="shared" si="214"/>
        <v>0</v>
      </c>
      <c r="V504" s="64">
        <f t="shared" si="214"/>
        <v>0</v>
      </c>
      <c r="W504" s="64">
        <f t="shared" si="214"/>
        <v>0</v>
      </c>
      <c r="X504" s="64">
        <f t="shared" si="214"/>
        <v>0</v>
      </c>
      <c r="Y504" s="64">
        <f t="shared" si="214"/>
        <v>0</v>
      </c>
      <c r="Z504" s="64">
        <f t="shared" si="214"/>
        <v>0</v>
      </c>
      <c r="AA504" s="64">
        <f t="shared" si="214"/>
        <v>0</v>
      </c>
      <c r="AB504" s="64">
        <f t="shared" si="214"/>
        <v>0</v>
      </c>
      <c r="AC504" s="64">
        <f t="shared" si="214"/>
        <v>0</v>
      </c>
      <c r="AD504" s="64">
        <f t="shared" si="214"/>
        <v>0</v>
      </c>
      <c r="AE504" s="64">
        <f t="shared" si="214"/>
        <v>0</v>
      </c>
      <c r="AF504" s="64">
        <f t="shared" si="215"/>
        <v>0</v>
      </c>
      <c r="AG504" s="59" t="str">
        <f t="shared" si="216"/>
        <v>ok</v>
      </c>
    </row>
    <row r="505" spans="1:33" x14ac:dyDescent="0.25">
      <c r="A505" s="61">
        <v>910</v>
      </c>
      <c r="B505" s="61" t="s">
        <v>1065</v>
      </c>
      <c r="C505" s="45" t="s">
        <v>85</v>
      </c>
      <c r="D505" s="45" t="s">
        <v>670</v>
      </c>
      <c r="F505" s="80">
        <v>0</v>
      </c>
      <c r="H505" s="64">
        <f t="shared" si="213"/>
        <v>0</v>
      </c>
      <c r="I505" s="64">
        <f t="shared" si="213"/>
        <v>0</v>
      </c>
      <c r="J505" s="64">
        <f t="shared" si="213"/>
        <v>0</v>
      </c>
      <c r="K505" s="64">
        <f t="shared" si="213"/>
        <v>0</v>
      </c>
      <c r="L505" s="64">
        <f t="shared" si="213"/>
        <v>0</v>
      </c>
      <c r="M505" s="64">
        <f t="shared" si="213"/>
        <v>0</v>
      </c>
      <c r="N505" s="64">
        <f t="shared" si="213"/>
        <v>0</v>
      </c>
      <c r="O505" s="64">
        <f t="shared" si="213"/>
        <v>0</v>
      </c>
      <c r="P505" s="64">
        <f t="shared" si="213"/>
        <v>0</v>
      </c>
      <c r="Q505" s="64">
        <f t="shared" si="213"/>
        <v>0</v>
      </c>
      <c r="R505" s="64">
        <f t="shared" si="214"/>
        <v>0</v>
      </c>
      <c r="S505" s="64">
        <f t="shared" si="214"/>
        <v>0</v>
      </c>
      <c r="T505" s="64">
        <f t="shared" si="214"/>
        <v>0</v>
      </c>
      <c r="U505" s="64">
        <f t="shared" si="214"/>
        <v>0</v>
      </c>
      <c r="V505" s="64">
        <f t="shared" si="214"/>
        <v>0</v>
      </c>
      <c r="W505" s="64">
        <f t="shared" si="214"/>
        <v>0</v>
      </c>
      <c r="X505" s="64">
        <f t="shared" si="214"/>
        <v>0</v>
      </c>
      <c r="Y505" s="64">
        <f t="shared" si="214"/>
        <v>0</v>
      </c>
      <c r="Z505" s="64">
        <f t="shared" si="214"/>
        <v>0</v>
      </c>
      <c r="AA505" s="64">
        <f t="shared" si="214"/>
        <v>0</v>
      </c>
      <c r="AB505" s="64">
        <f t="shared" si="214"/>
        <v>0</v>
      </c>
      <c r="AC505" s="64">
        <f t="shared" si="214"/>
        <v>0</v>
      </c>
      <c r="AD505" s="64">
        <f t="shared" si="214"/>
        <v>0</v>
      </c>
      <c r="AE505" s="64">
        <f t="shared" si="214"/>
        <v>0</v>
      </c>
      <c r="AF505" s="64">
        <f t="shared" si="215"/>
        <v>0</v>
      </c>
      <c r="AG505" s="59" t="str">
        <f t="shared" si="216"/>
        <v>ok</v>
      </c>
    </row>
    <row r="506" spans="1:33" x14ac:dyDescent="0.25">
      <c r="A506" s="61">
        <v>911</v>
      </c>
      <c r="B506" s="61" t="s">
        <v>150</v>
      </c>
      <c r="C506" s="45" t="s">
        <v>173</v>
      </c>
      <c r="D506" s="45" t="s">
        <v>670</v>
      </c>
      <c r="F506" s="80">
        <v>0</v>
      </c>
      <c r="H506" s="64">
        <f t="shared" si="213"/>
        <v>0</v>
      </c>
      <c r="I506" s="64">
        <f t="shared" si="213"/>
        <v>0</v>
      </c>
      <c r="J506" s="64">
        <f t="shared" si="213"/>
        <v>0</v>
      </c>
      <c r="K506" s="64">
        <f t="shared" si="213"/>
        <v>0</v>
      </c>
      <c r="L506" s="64">
        <f t="shared" si="213"/>
        <v>0</v>
      </c>
      <c r="M506" s="64">
        <f t="shared" si="213"/>
        <v>0</v>
      </c>
      <c r="N506" s="64">
        <f t="shared" si="213"/>
        <v>0</v>
      </c>
      <c r="O506" s="64">
        <f t="shared" si="213"/>
        <v>0</v>
      </c>
      <c r="P506" s="64">
        <f t="shared" si="213"/>
        <v>0</v>
      </c>
      <c r="Q506" s="64">
        <f t="shared" si="213"/>
        <v>0</v>
      </c>
      <c r="R506" s="64">
        <f t="shared" si="214"/>
        <v>0</v>
      </c>
      <c r="S506" s="64">
        <f t="shared" si="214"/>
        <v>0</v>
      </c>
      <c r="T506" s="64">
        <f t="shared" si="214"/>
        <v>0</v>
      </c>
      <c r="U506" s="64">
        <f t="shared" si="214"/>
        <v>0</v>
      </c>
      <c r="V506" s="64">
        <f t="shared" si="214"/>
        <v>0</v>
      </c>
      <c r="W506" s="64">
        <f t="shared" si="214"/>
        <v>0</v>
      </c>
      <c r="X506" s="64">
        <f t="shared" si="214"/>
        <v>0</v>
      </c>
      <c r="Y506" s="64">
        <f t="shared" si="214"/>
        <v>0</v>
      </c>
      <c r="Z506" s="64">
        <f t="shared" si="214"/>
        <v>0</v>
      </c>
      <c r="AA506" s="64">
        <f t="shared" si="214"/>
        <v>0</v>
      </c>
      <c r="AB506" s="64">
        <f t="shared" si="214"/>
        <v>0</v>
      </c>
      <c r="AC506" s="64">
        <f t="shared" si="214"/>
        <v>0</v>
      </c>
      <c r="AD506" s="64">
        <f t="shared" si="214"/>
        <v>0</v>
      </c>
      <c r="AE506" s="64">
        <f t="shared" si="214"/>
        <v>0</v>
      </c>
      <c r="AF506" s="64">
        <f t="shared" si="215"/>
        <v>0</v>
      </c>
      <c r="AG506" s="59" t="str">
        <f t="shared" si="216"/>
        <v>ok</v>
      </c>
    </row>
    <row r="507" spans="1:33" x14ac:dyDescent="0.25">
      <c r="A507" s="61">
        <v>912</v>
      </c>
      <c r="B507" s="61" t="s">
        <v>150</v>
      </c>
      <c r="C507" s="45" t="s">
        <v>153</v>
      </c>
      <c r="D507" s="45" t="s">
        <v>670</v>
      </c>
      <c r="F507" s="80">
        <v>0</v>
      </c>
      <c r="H507" s="64">
        <f t="shared" si="213"/>
        <v>0</v>
      </c>
      <c r="I507" s="64">
        <f t="shared" si="213"/>
        <v>0</v>
      </c>
      <c r="J507" s="64">
        <f t="shared" si="213"/>
        <v>0</v>
      </c>
      <c r="K507" s="64">
        <f t="shared" si="213"/>
        <v>0</v>
      </c>
      <c r="L507" s="64">
        <f t="shared" si="213"/>
        <v>0</v>
      </c>
      <c r="M507" s="64">
        <f t="shared" si="213"/>
        <v>0</v>
      </c>
      <c r="N507" s="64">
        <f t="shared" si="213"/>
        <v>0</v>
      </c>
      <c r="O507" s="64">
        <f t="shared" si="213"/>
        <v>0</v>
      </c>
      <c r="P507" s="64">
        <f t="shared" si="213"/>
        <v>0</v>
      </c>
      <c r="Q507" s="64">
        <f t="shared" si="213"/>
        <v>0</v>
      </c>
      <c r="R507" s="64">
        <f t="shared" si="214"/>
        <v>0</v>
      </c>
      <c r="S507" s="64">
        <f t="shared" si="214"/>
        <v>0</v>
      </c>
      <c r="T507" s="64">
        <f t="shared" si="214"/>
        <v>0</v>
      </c>
      <c r="U507" s="64">
        <f t="shared" si="214"/>
        <v>0</v>
      </c>
      <c r="V507" s="64">
        <f t="shared" si="214"/>
        <v>0</v>
      </c>
      <c r="W507" s="64">
        <f t="shared" si="214"/>
        <v>0</v>
      </c>
      <c r="X507" s="64">
        <f t="shared" si="214"/>
        <v>0</v>
      </c>
      <c r="Y507" s="64">
        <f t="shared" si="214"/>
        <v>0</v>
      </c>
      <c r="Z507" s="64">
        <f t="shared" si="214"/>
        <v>0</v>
      </c>
      <c r="AA507" s="64">
        <f t="shared" si="214"/>
        <v>0</v>
      </c>
      <c r="AB507" s="64">
        <f t="shared" si="214"/>
        <v>0</v>
      </c>
      <c r="AC507" s="64">
        <f t="shared" si="214"/>
        <v>0</v>
      </c>
      <c r="AD507" s="64">
        <f t="shared" si="214"/>
        <v>0</v>
      </c>
      <c r="AE507" s="64">
        <f t="shared" si="214"/>
        <v>0</v>
      </c>
      <c r="AF507" s="64">
        <f t="shared" si="215"/>
        <v>0</v>
      </c>
      <c r="AG507" s="59" t="str">
        <f t="shared" si="216"/>
        <v>ok</v>
      </c>
    </row>
    <row r="508" spans="1:33" x14ac:dyDescent="0.25">
      <c r="A508" s="61">
        <v>913</v>
      </c>
      <c r="B508" s="61" t="s">
        <v>139</v>
      </c>
      <c r="C508" s="45" t="s">
        <v>154</v>
      </c>
      <c r="D508" s="45" t="s">
        <v>670</v>
      </c>
      <c r="F508" s="80">
        <v>0</v>
      </c>
      <c r="H508" s="64">
        <f t="shared" si="213"/>
        <v>0</v>
      </c>
      <c r="I508" s="64">
        <f t="shared" si="213"/>
        <v>0</v>
      </c>
      <c r="J508" s="64">
        <f t="shared" si="213"/>
        <v>0</v>
      </c>
      <c r="K508" s="64">
        <f t="shared" si="213"/>
        <v>0</v>
      </c>
      <c r="L508" s="64">
        <f t="shared" si="213"/>
        <v>0</v>
      </c>
      <c r="M508" s="64">
        <f t="shared" si="213"/>
        <v>0</v>
      </c>
      <c r="N508" s="64">
        <f t="shared" si="213"/>
        <v>0</v>
      </c>
      <c r="O508" s="64">
        <f t="shared" si="213"/>
        <v>0</v>
      </c>
      <c r="P508" s="64">
        <f t="shared" si="213"/>
        <v>0</v>
      </c>
      <c r="Q508" s="64">
        <f t="shared" si="213"/>
        <v>0</v>
      </c>
      <c r="R508" s="64">
        <f t="shared" si="214"/>
        <v>0</v>
      </c>
      <c r="S508" s="64">
        <f t="shared" si="214"/>
        <v>0</v>
      </c>
      <c r="T508" s="64">
        <f t="shared" si="214"/>
        <v>0</v>
      </c>
      <c r="U508" s="64">
        <f t="shared" si="214"/>
        <v>0</v>
      </c>
      <c r="V508" s="64">
        <f t="shared" si="214"/>
        <v>0</v>
      </c>
      <c r="W508" s="64">
        <f t="shared" si="214"/>
        <v>0</v>
      </c>
      <c r="X508" s="64">
        <f t="shared" si="214"/>
        <v>0</v>
      </c>
      <c r="Y508" s="64">
        <f t="shared" si="214"/>
        <v>0</v>
      </c>
      <c r="Z508" s="64">
        <f t="shared" si="214"/>
        <v>0</v>
      </c>
      <c r="AA508" s="64">
        <f t="shared" si="214"/>
        <v>0</v>
      </c>
      <c r="AB508" s="64">
        <f t="shared" si="214"/>
        <v>0</v>
      </c>
      <c r="AC508" s="64">
        <f t="shared" si="214"/>
        <v>0</v>
      </c>
      <c r="AD508" s="64">
        <f t="shared" si="214"/>
        <v>0</v>
      </c>
      <c r="AE508" s="64">
        <f t="shared" si="214"/>
        <v>0</v>
      </c>
      <c r="AF508" s="64">
        <f t="shared" si="215"/>
        <v>0</v>
      </c>
      <c r="AG508" s="59" t="str">
        <f t="shared" si="216"/>
        <v>ok</v>
      </c>
    </row>
    <row r="509" spans="1:33" x14ac:dyDescent="0.25">
      <c r="A509" s="61">
        <v>915</v>
      </c>
      <c r="B509" s="61" t="s">
        <v>161</v>
      </c>
      <c r="C509" s="45" t="s">
        <v>165</v>
      </c>
      <c r="D509" s="45" t="s">
        <v>670</v>
      </c>
      <c r="F509" s="80">
        <v>0</v>
      </c>
      <c r="H509" s="64">
        <f t="shared" si="213"/>
        <v>0</v>
      </c>
      <c r="I509" s="64">
        <f t="shared" si="213"/>
        <v>0</v>
      </c>
      <c r="J509" s="64">
        <f t="shared" si="213"/>
        <v>0</v>
      </c>
      <c r="K509" s="64">
        <f t="shared" si="213"/>
        <v>0</v>
      </c>
      <c r="L509" s="64">
        <f t="shared" si="213"/>
        <v>0</v>
      </c>
      <c r="M509" s="64">
        <f t="shared" si="213"/>
        <v>0</v>
      </c>
      <c r="N509" s="64">
        <f t="shared" si="213"/>
        <v>0</v>
      </c>
      <c r="O509" s="64">
        <f t="shared" si="213"/>
        <v>0</v>
      </c>
      <c r="P509" s="64">
        <f t="shared" si="213"/>
        <v>0</v>
      </c>
      <c r="Q509" s="64">
        <f t="shared" si="213"/>
        <v>0</v>
      </c>
      <c r="R509" s="64">
        <f t="shared" si="214"/>
        <v>0</v>
      </c>
      <c r="S509" s="64">
        <f t="shared" si="214"/>
        <v>0</v>
      </c>
      <c r="T509" s="64">
        <f t="shared" si="214"/>
        <v>0</v>
      </c>
      <c r="U509" s="64">
        <f t="shared" si="214"/>
        <v>0</v>
      </c>
      <c r="V509" s="64">
        <f t="shared" si="214"/>
        <v>0</v>
      </c>
      <c r="W509" s="64">
        <f t="shared" si="214"/>
        <v>0</v>
      </c>
      <c r="X509" s="64">
        <f t="shared" si="214"/>
        <v>0</v>
      </c>
      <c r="Y509" s="64">
        <f t="shared" si="214"/>
        <v>0</v>
      </c>
      <c r="Z509" s="64">
        <f t="shared" si="214"/>
        <v>0</v>
      </c>
      <c r="AA509" s="64">
        <f t="shared" si="214"/>
        <v>0</v>
      </c>
      <c r="AB509" s="64">
        <f t="shared" si="214"/>
        <v>0</v>
      </c>
      <c r="AC509" s="64">
        <f t="shared" si="214"/>
        <v>0</v>
      </c>
      <c r="AD509" s="64">
        <f t="shared" si="214"/>
        <v>0</v>
      </c>
      <c r="AE509" s="64">
        <f t="shared" si="214"/>
        <v>0</v>
      </c>
      <c r="AF509" s="64">
        <f t="shared" si="215"/>
        <v>0</v>
      </c>
      <c r="AG509" s="59" t="str">
        <f t="shared" si="216"/>
        <v>ok</v>
      </c>
    </row>
    <row r="510" spans="1:33" x14ac:dyDescent="0.25">
      <c r="A510" s="61">
        <v>916</v>
      </c>
      <c r="B510" s="61" t="s">
        <v>162</v>
      </c>
      <c r="C510" s="45" t="s">
        <v>166</v>
      </c>
      <c r="D510" s="45" t="s">
        <v>670</v>
      </c>
      <c r="F510" s="80">
        <v>0</v>
      </c>
      <c r="H510" s="64">
        <f t="shared" si="213"/>
        <v>0</v>
      </c>
      <c r="I510" s="64">
        <f t="shared" si="213"/>
        <v>0</v>
      </c>
      <c r="J510" s="64">
        <f t="shared" si="213"/>
        <v>0</v>
      </c>
      <c r="K510" s="64">
        <f t="shared" si="213"/>
        <v>0</v>
      </c>
      <c r="L510" s="64">
        <f t="shared" si="213"/>
        <v>0</v>
      </c>
      <c r="M510" s="64">
        <f t="shared" si="213"/>
        <v>0</v>
      </c>
      <c r="N510" s="64">
        <f t="shared" si="213"/>
        <v>0</v>
      </c>
      <c r="O510" s="64">
        <f t="shared" si="213"/>
        <v>0</v>
      </c>
      <c r="P510" s="64">
        <f t="shared" si="213"/>
        <v>0</v>
      </c>
      <c r="Q510" s="64">
        <f t="shared" si="213"/>
        <v>0</v>
      </c>
      <c r="R510" s="64">
        <f t="shared" si="214"/>
        <v>0</v>
      </c>
      <c r="S510" s="64">
        <f t="shared" si="214"/>
        <v>0</v>
      </c>
      <c r="T510" s="64">
        <f t="shared" si="214"/>
        <v>0</v>
      </c>
      <c r="U510" s="64">
        <f t="shared" si="214"/>
        <v>0</v>
      </c>
      <c r="V510" s="64">
        <f t="shared" si="214"/>
        <v>0</v>
      </c>
      <c r="W510" s="64">
        <f t="shared" si="214"/>
        <v>0</v>
      </c>
      <c r="X510" s="64">
        <f t="shared" si="214"/>
        <v>0</v>
      </c>
      <c r="Y510" s="64">
        <f t="shared" si="214"/>
        <v>0</v>
      </c>
      <c r="Z510" s="64">
        <f t="shared" si="214"/>
        <v>0</v>
      </c>
      <c r="AA510" s="64">
        <f t="shared" si="214"/>
        <v>0</v>
      </c>
      <c r="AB510" s="64">
        <f t="shared" si="214"/>
        <v>0</v>
      </c>
      <c r="AC510" s="64">
        <f t="shared" si="214"/>
        <v>0</v>
      </c>
      <c r="AD510" s="64">
        <f t="shared" si="214"/>
        <v>0</v>
      </c>
      <c r="AE510" s="64">
        <f t="shared" si="214"/>
        <v>0</v>
      </c>
      <c r="AF510" s="64">
        <f t="shared" si="215"/>
        <v>0</v>
      </c>
      <c r="AG510" s="59" t="str">
        <f t="shared" si="216"/>
        <v>ok</v>
      </c>
    </row>
    <row r="511" spans="1:33" x14ac:dyDescent="0.25">
      <c r="A511" s="61"/>
      <c r="B511" s="61"/>
      <c r="F511" s="80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  <c r="AA511" s="64"/>
      <c r="AB511" s="64"/>
      <c r="AC511" s="64"/>
      <c r="AD511" s="64"/>
      <c r="AE511" s="64"/>
      <c r="AF511" s="64"/>
      <c r="AG511" s="59"/>
    </row>
    <row r="512" spans="1:33" x14ac:dyDescent="0.25">
      <c r="A512" s="61" t="s">
        <v>113</v>
      </c>
      <c r="B512" s="61"/>
      <c r="C512" s="45" t="s">
        <v>86</v>
      </c>
      <c r="F512" s="77">
        <f>SUM(F500:F511)</f>
        <v>903949.44</v>
      </c>
      <c r="G512" s="63">
        <f>SUM(G500:G511)</f>
        <v>0</v>
      </c>
      <c r="H512" s="63">
        <f t="shared" ref="H512:M512" si="217">SUM(H500:H511)</f>
        <v>0</v>
      </c>
      <c r="I512" s="63">
        <f t="shared" si="217"/>
        <v>0</v>
      </c>
      <c r="J512" s="63">
        <f t="shared" si="217"/>
        <v>0</v>
      </c>
      <c r="K512" s="63">
        <f t="shared" si="217"/>
        <v>0</v>
      </c>
      <c r="L512" s="63">
        <f t="shared" si="217"/>
        <v>0</v>
      </c>
      <c r="M512" s="63">
        <f t="shared" si="217"/>
        <v>0</v>
      </c>
      <c r="N512" s="63">
        <f>SUM(N500:N511)</f>
        <v>0</v>
      </c>
      <c r="O512" s="63">
        <f>SUM(O500:O511)</f>
        <v>0</v>
      </c>
      <c r="P512" s="63">
        <f>SUM(P500:P511)</f>
        <v>0</v>
      </c>
      <c r="Q512" s="63">
        <f t="shared" ref="Q512:AB512" si="218">SUM(Q500:Q511)</f>
        <v>0</v>
      </c>
      <c r="R512" s="63">
        <f t="shared" si="218"/>
        <v>0</v>
      </c>
      <c r="S512" s="63">
        <f t="shared" si="218"/>
        <v>0</v>
      </c>
      <c r="T512" s="63">
        <f t="shared" si="218"/>
        <v>0</v>
      </c>
      <c r="U512" s="63">
        <f t="shared" si="218"/>
        <v>0</v>
      </c>
      <c r="V512" s="63">
        <f t="shared" si="218"/>
        <v>0</v>
      </c>
      <c r="W512" s="63">
        <f t="shared" si="218"/>
        <v>0</v>
      </c>
      <c r="X512" s="63">
        <f t="shared" si="218"/>
        <v>0</v>
      </c>
      <c r="Y512" s="63">
        <f t="shared" si="218"/>
        <v>0</v>
      </c>
      <c r="Z512" s="63">
        <f t="shared" si="218"/>
        <v>0</v>
      </c>
      <c r="AA512" s="63">
        <f t="shared" si="218"/>
        <v>0</v>
      </c>
      <c r="AB512" s="63">
        <f t="shared" si="218"/>
        <v>0</v>
      </c>
      <c r="AC512" s="63">
        <f>SUM(AC500:AC511)</f>
        <v>0</v>
      </c>
      <c r="AD512" s="63">
        <f>SUM(AD500:AD511)</f>
        <v>903949.44</v>
      </c>
      <c r="AE512" s="63">
        <f>SUM(AE500:AE511)</f>
        <v>0</v>
      </c>
      <c r="AF512" s="64">
        <f>SUM(H512:AE512)</f>
        <v>903949.44</v>
      </c>
      <c r="AG512" s="59" t="str">
        <f>IF(ABS(AF512-F512)&lt;1,"ok","err")</f>
        <v>ok</v>
      </c>
    </row>
    <row r="513" spans="1:33" x14ac:dyDescent="0.25">
      <c r="A513" s="61"/>
      <c r="B513" s="61"/>
      <c r="F513" s="80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  <c r="AA513" s="64"/>
      <c r="AB513" s="64"/>
      <c r="AC513" s="64"/>
      <c r="AD513" s="64"/>
      <c r="AE513" s="64"/>
      <c r="AG513" s="59"/>
    </row>
    <row r="514" spans="1:33" x14ac:dyDescent="0.25">
      <c r="A514" s="61" t="s">
        <v>857</v>
      </c>
      <c r="B514" s="61"/>
      <c r="C514" s="45" t="s">
        <v>671</v>
      </c>
      <c r="F514" s="77">
        <f>F488+F497+F512</f>
        <v>52492363.039999999</v>
      </c>
      <c r="G514" s="64"/>
      <c r="H514" s="64">
        <f t="shared" ref="H514:AE514" si="219">H488+H497+H512</f>
        <v>7228707.450510161</v>
      </c>
      <c r="I514" s="64">
        <f t="shared" si="219"/>
        <v>7044115.7902057134</v>
      </c>
      <c r="J514" s="64">
        <f t="shared" si="219"/>
        <v>6386578.620725682</v>
      </c>
      <c r="K514" s="64">
        <f t="shared" si="219"/>
        <v>12147149.138558444</v>
      </c>
      <c r="L514" s="64">
        <f t="shared" si="219"/>
        <v>0</v>
      </c>
      <c r="M514" s="64">
        <f t="shared" si="219"/>
        <v>0</v>
      </c>
      <c r="N514" s="64">
        <f t="shared" si="219"/>
        <v>1106848.2735522904</v>
      </c>
      <c r="O514" s="64">
        <f t="shared" si="219"/>
        <v>1078583.8899236913</v>
      </c>
      <c r="P514" s="64">
        <f t="shared" si="219"/>
        <v>977902.83652401797</v>
      </c>
      <c r="Q514" s="64">
        <f t="shared" si="219"/>
        <v>0</v>
      </c>
      <c r="R514" s="64">
        <f t="shared" si="219"/>
        <v>1719697.6060611466</v>
      </c>
      <c r="S514" s="64">
        <f t="shared" si="219"/>
        <v>0</v>
      </c>
      <c r="T514" s="64">
        <f t="shared" si="219"/>
        <v>1869437.1910191881</v>
      </c>
      <c r="U514" s="64">
        <f t="shared" si="219"/>
        <v>2740990.2942512413</v>
      </c>
      <c r="V514" s="64">
        <f t="shared" si="219"/>
        <v>623145.73033972934</v>
      </c>
      <c r="W514" s="64">
        <f t="shared" si="219"/>
        <v>913663.43141708034</v>
      </c>
      <c r="X514" s="64">
        <f t="shared" si="219"/>
        <v>172897.28332443567</v>
      </c>
      <c r="Y514" s="64">
        <f t="shared" si="219"/>
        <v>131213.50278937857</v>
      </c>
      <c r="Z514" s="64">
        <f t="shared" si="219"/>
        <v>38027.771334097524</v>
      </c>
      <c r="AA514" s="64">
        <f t="shared" si="219"/>
        <v>3050958.0779915</v>
      </c>
      <c r="AB514" s="64">
        <f t="shared" si="219"/>
        <v>147415.1114722034</v>
      </c>
      <c r="AC514" s="64">
        <f t="shared" si="219"/>
        <v>4211081.6000000006</v>
      </c>
      <c r="AD514" s="64">
        <f t="shared" si="219"/>
        <v>903949.44</v>
      </c>
      <c r="AE514" s="64">
        <f t="shared" si="219"/>
        <v>0</v>
      </c>
      <c r="AF514" s="64">
        <f>SUM(H514:AE514)</f>
        <v>52492363.039999992</v>
      </c>
      <c r="AG514" s="59" t="str">
        <f>IF(ABS(AF514-F514)&lt;1,"ok","err")</f>
        <v>ok</v>
      </c>
    </row>
    <row r="515" spans="1:33" x14ac:dyDescent="0.25">
      <c r="A515" s="61"/>
      <c r="B515" s="61"/>
      <c r="F515" s="80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  <c r="AA515" s="64"/>
      <c r="AB515" s="64"/>
      <c r="AC515" s="64"/>
      <c r="AD515" s="64"/>
      <c r="AE515" s="64"/>
      <c r="AG515" s="59"/>
    </row>
    <row r="516" spans="1:33" x14ac:dyDescent="0.25">
      <c r="A516" s="61"/>
      <c r="B516" s="61"/>
      <c r="F516" s="80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  <c r="AA516" s="64"/>
      <c r="AB516" s="64"/>
      <c r="AC516" s="64"/>
      <c r="AD516" s="64"/>
      <c r="AE516" s="64"/>
      <c r="AG516" s="59"/>
    </row>
    <row r="517" spans="1:33" x14ac:dyDescent="0.25">
      <c r="A517" s="61"/>
      <c r="B517" s="61"/>
      <c r="F517" s="80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G517" s="59"/>
    </row>
    <row r="518" spans="1:33" x14ac:dyDescent="0.25">
      <c r="A518" s="61"/>
      <c r="B518" s="61"/>
      <c r="F518" s="80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  <c r="AA518" s="64"/>
      <c r="AB518" s="64"/>
      <c r="AC518" s="64"/>
      <c r="AD518" s="64"/>
      <c r="AE518" s="64"/>
      <c r="AG518" s="59"/>
    </row>
    <row r="519" spans="1:33" x14ac:dyDescent="0.25">
      <c r="A519" s="61"/>
      <c r="B519" s="61"/>
      <c r="F519" s="80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  <c r="AA519" s="64"/>
      <c r="AB519" s="64"/>
      <c r="AC519" s="64"/>
      <c r="AD519" s="64"/>
      <c r="AE519" s="64"/>
      <c r="AG519" s="59"/>
    </row>
    <row r="520" spans="1:33" x14ac:dyDescent="0.25">
      <c r="A520" s="60" t="s">
        <v>45</v>
      </c>
      <c r="B520" s="61"/>
      <c r="F520" s="80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  <c r="AA520" s="64"/>
      <c r="AB520" s="64"/>
      <c r="AC520" s="64"/>
      <c r="AD520" s="64"/>
      <c r="AE520" s="64"/>
      <c r="AG520" s="59"/>
    </row>
    <row r="521" spans="1:33" x14ac:dyDescent="0.25">
      <c r="A521" s="61"/>
      <c r="B521" s="61"/>
      <c r="F521" s="80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  <c r="AA521" s="64"/>
      <c r="AB521" s="64"/>
      <c r="AC521" s="64"/>
      <c r="AD521" s="64"/>
      <c r="AE521" s="64"/>
      <c r="AG521" s="59"/>
    </row>
    <row r="522" spans="1:33" x14ac:dyDescent="0.25">
      <c r="A522" s="66" t="s">
        <v>1069</v>
      </c>
      <c r="B522" s="61"/>
      <c r="F522" s="80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  <c r="AA522" s="64"/>
      <c r="AB522" s="64"/>
      <c r="AC522" s="64"/>
      <c r="AD522" s="64"/>
      <c r="AE522" s="64"/>
      <c r="AG522" s="59"/>
    </row>
    <row r="523" spans="1:33" x14ac:dyDescent="0.25">
      <c r="A523" s="61">
        <v>920</v>
      </c>
      <c r="B523" s="61" t="s">
        <v>1070</v>
      </c>
      <c r="C523" s="45" t="s">
        <v>88</v>
      </c>
      <c r="D523" s="45" t="s">
        <v>671</v>
      </c>
      <c r="F523" s="77">
        <v>20832253.740000002</v>
      </c>
      <c r="H523" s="64">
        <f t="shared" ref="H523:Q534" si="220">IF(VLOOKUP($D523,$C$6:$AE$651,H$2,)=0,0,((VLOOKUP($D523,$C$6:$AE$651,H$2,)/VLOOKUP($D523,$C$6:$AE$651,4,))*$F523))</f>
        <v>2868803.3668155512</v>
      </c>
      <c r="I523" s="64">
        <f t="shared" si="220"/>
        <v>2795545.8473775359</v>
      </c>
      <c r="J523" s="64">
        <f t="shared" si="220"/>
        <v>2534593.9609545278</v>
      </c>
      <c r="K523" s="64">
        <f t="shared" si="220"/>
        <v>4820748.7416644208</v>
      </c>
      <c r="L523" s="64">
        <f t="shared" si="220"/>
        <v>0</v>
      </c>
      <c r="M523" s="64">
        <f t="shared" si="220"/>
        <v>0</v>
      </c>
      <c r="N523" s="64">
        <f t="shared" si="220"/>
        <v>439266.64282100584</v>
      </c>
      <c r="O523" s="64">
        <f t="shared" si="220"/>
        <v>428049.56708930375</v>
      </c>
      <c r="P523" s="64">
        <f t="shared" si="220"/>
        <v>388093.02618002478</v>
      </c>
      <c r="Q523" s="64">
        <f t="shared" si="220"/>
        <v>0</v>
      </c>
      <c r="R523" s="64">
        <f t="shared" ref="R523:AE534" si="221">IF(VLOOKUP($D523,$C$6:$AE$651,R$2,)=0,0,((VLOOKUP($D523,$C$6:$AE$651,R$2,)/VLOOKUP($D523,$C$6:$AE$651,4,))*$F523))</f>
        <v>682483.59972358309</v>
      </c>
      <c r="S523" s="64">
        <f t="shared" si="221"/>
        <v>0</v>
      </c>
      <c r="T523" s="64">
        <f t="shared" si="221"/>
        <v>741909.63520975795</v>
      </c>
      <c r="U523" s="64">
        <f t="shared" si="221"/>
        <v>1087796.4336489723</v>
      </c>
      <c r="V523" s="64">
        <f t="shared" si="221"/>
        <v>247303.21173658597</v>
      </c>
      <c r="W523" s="64">
        <f t="shared" si="221"/>
        <v>362598.8112163241</v>
      </c>
      <c r="X523" s="64">
        <f t="shared" si="221"/>
        <v>68616.459015698274</v>
      </c>
      <c r="Y523" s="64">
        <f t="shared" si="221"/>
        <v>52073.727032246265</v>
      </c>
      <c r="Z523" s="64">
        <f t="shared" si="221"/>
        <v>15091.798801188395</v>
      </c>
      <c r="AA523" s="64">
        <f t="shared" si="221"/>
        <v>1210811.0427871041</v>
      </c>
      <c r="AB523" s="64">
        <f t="shared" si="221"/>
        <v>58503.53898069296</v>
      </c>
      <c r="AC523" s="64">
        <f t="shared" si="221"/>
        <v>1671220.6372610123</v>
      </c>
      <c r="AD523" s="64">
        <f t="shared" si="221"/>
        <v>358743.69168446772</v>
      </c>
      <c r="AE523" s="64">
        <f t="shared" si="221"/>
        <v>0</v>
      </c>
      <c r="AF523" s="64">
        <f t="shared" ref="AF523:AF534" si="222">SUM(H523:AE523)</f>
        <v>20832253.740000002</v>
      </c>
      <c r="AG523" s="59" t="str">
        <f t="shared" ref="AG523:AG534" si="223">IF(ABS(AF523-F523)&lt;1,"ok","err")</f>
        <v>ok</v>
      </c>
    </row>
    <row r="524" spans="1:33" x14ac:dyDescent="0.25">
      <c r="A524" s="61">
        <v>921</v>
      </c>
      <c r="B524" s="61" t="s">
        <v>1072</v>
      </c>
      <c r="C524" s="61" t="s">
        <v>88</v>
      </c>
      <c r="D524" s="61" t="s">
        <v>671</v>
      </c>
      <c r="F524" s="77">
        <v>0</v>
      </c>
      <c r="H524" s="64">
        <f t="shared" si="220"/>
        <v>0</v>
      </c>
      <c r="I524" s="64">
        <f t="shared" si="220"/>
        <v>0</v>
      </c>
      <c r="J524" s="64">
        <f t="shared" si="220"/>
        <v>0</v>
      </c>
      <c r="K524" s="64">
        <f t="shared" si="220"/>
        <v>0</v>
      </c>
      <c r="L524" s="64">
        <f t="shared" si="220"/>
        <v>0</v>
      </c>
      <c r="M524" s="64">
        <f t="shared" si="220"/>
        <v>0</v>
      </c>
      <c r="N524" s="64">
        <f t="shared" si="220"/>
        <v>0</v>
      </c>
      <c r="O524" s="64">
        <f t="shared" si="220"/>
        <v>0</v>
      </c>
      <c r="P524" s="64">
        <f t="shared" si="220"/>
        <v>0</v>
      </c>
      <c r="Q524" s="64">
        <f t="shared" si="220"/>
        <v>0</v>
      </c>
      <c r="R524" s="64">
        <f t="shared" si="221"/>
        <v>0</v>
      </c>
      <c r="S524" s="64">
        <f t="shared" si="221"/>
        <v>0</v>
      </c>
      <c r="T524" s="64">
        <f t="shared" si="221"/>
        <v>0</v>
      </c>
      <c r="U524" s="64">
        <f t="shared" si="221"/>
        <v>0</v>
      </c>
      <c r="V524" s="64">
        <f t="shared" si="221"/>
        <v>0</v>
      </c>
      <c r="W524" s="64">
        <f t="shared" si="221"/>
        <v>0</v>
      </c>
      <c r="X524" s="64">
        <f t="shared" si="221"/>
        <v>0</v>
      </c>
      <c r="Y524" s="64">
        <f t="shared" si="221"/>
        <v>0</v>
      </c>
      <c r="Z524" s="64">
        <f t="shared" si="221"/>
        <v>0</v>
      </c>
      <c r="AA524" s="64">
        <f t="shared" si="221"/>
        <v>0</v>
      </c>
      <c r="AB524" s="64">
        <f t="shared" si="221"/>
        <v>0</v>
      </c>
      <c r="AC524" s="64">
        <f t="shared" si="221"/>
        <v>0</v>
      </c>
      <c r="AD524" s="64">
        <f t="shared" si="221"/>
        <v>0</v>
      </c>
      <c r="AE524" s="64">
        <f t="shared" si="221"/>
        <v>0</v>
      </c>
      <c r="AF524" s="64">
        <f>SUM(H524:AE524)</f>
        <v>0</v>
      </c>
      <c r="AG524" s="59" t="str">
        <f t="shared" si="223"/>
        <v>ok</v>
      </c>
    </row>
    <row r="525" spans="1:33" x14ac:dyDescent="0.25">
      <c r="A525" s="61">
        <v>922</v>
      </c>
      <c r="B525" s="61" t="s">
        <v>621</v>
      </c>
      <c r="C525" s="45" t="s">
        <v>622</v>
      </c>
      <c r="D525" s="45" t="s">
        <v>671</v>
      </c>
      <c r="F525" s="80">
        <v>-2334087.5</v>
      </c>
      <c r="H525" s="64">
        <f t="shared" si="220"/>
        <v>-321426.48423991841</v>
      </c>
      <c r="I525" s="64">
        <f t="shared" si="220"/>
        <v>-313218.56480233202</v>
      </c>
      <c r="J525" s="64">
        <f t="shared" si="220"/>
        <v>-283980.99195960787</v>
      </c>
      <c r="K525" s="64">
        <f t="shared" si="220"/>
        <v>-540126.3597780877</v>
      </c>
      <c r="L525" s="64">
        <f t="shared" si="220"/>
        <v>0</v>
      </c>
      <c r="M525" s="64">
        <f t="shared" si="220"/>
        <v>0</v>
      </c>
      <c r="N525" s="64">
        <f t="shared" si="220"/>
        <v>-49216.315861534546</v>
      </c>
      <c r="O525" s="64">
        <f t="shared" si="220"/>
        <v>-47959.532194309533</v>
      </c>
      <c r="P525" s="64">
        <f t="shared" si="220"/>
        <v>-43482.721195194528</v>
      </c>
      <c r="Q525" s="64">
        <f t="shared" si="220"/>
        <v>0</v>
      </c>
      <c r="R525" s="64">
        <f t="shared" si="221"/>
        <v>-76466.831623270089</v>
      </c>
      <c r="S525" s="64">
        <f t="shared" si="221"/>
        <v>0</v>
      </c>
      <c r="T525" s="64">
        <f t="shared" si="221"/>
        <v>-83125.043851959912</v>
      </c>
      <c r="U525" s="64">
        <f t="shared" si="221"/>
        <v>-121878.89462240419</v>
      </c>
      <c r="V525" s="64">
        <f t="shared" si="221"/>
        <v>-27708.3479506533</v>
      </c>
      <c r="W525" s="64">
        <f t="shared" si="221"/>
        <v>-40626.298207468055</v>
      </c>
      <c r="X525" s="64">
        <f t="shared" si="221"/>
        <v>-7687.9257175754638</v>
      </c>
      <c r="Y525" s="64">
        <f t="shared" si="221"/>
        <v>-5834.4448402623038</v>
      </c>
      <c r="Z525" s="64">
        <f t="shared" si="221"/>
        <v>-1690.915412898039</v>
      </c>
      <c r="AA525" s="64">
        <f t="shared" si="221"/>
        <v>-135661.6982062232</v>
      </c>
      <c r="AB525" s="64">
        <f t="shared" si="221"/>
        <v>-6554.8538696225651</v>
      </c>
      <c r="AC525" s="64">
        <f t="shared" si="221"/>
        <v>-187246.91278520128</v>
      </c>
      <c r="AD525" s="64">
        <f t="shared" si="221"/>
        <v>-40194.362881477166</v>
      </c>
      <c r="AE525" s="64">
        <f t="shared" si="221"/>
        <v>0</v>
      </c>
      <c r="AF525" s="64">
        <f t="shared" si="222"/>
        <v>-2334087.5000000009</v>
      </c>
      <c r="AG525" s="59" t="str">
        <f t="shared" si="223"/>
        <v>ok</v>
      </c>
    </row>
    <row r="526" spans="1:33" x14ac:dyDescent="0.25">
      <c r="A526" s="61">
        <v>923</v>
      </c>
      <c r="B526" s="61" t="s">
        <v>1074</v>
      </c>
      <c r="C526" s="45" t="s">
        <v>89</v>
      </c>
      <c r="D526" s="45" t="s">
        <v>671</v>
      </c>
      <c r="F526" s="80">
        <v>0</v>
      </c>
      <c r="H526" s="64">
        <f t="shared" si="220"/>
        <v>0</v>
      </c>
      <c r="I526" s="64">
        <f t="shared" si="220"/>
        <v>0</v>
      </c>
      <c r="J526" s="64">
        <f t="shared" si="220"/>
        <v>0</v>
      </c>
      <c r="K526" s="64">
        <f t="shared" si="220"/>
        <v>0</v>
      </c>
      <c r="L526" s="64">
        <f t="shared" si="220"/>
        <v>0</v>
      </c>
      <c r="M526" s="64">
        <f t="shared" si="220"/>
        <v>0</v>
      </c>
      <c r="N526" s="64">
        <f t="shared" si="220"/>
        <v>0</v>
      </c>
      <c r="O526" s="64">
        <f t="shared" si="220"/>
        <v>0</v>
      </c>
      <c r="P526" s="64">
        <f t="shared" si="220"/>
        <v>0</v>
      </c>
      <c r="Q526" s="64">
        <f t="shared" si="220"/>
        <v>0</v>
      </c>
      <c r="R526" s="64">
        <f t="shared" si="221"/>
        <v>0</v>
      </c>
      <c r="S526" s="64">
        <f t="shared" si="221"/>
        <v>0</v>
      </c>
      <c r="T526" s="64">
        <f t="shared" si="221"/>
        <v>0</v>
      </c>
      <c r="U526" s="64">
        <f t="shared" si="221"/>
        <v>0</v>
      </c>
      <c r="V526" s="64">
        <f t="shared" si="221"/>
        <v>0</v>
      </c>
      <c r="W526" s="64">
        <f t="shared" si="221"/>
        <v>0</v>
      </c>
      <c r="X526" s="64">
        <f t="shared" si="221"/>
        <v>0</v>
      </c>
      <c r="Y526" s="64">
        <f t="shared" si="221"/>
        <v>0</v>
      </c>
      <c r="Z526" s="64">
        <f t="shared" si="221"/>
        <v>0</v>
      </c>
      <c r="AA526" s="64">
        <f t="shared" si="221"/>
        <v>0</v>
      </c>
      <c r="AB526" s="64">
        <f t="shared" si="221"/>
        <v>0</v>
      </c>
      <c r="AC526" s="64">
        <f t="shared" si="221"/>
        <v>0</v>
      </c>
      <c r="AD526" s="64">
        <f t="shared" si="221"/>
        <v>0</v>
      </c>
      <c r="AE526" s="64">
        <f t="shared" si="221"/>
        <v>0</v>
      </c>
      <c r="AF526" s="64">
        <f t="shared" si="222"/>
        <v>0</v>
      </c>
      <c r="AG526" s="59" t="str">
        <f t="shared" si="223"/>
        <v>ok</v>
      </c>
    </row>
    <row r="527" spans="1:33" x14ac:dyDescent="0.25">
      <c r="A527" s="61">
        <v>924</v>
      </c>
      <c r="B527" s="61" t="s">
        <v>1076</v>
      </c>
      <c r="C527" s="45" t="s">
        <v>90</v>
      </c>
      <c r="D527" s="45" t="s">
        <v>990</v>
      </c>
      <c r="F527" s="80">
        <v>0</v>
      </c>
      <c r="H527" s="64">
        <f t="shared" si="220"/>
        <v>0</v>
      </c>
      <c r="I527" s="64">
        <f t="shared" si="220"/>
        <v>0</v>
      </c>
      <c r="J527" s="64">
        <f t="shared" si="220"/>
        <v>0</v>
      </c>
      <c r="K527" s="64">
        <f t="shared" si="220"/>
        <v>0</v>
      </c>
      <c r="L527" s="64">
        <f t="shared" si="220"/>
        <v>0</v>
      </c>
      <c r="M527" s="64">
        <f t="shared" si="220"/>
        <v>0</v>
      </c>
      <c r="N527" s="64">
        <f t="shared" si="220"/>
        <v>0</v>
      </c>
      <c r="O527" s="64">
        <f t="shared" si="220"/>
        <v>0</v>
      </c>
      <c r="P527" s="64">
        <f t="shared" si="220"/>
        <v>0</v>
      </c>
      <c r="Q527" s="64">
        <f t="shared" si="220"/>
        <v>0</v>
      </c>
      <c r="R527" s="64">
        <f t="shared" si="221"/>
        <v>0</v>
      </c>
      <c r="S527" s="64">
        <f t="shared" si="221"/>
        <v>0</v>
      </c>
      <c r="T527" s="64">
        <f t="shared" si="221"/>
        <v>0</v>
      </c>
      <c r="U527" s="64">
        <f t="shared" si="221"/>
        <v>0</v>
      </c>
      <c r="V527" s="64">
        <f t="shared" si="221"/>
        <v>0</v>
      </c>
      <c r="W527" s="64">
        <f t="shared" si="221"/>
        <v>0</v>
      </c>
      <c r="X527" s="64">
        <f t="shared" si="221"/>
        <v>0</v>
      </c>
      <c r="Y527" s="64">
        <f t="shared" si="221"/>
        <v>0</v>
      </c>
      <c r="Z527" s="64">
        <f t="shared" si="221"/>
        <v>0</v>
      </c>
      <c r="AA527" s="64">
        <f t="shared" si="221"/>
        <v>0</v>
      </c>
      <c r="AB527" s="64">
        <f t="shared" si="221"/>
        <v>0</v>
      </c>
      <c r="AC527" s="64">
        <f t="shared" si="221"/>
        <v>0</v>
      </c>
      <c r="AD527" s="64">
        <f t="shared" si="221"/>
        <v>0</v>
      </c>
      <c r="AE527" s="64">
        <f t="shared" si="221"/>
        <v>0</v>
      </c>
      <c r="AF527" s="64">
        <f t="shared" si="222"/>
        <v>0</v>
      </c>
      <c r="AG527" s="59" t="str">
        <f t="shared" si="223"/>
        <v>ok</v>
      </c>
    </row>
    <row r="528" spans="1:33" x14ac:dyDescent="0.25">
      <c r="A528" s="61">
        <v>925</v>
      </c>
      <c r="B528" s="61" t="s">
        <v>1078</v>
      </c>
      <c r="C528" s="45" t="s">
        <v>91</v>
      </c>
      <c r="D528" s="45" t="s">
        <v>671</v>
      </c>
      <c r="F528" s="80">
        <v>34505</v>
      </c>
      <c r="H528" s="64">
        <f t="shared" si="220"/>
        <v>4751.6731222365852</v>
      </c>
      <c r="I528" s="64">
        <f t="shared" si="220"/>
        <v>4630.3348004324889</v>
      </c>
      <c r="J528" s="64">
        <f t="shared" si="220"/>
        <v>4198.1134501454071</v>
      </c>
      <c r="K528" s="64">
        <f t="shared" si="220"/>
        <v>7984.7306684701907</v>
      </c>
      <c r="L528" s="64">
        <f t="shared" si="220"/>
        <v>0</v>
      </c>
      <c r="M528" s="64">
        <f t="shared" si="220"/>
        <v>0</v>
      </c>
      <c r="N528" s="64">
        <f t="shared" si="220"/>
        <v>727.56868746448004</v>
      </c>
      <c r="O528" s="64">
        <f t="shared" si="220"/>
        <v>708.98955517505249</v>
      </c>
      <c r="P528" s="64">
        <f t="shared" si="220"/>
        <v>642.80850432564637</v>
      </c>
      <c r="Q528" s="64">
        <f t="shared" si="220"/>
        <v>0</v>
      </c>
      <c r="R528" s="64">
        <f t="shared" si="221"/>
        <v>1130.4152158652726</v>
      </c>
      <c r="S528" s="64">
        <f t="shared" si="221"/>
        <v>0</v>
      </c>
      <c r="T528" s="64">
        <f t="shared" si="221"/>
        <v>1228.8440935105803</v>
      </c>
      <c r="U528" s="64">
        <f t="shared" si="221"/>
        <v>1801.7453325747456</v>
      </c>
      <c r="V528" s="64">
        <f t="shared" si="221"/>
        <v>409.6146978368601</v>
      </c>
      <c r="W528" s="64">
        <f t="shared" si="221"/>
        <v>600.58177752491508</v>
      </c>
      <c r="X528" s="64">
        <f t="shared" si="221"/>
        <v>113.65121354059836</v>
      </c>
      <c r="Y528" s="64">
        <f t="shared" si="221"/>
        <v>86.251059231177408</v>
      </c>
      <c r="Z528" s="64">
        <f t="shared" si="221"/>
        <v>24.996936199712664</v>
      </c>
      <c r="AA528" s="64">
        <f t="shared" si="221"/>
        <v>2005.4976073543651</v>
      </c>
      <c r="AB528" s="64">
        <f t="shared" si="221"/>
        <v>96.900922853717617</v>
      </c>
      <c r="AC528" s="64">
        <f t="shared" si="221"/>
        <v>2768.0859117978093</v>
      </c>
      <c r="AD528" s="64">
        <f t="shared" si="221"/>
        <v>594.19644346039718</v>
      </c>
      <c r="AE528" s="64">
        <f t="shared" si="221"/>
        <v>0</v>
      </c>
      <c r="AF528" s="64">
        <f t="shared" si="222"/>
        <v>34505</v>
      </c>
      <c r="AG528" s="59" t="str">
        <f t="shared" si="223"/>
        <v>ok</v>
      </c>
    </row>
    <row r="529" spans="1:33" x14ac:dyDescent="0.25">
      <c r="A529" s="61">
        <v>926</v>
      </c>
      <c r="B529" s="61" t="s">
        <v>1080</v>
      </c>
      <c r="C529" s="45" t="s">
        <v>92</v>
      </c>
      <c r="D529" s="45" t="s">
        <v>671</v>
      </c>
      <c r="F529" s="80">
        <v>0</v>
      </c>
      <c r="H529" s="64">
        <f t="shared" si="220"/>
        <v>0</v>
      </c>
      <c r="I529" s="64">
        <f t="shared" si="220"/>
        <v>0</v>
      </c>
      <c r="J529" s="64">
        <f t="shared" si="220"/>
        <v>0</v>
      </c>
      <c r="K529" s="64">
        <f t="shared" si="220"/>
        <v>0</v>
      </c>
      <c r="L529" s="64">
        <f t="shared" si="220"/>
        <v>0</v>
      </c>
      <c r="M529" s="64">
        <f t="shared" si="220"/>
        <v>0</v>
      </c>
      <c r="N529" s="64">
        <f t="shared" si="220"/>
        <v>0</v>
      </c>
      <c r="O529" s="64">
        <f t="shared" si="220"/>
        <v>0</v>
      </c>
      <c r="P529" s="64">
        <f t="shared" si="220"/>
        <v>0</v>
      </c>
      <c r="Q529" s="64">
        <f t="shared" si="220"/>
        <v>0</v>
      </c>
      <c r="R529" s="64">
        <f t="shared" si="221"/>
        <v>0</v>
      </c>
      <c r="S529" s="64">
        <f t="shared" si="221"/>
        <v>0</v>
      </c>
      <c r="T529" s="64">
        <f t="shared" si="221"/>
        <v>0</v>
      </c>
      <c r="U529" s="64">
        <f t="shared" si="221"/>
        <v>0</v>
      </c>
      <c r="V529" s="64">
        <f t="shared" si="221"/>
        <v>0</v>
      </c>
      <c r="W529" s="64">
        <f t="shared" si="221"/>
        <v>0</v>
      </c>
      <c r="X529" s="64">
        <f t="shared" si="221"/>
        <v>0</v>
      </c>
      <c r="Y529" s="64">
        <f t="shared" si="221"/>
        <v>0</v>
      </c>
      <c r="Z529" s="64">
        <f t="shared" si="221"/>
        <v>0</v>
      </c>
      <c r="AA529" s="64">
        <f t="shared" si="221"/>
        <v>0</v>
      </c>
      <c r="AB529" s="64">
        <f t="shared" si="221"/>
        <v>0</v>
      </c>
      <c r="AC529" s="64">
        <f t="shared" si="221"/>
        <v>0</v>
      </c>
      <c r="AD529" s="64">
        <f t="shared" si="221"/>
        <v>0</v>
      </c>
      <c r="AE529" s="64">
        <f t="shared" si="221"/>
        <v>0</v>
      </c>
      <c r="AF529" s="64">
        <f t="shared" si="222"/>
        <v>0</v>
      </c>
      <c r="AG529" s="59" t="str">
        <f t="shared" si="223"/>
        <v>ok</v>
      </c>
    </row>
    <row r="530" spans="1:33" x14ac:dyDescent="0.25">
      <c r="A530" s="61">
        <v>928</v>
      </c>
      <c r="B530" s="61" t="s">
        <v>908</v>
      </c>
      <c r="C530" s="45" t="s">
        <v>93</v>
      </c>
      <c r="D530" s="45" t="s">
        <v>990</v>
      </c>
      <c r="F530" s="80">
        <v>0</v>
      </c>
      <c r="H530" s="64">
        <f t="shared" si="220"/>
        <v>0</v>
      </c>
      <c r="I530" s="64">
        <f t="shared" si="220"/>
        <v>0</v>
      </c>
      <c r="J530" s="64">
        <f t="shared" si="220"/>
        <v>0</v>
      </c>
      <c r="K530" s="64">
        <f t="shared" si="220"/>
        <v>0</v>
      </c>
      <c r="L530" s="64">
        <f t="shared" si="220"/>
        <v>0</v>
      </c>
      <c r="M530" s="64">
        <f t="shared" si="220"/>
        <v>0</v>
      </c>
      <c r="N530" s="64">
        <f t="shared" si="220"/>
        <v>0</v>
      </c>
      <c r="O530" s="64">
        <f t="shared" si="220"/>
        <v>0</v>
      </c>
      <c r="P530" s="64">
        <f t="shared" si="220"/>
        <v>0</v>
      </c>
      <c r="Q530" s="64">
        <f t="shared" si="220"/>
        <v>0</v>
      </c>
      <c r="R530" s="64">
        <f t="shared" si="221"/>
        <v>0</v>
      </c>
      <c r="S530" s="64">
        <f t="shared" si="221"/>
        <v>0</v>
      </c>
      <c r="T530" s="64">
        <f t="shared" si="221"/>
        <v>0</v>
      </c>
      <c r="U530" s="64">
        <f t="shared" si="221"/>
        <v>0</v>
      </c>
      <c r="V530" s="64">
        <f t="shared" si="221"/>
        <v>0</v>
      </c>
      <c r="W530" s="64">
        <f t="shared" si="221"/>
        <v>0</v>
      </c>
      <c r="X530" s="64">
        <f t="shared" si="221"/>
        <v>0</v>
      </c>
      <c r="Y530" s="64">
        <f t="shared" si="221"/>
        <v>0</v>
      </c>
      <c r="Z530" s="64">
        <f t="shared" si="221"/>
        <v>0</v>
      </c>
      <c r="AA530" s="64">
        <f t="shared" si="221"/>
        <v>0</v>
      </c>
      <c r="AB530" s="64">
        <f t="shared" si="221"/>
        <v>0</v>
      </c>
      <c r="AC530" s="64">
        <f t="shared" si="221"/>
        <v>0</v>
      </c>
      <c r="AD530" s="64">
        <f t="shared" si="221"/>
        <v>0</v>
      </c>
      <c r="AE530" s="64">
        <f t="shared" si="221"/>
        <v>0</v>
      </c>
      <c r="AF530" s="64">
        <f t="shared" si="222"/>
        <v>0</v>
      </c>
      <c r="AG530" s="59" t="str">
        <f t="shared" si="223"/>
        <v>ok</v>
      </c>
    </row>
    <row r="531" spans="1:33" x14ac:dyDescent="0.25">
      <c r="A531" s="61">
        <v>929</v>
      </c>
      <c r="B531" s="61" t="s">
        <v>1181</v>
      </c>
      <c r="C531" s="45" t="s">
        <v>94</v>
      </c>
      <c r="D531" s="45" t="s">
        <v>671</v>
      </c>
      <c r="F531" s="80">
        <v>0</v>
      </c>
      <c r="H531" s="64">
        <f t="shared" si="220"/>
        <v>0</v>
      </c>
      <c r="I531" s="64">
        <f t="shared" si="220"/>
        <v>0</v>
      </c>
      <c r="J531" s="64">
        <f t="shared" si="220"/>
        <v>0</v>
      </c>
      <c r="K531" s="64">
        <f t="shared" si="220"/>
        <v>0</v>
      </c>
      <c r="L531" s="64">
        <f t="shared" si="220"/>
        <v>0</v>
      </c>
      <c r="M531" s="64">
        <f t="shared" si="220"/>
        <v>0</v>
      </c>
      <c r="N531" s="64">
        <f t="shared" si="220"/>
        <v>0</v>
      </c>
      <c r="O531" s="64">
        <f t="shared" si="220"/>
        <v>0</v>
      </c>
      <c r="P531" s="64">
        <f t="shared" si="220"/>
        <v>0</v>
      </c>
      <c r="Q531" s="64">
        <f t="shared" si="220"/>
        <v>0</v>
      </c>
      <c r="R531" s="64">
        <f t="shared" si="221"/>
        <v>0</v>
      </c>
      <c r="S531" s="64">
        <f t="shared" si="221"/>
        <v>0</v>
      </c>
      <c r="T531" s="64">
        <f t="shared" si="221"/>
        <v>0</v>
      </c>
      <c r="U531" s="64">
        <f t="shared" si="221"/>
        <v>0</v>
      </c>
      <c r="V531" s="64">
        <f t="shared" si="221"/>
        <v>0</v>
      </c>
      <c r="W531" s="64">
        <f t="shared" si="221"/>
        <v>0</v>
      </c>
      <c r="X531" s="64">
        <f t="shared" si="221"/>
        <v>0</v>
      </c>
      <c r="Y531" s="64">
        <f t="shared" si="221"/>
        <v>0</v>
      </c>
      <c r="Z531" s="64">
        <f t="shared" si="221"/>
        <v>0</v>
      </c>
      <c r="AA531" s="64">
        <f t="shared" si="221"/>
        <v>0</v>
      </c>
      <c r="AB531" s="64">
        <f t="shared" si="221"/>
        <v>0</v>
      </c>
      <c r="AC531" s="64">
        <f t="shared" si="221"/>
        <v>0</v>
      </c>
      <c r="AD531" s="64">
        <f t="shared" si="221"/>
        <v>0</v>
      </c>
      <c r="AE531" s="64">
        <f t="shared" si="221"/>
        <v>0</v>
      </c>
      <c r="AF531" s="64">
        <f t="shared" si="222"/>
        <v>0</v>
      </c>
      <c r="AG531" s="59" t="str">
        <f t="shared" si="223"/>
        <v>ok</v>
      </c>
    </row>
    <row r="532" spans="1:33" x14ac:dyDescent="0.25">
      <c r="A532" s="61">
        <v>930</v>
      </c>
      <c r="B532" s="61" t="s">
        <v>1083</v>
      </c>
      <c r="C532" s="45" t="s">
        <v>95</v>
      </c>
      <c r="D532" s="45" t="s">
        <v>671</v>
      </c>
      <c r="F532" s="80">
        <v>0</v>
      </c>
      <c r="H532" s="64">
        <f t="shared" si="220"/>
        <v>0</v>
      </c>
      <c r="I532" s="64">
        <f t="shared" si="220"/>
        <v>0</v>
      </c>
      <c r="J532" s="64">
        <f t="shared" si="220"/>
        <v>0</v>
      </c>
      <c r="K532" s="64">
        <f t="shared" si="220"/>
        <v>0</v>
      </c>
      <c r="L532" s="64">
        <f t="shared" si="220"/>
        <v>0</v>
      </c>
      <c r="M532" s="64">
        <f t="shared" si="220"/>
        <v>0</v>
      </c>
      <c r="N532" s="64">
        <f t="shared" si="220"/>
        <v>0</v>
      </c>
      <c r="O532" s="64">
        <f t="shared" si="220"/>
        <v>0</v>
      </c>
      <c r="P532" s="64">
        <f t="shared" si="220"/>
        <v>0</v>
      </c>
      <c r="Q532" s="64">
        <f t="shared" si="220"/>
        <v>0</v>
      </c>
      <c r="R532" s="64">
        <f t="shared" si="221"/>
        <v>0</v>
      </c>
      <c r="S532" s="64">
        <f t="shared" si="221"/>
        <v>0</v>
      </c>
      <c r="T532" s="64">
        <f t="shared" si="221"/>
        <v>0</v>
      </c>
      <c r="U532" s="64">
        <f t="shared" si="221"/>
        <v>0</v>
      </c>
      <c r="V532" s="64">
        <f t="shared" si="221"/>
        <v>0</v>
      </c>
      <c r="W532" s="64">
        <f t="shared" si="221"/>
        <v>0</v>
      </c>
      <c r="X532" s="64">
        <f t="shared" si="221"/>
        <v>0</v>
      </c>
      <c r="Y532" s="64">
        <f t="shared" si="221"/>
        <v>0</v>
      </c>
      <c r="Z532" s="64">
        <f t="shared" si="221"/>
        <v>0</v>
      </c>
      <c r="AA532" s="64">
        <f t="shared" si="221"/>
        <v>0</v>
      </c>
      <c r="AB532" s="64">
        <f t="shared" si="221"/>
        <v>0</v>
      </c>
      <c r="AC532" s="64">
        <f t="shared" si="221"/>
        <v>0</v>
      </c>
      <c r="AD532" s="64">
        <f t="shared" si="221"/>
        <v>0</v>
      </c>
      <c r="AE532" s="64">
        <f t="shared" si="221"/>
        <v>0</v>
      </c>
      <c r="AF532" s="64">
        <f t="shared" si="222"/>
        <v>0</v>
      </c>
      <c r="AG532" s="59" t="str">
        <f t="shared" si="223"/>
        <v>ok</v>
      </c>
    </row>
    <row r="533" spans="1:33" x14ac:dyDescent="0.25">
      <c r="A533" s="61">
        <v>931</v>
      </c>
      <c r="B533" s="61" t="s">
        <v>1085</v>
      </c>
      <c r="C533" s="45" t="s">
        <v>96</v>
      </c>
      <c r="D533" s="45" t="s">
        <v>980</v>
      </c>
      <c r="F533" s="80">
        <v>0</v>
      </c>
      <c r="H533" s="64">
        <f t="shared" si="220"/>
        <v>0</v>
      </c>
      <c r="I533" s="64">
        <f t="shared" si="220"/>
        <v>0</v>
      </c>
      <c r="J533" s="64">
        <f t="shared" si="220"/>
        <v>0</v>
      </c>
      <c r="K533" s="64">
        <f t="shared" si="220"/>
        <v>0</v>
      </c>
      <c r="L533" s="64">
        <f t="shared" si="220"/>
        <v>0</v>
      </c>
      <c r="M533" s="64">
        <f t="shared" si="220"/>
        <v>0</v>
      </c>
      <c r="N533" s="64">
        <f t="shared" si="220"/>
        <v>0</v>
      </c>
      <c r="O533" s="64">
        <f t="shared" si="220"/>
        <v>0</v>
      </c>
      <c r="P533" s="64">
        <f t="shared" si="220"/>
        <v>0</v>
      </c>
      <c r="Q533" s="64">
        <f t="shared" si="220"/>
        <v>0</v>
      </c>
      <c r="R533" s="64">
        <f t="shared" si="221"/>
        <v>0</v>
      </c>
      <c r="S533" s="64">
        <f t="shared" si="221"/>
        <v>0</v>
      </c>
      <c r="T533" s="64">
        <f t="shared" si="221"/>
        <v>0</v>
      </c>
      <c r="U533" s="64">
        <f t="shared" si="221"/>
        <v>0</v>
      </c>
      <c r="V533" s="64">
        <f t="shared" si="221"/>
        <v>0</v>
      </c>
      <c r="W533" s="64">
        <f t="shared" si="221"/>
        <v>0</v>
      </c>
      <c r="X533" s="64">
        <f t="shared" si="221"/>
        <v>0</v>
      </c>
      <c r="Y533" s="64">
        <f t="shared" si="221"/>
        <v>0</v>
      </c>
      <c r="Z533" s="64">
        <f t="shared" si="221"/>
        <v>0</v>
      </c>
      <c r="AA533" s="64">
        <f t="shared" si="221"/>
        <v>0</v>
      </c>
      <c r="AB533" s="64">
        <f t="shared" si="221"/>
        <v>0</v>
      </c>
      <c r="AC533" s="64">
        <f t="shared" si="221"/>
        <v>0</v>
      </c>
      <c r="AD533" s="64">
        <f t="shared" si="221"/>
        <v>0</v>
      </c>
      <c r="AE533" s="64">
        <f t="shared" si="221"/>
        <v>0</v>
      </c>
      <c r="AF533" s="64">
        <f t="shared" si="222"/>
        <v>0</v>
      </c>
      <c r="AG533" s="59" t="str">
        <f t="shared" si="223"/>
        <v>ok</v>
      </c>
    </row>
    <row r="534" spans="1:33" x14ac:dyDescent="0.25">
      <c r="A534" s="61">
        <v>935</v>
      </c>
      <c r="B534" s="61" t="s">
        <v>1087</v>
      </c>
      <c r="C534" s="45" t="s">
        <v>97</v>
      </c>
      <c r="D534" s="45" t="s">
        <v>980</v>
      </c>
      <c r="F534" s="80">
        <v>633633.69999999995</v>
      </c>
      <c r="H534" s="64">
        <f t="shared" si="220"/>
        <v>129586.05080174979</v>
      </c>
      <c r="I534" s="64">
        <f t="shared" si="220"/>
        <v>126276.95240019482</v>
      </c>
      <c r="J534" s="64">
        <f t="shared" si="220"/>
        <v>114489.55532656384</v>
      </c>
      <c r="K534" s="64">
        <f t="shared" si="220"/>
        <v>0</v>
      </c>
      <c r="L534" s="64">
        <f t="shared" si="220"/>
        <v>0</v>
      </c>
      <c r="M534" s="64">
        <f t="shared" si="220"/>
        <v>0</v>
      </c>
      <c r="N534" s="64">
        <f t="shared" si="220"/>
        <v>23202.611089021651</v>
      </c>
      <c r="O534" s="64">
        <f t="shared" si="220"/>
        <v>22610.11118033899</v>
      </c>
      <c r="P534" s="64">
        <f t="shared" si="220"/>
        <v>20499.556931951953</v>
      </c>
      <c r="Q534" s="64">
        <f t="shared" si="220"/>
        <v>0</v>
      </c>
      <c r="R534" s="64">
        <f t="shared" si="221"/>
        <v>23477.328067720115</v>
      </c>
      <c r="S534" s="64">
        <f t="shared" si="221"/>
        <v>0</v>
      </c>
      <c r="T534" s="64">
        <f t="shared" si="221"/>
        <v>34454.203392232179</v>
      </c>
      <c r="U534" s="64">
        <f t="shared" si="221"/>
        <v>55985.4932144509</v>
      </c>
      <c r="V534" s="64">
        <f t="shared" si="221"/>
        <v>11484.734464077392</v>
      </c>
      <c r="W534" s="64">
        <f t="shared" si="221"/>
        <v>18661.831071483633</v>
      </c>
      <c r="X534" s="64">
        <f t="shared" si="221"/>
        <v>14236.400407101253</v>
      </c>
      <c r="Y534" s="64">
        <f t="shared" si="221"/>
        <v>10804.148732763137</v>
      </c>
      <c r="Z534" s="64">
        <f t="shared" si="221"/>
        <v>5127.3018561915187</v>
      </c>
      <c r="AA534" s="64">
        <f t="shared" si="221"/>
        <v>6771.4572552791242</v>
      </c>
      <c r="AB534" s="64">
        <f t="shared" si="221"/>
        <v>15965.9638088797</v>
      </c>
      <c r="AC534" s="64">
        <f t="shared" si="221"/>
        <v>0</v>
      </c>
      <c r="AD534" s="64">
        <f t="shared" si="221"/>
        <v>0</v>
      </c>
      <c r="AE534" s="64">
        <f t="shared" si="221"/>
        <v>0</v>
      </c>
      <c r="AF534" s="64">
        <f t="shared" si="222"/>
        <v>633633.70000000019</v>
      </c>
      <c r="AG534" s="59" t="str">
        <f t="shared" si="223"/>
        <v>ok</v>
      </c>
    </row>
    <row r="535" spans="1:33" x14ac:dyDescent="0.25">
      <c r="A535" s="61"/>
      <c r="B535" s="61"/>
      <c r="F535" s="80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64"/>
      <c r="AG535" s="59"/>
    </row>
    <row r="536" spans="1:33" x14ac:dyDescent="0.25">
      <c r="A536" s="61" t="s">
        <v>1088</v>
      </c>
      <c r="B536" s="61"/>
      <c r="C536" s="45" t="s">
        <v>98</v>
      </c>
      <c r="F536" s="77">
        <f t="shared" ref="F536:M536" si="224">SUM(F523:F535)</f>
        <v>19166304.940000001</v>
      </c>
      <c r="G536" s="63">
        <f t="shared" si="224"/>
        <v>0</v>
      </c>
      <c r="H536" s="63">
        <f t="shared" si="224"/>
        <v>2681714.6064996193</v>
      </c>
      <c r="I536" s="63">
        <f t="shared" si="224"/>
        <v>2613234.5697758314</v>
      </c>
      <c r="J536" s="63">
        <f t="shared" si="224"/>
        <v>2369300.6377716293</v>
      </c>
      <c r="K536" s="63">
        <f t="shared" si="224"/>
        <v>4288607.1125548035</v>
      </c>
      <c r="L536" s="63">
        <f t="shared" si="224"/>
        <v>0</v>
      </c>
      <c r="M536" s="63">
        <f t="shared" si="224"/>
        <v>0</v>
      </c>
      <c r="N536" s="63">
        <f>SUM(N523:N535)</f>
        <v>413980.5067359574</v>
      </c>
      <c r="O536" s="63">
        <f>SUM(O523:O535)</f>
        <v>403409.1356305083</v>
      </c>
      <c r="P536" s="63">
        <f>SUM(P523:P535)</f>
        <v>365752.67042110785</v>
      </c>
      <c r="Q536" s="63">
        <f t="shared" ref="Q536:AB536" si="225">SUM(Q523:Q535)</f>
        <v>0</v>
      </c>
      <c r="R536" s="63">
        <f t="shared" si="225"/>
        <v>630624.51138389844</v>
      </c>
      <c r="S536" s="63">
        <f t="shared" si="225"/>
        <v>0</v>
      </c>
      <c r="T536" s="63">
        <f t="shared" si="225"/>
        <v>694467.6388435408</v>
      </c>
      <c r="U536" s="63">
        <f t="shared" si="225"/>
        <v>1023704.7775735938</v>
      </c>
      <c r="V536" s="63">
        <f t="shared" si="225"/>
        <v>231489.21294784694</v>
      </c>
      <c r="W536" s="63">
        <f t="shared" si="225"/>
        <v>341234.92585786455</v>
      </c>
      <c r="X536" s="63">
        <f t="shared" si="225"/>
        <v>75278.584918764667</v>
      </c>
      <c r="Y536" s="63">
        <f t="shared" si="225"/>
        <v>57129.681983978284</v>
      </c>
      <c r="Z536" s="63">
        <f t="shared" si="225"/>
        <v>18553.182180681586</v>
      </c>
      <c r="AA536" s="63">
        <f t="shared" si="225"/>
        <v>1083926.2994435143</v>
      </c>
      <c r="AB536" s="63">
        <f t="shared" si="225"/>
        <v>68011.549842803812</v>
      </c>
      <c r="AC536" s="63">
        <f>SUM(AC523:AC535)</f>
        <v>1486741.8103876088</v>
      </c>
      <c r="AD536" s="63">
        <f>SUM(AD523:AD535)</f>
        <v>319143.52524645097</v>
      </c>
      <c r="AE536" s="63">
        <f>SUM(AE523:AE535)</f>
        <v>0</v>
      </c>
      <c r="AF536" s="64">
        <f>SUM(H536:AE536)</f>
        <v>19166304.940000005</v>
      </c>
      <c r="AG536" s="59" t="str">
        <f>IF(ABS(AF536-F536)&lt;1,"ok","err")</f>
        <v>ok</v>
      </c>
    </row>
    <row r="537" spans="1:33" x14ac:dyDescent="0.25">
      <c r="A537" s="61"/>
      <c r="B537" s="61"/>
      <c r="F537" s="80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64"/>
      <c r="AG537" s="59"/>
    </row>
    <row r="538" spans="1:33" x14ac:dyDescent="0.25">
      <c r="A538" s="61" t="s">
        <v>1090</v>
      </c>
      <c r="B538" s="61"/>
      <c r="C538" s="45" t="s">
        <v>99</v>
      </c>
      <c r="F538" s="77">
        <f>F488+F497+F512+F536</f>
        <v>71658667.980000004</v>
      </c>
      <c r="G538" s="63"/>
      <c r="H538" s="63">
        <f t="shared" ref="H538:M538" si="226">H488+H497+H512+H536</f>
        <v>9910422.0570097808</v>
      </c>
      <c r="I538" s="63">
        <f t="shared" si="226"/>
        <v>9657350.3599815443</v>
      </c>
      <c r="J538" s="63">
        <f t="shared" si="226"/>
        <v>8755879.2584973108</v>
      </c>
      <c r="K538" s="63">
        <f t="shared" si="226"/>
        <v>16435756.251113247</v>
      </c>
      <c r="L538" s="63">
        <f t="shared" si="226"/>
        <v>0</v>
      </c>
      <c r="M538" s="63">
        <f t="shared" si="226"/>
        <v>0</v>
      </c>
      <c r="N538" s="63">
        <f>N488+N497+N512+N536</f>
        <v>1520828.7802882479</v>
      </c>
      <c r="O538" s="63">
        <f>O488+O497+O512+O536</f>
        <v>1481993.0255541997</v>
      </c>
      <c r="P538" s="63">
        <f>P488+P497+P512+P536</f>
        <v>1343655.5069451258</v>
      </c>
      <c r="Q538" s="63">
        <f t="shared" ref="Q538:AB538" si="227">Q488+Q497+Q512+Q536</f>
        <v>0</v>
      </c>
      <c r="R538" s="63">
        <f t="shared" si="227"/>
        <v>2350322.1174450452</v>
      </c>
      <c r="S538" s="63">
        <f t="shared" si="227"/>
        <v>0</v>
      </c>
      <c r="T538" s="63">
        <f t="shared" si="227"/>
        <v>2563904.8298627287</v>
      </c>
      <c r="U538" s="63">
        <f t="shared" si="227"/>
        <v>3764695.0718248351</v>
      </c>
      <c r="V538" s="63">
        <f t="shared" si="227"/>
        <v>854634.94328757632</v>
      </c>
      <c r="W538" s="63">
        <f t="shared" si="227"/>
        <v>1254898.3572749449</v>
      </c>
      <c r="X538" s="63">
        <f t="shared" si="227"/>
        <v>248175.86824320036</v>
      </c>
      <c r="Y538" s="63">
        <f t="shared" si="227"/>
        <v>188343.18477335686</v>
      </c>
      <c r="Z538" s="63">
        <f t="shared" si="227"/>
        <v>56580.95351477911</v>
      </c>
      <c r="AA538" s="63">
        <f t="shared" si="227"/>
        <v>4134884.3774350146</v>
      </c>
      <c r="AB538" s="63">
        <f t="shared" si="227"/>
        <v>215426.66131500719</v>
      </c>
      <c r="AC538" s="63">
        <f>AC488+AC497+AC512+AC536</f>
        <v>5697823.4103876092</v>
      </c>
      <c r="AD538" s="63">
        <f>AD488+AD497+AD512+AD536</f>
        <v>1223092.9652464509</v>
      </c>
      <c r="AE538" s="63">
        <f>AE488+AE497+AE512+AE536</f>
        <v>0</v>
      </c>
      <c r="AF538" s="64">
        <f>SUM(H538:AE538)</f>
        <v>71658667.980000004</v>
      </c>
      <c r="AG538" s="59" t="str">
        <f>IF(ABS(AF538-F538)&lt;1,"ok","err")</f>
        <v>ok</v>
      </c>
    </row>
    <row r="539" spans="1:33" x14ac:dyDescent="0.25">
      <c r="A539" s="61"/>
      <c r="B539" s="61"/>
      <c r="F539" s="80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59"/>
    </row>
    <row r="540" spans="1:33" x14ac:dyDescent="0.25">
      <c r="A540" s="61" t="s">
        <v>19</v>
      </c>
      <c r="B540" s="61"/>
      <c r="C540" s="45" t="s">
        <v>100</v>
      </c>
      <c r="F540" s="81">
        <f t="shared" ref="F540:M540" si="228">F538-F428</f>
        <v>71658667.980000004</v>
      </c>
      <c r="G540" s="65">
        <f t="shared" si="228"/>
        <v>0</v>
      </c>
      <c r="H540" s="65">
        <f t="shared" si="228"/>
        <v>9910422.0570097808</v>
      </c>
      <c r="I540" s="65">
        <f t="shared" si="228"/>
        <v>9657350.3599815443</v>
      </c>
      <c r="J540" s="65">
        <f t="shared" si="228"/>
        <v>8755879.2584973108</v>
      </c>
      <c r="K540" s="65">
        <f t="shared" si="228"/>
        <v>16435756.251113247</v>
      </c>
      <c r="L540" s="65">
        <f t="shared" si="228"/>
        <v>0</v>
      </c>
      <c r="M540" s="65">
        <f t="shared" si="228"/>
        <v>0</v>
      </c>
      <c r="N540" s="65">
        <f>N538-N428</f>
        <v>1520828.7802882479</v>
      </c>
      <c r="O540" s="65">
        <f>O538-O428</f>
        <v>1481993.0255541997</v>
      </c>
      <c r="P540" s="65">
        <f>P538-P428</f>
        <v>1343655.5069451258</v>
      </c>
      <c r="Q540" s="65">
        <f t="shared" ref="Q540:AB540" si="229">Q538-Q428</f>
        <v>0</v>
      </c>
      <c r="R540" s="65">
        <f t="shared" si="229"/>
        <v>2350322.1174450452</v>
      </c>
      <c r="S540" s="65">
        <f t="shared" si="229"/>
        <v>0</v>
      </c>
      <c r="T540" s="65">
        <f t="shared" si="229"/>
        <v>2563904.8298627287</v>
      </c>
      <c r="U540" s="65">
        <f t="shared" si="229"/>
        <v>3764695.0718248351</v>
      </c>
      <c r="V540" s="65">
        <f t="shared" si="229"/>
        <v>854634.94328757632</v>
      </c>
      <c r="W540" s="65">
        <f t="shared" si="229"/>
        <v>1254898.3572749449</v>
      </c>
      <c r="X540" s="65">
        <f t="shared" si="229"/>
        <v>248175.86824320036</v>
      </c>
      <c r="Y540" s="65">
        <f t="shared" si="229"/>
        <v>188343.18477335686</v>
      </c>
      <c r="Z540" s="65">
        <f t="shared" si="229"/>
        <v>56580.95351477911</v>
      </c>
      <c r="AA540" s="65">
        <f t="shared" si="229"/>
        <v>4134884.3774350146</v>
      </c>
      <c r="AB540" s="65">
        <f t="shared" si="229"/>
        <v>215426.66131500719</v>
      </c>
      <c r="AC540" s="65">
        <f>AC538-AC428</f>
        <v>5697823.4103876092</v>
      </c>
      <c r="AD540" s="65">
        <f>AD538-AD428</f>
        <v>1223092.9652464509</v>
      </c>
      <c r="AE540" s="65">
        <f>AE538-AE428</f>
        <v>0</v>
      </c>
      <c r="AF540" s="64">
        <f>SUM(H540:AE540)</f>
        <v>71658667.980000004</v>
      </c>
      <c r="AG540" s="59" t="str">
        <f>IF(ABS(AF540-F540)&lt;1,"ok","err")</f>
        <v>ok</v>
      </c>
    </row>
    <row r="541" spans="1:33" x14ac:dyDescent="0.25">
      <c r="A541" s="61"/>
      <c r="B541" s="61"/>
      <c r="F541" s="81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  <c r="AA541" s="65"/>
      <c r="AB541" s="65"/>
      <c r="AC541" s="65"/>
      <c r="AD541" s="65"/>
      <c r="AE541" s="65"/>
      <c r="AF541" s="64"/>
      <c r="AG541" s="59"/>
    </row>
    <row r="542" spans="1:33" x14ac:dyDescent="0.25">
      <c r="A542" s="61"/>
      <c r="B542" s="61"/>
      <c r="F542" s="81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  <c r="Z542" s="65"/>
      <c r="AA542" s="65"/>
      <c r="AB542" s="65"/>
      <c r="AC542" s="65"/>
      <c r="AD542" s="65"/>
      <c r="AE542" s="65"/>
      <c r="AF542" s="64"/>
      <c r="AG542" s="59"/>
    </row>
    <row r="543" spans="1:33" x14ac:dyDescent="0.25">
      <c r="A543" s="61"/>
      <c r="B543" s="61"/>
      <c r="F543" s="81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  <c r="AA543" s="65"/>
      <c r="AB543" s="65"/>
      <c r="AC543" s="65"/>
      <c r="AD543" s="65"/>
      <c r="AE543" s="65"/>
      <c r="AF543" s="64"/>
      <c r="AG543" s="59"/>
    </row>
    <row r="544" spans="1:33" x14ac:dyDescent="0.25">
      <c r="A544" s="61"/>
      <c r="B544" s="61"/>
      <c r="F544" s="81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  <c r="AA544" s="65"/>
      <c r="AB544" s="65"/>
      <c r="AC544" s="65"/>
      <c r="AD544" s="65"/>
      <c r="AE544" s="65"/>
      <c r="AF544" s="64"/>
      <c r="AG544" s="59"/>
    </row>
    <row r="545" spans="1:33" x14ac:dyDescent="0.25">
      <c r="A545" s="61"/>
      <c r="B545" s="61"/>
      <c r="F545" s="81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  <c r="AA545" s="65"/>
      <c r="AB545" s="65"/>
      <c r="AC545" s="65"/>
      <c r="AD545" s="65"/>
      <c r="AE545" s="65"/>
      <c r="AF545" s="64"/>
      <c r="AG545" s="59"/>
    </row>
    <row r="546" spans="1:33" x14ac:dyDescent="0.25">
      <c r="A546" s="61"/>
      <c r="B546" s="61"/>
      <c r="F546" s="81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  <c r="AA546" s="65"/>
      <c r="AB546" s="65"/>
      <c r="AC546" s="65"/>
      <c r="AD546" s="65"/>
      <c r="AE546" s="65"/>
      <c r="AF546" s="64"/>
      <c r="AG546" s="59"/>
    </row>
    <row r="547" spans="1:33" x14ac:dyDescent="0.25">
      <c r="A547" s="61"/>
      <c r="B547" s="61"/>
      <c r="F547" s="81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  <c r="AA547" s="65"/>
      <c r="AB547" s="65"/>
      <c r="AC547" s="65"/>
      <c r="AD547" s="65"/>
      <c r="AE547" s="65"/>
      <c r="AF547" s="64"/>
      <c r="AG547" s="59"/>
    </row>
    <row r="548" spans="1:33" x14ac:dyDescent="0.25">
      <c r="A548" s="61"/>
      <c r="B548" s="61"/>
      <c r="F548" s="81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  <c r="AA548" s="65"/>
      <c r="AB548" s="65"/>
      <c r="AC548" s="65"/>
      <c r="AD548" s="65"/>
      <c r="AE548" s="65"/>
      <c r="AF548" s="64"/>
      <c r="AG548" s="59"/>
    </row>
    <row r="549" spans="1:33" x14ac:dyDescent="0.25">
      <c r="A549" s="61"/>
      <c r="B549" s="61"/>
      <c r="F549" s="81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  <c r="AA549" s="65"/>
      <c r="AB549" s="65"/>
      <c r="AC549" s="65"/>
      <c r="AD549" s="65"/>
      <c r="AE549" s="65"/>
      <c r="AF549" s="64"/>
      <c r="AG549" s="59"/>
    </row>
    <row r="550" spans="1:33" x14ac:dyDescent="0.25">
      <c r="A550" s="61"/>
      <c r="B550" s="61"/>
      <c r="F550" s="81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  <c r="AA550" s="65"/>
      <c r="AB550" s="65"/>
      <c r="AC550" s="65"/>
      <c r="AD550" s="65"/>
      <c r="AE550" s="65"/>
      <c r="AF550" s="64"/>
      <c r="AG550" s="59"/>
    </row>
    <row r="551" spans="1:33" x14ac:dyDescent="0.25">
      <c r="A551" s="61"/>
      <c r="B551" s="61"/>
      <c r="F551" s="81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  <c r="AA551" s="65"/>
      <c r="AB551" s="65"/>
      <c r="AC551" s="65"/>
      <c r="AD551" s="65"/>
      <c r="AE551" s="65"/>
      <c r="AF551" s="64"/>
      <c r="AG551" s="59"/>
    </row>
    <row r="552" spans="1:33" x14ac:dyDescent="0.25">
      <c r="A552" s="61"/>
      <c r="B552" s="61"/>
      <c r="F552" s="81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  <c r="AA552" s="65"/>
      <c r="AB552" s="65"/>
      <c r="AC552" s="65"/>
      <c r="AD552" s="65"/>
      <c r="AE552" s="65"/>
      <c r="AF552" s="64"/>
      <c r="AG552" s="59"/>
    </row>
    <row r="553" spans="1:33" x14ac:dyDescent="0.25">
      <c r="A553" s="61"/>
      <c r="B553" s="61"/>
      <c r="F553" s="81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  <c r="AA553" s="65"/>
      <c r="AB553" s="65"/>
      <c r="AC553" s="65"/>
      <c r="AD553" s="65"/>
      <c r="AE553" s="65"/>
      <c r="AF553" s="64"/>
      <c r="AG553" s="59"/>
    </row>
    <row r="554" spans="1:33" x14ac:dyDescent="0.25">
      <c r="A554" s="61"/>
      <c r="B554" s="61"/>
      <c r="F554" s="81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  <c r="AA554" s="65"/>
      <c r="AB554" s="65"/>
      <c r="AC554" s="65"/>
      <c r="AD554" s="65"/>
      <c r="AE554" s="65"/>
      <c r="AF554" s="64"/>
      <c r="AG554" s="59"/>
    </row>
    <row r="555" spans="1:33" x14ac:dyDescent="0.25">
      <c r="A555" s="61"/>
      <c r="B555" s="61"/>
      <c r="F555" s="81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  <c r="AA555" s="65"/>
      <c r="AB555" s="65"/>
      <c r="AC555" s="65"/>
      <c r="AD555" s="65"/>
      <c r="AE555" s="65"/>
      <c r="AF555" s="64"/>
      <c r="AG555" s="59"/>
    </row>
    <row r="556" spans="1:33" x14ac:dyDescent="0.25">
      <c r="A556" s="61"/>
      <c r="B556" s="61"/>
      <c r="F556" s="81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  <c r="AA556" s="65"/>
      <c r="AB556" s="65"/>
      <c r="AC556" s="65"/>
      <c r="AD556" s="65"/>
      <c r="AE556" s="65"/>
      <c r="AF556" s="64"/>
      <c r="AG556" s="59"/>
    </row>
    <row r="557" spans="1:33" x14ac:dyDescent="0.25">
      <c r="A557" s="61"/>
      <c r="B557" s="61"/>
      <c r="F557" s="81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  <c r="AA557" s="65"/>
      <c r="AB557" s="65"/>
      <c r="AC557" s="65"/>
      <c r="AD557" s="65"/>
      <c r="AE557" s="65"/>
      <c r="AF557" s="64"/>
      <c r="AG557" s="59"/>
    </row>
    <row r="558" spans="1:33" x14ac:dyDescent="0.25">
      <c r="A558" s="61"/>
      <c r="B558" s="61"/>
      <c r="F558" s="81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  <c r="AA558" s="65"/>
      <c r="AB558" s="65"/>
      <c r="AC558" s="65"/>
      <c r="AD558" s="65"/>
      <c r="AE558" s="65"/>
      <c r="AF558" s="64"/>
      <c r="AG558" s="59"/>
    </row>
    <row r="559" spans="1:33" x14ac:dyDescent="0.25">
      <c r="A559" s="61"/>
      <c r="B559" s="61"/>
      <c r="F559" s="81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  <c r="AA559" s="65"/>
      <c r="AB559" s="65"/>
      <c r="AC559" s="65"/>
      <c r="AD559" s="65"/>
      <c r="AE559" s="65"/>
      <c r="AF559" s="64"/>
      <c r="AG559" s="59"/>
    </row>
    <row r="560" spans="1:33" x14ac:dyDescent="0.25">
      <c r="A560" s="61"/>
      <c r="B560" s="61"/>
      <c r="F560" s="81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  <c r="AA560" s="65"/>
      <c r="AB560" s="65"/>
      <c r="AC560" s="65"/>
      <c r="AD560" s="65"/>
      <c r="AE560" s="65"/>
      <c r="AF560" s="64"/>
      <c r="AG560" s="59"/>
    </row>
    <row r="561" spans="1:33" x14ac:dyDescent="0.25">
      <c r="A561" s="61"/>
      <c r="B561" s="61"/>
      <c r="F561" s="81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  <c r="AA561" s="65"/>
      <c r="AB561" s="65"/>
      <c r="AC561" s="65"/>
      <c r="AD561" s="65"/>
      <c r="AE561" s="65"/>
      <c r="AF561" s="64"/>
      <c r="AG561" s="59"/>
    </row>
    <row r="562" spans="1:33" x14ac:dyDescent="0.25">
      <c r="A562" s="61"/>
      <c r="B562" s="61"/>
      <c r="F562" s="81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  <c r="AA562" s="65"/>
      <c r="AB562" s="65"/>
      <c r="AC562" s="65"/>
      <c r="AD562" s="65"/>
      <c r="AE562" s="65"/>
      <c r="AF562" s="64"/>
      <c r="AG562" s="59"/>
    </row>
    <row r="563" spans="1:33" x14ac:dyDescent="0.25">
      <c r="A563" s="61"/>
      <c r="B563" s="61"/>
      <c r="F563" s="81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  <c r="AA563" s="65"/>
      <c r="AB563" s="65"/>
      <c r="AC563" s="65"/>
      <c r="AD563" s="65"/>
      <c r="AE563" s="65"/>
      <c r="AF563" s="64"/>
      <c r="AG563" s="59"/>
    </row>
    <row r="564" spans="1:33" x14ac:dyDescent="0.25">
      <c r="A564" s="61"/>
      <c r="B564" s="61"/>
      <c r="F564" s="81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  <c r="AA564" s="65"/>
      <c r="AB564" s="65"/>
      <c r="AC564" s="65"/>
      <c r="AD564" s="65"/>
      <c r="AE564" s="65"/>
      <c r="AF564" s="64"/>
      <c r="AG564" s="59"/>
    </row>
    <row r="565" spans="1:33" x14ac:dyDescent="0.25">
      <c r="A565" s="61"/>
      <c r="B565" s="61"/>
      <c r="F565" s="81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  <c r="AA565" s="65"/>
      <c r="AB565" s="65"/>
      <c r="AC565" s="65"/>
      <c r="AD565" s="65"/>
      <c r="AE565" s="65"/>
      <c r="AF565" s="64"/>
      <c r="AG565" s="59"/>
    </row>
    <row r="566" spans="1:33" x14ac:dyDescent="0.25">
      <c r="A566" s="60" t="s">
        <v>1093</v>
      </c>
      <c r="B566" s="61"/>
      <c r="AG566" s="59"/>
    </row>
    <row r="567" spans="1:33" x14ac:dyDescent="0.25">
      <c r="A567" s="61"/>
      <c r="B567" s="61"/>
      <c r="AG567" s="59"/>
    </row>
    <row r="568" spans="1:33" x14ac:dyDescent="0.25">
      <c r="A568" s="66" t="s">
        <v>1094</v>
      </c>
      <c r="B568" s="61"/>
      <c r="AG568" s="59"/>
    </row>
    <row r="569" spans="1:33" x14ac:dyDescent="0.25">
      <c r="A569" s="69" t="s">
        <v>316</v>
      </c>
      <c r="B569" s="61"/>
      <c r="C569" s="45" t="s">
        <v>21</v>
      </c>
      <c r="D569" s="45" t="s">
        <v>202</v>
      </c>
      <c r="F569" s="77">
        <v>42844544.973838963</v>
      </c>
      <c r="H569" s="64">
        <f t="shared" ref="H569:Q576" si="230">IF(VLOOKUP($D569,$C$6:$AE$651,H$2,)=0,0,((VLOOKUP($D569,$C$6:$AE$651,H$2,)/VLOOKUP($D569,$C$6:$AE$651,4,))*$F569))</f>
        <v>14991270.48998197</v>
      </c>
      <c r="I569" s="64">
        <f t="shared" si="230"/>
        <v>14608454.678335926</v>
      </c>
      <c r="J569" s="64">
        <f t="shared" si="230"/>
        <v>13244819.805521065</v>
      </c>
      <c r="K569" s="64">
        <f t="shared" si="230"/>
        <v>0</v>
      </c>
      <c r="L569" s="64">
        <f t="shared" si="230"/>
        <v>0</v>
      </c>
      <c r="M569" s="64">
        <f t="shared" si="230"/>
        <v>0</v>
      </c>
      <c r="N569" s="64">
        <f t="shared" si="230"/>
        <v>0</v>
      </c>
      <c r="O569" s="64">
        <f t="shared" si="230"/>
        <v>0</v>
      </c>
      <c r="P569" s="64">
        <f t="shared" si="230"/>
        <v>0</v>
      </c>
      <c r="Q569" s="64">
        <f t="shared" si="230"/>
        <v>0</v>
      </c>
      <c r="R569" s="64">
        <f t="shared" ref="R569:AE576" si="231">IF(VLOOKUP($D569,$C$6:$AE$651,R$2,)=0,0,((VLOOKUP($D569,$C$6:$AE$651,R$2,)/VLOOKUP($D569,$C$6:$AE$651,4,))*$F569))</f>
        <v>0</v>
      </c>
      <c r="S569" s="64">
        <f t="shared" si="231"/>
        <v>0</v>
      </c>
      <c r="T569" s="64">
        <f t="shared" si="231"/>
        <v>0</v>
      </c>
      <c r="U569" s="64">
        <f t="shared" si="231"/>
        <v>0</v>
      </c>
      <c r="V569" s="64">
        <f t="shared" si="231"/>
        <v>0</v>
      </c>
      <c r="W569" s="64">
        <f t="shared" si="231"/>
        <v>0</v>
      </c>
      <c r="X569" s="64">
        <f t="shared" si="231"/>
        <v>0</v>
      </c>
      <c r="Y569" s="64">
        <f t="shared" si="231"/>
        <v>0</v>
      </c>
      <c r="Z569" s="64">
        <f t="shared" si="231"/>
        <v>0</v>
      </c>
      <c r="AA569" s="64">
        <f t="shared" si="231"/>
        <v>0</v>
      </c>
      <c r="AB569" s="64">
        <f t="shared" si="231"/>
        <v>0</v>
      </c>
      <c r="AC569" s="64">
        <f t="shared" si="231"/>
        <v>0</v>
      </c>
      <c r="AD569" s="64">
        <f t="shared" si="231"/>
        <v>0</v>
      </c>
      <c r="AE569" s="64">
        <f t="shared" si="231"/>
        <v>0</v>
      </c>
      <c r="AF569" s="64">
        <f t="shared" ref="AF569:AF576" si="232">SUM(H569:AE569)</f>
        <v>42844544.973838963</v>
      </c>
      <c r="AG569" s="59" t="str">
        <f t="shared" ref="AG569:AG576" si="233">IF(ABS(AF569-F569)&lt;1,"ok","err")</f>
        <v>ok</v>
      </c>
    </row>
    <row r="570" spans="1:33" x14ac:dyDescent="0.25">
      <c r="A570" s="69" t="s">
        <v>315</v>
      </c>
      <c r="B570" s="61"/>
      <c r="C570" s="45" t="s">
        <v>35</v>
      </c>
      <c r="D570" s="45" t="s">
        <v>202</v>
      </c>
      <c r="F570" s="80">
        <v>3008696.598367</v>
      </c>
      <c r="H570" s="64">
        <f t="shared" si="230"/>
        <v>1052740.426020375</v>
      </c>
      <c r="I570" s="64">
        <f t="shared" si="230"/>
        <v>1025857.7357968276</v>
      </c>
      <c r="J570" s="64">
        <f t="shared" si="230"/>
        <v>930098.43654979742</v>
      </c>
      <c r="K570" s="64">
        <f t="shared" si="230"/>
        <v>0</v>
      </c>
      <c r="L570" s="64">
        <f t="shared" si="230"/>
        <v>0</v>
      </c>
      <c r="M570" s="64">
        <f t="shared" si="230"/>
        <v>0</v>
      </c>
      <c r="N570" s="64">
        <f t="shared" si="230"/>
        <v>0</v>
      </c>
      <c r="O570" s="64">
        <f t="shared" si="230"/>
        <v>0</v>
      </c>
      <c r="P570" s="64">
        <f t="shared" si="230"/>
        <v>0</v>
      </c>
      <c r="Q570" s="64">
        <f t="shared" si="230"/>
        <v>0</v>
      </c>
      <c r="R570" s="64">
        <f t="shared" si="231"/>
        <v>0</v>
      </c>
      <c r="S570" s="64">
        <f t="shared" si="231"/>
        <v>0</v>
      </c>
      <c r="T570" s="64">
        <f t="shared" si="231"/>
        <v>0</v>
      </c>
      <c r="U570" s="64">
        <f t="shared" si="231"/>
        <v>0</v>
      </c>
      <c r="V570" s="64">
        <f t="shared" si="231"/>
        <v>0</v>
      </c>
      <c r="W570" s="64">
        <f t="shared" si="231"/>
        <v>0</v>
      </c>
      <c r="X570" s="64">
        <f t="shared" si="231"/>
        <v>0</v>
      </c>
      <c r="Y570" s="64">
        <f t="shared" si="231"/>
        <v>0</v>
      </c>
      <c r="Z570" s="64">
        <f t="shared" si="231"/>
        <v>0</v>
      </c>
      <c r="AA570" s="64">
        <f t="shared" si="231"/>
        <v>0</v>
      </c>
      <c r="AB570" s="64">
        <f t="shared" si="231"/>
        <v>0</v>
      </c>
      <c r="AC570" s="64">
        <f t="shared" si="231"/>
        <v>0</v>
      </c>
      <c r="AD570" s="64">
        <f t="shared" si="231"/>
        <v>0</v>
      </c>
      <c r="AE570" s="64">
        <f t="shared" si="231"/>
        <v>0</v>
      </c>
      <c r="AF570" s="64">
        <f t="shared" si="232"/>
        <v>3008696.598367</v>
      </c>
      <c r="AG570" s="59" t="str">
        <f t="shared" si="233"/>
        <v>ok</v>
      </c>
    </row>
    <row r="571" spans="1:33" x14ac:dyDescent="0.25">
      <c r="A571" s="332" t="s">
        <v>314</v>
      </c>
      <c r="B571" s="61"/>
      <c r="C571" s="45" t="s">
        <v>36</v>
      </c>
      <c r="D571" s="45" t="s">
        <v>202</v>
      </c>
      <c r="F571" s="80">
        <v>13075885.434364472</v>
      </c>
      <c r="H571" s="64">
        <f t="shared" si="230"/>
        <v>4575241.3886590758</v>
      </c>
      <c r="I571" s="64">
        <f t="shared" si="230"/>
        <v>4458408.4126383616</v>
      </c>
      <c r="J571" s="64">
        <f t="shared" si="230"/>
        <v>4042235.6330670347</v>
      </c>
      <c r="K571" s="64">
        <f t="shared" si="230"/>
        <v>0</v>
      </c>
      <c r="L571" s="64">
        <f t="shared" si="230"/>
        <v>0</v>
      </c>
      <c r="M571" s="64">
        <f t="shared" si="230"/>
        <v>0</v>
      </c>
      <c r="N571" s="64">
        <f t="shared" si="230"/>
        <v>0</v>
      </c>
      <c r="O571" s="64">
        <f t="shared" si="230"/>
        <v>0</v>
      </c>
      <c r="P571" s="64">
        <f t="shared" si="230"/>
        <v>0</v>
      </c>
      <c r="Q571" s="64">
        <f t="shared" si="230"/>
        <v>0</v>
      </c>
      <c r="R571" s="64">
        <f t="shared" si="231"/>
        <v>0</v>
      </c>
      <c r="S571" s="64">
        <f t="shared" si="231"/>
        <v>0</v>
      </c>
      <c r="T571" s="64">
        <f t="shared" si="231"/>
        <v>0</v>
      </c>
      <c r="U571" s="64">
        <f t="shared" si="231"/>
        <v>0</v>
      </c>
      <c r="V571" s="64">
        <f t="shared" si="231"/>
        <v>0</v>
      </c>
      <c r="W571" s="64">
        <f t="shared" si="231"/>
        <v>0</v>
      </c>
      <c r="X571" s="64">
        <f t="shared" si="231"/>
        <v>0</v>
      </c>
      <c r="Y571" s="64">
        <f t="shared" si="231"/>
        <v>0</v>
      </c>
      <c r="Z571" s="64">
        <f t="shared" si="231"/>
        <v>0</v>
      </c>
      <c r="AA571" s="64">
        <f t="shared" si="231"/>
        <v>0</v>
      </c>
      <c r="AB571" s="64">
        <f t="shared" si="231"/>
        <v>0</v>
      </c>
      <c r="AC571" s="64">
        <f t="shared" si="231"/>
        <v>0</v>
      </c>
      <c r="AD571" s="64">
        <f t="shared" si="231"/>
        <v>0</v>
      </c>
      <c r="AE571" s="64">
        <f t="shared" si="231"/>
        <v>0</v>
      </c>
      <c r="AF571" s="64">
        <f t="shared" si="232"/>
        <v>13075885.434364472</v>
      </c>
      <c r="AG571" s="59" t="str">
        <f t="shared" si="233"/>
        <v>ok</v>
      </c>
    </row>
    <row r="572" spans="1:33" x14ac:dyDescent="0.25">
      <c r="A572" s="61" t="s">
        <v>317</v>
      </c>
      <c r="B572" s="61"/>
      <c r="C572" s="45" t="s">
        <v>37</v>
      </c>
      <c r="D572" s="45" t="s">
        <v>1184</v>
      </c>
      <c r="F572" s="80">
        <f>7793.67524*1000</f>
        <v>7793675.2399999993</v>
      </c>
      <c r="H572" s="64">
        <f t="shared" si="230"/>
        <v>0</v>
      </c>
      <c r="I572" s="64">
        <f t="shared" si="230"/>
        <v>0</v>
      </c>
      <c r="J572" s="64">
        <f t="shared" si="230"/>
        <v>0</v>
      </c>
      <c r="K572" s="64">
        <f t="shared" si="230"/>
        <v>0</v>
      </c>
      <c r="L572" s="64">
        <f t="shared" si="230"/>
        <v>0</v>
      </c>
      <c r="M572" s="64">
        <f t="shared" si="230"/>
        <v>0</v>
      </c>
      <c r="N572" s="64">
        <f t="shared" si="230"/>
        <v>2727000.4549063668</v>
      </c>
      <c r="O572" s="64">
        <f t="shared" si="230"/>
        <v>2657364.0025988896</v>
      </c>
      <c r="P572" s="64">
        <f t="shared" si="230"/>
        <v>2409310.7824947424</v>
      </c>
      <c r="Q572" s="64">
        <f t="shared" si="230"/>
        <v>0</v>
      </c>
      <c r="R572" s="64">
        <f t="shared" si="231"/>
        <v>0</v>
      </c>
      <c r="S572" s="64">
        <f t="shared" si="231"/>
        <v>0</v>
      </c>
      <c r="T572" s="64">
        <f t="shared" si="231"/>
        <v>0</v>
      </c>
      <c r="U572" s="64">
        <f t="shared" si="231"/>
        <v>0</v>
      </c>
      <c r="V572" s="64">
        <f t="shared" si="231"/>
        <v>0</v>
      </c>
      <c r="W572" s="64">
        <f t="shared" si="231"/>
        <v>0</v>
      </c>
      <c r="X572" s="64">
        <f t="shared" si="231"/>
        <v>0</v>
      </c>
      <c r="Y572" s="64">
        <f t="shared" si="231"/>
        <v>0</v>
      </c>
      <c r="Z572" s="64">
        <f t="shared" si="231"/>
        <v>0</v>
      </c>
      <c r="AA572" s="64">
        <f t="shared" si="231"/>
        <v>0</v>
      </c>
      <c r="AB572" s="64">
        <f t="shared" si="231"/>
        <v>0</v>
      </c>
      <c r="AC572" s="64">
        <f t="shared" si="231"/>
        <v>0</v>
      </c>
      <c r="AD572" s="64">
        <f t="shared" si="231"/>
        <v>0</v>
      </c>
      <c r="AE572" s="64">
        <f t="shared" si="231"/>
        <v>0</v>
      </c>
      <c r="AF572" s="64">
        <f t="shared" si="232"/>
        <v>7793675.2399999984</v>
      </c>
      <c r="AG572" s="59" t="str">
        <f t="shared" si="233"/>
        <v>ok</v>
      </c>
    </row>
    <row r="573" spans="1:33" x14ac:dyDescent="0.25">
      <c r="A573" s="61" t="s">
        <v>318</v>
      </c>
      <c r="B573" s="61"/>
      <c r="C573" s="45" t="s">
        <v>38</v>
      </c>
      <c r="D573" s="45" t="s">
        <v>1184</v>
      </c>
      <c r="F573" s="80">
        <v>0</v>
      </c>
      <c r="H573" s="64">
        <f t="shared" si="230"/>
        <v>0</v>
      </c>
      <c r="I573" s="64">
        <f t="shared" si="230"/>
        <v>0</v>
      </c>
      <c r="J573" s="64">
        <f t="shared" si="230"/>
        <v>0</v>
      </c>
      <c r="K573" s="64">
        <f t="shared" si="230"/>
        <v>0</v>
      </c>
      <c r="L573" s="64">
        <f t="shared" si="230"/>
        <v>0</v>
      </c>
      <c r="M573" s="64">
        <f t="shared" si="230"/>
        <v>0</v>
      </c>
      <c r="N573" s="64">
        <f t="shared" si="230"/>
        <v>0</v>
      </c>
      <c r="O573" s="64">
        <f t="shared" si="230"/>
        <v>0</v>
      </c>
      <c r="P573" s="64">
        <f t="shared" si="230"/>
        <v>0</v>
      </c>
      <c r="Q573" s="64">
        <f t="shared" si="230"/>
        <v>0</v>
      </c>
      <c r="R573" s="64">
        <f t="shared" si="231"/>
        <v>0</v>
      </c>
      <c r="S573" s="64">
        <f t="shared" si="231"/>
        <v>0</v>
      </c>
      <c r="T573" s="64">
        <f t="shared" si="231"/>
        <v>0</v>
      </c>
      <c r="U573" s="64">
        <f t="shared" si="231"/>
        <v>0</v>
      </c>
      <c r="V573" s="64">
        <f t="shared" si="231"/>
        <v>0</v>
      </c>
      <c r="W573" s="64">
        <f t="shared" si="231"/>
        <v>0</v>
      </c>
      <c r="X573" s="64">
        <f t="shared" si="231"/>
        <v>0</v>
      </c>
      <c r="Y573" s="64">
        <f t="shared" si="231"/>
        <v>0</v>
      </c>
      <c r="Z573" s="64">
        <f t="shared" si="231"/>
        <v>0</v>
      </c>
      <c r="AA573" s="64">
        <f t="shared" si="231"/>
        <v>0</v>
      </c>
      <c r="AB573" s="64">
        <f t="shared" si="231"/>
        <v>0</v>
      </c>
      <c r="AC573" s="64">
        <f t="shared" si="231"/>
        <v>0</v>
      </c>
      <c r="AD573" s="64">
        <f t="shared" si="231"/>
        <v>0</v>
      </c>
      <c r="AE573" s="64">
        <f t="shared" si="231"/>
        <v>0</v>
      </c>
      <c r="AF573" s="64">
        <f t="shared" si="232"/>
        <v>0</v>
      </c>
      <c r="AG573" s="59" t="str">
        <f t="shared" si="233"/>
        <v>ok</v>
      </c>
    </row>
    <row r="574" spans="1:33" x14ac:dyDescent="0.25">
      <c r="A574" s="61" t="s">
        <v>320</v>
      </c>
      <c r="B574" s="61"/>
      <c r="C574" s="45" t="s">
        <v>39</v>
      </c>
      <c r="D574" s="45" t="s">
        <v>957</v>
      </c>
      <c r="F574" s="80">
        <v>32646419.543730352</v>
      </c>
      <c r="H574" s="64">
        <f t="shared" si="230"/>
        <v>0</v>
      </c>
      <c r="I574" s="64">
        <f t="shared" si="230"/>
        <v>0</v>
      </c>
      <c r="J574" s="64">
        <f t="shared" si="230"/>
        <v>0</v>
      </c>
      <c r="K574" s="64">
        <f t="shared" si="230"/>
        <v>0</v>
      </c>
      <c r="L574" s="64">
        <f t="shared" si="230"/>
        <v>0</v>
      </c>
      <c r="M574" s="64">
        <f t="shared" si="230"/>
        <v>0</v>
      </c>
      <c r="N574" s="64">
        <f t="shared" si="230"/>
        <v>0</v>
      </c>
      <c r="O574" s="64">
        <f t="shared" si="230"/>
        <v>0</v>
      </c>
      <c r="P574" s="64">
        <f t="shared" si="230"/>
        <v>0</v>
      </c>
      <c r="Q574" s="64">
        <f t="shared" si="230"/>
        <v>0</v>
      </c>
      <c r="R574" s="64">
        <f t="shared" si="231"/>
        <v>3891227.7454964397</v>
      </c>
      <c r="S574" s="64">
        <f t="shared" si="231"/>
        <v>0</v>
      </c>
      <c r="T574" s="64">
        <f t="shared" si="231"/>
        <v>5710579.662306984</v>
      </c>
      <c r="U574" s="64">
        <f t="shared" si="231"/>
        <v>9279263.1219779905</v>
      </c>
      <c r="V574" s="64">
        <f t="shared" si="231"/>
        <v>1903526.5541023279</v>
      </c>
      <c r="W574" s="64">
        <f t="shared" si="231"/>
        <v>3093087.7073259964</v>
      </c>
      <c r="X574" s="64">
        <f t="shared" si="231"/>
        <v>2359598.8478892022</v>
      </c>
      <c r="Y574" s="64">
        <f t="shared" si="231"/>
        <v>1790723.509682623</v>
      </c>
      <c r="Z574" s="64">
        <f t="shared" si="231"/>
        <v>849819.84256461973</v>
      </c>
      <c r="AA574" s="64">
        <f t="shared" si="231"/>
        <v>1122328.838834686</v>
      </c>
      <c r="AB574" s="64">
        <f t="shared" si="231"/>
        <v>2646263.7135494906</v>
      </c>
      <c r="AC574" s="64">
        <f t="shared" si="231"/>
        <v>0</v>
      </c>
      <c r="AD574" s="64">
        <f t="shared" si="231"/>
        <v>0</v>
      </c>
      <c r="AE574" s="64">
        <f t="shared" si="231"/>
        <v>0</v>
      </c>
      <c r="AF574" s="64">
        <f t="shared" si="232"/>
        <v>32646419.54373036</v>
      </c>
      <c r="AG574" s="59" t="str">
        <f t="shared" si="233"/>
        <v>ok</v>
      </c>
    </row>
    <row r="575" spans="1:33" x14ac:dyDescent="0.25">
      <c r="A575" s="69" t="s">
        <v>625</v>
      </c>
      <c r="B575" s="61"/>
      <c r="C575" s="45" t="s">
        <v>40</v>
      </c>
      <c r="D575" s="45" t="s">
        <v>980</v>
      </c>
      <c r="F575" s="80">
        <v>17849213.054722309</v>
      </c>
      <c r="H575" s="64">
        <f t="shared" si="230"/>
        <v>3650388.2758768997</v>
      </c>
      <c r="I575" s="64">
        <f t="shared" si="230"/>
        <v>3557172.2704965109</v>
      </c>
      <c r="J575" s="64">
        <f t="shared" si="230"/>
        <v>3225125.9135431964</v>
      </c>
      <c r="K575" s="64">
        <f t="shared" si="230"/>
        <v>0</v>
      </c>
      <c r="L575" s="64">
        <f t="shared" si="230"/>
        <v>0</v>
      </c>
      <c r="M575" s="64">
        <f t="shared" si="230"/>
        <v>0</v>
      </c>
      <c r="N575" s="64">
        <f t="shared" si="230"/>
        <v>653608.46298706951</v>
      </c>
      <c r="O575" s="64">
        <f t="shared" si="230"/>
        <v>636917.97271646</v>
      </c>
      <c r="P575" s="64">
        <f t="shared" si="230"/>
        <v>577464.48650982417</v>
      </c>
      <c r="Q575" s="64">
        <f t="shared" si="230"/>
        <v>0</v>
      </c>
      <c r="R575" s="64">
        <f t="shared" si="231"/>
        <v>661347.13263569842</v>
      </c>
      <c r="S575" s="64">
        <f t="shared" si="231"/>
        <v>0</v>
      </c>
      <c r="T575" s="64">
        <f t="shared" si="231"/>
        <v>970561.40949998121</v>
      </c>
      <c r="U575" s="64">
        <f t="shared" si="231"/>
        <v>1577089.4072686543</v>
      </c>
      <c r="V575" s="64">
        <f t="shared" si="231"/>
        <v>323520.46983332705</v>
      </c>
      <c r="W575" s="64">
        <f t="shared" si="231"/>
        <v>525696.46908955148</v>
      </c>
      <c r="X575" s="64">
        <f t="shared" si="231"/>
        <v>401033.82127353031</v>
      </c>
      <c r="Y575" s="64">
        <f t="shared" si="231"/>
        <v>304348.63645351765</v>
      </c>
      <c r="Z575" s="64">
        <f t="shared" si="231"/>
        <v>144434.08427777057</v>
      </c>
      <c r="AA575" s="64">
        <f t="shared" si="231"/>
        <v>190749.2976469248</v>
      </c>
      <c r="AB575" s="64">
        <f t="shared" si="231"/>
        <v>449754.94461339334</v>
      </c>
      <c r="AC575" s="64">
        <f t="shared" si="231"/>
        <v>0</v>
      </c>
      <c r="AD575" s="64">
        <f t="shared" si="231"/>
        <v>0</v>
      </c>
      <c r="AE575" s="64">
        <f t="shared" si="231"/>
        <v>0</v>
      </c>
      <c r="AF575" s="64">
        <f t="shared" si="232"/>
        <v>17849213.054722309</v>
      </c>
      <c r="AG575" s="59" t="str">
        <f t="shared" si="233"/>
        <v>ok</v>
      </c>
    </row>
    <row r="576" spans="1:33" x14ac:dyDescent="0.25">
      <c r="A576" s="69" t="s">
        <v>319</v>
      </c>
      <c r="B576" s="61"/>
      <c r="C576" s="45" t="s">
        <v>22</v>
      </c>
      <c r="D576" s="45" t="s">
        <v>959</v>
      </c>
      <c r="F576" s="80">
        <v>0</v>
      </c>
      <c r="H576" s="64">
        <f t="shared" si="230"/>
        <v>0</v>
      </c>
      <c r="I576" s="64">
        <f t="shared" si="230"/>
        <v>0</v>
      </c>
      <c r="J576" s="64">
        <f t="shared" si="230"/>
        <v>0</v>
      </c>
      <c r="K576" s="64">
        <f t="shared" si="230"/>
        <v>0</v>
      </c>
      <c r="L576" s="64">
        <f t="shared" si="230"/>
        <v>0</v>
      </c>
      <c r="M576" s="64">
        <f t="shared" si="230"/>
        <v>0</v>
      </c>
      <c r="N576" s="64">
        <f t="shared" si="230"/>
        <v>0</v>
      </c>
      <c r="O576" s="64">
        <f t="shared" si="230"/>
        <v>0</v>
      </c>
      <c r="P576" s="64">
        <f t="shared" si="230"/>
        <v>0</v>
      </c>
      <c r="Q576" s="64">
        <f t="shared" si="230"/>
        <v>0</v>
      </c>
      <c r="R576" s="64">
        <f t="shared" si="231"/>
        <v>0</v>
      </c>
      <c r="S576" s="64">
        <f t="shared" si="231"/>
        <v>0</v>
      </c>
      <c r="T576" s="64">
        <f t="shared" si="231"/>
        <v>0</v>
      </c>
      <c r="U576" s="64">
        <f t="shared" si="231"/>
        <v>0</v>
      </c>
      <c r="V576" s="64">
        <f t="shared" si="231"/>
        <v>0</v>
      </c>
      <c r="W576" s="64">
        <f t="shared" si="231"/>
        <v>0</v>
      </c>
      <c r="X576" s="64">
        <f t="shared" si="231"/>
        <v>0</v>
      </c>
      <c r="Y576" s="64">
        <f t="shared" si="231"/>
        <v>0</v>
      </c>
      <c r="Z576" s="64">
        <f t="shared" si="231"/>
        <v>0</v>
      </c>
      <c r="AA576" s="64">
        <f t="shared" si="231"/>
        <v>0</v>
      </c>
      <c r="AB576" s="64">
        <f t="shared" si="231"/>
        <v>0</v>
      </c>
      <c r="AC576" s="64">
        <f t="shared" si="231"/>
        <v>0</v>
      </c>
      <c r="AD576" s="64">
        <f t="shared" si="231"/>
        <v>0</v>
      </c>
      <c r="AE576" s="64">
        <f t="shared" si="231"/>
        <v>0</v>
      </c>
      <c r="AF576" s="64">
        <f t="shared" si="232"/>
        <v>0</v>
      </c>
      <c r="AG576" s="59" t="str">
        <f t="shared" si="233"/>
        <v>ok</v>
      </c>
    </row>
    <row r="577" spans="1:33" x14ac:dyDescent="0.25">
      <c r="A577" s="61"/>
      <c r="B577" s="61"/>
      <c r="F577" s="80"/>
      <c r="AG577" s="59"/>
    </row>
    <row r="578" spans="1:33" x14ac:dyDescent="0.25">
      <c r="A578" s="61" t="s">
        <v>1095</v>
      </c>
      <c r="B578" s="61"/>
      <c r="C578" s="45" t="s">
        <v>1096</v>
      </c>
      <c r="F578" s="77">
        <f>SUM(F569:F577)</f>
        <v>117218434.8450231</v>
      </c>
      <c r="H578" s="64">
        <f t="shared" ref="H578:M578" si="234">SUM(H569:H577)</f>
        <v>24269640.580538318</v>
      </c>
      <c r="I578" s="64">
        <f t="shared" si="234"/>
        <v>23649893.097267624</v>
      </c>
      <c r="J578" s="64">
        <f t="shared" si="234"/>
        <v>21442279.788681097</v>
      </c>
      <c r="K578" s="64">
        <f t="shared" si="234"/>
        <v>0</v>
      </c>
      <c r="L578" s="64">
        <f t="shared" si="234"/>
        <v>0</v>
      </c>
      <c r="M578" s="64">
        <f t="shared" si="234"/>
        <v>0</v>
      </c>
      <c r="N578" s="64">
        <f>SUM(N569:N577)</f>
        <v>3380608.9178934363</v>
      </c>
      <c r="O578" s="64">
        <f>SUM(O569:O577)</f>
        <v>3294281.9753153496</v>
      </c>
      <c r="P578" s="64">
        <f>SUM(P569:P577)</f>
        <v>2986775.2690045666</v>
      </c>
      <c r="Q578" s="64">
        <f t="shared" ref="Q578:AB578" si="235">SUM(Q569:Q577)</f>
        <v>0</v>
      </c>
      <c r="R578" s="64">
        <f t="shared" si="235"/>
        <v>4552574.8781321384</v>
      </c>
      <c r="S578" s="64">
        <f t="shared" si="235"/>
        <v>0</v>
      </c>
      <c r="T578" s="64">
        <f t="shared" si="235"/>
        <v>6681141.0718069654</v>
      </c>
      <c r="U578" s="64">
        <f t="shared" si="235"/>
        <v>10856352.529246645</v>
      </c>
      <c r="V578" s="64">
        <f t="shared" si="235"/>
        <v>2227047.0239356551</v>
      </c>
      <c r="W578" s="64">
        <f t="shared" si="235"/>
        <v>3618784.1764155477</v>
      </c>
      <c r="X578" s="64">
        <f t="shared" si="235"/>
        <v>2760632.6691627325</v>
      </c>
      <c r="Y578" s="64">
        <f t="shared" si="235"/>
        <v>2095072.1461361407</v>
      </c>
      <c r="Z578" s="64">
        <f t="shared" si="235"/>
        <v>994253.92684239033</v>
      </c>
      <c r="AA578" s="64">
        <f t="shared" si="235"/>
        <v>1313078.1364816108</v>
      </c>
      <c r="AB578" s="64">
        <f t="shared" si="235"/>
        <v>3096018.6581628839</v>
      </c>
      <c r="AC578" s="64">
        <f>SUM(AC569:AC577)</f>
        <v>0</v>
      </c>
      <c r="AD578" s="64">
        <f>SUM(AD569:AD577)</f>
        <v>0</v>
      </c>
      <c r="AE578" s="64">
        <f>SUM(AE569:AE577)</f>
        <v>0</v>
      </c>
      <c r="AF578" s="64">
        <f>SUM(H578:AE578)</f>
        <v>117218434.84502311</v>
      </c>
      <c r="AG578" s="59" t="str">
        <f>IF(ABS(AF578-F578)&lt;1,"ok","err")</f>
        <v>ok</v>
      </c>
    </row>
    <row r="579" spans="1:33" x14ac:dyDescent="0.25">
      <c r="A579" s="61"/>
      <c r="B579" s="61"/>
      <c r="F579" s="77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  <c r="AA579" s="64"/>
      <c r="AB579" s="64"/>
      <c r="AC579" s="64"/>
      <c r="AD579" s="64"/>
      <c r="AE579" s="64"/>
      <c r="AF579" s="64"/>
      <c r="AG579" s="59"/>
    </row>
    <row r="580" spans="1:33" x14ac:dyDescent="0.25">
      <c r="A580" s="66" t="s">
        <v>768</v>
      </c>
      <c r="B580" s="61"/>
      <c r="F580" s="77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  <c r="AA580" s="64"/>
      <c r="AB580" s="64"/>
      <c r="AC580" s="64"/>
      <c r="AD580" s="64"/>
      <c r="AE580" s="64"/>
      <c r="AF580" s="64"/>
      <c r="AG580" s="59"/>
    </row>
    <row r="581" spans="1:33" x14ac:dyDescent="0.25">
      <c r="A581" s="66"/>
      <c r="B581" s="61" t="s">
        <v>730</v>
      </c>
      <c r="C581" s="95" t="s">
        <v>769</v>
      </c>
      <c r="D581" s="45" t="s">
        <v>645</v>
      </c>
      <c r="F581" s="77">
        <v>0</v>
      </c>
      <c r="H581" s="64">
        <f t="shared" ref="H581:Q584" si="236">IF(VLOOKUP($D581,$C$6:$AE$651,H$2,)=0,0,((VLOOKUP($D581,$C$6:$AE$651,H$2,)/VLOOKUP($D581,$C$6:$AE$651,4,))*$F581))</f>
        <v>0</v>
      </c>
      <c r="I581" s="64">
        <f t="shared" si="236"/>
        <v>0</v>
      </c>
      <c r="J581" s="64">
        <f t="shared" si="236"/>
        <v>0</v>
      </c>
      <c r="K581" s="64">
        <f t="shared" si="236"/>
        <v>0</v>
      </c>
      <c r="L581" s="64">
        <f t="shared" si="236"/>
        <v>0</v>
      </c>
      <c r="M581" s="64">
        <f t="shared" si="236"/>
        <v>0</v>
      </c>
      <c r="N581" s="64">
        <f t="shared" si="236"/>
        <v>0</v>
      </c>
      <c r="O581" s="64">
        <f t="shared" si="236"/>
        <v>0</v>
      </c>
      <c r="P581" s="64">
        <f t="shared" si="236"/>
        <v>0</v>
      </c>
      <c r="Q581" s="64">
        <f t="shared" si="236"/>
        <v>0</v>
      </c>
      <c r="R581" s="64">
        <f t="shared" ref="R581:AE584" si="237">IF(VLOOKUP($D581,$C$6:$AE$651,R$2,)=0,0,((VLOOKUP($D581,$C$6:$AE$651,R$2,)/VLOOKUP($D581,$C$6:$AE$651,4,))*$F581))</f>
        <v>0</v>
      </c>
      <c r="S581" s="64">
        <f t="shared" si="237"/>
        <v>0</v>
      </c>
      <c r="T581" s="64">
        <f t="shared" si="237"/>
        <v>0</v>
      </c>
      <c r="U581" s="64">
        <f t="shared" si="237"/>
        <v>0</v>
      </c>
      <c r="V581" s="64">
        <f t="shared" si="237"/>
        <v>0</v>
      </c>
      <c r="W581" s="64">
        <f t="shared" si="237"/>
        <v>0</v>
      </c>
      <c r="X581" s="64">
        <f t="shared" si="237"/>
        <v>0</v>
      </c>
      <c r="Y581" s="64">
        <f t="shared" si="237"/>
        <v>0</v>
      </c>
      <c r="Z581" s="64">
        <f t="shared" si="237"/>
        <v>0</v>
      </c>
      <c r="AA581" s="64">
        <f t="shared" si="237"/>
        <v>0</v>
      </c>
      <c r="AB581" s="64">
        <f t="shared" si="237"/>
        <v>0</v>
      </c>
      <c r="AC581" s="64">
        <f t="shared" si="237"/>
        <v>0</v>
      </c>
      <c r="AD581" s="64">
        <f t="shared" si="237"/>
        <v>0</v>
      </c>
      <c r="AE581" s="64">
        <f t="shared" si="237"/>
        <v>0</v>
      </c>
      <c r="AF581" s="64">
        <f>SUM(H581:AE581)</f>
        <v>0</v>
      </c>
      <c r="AG581" s="59" t="str">
        <f>IF(ABS(AF581-F581)&lt;1,"ok","err")</f>
        <v>ok</v>
      </c>
    </row>
    <row r="582" spans="1:33" x14ac:dyDescent="0.25">
      <c r="A582" s="66"/>
      <c r="B582" s="61" t="s">
        <v>1153</v>
      </c>
      <c r="C582" s="95" t="s">
        <v>770</v>
      </c>
      <c r="D582" s="45" t="s">
        <v>1184</v>
      </c>
      <c r="F582" s="80">
        <v>0</v>
      </c>
      <c r="H582" s="64">
        <f t="shared" si="236"/>
        <v>0</v>
      </c>
      <c r="I582" s="64">
        <f t="shared" si="236"/>
        <v>0</v>
      </c>
      <c r="J582" s="64">
        <f t="shared" si="236"/>
        <v>0</v>
      </c>
      <c r="K582" s="64">
        <f t="shared" si="236"/>
        <v>0</v>
      </c>
      <c r="L582" s="64">
        <f t="shared" si="236"/>
        <v>0</v>
      </c>
      <c r="M582" s="64">
        <f t="shared" si="236"/>
        <v>0</v>
      </c>
      <c r="N582" s="64">
        <f t="shared" si="236"/>
        <v>0</v>
      </c>
      <c r="O582" s="64">
        <f t="shared" si="236"/>
        <v>0</v>
      </c>
      <c r="P582" s="64">
        <f t="shared" si="236"/>
        <v>0</v>
      </c>
      <c r="Q582" s="64">
        <f t="shared" si="236"/>
        <v>0</v>
      </c>
      <c r="R582" s="64">
        <f t="shared" si="237"/>
        <v>0</v>
      </c>
      <c r="S582" s="64">
        <f t="shared" si="237"/>
        <v>0</v>
      </c>
      <c r="T582" s="64">
        <f t="shared" si="237"/>
        <v>0</v>
      </c>
      <c r="U582" s="64">
        <f t="shared" si="237"/>
        <v>0</v>
      </c>
      <c r="V582" s="64">
        <f t="shared" si="237"/>
        <v>0</v>
      </c>
      <c r="W582" s="64">
        <f t="shared" si="237"/>
        <v>0</v>
      </c>
      <c r="X582" s="64">
        <f t="shared" si="237"/>
        <v>0</v>
      </c>
      <c r="Y582" s="64">
        <f t="shared" si="237"/>
        <v>0</v>
      </c>
      <c r="Z582" s="64">
        <f t="shared" si="237"/>
        <v>0</v>
      </c>
      <c r="AA582" s="64">
        <f t="shared" si="237"/>
        <v>0</v>
      </c>
      <c r="AB582" s="64">
        <f t="shared" si="237"/>
        <v>0</v>
      </c>
      <c r="AC582" s="64">
        <f t="shared" si="237"/>
        <v>0</v>
      </c>
      <c r="AD582" s="64">
        <f t="shared" si="237"/>
        <v>0</v>
      </c>
      <c r="AE582" s="64">
        <f t="shared" si="237"/>
        <v>0</v>
      </c>
      <c r="AF582" s="64">
        <f>SUM(H582:AE582)</f>
        <v>0</v>
      </c>
      <c r="AG582" s="59" t="str">
        <f>IF(ABS(AF582-F582)&lt;1,"ok","err")</f>
        <v>ok</v>
      </c>
    </row>
    <row r="583" spans="1:33" x14ac:dyDescent="0.25">
      <c r="A583" s="66"/>
      <c r="B583" s="61" t="s">
        <v>960</v>
      </c>
      <c r="C583" s="95" t="s">
        <v>771</v>
      </c>
      <c r="D583" s="45" t="s">
        <v>957</v>
      </c>
      <c r="F583" s="80">
        <v>0</v>
      </c>
      <c r="H583" s="64">
        <f t="shared" si="236"/>
        <v>0</v>
      </c>
      <c r="I583" s="64">
        <f t="shared" si="236"/>
        <v>0</v>
      </c>
      <c r="J583" s="64">
        <f t="shared" si="236"/>
        <v>0</v>
      </c>
      <c r="K583" s="64">
        <f t="shared" si="236"/>
        <v>0</v>
      </c>
      <c r="L583" s="64">
        <f t="shared" si="236"/>
        <v>0</v>
      </c>
      <c r="M583" s="64">
        <f t="shared" si="236"/>
        <v>0</v>
      </c>
      <c r="N583" s="64">
        <f t="shared" si="236"/>
        <v>0</v>
      </c>
      <c r="O583" s="64">
        <f t="shared" si="236"/>
        <v>0</v>
      </c>
      <c r="P583" s="64">
        <f t="shared" si="236"/>
        <v>0</v>
      </c>
      <c r="Q583" s="64">
        <f t="shared" si="236"/>
        <v>0</v>
      </c>
      <c r="R583" s="64">
        <f t="shared" si="237"/>
        <v>0</v>
      </c>
      <c r="S583" s="64">
        <f t="shared" si="237"/>
        <v>0</v>
      </c>
      <c r="T583" s="64">
        <f t="shared" si="237"/>
        <v>0</v>
      </c>
      <c r="U583" s="64">
        <f t="shared" si="237"/>
        <v>0</v>
      </c>
      <c r="V583" s="64">
        <f t="shared" si="237"/>
        <v>0</v>
      </c>
      <c r="W583" s="64">
        <f t="shared" si="237"/>
        <v>0</v>
      </c>
      <c r="X583" s="64">
        <f t="shared" si="237"/>
        <v>0</v>
      </c>
      <c r="Y583" s="64">
        <f t="shared" si="237"/>
        <v>0</v>
      </c>
      <c r="Z583" s="64">
        <f t="shared" si="237"/>
        <v>0</v>
      </c>
      <c r="AA583" s="64">
        <f t="shared" si="237"/>
        <v>0</v>
      </c>
      <c r="AB583" s="64">
        <f t="shared" si="237"/>
        <v>0</v>
      </c>
      <c r="AC583" s="64">
        <f t="shared" si="237"/>
        <v>0</v>
      </c>
      <c r="AD583" s="64">
        <f t="shared" si="237"/>
        <v>0</v>
      </c>
      <c r="AE583" s="64">
        <f t="shared" si="237"/>
        <v>0</v>
      </c>
      <c r="AF583" s="64">
        <f>SUM(H583:AE583)</f>
        <v>0</v>
      </c>
      <c r="AG583" s="59" t="str">
        <f>IF(ABS(AF583-F583)&lt;1,"ok","err")</f>
        <v>ok</v>
      </c>
    </row>
    <row r="584" spans="1:33" x14ac:dyDescent="0.25">
      <c r="A584" s="66"/>
      <c r="B584" s="61" t="s">
        <v>731</v>
      </c>
      <c r="C584" s="95" t="s">
        <v>772</v>
      </c>
      <c r="D584" s="45" t="s">
        <v>980</v>
      </c>
      <c r="F584" s="80">
        <v>0</v>
      </c>
      <c r="H584" s="64">
        <f t="shared" si="236"/>
        <v>0</v>
      </c>
      <c r="I584" s="64">
        <f t="shared" si="236"/>
        <v>0</v>
      </c>
      <c r="J584" s="64">
        <f t="shared" si="236"/>
        <v>0</v>
      </c>
      <c r="K584" s="64">
        <f t="shared" si="236"/>
        <v>0</v>
      </c>
      <c r="L584" s="64">
        <f t="shared" si="236"/>
        <v>0</v>
      </c>
      <c r="M584" s="64">
        <f t="shared" si="236"/>
        <v>0</v>
      </c>
      <c r="N584" s="64">
        <f t="shared" si="236"/>
        <v>0</v>
      </c>
      <c r="O584" s="64">
        <f t="shared" si="236"/>
        <v>0</v>
      </c>
      <c r="P584" s="64">
        <f t="shared" si="236"/>
        <v>0</v>
      </c>
      <c r="Q584" s="64">
        <f t="shared" si="236"/>
        <v>0</v>
      </c>
      <c r="R584" s="64">
        <f t="shared" si="237"/>
        <v>0</v>
      </c>
      <c r="S584" s="64">
        <f t="shared" si="237"/>
        <v>0</v>
      </c>
      <c r="T584" s="64">
        <f t="shared" si="237"/>
        <v>0</v>
      </c>
      <c r="U584" s="64">
        <f t="shared" si="237"/>
        <v>0</v>
      </c>
      <c r="V584" s="64">
        <f t="shared" si="237"/>
        <v>0</v>
      </c>
      <c r="W584" s="64">
        <f t="shared" si="237"/>
        <v>0</v>
      </c>
      <c r="X584" s="64">
        <f t="shared" si="237"/>
        <v>0</v>
      </c>
      <c r="Y584" s="64">
        <f t="shared" si="237"/>
        <v>0</v>
      </c>
      <c r="Z584" s="64">
        <f t="shared" si="237"/>
        <v>0</v>
      </c>
      <c r="AA584" s="64">
        <f t="shared" si="237"/>
        <v>0</v>
      </c>
      <c r="AB584" s="64">
        <f t="shared" si="237"/>
        <v>0</v>
      </c>
      <c r="AC584" s="64">
        <f t="shared" si="237"/>
        <v>0</v>
      </c>
      <c r="AD584" s="64">
        <f t="shared" si="237"/>
        <v>0</v>
      </c>
      <c r="AE584" s="64">
        <f t="shared" si="237"/>
        <v>0</v>
      </c>
      <c r="AF584" s="64">
        <f>SUM(H584:AE584)</f>
        <v>0</v>
      </c>
      <c r="AG584" s="59" t="str">
        <f>IF(ABS(AF584-F584)&lt;1,"ok","err")</f>
        <v>ok</v>
      </c>
    </row>
    <row r="585" spans="1:33" x14ac:dyDescent="0.25">
      <c r="A585" s="66"/>
      <c r="B585" s="61"/>
      <c r="F585" s="77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64"/>
      <c r="AG585" s="59"/>
    </row>
    <row r="586" spans="1:33" x14ac:dyDescent="0.25">
      <c r="A586" s="61" t="s">
        <v>767</v>
      </c>
      <c r="B586" s="61"/>
      <c r="C586" s="95" t="s">
        <v>774</v>
      </c>
      <c r="F586" s="77">
        <f>SUM(F581:F585)</f>
        <v>0</v>
      </c>
      <c r="H586" s="63">
        <f t="shared" ref="H586:AE586" si="238">SUM(H581:H585)</f>
        <v>0</v>
      </c>
      <c r="I586" s="63">
        <f t="shared" si="238"/>
        <v>0</v>
      </c>
      <c r="J586" s="63">
        <f t="shared" si="238"/>
        <v>0</v>
      </c>
      <c r="K586" s="63">
        <f t="shared" si="238"/>
        <v>0</v>
      </c>
      <c r="L586" s="63">
        <f t="shared" si="238"/>
        <v>0</v>
      </c>
      <c r="M586" s="63">
        <f t="shared" si="238"/>
        <v>0</v>
      </c>
      <c r="N586" s="63">
        <f t="shared" si="238"/>
        <v>0</v>
      </c>
      <c r="O586" s="63">
        <f t="shared" si="238"/>
        <v>0</v>
      </c>
      <c r="P586" s="63">
        <f t="shared" si="238"/>
        <v>0</v>
      </c>
      <c r="Q586" s="63">
        <f t="shared" si="238"/>
        <v>0</v>
      </c>
      <c r="R586" s="63">
        <f t="shared" si="238"/>
        <v>0</v>
      </c>
      <c r="S586" s="63">
        <f t="shared" si="238"/>
        <v>0</v>
      </c>
      <c r="T586" s="63">
        <f t="shared" si="238"/>
        <v>0</v>
      </c>
      <c r="U586" s="63">
        <f t="shared" si="238"/>
        <v>0</v>
      </c>
      <c r="V586" s="63">
        <f t="shared" si="238"/>
        <v>0</v>
      </c>
      <c r="W586" s="63">
        <f t="shared" si="238"/>
        <v>0</v>
      </c>
      <c r="X586" s="63">
        <f t="shared" si="238"/>
        <v>0</v>
      </c>
      <c r="Y586" s="63">
        <f t="shared" si="238"/>
        <v>0</v>
      </c>
      <c r="Z586" s="63">
        <f t="shared" si="238"/>
        <v>0</v>
      </c>
      <c r="AA586" s="63">
        <f t="shared" si="238"/>
        <v>0</v>
      </c>
      <c r="AB586" s="63">
        <f t="shared" si="238"/>
        <v>0</v>
      </c>
      <c r="AC586" s="63">
        <f t="shared" si="238"/>
        <v>0</v>
      </c>
      <c r="AD586" s="63">
        <f t="shared" si="238"/>
        <v>0</v>
      </c>
      <c r="AE586" s="63">
        <f t="shared" si="238"/>
        <v>0</v>
      </c>
      <c r="AF586" s="64">
        <f>SUM(H586:AE586)</f>
        <v>0</v>
      </c>
      <c r="AG586" s="59" t="str">
        <f>IF(ABS(AF586-F586)&lt;1,"ok","err")</f>
        <v>ok</v>
      </c>
    </row>
    <row r="587" spans="1:33" x14ac:dyDescent="0.25">
      <c r="A587" s="61"/>
      <c r="B587" s="61"/>
      <c r="F587" s="80"/>
      <c r="AG587" s="59"/>
    </row>
    <row r="588" spans="1:33" x14ac:dyDescent="0.25">
      <c r="A588" s="66" t="s">
        <v>737</v>
      </c>
      <c r="B588" s="61"/>
      <c r="F588" s="77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  <c r="AA588" s="64"/>
      <c r="AB588" s="64"/>
      <c r="AC588" s="64"/>
      <c r="AD588" s="64"/>
      <c r="AE588" s="64"/>
      <c r="AF588" s="64"/>
      <c r="AG588" s="59"/>
    </row>
    <row r="589" spans="1:33" x14ac:dyDescent="0.25">
      <c r="A589" s="66"/>
      <c r="B589" s="61" t="s">
        <v>730</v>
      </c>
      <c r="C589" s="45" t="s">
        <v>738</v>
      </c>
      <c r="D589" s="45" t="s">
        <v>645</v>
      </c>
      <c r="F589" s="77">
        <v>0</v>
      </c>
      <c r="H589" s="64">
        <f t="shared" ref="H589:Q592" si="239">IF(VLOOKUP($D589,$C$6:$AE$651,H$2,)=0,0,((VLOOKUP($D589,$C$6:$AE$651,H$2,)/VLOOKUP($D589,$C$6:$AE$651,4,))*$F589))</f>
        <v>0</v>
      </c>
      <c r="I589" s="64">
        <f t="shared" si="239"/>
        <v>0</v>
      </c>
      <c r="J589" s="64">
        <f t="shared" si="239"/>
        <v>0</v>
      </c>
      <c r="K589" s="64">
        <f t="shared" si="239"/>
        <v>0</v>
      </c>
      <c r="L589" s="64">
        <f t="shared" si="239"/>
        <v>0</v>
      </c>
      <c r="M589" s="64">
        <f t="shared" si="239"/>
        <v>0</v>
      </c>
      <c r="N589" s="64">
        <f t="shared" si="239"/>
        <v>0</v>
      </c>
      <c r="O589" s="64">
        <f t="shared" si="239"/>
        <v>0</v>
      </c>
      <c r="P589" s="64">
        <f t="shared" si="239"/>
        <v>0</v>
      </c>
      <c r="Q589" s="64">
        <f t="shared" si="239"/>
        <v>0</v>
      </c>
      <c r="R589" s="64">
        <f t="shared" ref="R589:AE592" si="240">IF(VLOOKUP($D589,$C$6:$AE$651,R$2,)=0,0,((VLOOKUP($D589,$C$6:$AE$651,R$2,)/VLOOKUP($D589,$C$6:$AE$651,4,))*$F589))</f>
        <v>0</v>
      </c>
      <c r="S589" s="64">
        <f t="shared" si="240"/>
        <v>0</v>
      </c>
      <c r="T589" s="64">
        <f t="shared" si="240"/>
        <v>0</v>
      </c>
      <c r="U589" s="64">
        <f t="shared" si="240"/>
        <v>0</v>
      </c>
      <c r="V589" s="64">
        <f t="shared" si="240"/>
        <v>0</v>
      </c>
      <c r="W589" s="64">
        <f t="shared" si="240"/>
        <v>0</v>
      </c>
      <c r="X589" s="64">
        <f t="shared" si="240"/>
        <v>0</v>
      </c>
      <c r="Y589" s="64">
        <f t="shared" si="240"/>
        <v>0</v>
      </c>
      <c r="Z589" s="64">
        <f t="shared" si="240"/>
        <v>0</v>
      </c>
      <c r="AA589" s="64">
        <f t="shared" si="240"/>
        <v>0</v>
      </c>
      <c r="AB589" s="64">
        <f t="shared" si="240"/>
        <v>0</v>
      </c>
      <c r="AC589" s="64">
        <f t="shared" si="240"/>
        <v>0</v>
      </c>
      <c r="AD589" s="64">
        <f t="shared" si="240"/>
        <v>0</v>
      </c>
      <c r="AE589" s="64">
        <f t="shared" si="240"/>
        <v>0</v>
      </c>
      <c r="AF589" s="64">
        <f>SUM(H589:AE589)</f>
        <v>0</v>
      </c>
      <c r="AG589" s="59" t="str">
        <f>IF(ABS(AF589-F589)&lt;1,"ok","err")</f>
        <v>ok</v>
      </c>
    </row>
    <row r="590" spans="1:33" x14ac:dyDescent="0.25">
      <c r="A590" s="66"/>
      <c r="B590" s="61" t="s">
        <v>1153</v>
      </c>
      <c r="C590" s="45" t="s">
        <v>740</v>
      </c>
      <c r="D590" s="45" t="s">
        <v>1184</v>
      </c>
      <c r="F590" s="80">
        <v>0</v>
      </c>
      <c r="H590" s="64">
        <f t="shared" si="239"/>
        <v>0</v>
      </c>
      <c r="I590" s="64">
        <f t="shared" si="239"/>
        <v>0</v>
      </c>
      <c r="J590" s="64">
        <f t="shared" si="239"/>
        <v>0</v>
      </c>
      <c r="K590" s="64">
        <f t="shared" si="239"/>
        <v>0</v>
      </c>
      <c r="L590" s="64">
        <f t="shared" si="239"/>
        <v>0</v>
      </c>
      <c r="M590" s="64">
        <f t="shared" si="239"/>
        <v>0</v>
      </c>
      <c r="N590" s="64">
        <f t="shared" si="239"/>
        <v>0</v>
      </c>
      <c r="O590" s="64">
        <f t="shared" si="239"/>
        <v>0</v>
      </c>
      <c r="P590" s="64">
        <f t="shared" si="239"/>
        <v>0</v>
      </c>
      <c r="Q590" s="64">
        <f t="shared" si="239"/>
        <v>0</v>
      </c>
      <c r="R590" s="64">
        <f t="shared" si="240"/>
        <v>0</v>
      </c>
      <c r="S590" s="64">
        <f t="shared" si="240"/>
        <v>0</v>
      </c>
      <c r="T590" s="64">
        <f t="shared" si="240"/>
        <v>0</v>
      </c>
      <c r="U590" s="64">
        <f t="shared" si="240"/>
        <v>0</v>
      </c>
      <c r="V590" s="64">
        <f t="shared" si="240"/>
        <v>0</v>
      </c>
      <c r="W590" s="64">
        <f t="shared" si="240"/>
        <v>0</v>
      </c>
      <c r="X590" s="64">
        <f t="shared" si="240"/>
        <v>0</v>
      </c>
      <c r="Y590" s="64">
        <f t="shared" si="240"/>
        <v>0</v>
      </c>
      <c r="Z590" s="64">
        <f t="shared" si="240"/>
        <v>0</v>
      </c>
      <c r="AA590" s="64">
        <f t="shared" si="240"/>
        <v>0</v>
      </c>
      <c r="AB590" s="64">
        <f t="shared" si="240"/>
        <v>0</v>
      </c>
      <c r="AC590" s="64">
        <f t="shared" si="240"/>
        <v>0</v>
      </c>
      <c r="AD590" s="64">
        <f t="shared" si="240"/>
        <v>0</v>
      </c>
      <c r="AE590" s="64">
        <f t="shared" si="240"/>
        <v>0</v>
      </c>
      <c r="AF590" s="64">
        <f>SUM(H590:AE590)</f>
        <v>0</v>
      </c>
      <c r="AG590" s="59" t="str">
        <f>IF(ABS(AF590-F590)&lt;1,"ok","err")</f>
        <v>ok</v>
      </c>
    </row>
    <row r="591" spans="1:33" x14ac:dyDescent="0.25">
      <c r="A591" s="66"/>
      <c r="B591" s="61" t="s">
        <v>960</v>
      </c>
      <c r="C591" s="45" t="s">
        <v>739</v>
      </c>
      <c r="D591" s="45" t="s">
        <v>957</v>
      </c>
      <c r="F591" s="80">
        <v>0</v>
      </c>
      <c r="H591" s="64">
        <f t="shared" si="239"/>
        <v>0</v>
      </c>
      <c r="I591" s="64">
        <f t="shared" si="239"/>
        <v>0</v>
      </c>
      <c r="J591" s="64">
        <f t="shared" si="239"/>
        <v>0</v>
      </c>
      <c r="K591" s="64">
        <f t="shared" si="239"/>
        <v>0</v>
      </c>
      <c r="L591" s="64">
        <f t="shared" si="239"/>
        <v>0</v>
      </c>
      <c r="M591" s="64">
        <f t="shared" si="239"/>
        <v>0</v>
      </c>
      <c r="N591" s="64">
        <f t="shared" si="239"/>
        <v>0</v>
      </c>
      <c r="O591" s="64">
        <f t="shared" si="239"/>
        <v>0</v>
      </c>
      <c r="P591" s="64">
        <f t="shared" si="239"/>
        <v>0</v>
      </c>
      <c r="Q591" s="64">
        <f t="shared" si="239"/>
        <v>0</v>
      </c>
      <c r="R591" s="64">
        <f t="shared" si="240"/>
        <v>0</v>
      </c>
      <c r="S591" s="64">
        <f t="shared" si="240"/>
        <v>0</v>
      </c>
      <c r="T591" s="64">
        <f t="shared" si="240"/>
        <v>0</v>
      </c>
      <c r="U591" s="64">
        <f t="shared" si="240"/>
        <v>0</v>
      </c>
      <c r="V591" s="64">
        <f t="shared" si="240"/>
        <v>0</v>
      </c>
      <c r="W591" s="64">
        <f t="shared" si="240"/>
        <v>0</v>
      </c>
      <c r="X591" s="64">
        <f t="shared" si="240"/>
        <v>0</v>
      </c>
      <c r="Y591" s="64">
        <f t="shared" si="240"/>
        <v>0</v>
      </c>
      <c r="Z591" s="64">
        <f t="shared" si="240"/>
        <v>0</v>
      </c>
      <c r="AA591" s="64">
        <f t="shared" si="240"/>
        <v>0</v>
      </c>
      <c r="AB591" s="64">
        <f t="shared" si="240"/>
        <v>0</v>
      </c>
      <c r="AC591" s="64">
        <f t="shared" si="240"/>
        <v>0</v>
      </c>
      <c r="AD591" s="64">
        <f t="shared" si="240"/>
        <v>0</v>
      </c>
      <c r="AE591" s="64">
        <f t="shared" si="240"/>
        <v>0</v>
      </c>
      <c r="AF591" s="64">
        <f>SUM(H591:AE591)</f>
        <v>0</v>
      </c>
      <c r="AG591" s="59" t="str">
        <f>IF(ABS(AF591-F591)&lt;1,"ok","err")</f>
        <v>ok</v>
      </c>
    </row>
    <row r="592" spans="1:33" x14ac:dyDescent="0.25">
      <c r="A592" s="66"/>
      <c r="B592" s="61" t="s">
        <v>731</v>
      </c>
      <c r="C592" s="95" t="s">
        <v>773</v>
      </c>
      <c r="D592" s="45" t="s">
        <v>980</v>
      </c>
      <c r="F592" s="80">
        <v>0</v>
      </c>
      <c r="H592" s="64">
        <f t="shared" si="239"/>
        <v>0</v>
      </c>
      <c r="I592" s="64">
        <f t="shared" si="239"/>
        <v>0</v>
      </c>
      <c r="J592" s="64">
        <f t="shared" si="239"/>
        <v>0</v>
      </c>
      <c r="K592" s="64">
        <f t="shared" si="239"/>
        <v>0</v>
      </c>
      <c r="L592" s="64">
        <f t="shared" si="239"/>
        <v>0</v>
      </c>
      <c r="M592" s="64">
        <f t="shared" si="239"/>
        <v>0</v>
      </c>
      <c r="N592" s="64">
        <f t="shared" si="239"/>
        <v>0</v>
      </c>
      <c r="O592" s="64">
        <f t="shared" si="239"/>
        <v>0</v>
      </c>
      <c r="P592" s="64">
        <f t="shared" si="239"/>
        <v>0</v>
      </c>
      <c r="Q592" s="64">
        <f t="shared" si="239"/>
        <v>0</v>
      </c>
      <c r="R592" s="64">
        <f t="shared" si="240"/>
        <v>0</v>
      </c>
      <c r="S592" s="64">
        <f t="shared" si="240"/>
        <v>0</v>
      </c>
      <c r="T592" s="64">
        <f t="shared" si="240"/>
        <v>0</v>
      </c>
      <c r="U592" s="64">
        <f t="shared" si="240"/>
        <v>0</v>
      </c>
      <c r="V592" s="64">
        <f t="shared" si="240"/>
        <v>0</v>
      </c>
      <c r="W592" s="64">
        <f t="shared" si="240"/>
        <v>0</v>
      </c>
      <c r="X592" s="64">
        <f t="shared" si="240"/>
        <v>0</v>
      </c>
      <c r="Y592" s="64">
        <f t="shared" si="240"/>
        <v>0</v>
      </c>
      <c r="Z592" s="64">
        <f t="shared" si="240"/>
        <v>0</v>
      </c>
      <c r="AA592" s="64">
        <f t="shared" si="240"/>
        <v>0</v>
      </c>
      <c r="AB592" s="64">
        <f t="shared" si="240"/>
        <v>0</v>
      </c>
      <c r="AC592" s="64">
        <f t="shared" si="240"/>
        <v>0</v>
      </c>
      <c r="AD592" s="64">
        <f t="shared" si="240"/>
        <v>0</v>
      </c>
      <c r="AE592" s="64">
        <f t="shared" si="240"/>
        <v>0</v>
      </c>
      <c r="AF592" s="64">
        <f>SUM(H592:AE592)</f>
        <v>0</v>
      </c>
      <c r="AG592" s="59" t="str">
        <f>IF(ABS(AF592-F592)&lt;1,"ok","err")</f>
        <v>ok</v>
      </c>
    </row>
    <row r="593" spans="1:33" x14ac:dyDescent="0.25">
      <c r="A593" s="66"/>
      <c r="B593" s="61"/>
      <c r="F593" s="77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  <c r="AA593" s="64"/>
      <c r="AB593" s="64"/>
      <c r="AC593" s="64"/>
      <c r="AD593" s="64"/>
      <c r="AE593" s="64"/>
      <c r="AF593" s="64"/>
      <c r="AG593" s="59"/>
    </row>
    <row r="594" spans="1:33" x14ac:dyDescent="0.25">
      <c r="A594" s="61" t="s">
        <v>741</v>
      </c>
      <c r="B594" s="61"/>
      <c r="C594" s="45" t="s">
        <v>743</v>
      </c>
      <c r="F594" s="77">
        <f>SUM(F589:F593)</f>
        <v>0</v>
      </c>
      <c r="H594" s="63">
        <f>SUM(H589:H593)</f>
        <v>0</v>
      </c>
      <c r="I594" s="63">
        <f t="shared" ref="I594:W594" si="241">SUM(I589:I593)</f>
        <v>0</v>
      </c>
      <c r="J594" s="63">
        <f t="shared" si="241"/>
        <v>0</v>
      </c>
      <c r="K594" s="63">
        <f t="shared" si="241"/>
        <v>0</v>
      </c>
      <c r="L594" s="63">
        <f t="shared" si="241"/>
        <v>0</v>
      </c>
      <c r="M594" s="63">
        <f t="shared" si="241"/>
        <v>0</v>
      </c>
      <c r="N594" s="63">
        <f t="shared" si="241"/>
        <v>0</v>
      </c>
      <c r="O594" s="63">
        <f t="shared" si="241"/>
        <v>0</v>
      </c>
      <c r="P594" s="63">
        <f t="shared" si="241"/>
        <v>0</v>
      </c>
      <c r="Q594" s="63">
        <f t="shared" si="241"/>
        <v>0</v>
      </c>
      <c r="R594" s="63">
        <f t="shared" si="241"/>
        <v>0</v>
      </c>
      <c r="S594" s="63">
        <f t="shared" si="241"/>
        <v>0</v>
      </c>
      <c r="T594" s="63">
        <f t="shared" si="241"/>
        <v>0</v>
      </c>
      <c r="U594" s="63">
        <f t="shared" si="241"/>
        <v>0</v>
      </c>
      <c r="V594" s="63">
        <f t="shared" si="241"/>
        <v>0</v>
      </c>
      <c r="W594" s="63">
        <f t="shared" si="241"/>
        <v>0</v>
      </c>
      <c r="X594" s="63">
        <f t="shared" ref="X594:AE594" si="242">SUM(X589:X593)</f>
        <v>0</v>
      </c>
      <c r="Y594" s="63">
        <f t="shared" si="242"/>
        <v>0</v>
      </c>
      <c r="Z594" s="63">
        <f t="shared" si="242"/>
        <v>0</v>
      </c>
      <c r="AA594" s="63">
        <f t="shared" si="242"/>
        <v>0</v>
      </c>
      <c r="AB594" s="63">
        <f t="shared" si="242"/>
        <v>0</v>
      </c>
      <c r="AC594" s="63">
        <f t="shared" si="242"/>
        <v>0</v>
      </c>
      <c r="AD594" s="63">
        <f t="shared" si="242"/>
        <v>0</v>
      </c>
      <c r="AE594" s="63">
        <f t="shared" si="242"/>
        <v>0</v>
      </c>
      <c r="AF594" s="64">
        <f>SUM(H594:AE594)</f>
        <v>0</v>
      </c>
      <c r="AG594" s="59" t="str">
        <f>IF(ABS(AF594-F594)&lt;1,"ok","err")</f>
        <v>ok</v>
      </c>
    </row>
    <row r="595" spans="1:33" x14ac:dyDescent="0.25">
      <c r="A595" s="61"/>
      <c r="B595" s="61"/>
      <c r="F595" s="80"/>
      <c r="AG595" s="59"/>
    </row>
    <row r="596" spans="1:33" x14ac:dyDescent="0.25">
      <c r="A596" s="61" t="s">
        <v>643</v>
      </c>
      <c r="B596" s="61"/>
      <c r="C596" s="45" t="s">
        <v>1097</v>
      </c>
      <c r="D596" s="45" t="s">
        <v>990</v>
      </c>
      <c r="F596" s="77">
        <v>29879058.309999939</v>
      </c>
      <c r="H596" s="64">
        <f t="shared" ref="H596:AE596" si="243">IF(VLOOKUP($D596,$C$6:$AE$651,H$2,)=0,0,((VLOOKUP($D596,$C$6:$AE$651,H$2,)/VLOOKUP($D596,$C$6:$AE$651,4,))*$F596))</f>
        <v>6115271.7487434316</v>
      </c>
      <c r="I596" s="64">
        <f t="shared" si="243"/>
        <v>5959112.6880757092</v>
      </c>
      <c r="J596" s="64">
        <f t="shared" si="243"/>
        <v>5402855.7771688811</v>
      </c>
      <c r="K596" s="64">
        <f t="shared" si="243"/>
        <v>0</v>
      </c>
      <c r="L596" s="64">
        <f t="shared" si="243"/>
        <v>0</v>
      </c>
      <c r="M596" s="64">
        <f t="shared" si="243"/>
        <v>0</v>
      </c>
      <c r="N596" s="64">
        <f t="shared" si="243"/>
        <v>1084227.1633784603</v>
      </c>
      <c r="O596" s="64">
        <f t="shared" si="243"/>
        <v>1056540.4305004976</v>
      </c>
      <c r="P596" s="64">
        <f t="shared" si="243"/>
        <v>957917.03690460359</v>
      </c>
      <c r="Q596" s="64">
        <f t="shared" si="243"/>
        <v>0</v>
      </c>
      <c r="R596" s="64">
        <f t="shared" si="243"/>
        <v>1108869.2593520638</v>
      </c>
      <c r="S596" s="64">
        <f t="shared" si="243"/>
        <v>0</v>
      </c>
      <c r="T596" s="64">
        <f t="shared" si="243"/>
        <v>1627323.4708356638</v>
      </c>
      <c r="U596" s="64">
        <f t="shared" si="243"/>
        <v>2644278.4381637168</v>
      </c>
      <c r="V596" s="64">
        <f t="shared" si="243"/>
        <v>542441.15694522136</v>
      </c>
      <c r="W596" s="64">
        <f t="shared" si="243"/>
        <v>881426.14605457243</v>
      </c>
      <c r="X596" s="64">
        <f t="shared" si="243"/>
        <v>672406.44803047192</v>
      </c>
      <c r="Y596" s="64">
        <f t="shared" si="243"/>
        <v>510296.07665196335</v>
      </c>
      <c r="Z596" s="64">
        <f t="shared" si="243"/>
        <v>242170.12239850126</v>
      </c>
      <c r="AA596" s="64">
        <f t="shared" si="243"/>
        <v>319826.03683591523</v>
      </c>
      <c r="AB596" s="64">
        <f t="shared" si="243"/>
        <v>754096.30996026448</v>
      </c>
      <c r="AC596" s="64">
        <f t="shared" si="243"/>
        <v>0</v>
      </c>
      <c r="AD596" s="64">
        <f t="shared" si="243"/>
        <v>0</v>
      </c>
      <c r="AE596" s="64">
        <f t="shared" si="243"/>
        <v>0</v>
      </c>
      <c r="AF596" s="64">
        <f>SUM(H596:AE596)</f>
        <v>29879058.309999939</v>
      </c>
      <c r="AG596" s="59" t="str">
        <f>IF(ABS(AF596-F596)&lt;1,"ok","err")</f>
        <v>ok</v>
      </c>
    </row>
    <row r="597" spans="1:33" x14ac:dyDescent="0.25">
      <c r="A597" s="61"/>
      <c r="B597" s="61"/>
      <c r="AG597" s="59"/>
    </row>
    <row r="598" spans="1:33" x14ac:dyDescent="0.25">
      <c r="A598" s="61" t="s">
        <v>734</v>
      </c>
      <c r="B598" s="61"/>
      <c r="C598" s="45" t="s">
        <v>538</v>
      </c>
      <c r="D598" s="45" t="s">
        <v>990</v>
      </c>
      <c r="F598" s="77">
        <v>-1214862</v>
      </c>
      <c r="G598" s="63">
        <v>600157</v>
      </c>
      <c r="H598" s="64">
        <f t="shared" ref="H598:AE598" si="244">IF(VLOOKUP($D598,$C$6:$AE$651,H$2,)=0,0,((VLOOKUP($D598,$C$6:$AE$651,H$2,)/VLOOKUP($D598,$C$6:$AE$651,4,))*$F598))</f>
        <v>-248642.75139272146</v>
      </c>
      <c r="I598" s="64">
        <f t="shared" si="244"/>
        <v>-242293.43118347583</v>
      </c>
      <c r="J598" s="64">
        <f t="shared" si="244"/>
        <v>-219676.40703610098</v>
      </c>
      <c r="K598" s="64">
        <f t="shared" si="244"/>
        <v>0</v>
      </c>
      <c r="L598" s="64">
        <f t="shared" si="244"/>
        <v>0</v>
      </c>
      <c r="M598" s="64">
        <f t="shared" si="244"/>
        <v>0</v>
      </c>
      <c r="N598" s="64">
        <f t="shared" si="244"/>
        <v>-44083.932180534837</v>
      </c>
      <c r="O598" s="64">
        <f t="shared" si="244"/>
        <v>-42958.208627649961</v>
      </c>
      <c r="P598" s="64">
        <f t="shared" si="244"/>
        <v>-38948.249145406313</v>
      </c>
      <c r="Q598" s="64">
        <f t="shared" si="244"/>
        <v>0</v>
      </c>
      <c r="R598" s="64">
        <f t="shared" si="244"/>
        <v>-45085.862886920739</v>
      </c>
      <c r="S598" s="64">
        <f t="shared" si="244"/>
        <v>0</v>
      </c>
      <c r="T598" s="64">
        <f t="shared" si="244"/>
        <v>-66165.855225922627</v>
      </c>
      <c r="U598" s="64">
        <f t="shared" si="244"/>
        <v>-107514.54609495877</v>
      </c>
      <c r="V598" s="64">
        <f t="shared" si="244"/>
        <v>-22055.285075307544</v>
      </c>
      <c r="W598" s="64">
        <f t="shared" si="244"/>
        <v>-35838.182031652934</v>
      </c>
      <c r="X598" s="64">
        <f t="shared" si="244"/>
        <v>-27339.584594398042</v>
      </c>
      <c r="Y598" s="64">
        <f t="shared" si="244"/>
        <v>-20748.288177009777</v>
      </c>
      <c r="Z598" s="64">
        <f t="shared" si="244"/>
        <v>-9846.470935759844</v>
      </c>
      <c r="AA598" s="64">
        <f t="shared" si="244"/>
        <v>-13003.907108829979</v>
      </c>
      <c r="AB598" s="64">
        <f t="shared" si="244"/>
        <v>-30661.038303350357</v>
      </c>
      <c r="AC598" s="64">
        <f t="shared" si="244"/>
        <v>0</v>
      </c>
      <c r="AD598" s="64">
        <f t="shared" si="244"/>
        <v>0</v>
      </c>
      <c r="AE598" s="64">
        <f t="shared" si="244"/>
        <v>0</v>
      </c>
      <c r="AF598" s="64">
        <f>SUM(H598:AE598)</f>
        <v>-1214861.9999999998</v>
      </c>
      <c r="AG598" s="59" t="str">
        <f>IF(ABS(AF598-F598)&lt;1,"ok","err")</f>
        <v>ok</v>
      </c>
    </row>
    <row r="599" spans="1:33" x14ac:dyDescent="0.25">
      <c r="A599" s="61"/>
      <c r="B599" s="61"/>
      <c r="W599" s="45"/>
    </row>
    <row r="600" spans="1:33" x14ac:dyDescent="0.25">
      <c r="A600" s="61" t="s">
        <v>766</v>
      </c>
      <c r="B600" s="61"/>
      <c r="C600" s="45" t="s">
        <v>1098</v>
      </c>
      <c r="D600" s="45" t="s">
        <v>990</v>
      </c>
      <c r="F600" s="77">
        <v>0</v>
      </c>
      <c r="G600" s="63">
        <v>600157</v>
      </c>
      <c r="H600" s="64">
        <f t="shared" ref="H600:AE600" si="245">IF(VLOOKUP($D600,$C$6:$AE$651,H$2,)=0,0,((VLOOKUP($D600,$C$6:$AE$651,H$2,)/VLOOKUP($D600,$C$6:$AE$651,4,))*$F600))</f>
        <v>0</v>
      </c>
      <c r="I600" s="64">
        <f t="shared" si="245"/>
        <v>0</v>
      </c>
      <c r="J600" s="64">
        <f t="shared" si="245"/>
        <v>0</v>
      </c>
      <c r="K600" s="64">
        <f t="shared" si="245"/>
        <v>0</v>
      </c>
      <c r="L600" s="64">
        <f t="shared" si="245"/>
        <v>0</v>
      </c>
      <c r="M600" s="64">
        <f t="shared" si="245"/>
        <v>0</v>
      </c>
      <c r="N600" s="64">
        <f t="shared" si="245"/>
        <v>0</v>
      </c>
      <c r="O600" s="64">
        <f t="shared" si="245"/>
        <v>0</v>
      </c>
      <c r="P600" s="64">
        <f t="shared" si="245"/>
        <v>0</v>
      </c>
      <c r="Q600" s="64">
        <f t="shared" si="245"/>
        <v>0</v>
      </c>
      <c r="R600" s="64">
        <f t="shared" si="245"/>
        <v>0</v>
      </c>
      <c r="S600" s="64">
        <f t="shared" si="245"/>
        <v>0</v>
      </c>
      <c r="T600" s="64">
        <f t="shared" si="245"/>
        <v>0</v>
      </c>
      <c r="U600" s="64">
        <f t="shared" si="245"/>
        <v>0</v>
      </c>
      <c r="V600" s="64">
        <f t="shared" si="245"/>
        <v>0</v>
      </c>
      <c r="W600" s="64">
        <f t="shared" si="245"/>
        <v>0</v>
      </c>
      <c r="X600" s="64">
        <f t="shared" si="245"/>
        <v>0</v>
      </c>
      <c r="Y600" s="64">
        <f t="shared" si="245"/>
        <v>0</v>
      </c>
      <c r="Z600" s="64">
        <f t="shared" si="245"/>
        <v>0</v>
      </c>
      <c r="AA600" s="64">
        <f t="shared" si="245"/>
        <v>0</v>
      </c>
      <c r="AB600" s="64">
        <f t="shared" si="245"/>
        <v>0</v>
      </c>
      <c r="AC600" s="64">
        <f t="shared" si="245"/>
        <v>0</v>
      </c>
      <c r="AD600" s="64">
        <f t="shared" si="245"/>
        <v>0</v>
      </c>
      <c r="AE600" s="64">
        <f t="shared" si="245"/>
        <v>0</v>
      </c>
      <c r="AF600" s="64">
        <f>SUM(H600:AE600)</f>
        <v>0</v>
      </c>
      <c r="AG600" s="59" t="str">
        <f>IF(ABS(AF600-F600)&lt;1,"ok","err")</f>
        <v>ok</v>
      </c>
    </row>
    <row r="601" spans="1:33" x14ac:dyDescent="0.25">
      <c r="A601" s="61"/>
      <c r="B601" s="61"/>
      <c r="W601" s="45"/>
    </row>
    <row r="602" spans="1:33" x14ac:dyDescent="0.25">
      <c r="A602" s="61" t="s">
        <v>883</v>
      </c>
      <c r="B602" s="61"/>
      <c r="C602" s="45" t="s">
        <v>1099</v>
      </c>
      <c r="D602" s="45" t="s">
        <v>990</v>
      </c>
      <c r="F602" s="77">
        <f>54657.9925203129*1000</f>
        <v>54657992.520312905</v>
      </c>
      <c r="H602" s="64">
        <f t="shared" ref="H602:AE602" si="246">IF(VLOOKUP($D602,$C$6:$AE$651,H$2,)=0,0,((VLOOKUP($D602,$C$6:$AE$651,H$2,)/VLOOKUP($D602,$C$6:$AE$651,4,))*$F602))</f>
        <v>11186713.919649633</v>
      </c>
      <c r="I602" s="64">
        <f t="shared" si="246"/>
        <v>10901050.941874363</v>
      </c>
      <c r="J602" s="64">
        <f t="shared" si="246"/>
        <v>9883485.8713733908</v>
      </c>
      <c r="K602" s="64">
        <f t="shared" si="246"/>
        <v>0</v>
      </c>
      <c r="L602" s="64">
        <f t="shared" si="246"/>
        <v>0</v>
      </c>
      <c r="M602" s="64">
        <f t="shared" si="246"/>
        <v>0</v>
      </c>
      <c r="N602" s="64">
        <f t="shared" si="246"/>
        <v>1983385.1378919207</v>
      </c>
      <c r="O602" s="64">
        <f t="shared" si="246"/>
        <v>1932737.5832449552</v>
      </c>
      <c r="P602" s="64">
        <f t="shared" si="246"/>
        <v>1752325.046358271</v>
      </c>
      <c r="Q602" s="64">
        <f t="shared" si="246"/>
        <v>0</v>
      </c>
      <c r="R602" s="64">
        <f t="shared" si="246"/>
        <v>2028463.1146954692</v>
      </c>
      <c r="S602" s="64">
        <f t="shared" si="246"/>
        <v>0</v>
      </c>
      <c r="T602" s="64">
        <f t="shared" si="246"/>
        <v>2976875.4146879115</v>
      </c>
      <c r="U602" s="64">
        <f t="shared" si="246"/>
        <v>4837199.003905871</v>
      </c>
      <c r="V602" s="64">
        <f t="shared" si="246"/>
        <v>992291.8048959705</v>
      </c>
      <c r="W602" s="64">
        <f t="shared" si="246"/>
        <v>1612399.6679686238</v>
      </c>
      <c r="X602" s="64">
        <f t="shared" si="246"/>
        <v>1230038.3173307504</v>
      </c>
      <c r="Y602" s="64">
        <f t="shared" si="246"/>
        <v>933488.56083102198</v>
      </c>
      <c r="Z602" s="64">
        <f t="shared" si="246"/>
        <v>443003.67840811546</v>
      </c>
      <c r="AA602" s="64">
        <f t="shared" si="246"/>
        <v>585060.24345915241</v>
      </c>
      <c r="AB602" s="64">
        <f t="shared" si="246"/>
        <v>1379474.2137374873</v>
      </c>
      <c r="AC602" s="64">
        <f t="shared" si="246"/>
        <v>0</v>
      </c>
      <c r="AD602" s="64">
        <f t="shared" si="246"/>
        <v>0</v>
      </c>
      <c r="AE602" s="64">
        <f t="shared" si="246"/>
        <v>0</v>
      </c>
      <c r="AF602" s="64">
        <f>SUM(H602:AE602)</f>
        <v>54657992.520312898</v>
      </c>
      <c r="AG602" s="59" t="str">
        <f>IF(ABS(AF602-F602)&lt;1,"ok","err")</f>
        <v>ok</v>
      </c>
    </row>
    <row r="603" spans="1:33" x14ac:dyDescent="0.25">
      <c r="A603" s="61"/>
      <c r="B603" s="61"/>
      <c r="F603" s="77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  <c r="AA603" s="64"/>
      <c r="AB603" s="64"/>
      <c r="AC603" s="64"/>
      <c r="AD603" s="64"/>
      <c r="AE603" s="64"/>
      <c r="AF603" s="64"/>
      <c r="AG603" s="59"/>
    </row>
    <row r="604" spans="1:33" x14ac:dyDescent="0.25">
      <c r="A604" s="61" t="s">
        <v>1100</v>
      </c>
      <c r="B604" s="61"/>
      <c r="C604" s="45" t="s">
        <v>1101</v>
      </c>
      <c r="D604" s="45" t="s">
        <v>990</v>
      </c>
      <c r="F604" s="77">
        <v>0</v>
      </c>
      <c r="H604" s="64">
        <f t="shared" ref="H604:AE604" si="247">IF(VLOOKUP($D604,$C$6:$AE$651,H$2,)=0,0,((VLOOKUP($D604,$C$6:$AE$651,H$2,)/VLOOKUP($D604,$C$6:$AE$651,4,))*$F604))</f>
        <v>0</v>
      </c>
      <c r="I604" s="64">
        <f t="shared" si="247"/>
        <v>0</v>
      </c>
      <c r="J604" s="64">
        <f t="shared" si="247"/>
        <v>0</v>
      </c>
      <c r="K604" s="64">
        <f t="shared" si="247"/>
        <v>0</v>
      </c>
      <c r="L604" s="64">
        <f t="shared" si="247"/>
        <v>0</v>
      </c>
      <c r="M604" s="64">
        <f t="shared" si="247"/>
        <v>0</v>
      </c>
      <c r="N604" s="64">
        <f t="shared" si="247"/>
        <v>0</v>
      </c>
      <c r="O604" s="64">
        <f t="shared" si="247"/>
        <v>0</v>
      </c>
      <c r="P604" s="64">
        <f t="shared" si="247"/>
        <v>0</v>
      </c>
      <c r="Q604" s="64">
        <f t="shared" si="247"/>
        <v>0</v>
      </c>
      <c r="R604" s="64">
        <f t="shared" si="247"/>
        <v>0</v>
      </c>
      <c r="S604" s="64">
        <f t="shared" si="247"/>
        <v>0</v>
      </c>
      <c r="T604" s="64">
        <f t="shared" si="247"/>
        <v>0</v>
      </c>
      <c r="U604" s="64">
        <f t="shared" si="247"/>
        <v>0</v>
      </c>
      <c r="V604" s="64">
        <f t="shared" si="247"/>
        <v>0</v>
      </c>
      <c r="W604" s="64">
        <f t="shared" si="247"/>
        <v>0</v>
      </c>
      <c r="X604" s="64">
        <f t="shared" si="247"/>
        <v>0</v>
      </c>
      <c r="Y604" s="64">
        <f t="shared" si="247"/>
        <v>0</v>
      </c>
      <c r="Z604" s="64">
        <f t="shared" si="247"/>
        <v>0</v>
      </c>
      <c r="AA604" s="64">
        <f t="shared" si="247"/>
        <v>0</v>
      </c>
      <c r="AB604" s="64">
        <f t="shared" si="247"/>
        <v>0</v>
      </c>
      <c r="AC604" s="64">
        <f t="shared" si="247"/>
        <v>0</v>
      </c>
      <c r="AD604" s="64">
        <f t="shared" si="247"/>
        <v>0</v>
      </c>
      <c r="AE604" s="64">
        <f t="shared" si="247"/>
        <v>0</v>
      </c>
      <c r="AF604" s="64">
        <f>SUM(H604:AE604)</f>
        <v>0</v>
      </c>
      <c r="AG604" s="59" t="str">
        <f>IF(ABS(AF604-F604)&lt;1,"ok","err")</f>
        <v>ok</v>
      </c>
    </row>
    <row r="605" spans="1:33" x14ac:dyDescent="0.25">
      <c r="A605" s="61"/>
      <c r="B605" s="61"/>
      <c r="AF605" s="64"/>
      <c r="AG605" s="59"/>
    </row>
    <row r="606" spans="1:33" x14ac:dyDescent="0.25">
      <c r="A606" s="66" t="s">
        <v>1102</v>
      </c>
      <c r="B606" s="61"/>
      <c r="C606" s="45" t="s">
        <v>1103</v>
      </c>
      <c r="F606" s="81">
        <f>F578+F586+F594+F596+F598+F600+F602+F604</f>
        <v>200540623.67533594</v>
      </c>
      <c r="G606" s="65"/>
      <c r="H606" s="81">
        <f t="shared" ref="H606:AE606" si="248">H578+H586+H594+H596+H598+H600+H602+H604</f>
        <v>41322983.497538656</v>
      </c>
      <c r="I606" s="81">
        <f t="shared" si="248"/>
        <v>40267763.296034217</v>
      </c>
      <c r="J606" s="81">
        <f t="shared" si="248"/>
        <v>36508945.030187272</v>
      </c>
      <c r="K606" s="81">
        <f t="shared" si="248"/>
        <v>0</v>
      </c>
      <c r="L606" s="81">
        <f t="shared" si="248"/>
        <v>0</v>
      </c>
      <c r="M606" s="81">
        <f t="shared" si="248"/>
        <v>0</v>
      </c>
      <c r="N606" s="81">
        <f t="shared" si="248"/>
        <v>6404137.2869832814</v>
      </c>
      <c r="O606" s="81">
        <f t="shared" si="248"/>
        <v>6240601.7804331528</v>
      </c>
      <c r="P606" s="81">
        <f t="shared" si="248"/>
        <v>5658069.103122035</v>
      </c>
      <c r="Q606" s="81">
        <f t="shared" si="248"/>
        <v>0</v>
      </c>
      <c r="R606" s="81">
        <f t="shared" si="248"/>
        <v>7644821.3892927505</v>
      </c>
      <c r="S606" s="81">
        <f t="shared" si="248"/>
        <v>0</v>
      </c>
      <c r="T606" s="81">
        <f t="shared" si="248"/>
        <v>11219174.102104617</v>
      </c>
      <c r="U606" s="81">
        <f t="shared" si="248"/>
        <v>18230315.425221272</v>
      </c>
      <c r="V606" s="81">
        <f t="shared" si="248"/>
        <v>3739724.7007015394</v>
      </c>
      <c r="W606" s="81">
        <f t="shared" si="248"/>
        <v>6076771.8084070906</v>
      </c>
      <c r="X606" s="81">
        <f t="shared" si="248"/>
        <v>4635737.8499295563</v>
      </c>
      <c r="Y606" s="81">
        <f t="shared" si="248"/>
        <v>3518108.4954421162</v>
      </c>
      <c r="Z606" s="81">
        <f t="shared" si="248"/>
        <v>1669581.2567132472</v>
      </c>
      <c r="AA606" s="81">
        <f t="shared" si="248"/>
        <v>2204960.5096678482</v>
      </c>
      <c r="AB606" s="81">
        <f t="shared" si="248"/>
        <v>5198928.143557285</v>
      </c>
      <c r="AC606" s="81">
        <f t="shared" si="248"/>
        <v>0</v>
      </c>
      <c r="AD606" s="81">
        <f t="shared" si="248"/>
        <v>0</v>
      </c>
      <c r="AE606" s="81">
        <f t="shared" si="248"/>
        <v>0</v>
      </c>
      <c r="AF606" s="64">
        <f>SUM(H606:AE606)</f>
        <v>200540623.67533588</v>
      </c>
      <c r="AG606" s="59" t="str">
        <f>IF(ABS(AF606-F606)&lt;1,"ok","err")</f>
        <v>ok</v>
      </c>
    </row>
    <row r="607" spans="1:33" x14ac:dyDescent="0.25">
      <c r="A607" s="61"/>
      <c r="B607" s="61"/>
      <c r="AG607" s="59"/>
    </row>
    <row r="608" spans="1:33" x14ac:dyDescent="0.25">
      <c r="A608" s="66" t="s">
        <v>1183</v>
      </c>
      <c r="B608" s="61"/>
      <c r="F608" s="81">
        <f>F331+F606</f>
        <v>899133275.45538688</v>
      </c>
      <c r="G608" s="65">
        <f t="shared" ref="G608:AE608" si="249">G331+G606</f>
        <v>0</v>
      </c>
      <c r="H608" s="65">
        <f t="shared" si="249"/>
        <v>80246047.46157518</v>
      </c>
      <c r="I608" s="65">
        <f t="shared" si="249"/>
        <v>78196891.200208366</v>
      </c>
      <c r="J608" s="65">
        <f t="shared" si="249"/>
        <v>70897555.977267459</v>
      </c>
      <c r="K608" s="65">
        <f t="shared" si="249"/>
        <v>476121957.27249932</v>
      </c>
      <c r="L608" s="65">
        <f t="shared" si="249"/>
        <v>0</v>
      </c>
      <c r="M608" s="65">
        <f t="shared" si="249"/>
        <v>0</v>
      </c>
      <c r="N608" s="65">
        <f t="shared" si="249"/>
        <v>13728022.578535659</v>
      </c>
      <c r="O608" s="65">
        <f t="shared" si="249"/>
        <v>13377464.958405379</v>
      </c>
      <c r="P608" s="65">
        <f t="shared" si="249"/>
        <v>12128737.551652847</v>
      </c>
      <c r="Q608" s="65">
        <f t="shared" si="249"/>
        <v>0</v>
      </c>
      <c r="R608" s="65">
        <f t="shared" si="249"/>
        <v>14393273.47231569</v>
      </c>
      <c r="S608" s="65">
        <f t="shared" si="249"/>
        <v>0</v>
      </c>
      <c r="T608" s="65">
        <f t="shared" si="249"/>
        <v>25110228.044502914</v>
      </c>
      <c r="U608" s="65">
        <f t="shared" si="249"/>
        <v>38059422.995033018</v>
      </c>
      <c r="V608" s="65">
        <f t="shared" si="249"/>
        <v>8370076.0148343053</v>
      </c>
      <c r="W608" s="65">
        <f t="shared" si="249"/>
        <v>12686474.331677672</v>
      </c>
      <c r="X608" s="65">
        <f t="shared" si="249"/>
        <v>5656214.0763961002</v>
      </c>
      <c r="Y608" s="65">
        <f t="shared" si="249"/>
        <v>4292558.2589858454</v>
      </c>
      <c r="Z608" s="65">
        <f t="shared" si="249"/>
        <v>1916131.7448696434</v>
      </c>
      <c r="AA608" s="65">
        <f t="shared" si="249"/>
        <v>15211292.978463698</v>
      </c>
      <c r="AB608" s="65">
        <f t="shared" si="249"/>
        <v>6426372.5494986987</v>
      </c>
      <c r="AC608" s="65">
        <f t="shared" si="249"/>
        <v>19571803.844366148</v>
      </c>
      <c r="AD608" s="65">
        <f t="shared" si="249"/>
        <v>2742750.1442987714</v>
      </c>
      <c r="AE608" s="65">
        <f t="shared" si="249"/>
        <v>0</v>
      </c>
      <c r="AF608" s="64">
        <f>SUM(H608:AE608)</f>
        <v>899133275.45538664</v>
      </c>
      <c r="AG608" s="59" t="str">
        <f>IF(ABS(AF608-F608)&lt;1,"ok","err")</f>
        <v>ok</v>
      </c>
    </row>
    <row r="609" spans="1:34" x14ac:dyDescent="0.25">
      <c r="A609" s="61"/>
      <c r="B609" s="61"/>
      <c r="AG609" s="59"/>
    </row>
    <row r="610" spans="1:34" x14ac:dyDescent="0.25">
      <c r="A610" s="61"/>
      <c r="B610" s="61"/>
      <c r="AG610" s="59"/>
    </row>
    <row r="611" spans="1:34" s="61" customFormat="1" x14ac:dyDescent="0.25">
      <c r="F611" s="80"/>
      <c r="W611" s="78"/>
      <c r="AG611" s="94"/>
    </row>
    <row r="612" spans="1:34" s="61" customFormat="1" x14ac:dyDescent="0.25">
      <c r="A612" s="60" t="s">
        <v>1390</v>
      </c>
      <c r="W612" s="78"/>
      <c r="AG612" s="94"/>
    </row>
    <row r="613" spans="1:34" s="61" customFormat="1" x14ac:dyDescent="0.25">
      <c r="W613" s="78"/>
      <c r="AG613" s="94"/>
    </row>
    <row r="614" spans="1:34" s="61" customFormat="1" x14ac:dyDescent="0.25">
      <c r="A614" s="61" t="s">
        <v>945</v>
      </c>
      <c r="C614" s="61" t="s">
        <v>962</v>
      </c>
      <c r="F614" s="82">
        <v>1</v>
      </c>
      <c r="G614" s="82"/>
      <c r="H614" s="242">
        <v>0</v>
      </c>
      <c r="I614" s="242">
        <v>0</v>
      </c>
      <c r="J614" s="242">
        <v>0</v>
      </c>
      <c r="K614" s="242">
        <v>0</v>
      </c>
      <c r="L614" s="242">
        <v>0</v>
      </c>
      <c r="M614" s="242">
        <v>0</v>
      </c>
      <c r="N614" s="242">
        <v>0</v>
      </c>
      <c r="O614" s="242">
        <v>0</v>
      </c>
      <c r="P614" s="242">
        <v>0</v>
      </c>
      <c r="Q614" s="242">
        <v>0</v>
      </c>
      <c r="R614" s="242">
        <v>1</v>
      </c>
      <c r="S614" s="242">
        <v>0</v>
      </c>
      <c r="T614" s="242">
        <v>0</v>
      </c>
      <c r="U614" s="242">
        <v>0</v>
      </c>
      <c r="V614" s="242">
        <v>0</v>
      </c>
      <c r="W614" s="242">
        <v>0</v>
      </c>
      <c r="X614" s="82">
        <v>0</v>
      </c>
      <c r="Y614" s="82">
        <v>0</v>
      </c>
      <c r="Z614" s="82">
        <v>0</v>
      </c>
      <c r="AA614" s="82">
        <v>0</v>
      </c>
      <c r="AB614" s="82">
        <v>0</v>
      </c>
      <c r="AC614" s="82">
        <v>0</v>
      </c>
      <c r="AD614" s="82">
        <v>0</v>
      </c>
      <c r="AE614" s="82">
        <v>0</v>
      </c>
      <c r="AF614" s="242">
        <f>SUM(H614:AE614)</f>
        <v>1</v>
      </c>
      <c r="AG614" s="94" t="str">
        <f t="shared" ref="AG614:AG638" si="250">IF(ABS(AF614-F614)&lt;0.0000001,"ok","err")</f>
        <v>ok</v>
      </c>
    </row>
    <row r="615" spans="1:34" s="61" customFormat="1" x14ac:dyDescent="0.25">
      <c r="A615" s="61" t="s">
        <v>1104</v>
      </c>
      <c r="C615" s="61" t="s">
        <v>963</v>
      </c>
      <c r="F615" s="82">
        <v>1</v>
      </c>
      <c r="G615" s="82"/>
      <c r="H615" s="242">
        <v>0</v>
      </c>
      <c r="I615" s="242">
        <v>0</v>
      </c>
      <c r="J615" s="242">
        <v>0</v>
      </c>
      <c r="K615" s="242">
        <v>0</v>
      </c>
      <c r="L615" s="242">
        <v>0</v>
      </c>
      <c r="M615" s="242">
        <v>0</v>
      </c>
      <c r="N615" s="242">
        <v>0</v>
      </c>
      <c r="O615" s="242">
        <v>0</v>
      </c>
      <c r="P615" s="242">
        <v>0</v>
      </c>
      <c r="Q615" s="242">
        <v>0</v>
      </c>
      <c r="R615" s="242">
        <v>0</v>
      </c>
      <c r="S615" s="242">
        <v>0</v>
      </c>
      <c r="T615" s="242">
        <f>0.4276*0.75</f>
        <v>0.32069999999999999</v>
      </c>
      <c r="U615" s="242">
        <f>0.5724*0.75</f>
        <v>0.42930000000000001</v>
      </c>
      <c r="V615" s="242">
        <f>0.4276*0.25</f>
        <v>0.1069</v>
      </c>
      <c r="W615" s="242">
        <f>0.5724*0.25</f>
        <v>0.1431</v>
      </c>
      <c r="X615" s="82">
        <v>0</v>
      </c>
      <c r="Y615" s="82">
        <v>0</v>
      </c>
      <c r="Z615" s="82">
        <v>0</v>
      </c>
      <c r="AA615" s="82">
        <v>0</v>
      </c>
      <c r="AB615" s="82">
        <v>0</v>
      </c>
      <c r="AC615" s="82">
        <v>0</v>
      </c>
      <c r="AD615" s="82">
        <v>0</v>
      </c>
      <c r="AE615" s="82">
        <v>0</v>
      </c>
      <c r="AF615" s="242">
        <f t="shared" ref="AF615:AF623" si="251">SUM(H615:AE615)</f>
        <v>1</v>
      </c>
      <c r="AG615" s="94" t="str">
        <f t="shared" si="250"/>
        <v>ok</v>
      </c>
    </row>
    <row r="616" spans="1:34" s="61" customFormat="1" x14ac:dyDescent="0.25">
      <c r="A616" s="61" t="s">
        <v>1105</v>
      </c>
      <c r="C616" s="61" t="s">
        <v>965</v>
      </c>
      <c r="F616" s="82">
        <v>1</v>
      </c>
      <c r="G616" s="82"/>
      <c r="H616" s="242">
        <v>0</v>
      </c>
      <c r="I616" s="242">
        <v>0</v>
      </c>
      <c r="J616" s="242">
        <v>0</v>
      </c>
      <c r="K616" s="242">
        <v>0</v>
      </c>
      <c r="L616" s="242">
        <v>0</v>
      </c>
      <c r="M616" s="242">
        <v>0</v>
      </c>
      <c r="N616" s="242">
        <v>0</v>
      </c>
      <c r="O616" s="242">
        <v>0</v>
      </c>
      <c r="P616" s="242">
        <v>0</v>
      </c>
      <c r="Q616" s="242">
        <v>0</v>
      </c>
      <c r="R616" s="242">
        <v>0</v>
      </c>
      <c r="S616" s="242">
        <v>0</v>
      </c>
      <c r="T616" s="242">
        <f>T615</f>
        <v>0.32069999999999999</v>
      </c>
      <c r="U616" s="242">
        <f>U615</f>
        <v>0.42930000000000001</v>
      </c>
      <c r="V616" s="242">
        <f>V615</f>
        <v>0.1069</v>
      </c>
      <c r="W616" s="242">
        <f>W615</f>
        <v>0.1431</v>
      </c>
      <c r="X616" s="82">
        <v>0</v>
      </c>
      <c r="Y616" s="82">
        <v>0</v>
      </c>
      <c r="Z616" s="82">
        <v>0</v>
      </c>
      <c r="AA616" s="82">
        <v>0</v>
      </c>
      <c r="AB616" s="82">
        <v>0</v>
      </c>
      <c r="AC616" s="82">
        <v>0</v>
      </c>
      <c r="AD616" s="82">
        <v>0</v>
      </c>
      <c r="AE616" s="82">
        <v>0</v>
      </c>
      <c r="AF616" s="242">
        <f t="shared" si="251"/>
        <v>1</v>
      </c>
      <c r="AG616" s="94" t="str">
        <f t="shared" si="250"/>
        <v>ok</v>
      </c>
      <c r="AH616" s="82"/>
    </row>
    <row r="617" spans="1:34" s="61" customFormat="1" x14ac:dyDescent="0.25">
      <c r="A617" s="61" t="s">
        <v>1106</v>
      </c>
      <c r="C617" s="61" t="s">
        <v>966</v>
      </c>
      <c r="F617" s="82">
        <v>1</v>
      </c>
      <c r="G617" s="82"/>
      <c r="H617" s="242">
        <v>0</v>
      </c>
      <c r="I617" s="242">
        <v>0</v>
      </c>
      <c r="J617" s="242">
        <v>0</v>
      </c>
      <c r="K617" s="242">
        <v>0</v>
      </c>
      <c r="L617" s="242">
        <v>0</v>
      </c>
      <c r="M617" s="242">
        <v>0</v>
      </c>
      <c r="N617" s="242">
        <v>0</v>
      </c>
      <c r="O617" s="242">
        <v>0</v>
      </c>
      <c r="P617" s="242">
        <v>0</v>
      </c>
      <c r="Q617" s="242">
        <v>0</v>
      </c>
      <c r="R617" s="242">
        <v>0</v>
      </c>
      <c r="S617" s="242">
        <v>0</v>
      </c>
      <c r="T617" s="242">
        <f>0.3001*0.75</f>
        <v>0.22507499999999997</v>
      </c>
      <c r="U617" s="242">
        <f>0.6999*0.75</f>
        <v>0.52492499999999997</v>
      </c>
      <c r="V617" s="242">
        <f>0.3001*0.25</f>
        <v>7.5024999999999994E-2</v>
      </c>
      <c r="W617" s="242">
        <f>0.6999*0.25</f>
        <v>0.17497499999999999</v>
      </c>
      <c r="X617" s="82">
        <v>0</v>
      </c>
      <c r="Y617" s="82">
        <v>0</v>
      </c>
      <c r="Z617" s="82">
        <v>0</v>
      </c>
      <c r="AA617" s="82">
        <v>0</v>
      </c>
      <c r="AB617" s="82">
        <v>0</v>
      </c>
      <c r="AC617" s="82">
        <v>0</v>
      </c>
      <c r="AD617" s="82">
        <v>0</v>
      </c>
      <c r="AE617" s="82">
        <v>0</v>
      </c>
      <c r="AF617" s="242">
        <f t="shared" si="251"/>
        <v>1</v>
      </c>
      <c r="AG617" s="94" t="str">
        <f t="shared" si="250"/>
        <v>ok</v>
      </c>
    </row>
    <row r="618" spans="1:34" s="61" customFormat="1" x14ac:dyDescent="0.25">
      <c r="A618" s="61" t="s">
        <v>1107</v>
      </c>
      <c r="C618" s="61" t="s">
        <v>969</v>
      </c>
      <c r="F618" s="82">
        <v>1</v>
      </c>
      <c r="G618" s="82"/>
      <c r="H618" s="242">
        <v>0</v>
      </c>
      <c r="I618" s="242">
        <v>0</v>
      </c>
      <c r="J618" s="242">
        <v>0</v>
      </c>
      <c r="K618" s="242">
        <v>0</v>
      </c>
      <c r="L618" s="242">
        <v>0</v>
      </c>
      <c r="M618" s="242">
        <v>0</v>
      </c>
      <c r="N618" s="242">
        <v>0</v>
      </c>
      <c r="O618" s="242">
        <v>0</v>
      </c>
      <c r="P618" s="242">
        <v>0</v>
      </c>
      <c r="Q618" s="242">
        <v>0</v>
      </c>
      <c r="R618" s="242">
        <v>0</v>
      </c>
      <c r="S618" s="242">
        <v>0</v>
      </c>
      <c r="T618" s="242">
        <v>0</v>
      </c>
      <c r="U618" s="242">
        <v>0</v>
      </c>
      <c r="V618" s="242">
        <v>0</v>
      </c>
      <c r="W618" s="242">
        <v>0</v>
      </c>
      <c r="X618" s="82">
        <v>0.56853387390123156</v>
      </c>
      <c r="Y618" s="82">
        <v>0.43146612609876839</v>
      </c>
      <c r="Z618" s="82">
        <v>0</v>
      </c>
      <c r="AA618" s="82">
        <v>0</v>
      </c>
      <c r="AB618" s="82">
        <v>0</v>
      </c>
      <c r="AC618" s="82">
        <v>0</v>
      </c>
      <c r="AD618" s="82">
        <v>0</v>
      </c>
      <c r="AE618" s="82">
        <v>0</v>
      </c>
      <c r="AF618" s="242">
        <f t="shared" si="251"/>
        <v>1</v>
      </c>
      <c r="AG618" s="94" t="str">
        <f t="shared" si="250"/>
        <v>ok</v>
      </c>
    </row>
    <row r="619" spans="1:34" s="61" customFormat="1" x14ac:dyDescent="0.25">
      <c r="A619" s="61" t="s">
        <v>1108</v>
      </c>
      <c r="C619" s="61" t="s">
        <v>971</v>
      </c>
      <c r="F619" s="82">
        <v>1</v>
      </c>
      <c r="G619" s="82"/>
      <c r="H619" s="242">
        <v>0</v>
      </c>
      <c r="I619" s="242">
        <v>0</v>
      </c>
      <c r="J619" s="242">
        <v>0</v>
      </c>
      <c r="K619" s="242">
        <v>0</v>
      </c>
      <c r="L619" s="242">
        <v>0</v>
      </c>
      <c r="M619" s="242">
        <v>0</v>
      </c>
      <c r="N619" s="242">
        <v>0</v>
      </c>
      <c r="O619" s="242">
        <v>0</v>
      </c>
      <c r="P619" s="242">
        <v>0</v>
      </c>
      <c r="Q619" s="242">
        <v>0</v>
      </c>
      <c r="R619" s="242">
        <v>0</v>
      </c>
      <c r="S619" s="242">
        <v>0</v>
      </c>
      <c r="T619" s="242">
        <v>0</v>
      </c>
      <c r="U619" s="242">
        <v>0</v>
      </c>
      <c r="V619" s="242">
        <v>0</v>
      </c>
      <c r="W619" s="242">
        <v>0</v>
      </c>
      <c r="X619" s="82">
        <v>0</v>
      </c>
      <c r="Y619" s="82">
        <v>0</v>
      </c>
      <c r="Z619" s="82">
        <v>1</v>
      </c>
      <c r="AA619" s="82">
        <v>0</v>
      </c>
      <c r="AB619" s="82">
        <v>0</v>
      </c>
      <c r="AC619" s="82">
        <v>0</v>
      </c>
      <c r="AD619" s="82">
        <v>0</v>
      </c>
      <c r="AE619" s="82">
        <v>0</v>
      </c>
      <c r="AF619" s="242">
        <f t="shared" si="251"/>
        <v>1</v>
      </c>
      <c r="AG619" s="94" t="str">
        <f t="shared" si="250"/>
        <v>ok</v>
      </c>
    </row>
    <row r="620" spans="1:34" s="61" customFormat="1" x14ac:dyDescent="0.25">
      <c r="A620" s="61" t="s">
        <v>946</v>
      </c>
      <c r="C620" s="61" t="s">
        <v>973</v>
      </c>
      <c r="F620" s="82">
        <v>1</v>
      </c>
      <c r="G620" s="82"/>
      <c r="H620" s="242">
        <v>0</v>
      </c>
      <c r="I620" s="242">
        <v>0</v>
      </c>
      <c r="J620" s="242">
        <v>0</v>
      </c>
      <c r="K620" s="242">
        <v>0</v>
      </c>
      <c r="L620" s="242">
        <v>0</v>
      </c>
      <c r="M620" s="242">
        <v>0</v>
      </c>
      <c r="N620" s="242">
        <v>0</v>
      </c>
      <c r="O620" s="242">
        <v>0</v>
      </c>
      <c r="P620" s="242">
        <v>0</v>
      </c>
      <c r="Q620" s="242">
        <v>0</v>
      </c>
      <c r="R620" s="242">
        <v>0</v>
      </c>
      <c r="S620" s="242">
        <v>0</v>
      </c>
      <c r="T620" s="242">
        <v>0</v>
      </c>
      <c r="U620" s="242">
        <v>0</v>
      </c>
      <c r="V620" s="242">
        <v>0</v>
      </c>
      <c r="W620" s="242">
        <v>0</v>
      </c>
      <c r="X620" s="82">
        <v>0</v>
      </c>
      <c r="Y620" s="82">
        <v>0</v>
      </c>
      <c r="Z620" s="82">
        <v>0</v>
      </c>
      <c r="AA620" s="82">
        <v>1</v>
      </c>
      <c r="AB620" s="82">
        <v>0</v>
      </c>
      <c r="AC620" s="82">
        <v>0</v>
      </c>
      <c r="AD620" s="82">
        <v>0</v>
      </c>
      <c r="AE620" s="82">
        <v>0</v>
      </c>
      <c r="AF620" s="242">
        <f t="shared" si="251"/>
        <v>1</v>
      </c>
      <c r="AG620" s="94" t="str">
        <f t="shared" si="250"/>
        <v>ok</v>
      </c>
    </row>
    <row r="621" spans="1:34" s="61" customFormat="1" x14ac:dyDescent="0.25">
      <c r="A621" s="61" t="s">
        <v>1109</v>
      </c>
      <c r="C621" s="61" t="s">
        <v>976</v>
      </c>
      <c r="F621" s="82">
        <v>1</v>
      </c>
      <c r="G621" s="82"/>
      <c r="H621" s="242">
        <v>0</v>
      </c>
      <c r="I621" s="242">
        <v>0</v>
      </c>
      <c r="J621" s="242">
        <v>0</v>
      </c>
      <c r="K621" s="242">
        <v>0</v>
      </c>
      <c r="L621" s="242">
        <v>0</v>
      </c>
      <c r="M621" s="242">
        <v>0</v>
      </c>
      <c r="N621" s="242">
        <v>0</v>
      </c>
      <c r="O621" s="242">
        <v>0</v>
      </c>
      <c r="P621" s="242">
        <v>0</v>
      </c>
      <c r="Q621" s="242">
        <v>0</v>
      </c>
      <c r="R621" s="242">
        <v>0</v>
      </c>
      <c r="S621" s="242">
        <v>0</v>
      </c>
      <c r="T621" s="242">
        <v>0</v>
      </c>
      <c r="U621" s="242">
        <v>0</v>
      </c>
      <c r="V621" s="242">
        <v>0</v>
      </c>
      <c r="W621" s="242">
        <v>0</v>
      </c>
      <c r="X621" s="82">
        <v>0</v>
      </c>
      <c r="Y621" s="82">
        <v>0</v>
      </c>
      <c r="Z621" s="82">
        <v>0</v>
      </c>
      <c r="AA621" s="82">
        <v>0</v>
      </c>
      <c r="AB621" s="82">
        <v>1</v>
      </c>
      <c r="AC621" s="82">
        <v>0</v>
      </c>
      <c r="AD621" s="82">
        <v>0</v>
      </c>
      <c r="AE621" s="82">
        <v>0</v>
      </c>
      <c r="AF621" s="242">
        <f t="shared" si="251"/>
        <v>1</v>
      </c>
      <c r="AG621" s="94" t="str">
        <f t="shared" si="250"/>
        <v>ok</v>
      </c>
    </row>
    <row r="622" spans="1:34" s="61" customFormat="1" x14ac:dyDescent="0.25">
      <c r="A622" s="61" t="s">
        <v>1110</v>
      </c>
      <c r="C622" s="61" t="s">
        <v>1050</v>
      </c>
      <c r="F622" s="82">
        <v>1</v>
      </c>
      <c r="G622" s="82"/>
      <c r="H622" s="242">
        <v>0</v>
      </c>
      <c r="I622" s="242">
        <v>0</v>
      </c>
      <c r="J622" s="242">
        <v>0</v>
      </c>
      <c r="K622" s="242">
        <v>0</v>
      </c>
      <c r="L622" s="242">
        <v>0</v>
      </c>
      <c r="M622" s="242">
        <v>0</v>
      </c>
      <c r="N622" s="242">
        <v>0</v>
      </c>
      <c r="O622" s="242">
        <v>0</v>
      </c>
      <c r="P622" s="242">
        <v>0</v>
      </c>
      <c r="Q622" s="242">
        <v>0</v>
      </c>
      <c r="R622" s="242">
        <v>0</v>
      </c>
      <c r="S622" s="242">
        <v>0</v>
      </c>
      <c r="T622" s="242">
        <v>0</v>
      </c>
      <c r="U622" s="242">
        <v>0</v>
      </c>
      <c r="V622" s="242">
        <v>0</v>
      </c>
      <c r="W622" s="242">
        <v>0</v>
      </c>
      <c r="X622" s="82">
        <v>0</v>
      </c>
      <c r="Y622" s="82">
        <v>0</v>
      </c>
      <c r="Z622" s="82">
        <v>0</v>
      </c>
      <c r="AA622" s="82">
        <v>0</v>
      </c>
      <c r="AB622" s="82">
        <v>0</v>
      </c>
      <c r="AC622" s="82">
        <v>0</v>
      </c>
      <c r="AD622" s="82">
        <v>1</v>
      </c>
      <c r="AE622" s="82">
        <v>0</v>
      </c>
      <c r="AF622" s="242">
        <f t="shared" si="251"/>
        <v>1</v>
      </c>
      <c r="AG622" s="94" t="str">
        <f t="shared" si="250"/>
        <v>ok</v>
      </c>
    </row>
    <row r="623" spans="1:34" s="61" customFormat="1" x14ac:dyDescent="0.25">
      <c r="A623" s="61" t="s">
        <v>1111</v>
      </c>
      <c r="C623" s="61" t="s">
        <v>1060</v>
      </c>
      <c r="F623" s="82">
        <v>1</v>
      </c>
      <c r="G623" s="82"/>
      <c r="H623" s="242">
        <v>0</v>
      </c>
      <c r="I623" s="242">
        <v>0</v>
      </c>
      <c r="J623" s="242">
        <v>0</v>
      </c>
      <c r="K623" s="242">
        <v>0</v>
      </c>
      <c r="L623" s="242">
        <v>0</v>
      </c>
      <c r="M623" s="242">
        <v>0</v>
      </c>
      <c r="N623" s="242">
        <v>0</v>
      </c>
      <c r="O623" s="242">
        <v>0</v>
      </c>
      <c r="P623" s="242">
        <v>0</v>
      </c>
      <c r="Q623" s="242">
        <v>0</v>
      </c>
      <c r="R623" s="242">
        <v>0</v>
      </c>
      <c r="S623" s="242">
        <v>0</v>
      </c>
      <c r="T623" s="242">
        <v>0</v>
      </c>
      <c r="U623" s="242">
        <v>0</v>
      </c>
      <c r="V623" s="242">
        <v>0</v>
      </c>
      <c r="W623" s="242">
        <v>0</v>
      </c>
      <c r="X623" s="82">
        <v>0</v>
      </c>
      <c r="Y623" s="82">
        <v>0</v>
      </c>
      <c r="Z623" s="82">
        <v>0</v>
      </c>
      <c r="AA623" s="82">
        <v>0</v>
      </c>
      <c r="AB623" s="82">
        <v>0</v>
      </c>
      <c r="AC623" s="82">
        <v>0</v>
      </c>
      <c r="AD623" s="82">
        <v>1</v>
      </c>
      <c r="AE623" s="82">
        <v>0</v>
      </c>
      <c r="AF623" s="242">
        <f t="shared" si="251"/>
        <v>1</v>
      </c>
      <c r="AG623" s="94" t="str">
        <f t="shared" si="250"/>
        <v>ok</v>
      </c>
    </row>
    <row r="624" spans="1:34" s="61" customFormat="1" x14ac:dyDescent="0.25">
      <c r="A624" s="61" t="s">
        <v>1153</v>
      </c>
      <c r="C624" s="61" t="s">
        <v>1185</v>
      </c>
      <c r="F624" s="82">
        <v>1</v>
      </c>
      <c r="G624" s="82"/>
      <c r="H624" s="242">
        <v>0</v>
      </c>
      <c r="I624" s="242">
        <v>0</v>
      </c>
      <c r="J624" s="242">
        <v>0</v>
      </c>
      <c r="K624" s="242">
        <v>0</v>
      </c>
      <c r="L624" s="242">
        <v>0</v>
      </c>
      <c r="M624" s="242">
        <v>0</v>
      </c>
      <c r="N624" s="243">
        <f>H626</f>
        <v>0.34989916450590608</v>
      </c>
      <c r="O624" s="243">
        <f>I626</f>
        <v>0.3409641691201506</v>
      </c>
      <c r="P624" s="243">
        <f>J626</f>
        <v>0.30913666637394333</v>
      </c>
      <c r="Q624" s="242">
        <v>0</v>
      </c>
      <c r="R624" s="242">
        <v>0</v>
      </c>
      <c r="S624" s="242">
        <v>0</v>
      </c>
      <c r="T624" s="242">
        <v>0</v>
      </c>
      <c r="U624" s="242">
        <v>0</v>
      </c>
      <c r="V624" s="242">
        <v>0</v>
      </c>
      <c r="W624" s="242">
        <v>0</v>
      </c>
      <c r="X624" s="82">
        <v>0</v>
      </c>
      <c r="Y624" s="82">
        <v>0</v>
      </c>
      <c r="Z624" s="82">
        <v>0</v>
      </c>
      <c r="AA624" s="82">
        <v>0</v>
      </c>
      <c r="AB624" s="82">
        <v>0</v>
      </c>
      <c r="AC624" s="82">
        <v>0</v>
      </c>
      <c r="AD624" s="82">
        <v>0</v>
      </c>
      <c r="AE624" s="82">
        <v>0</v>
      </c>
      <c r="AF624" s="242">
        <f t="shared" ref="AF624:AF637" si="252">SUM(H624:AE624)</f>
        <v>1</v>
      </c>
      <c r="AG624" s="94" t="str">
        <f t="shared" si="250"/>
        <v>ok</v>
      </c>
    </row>
    <row r="625" spans="1:33" s="61" customFormat="1" x14ac:dyDescent="0.25">
      <c r="A625" s="61" t="s">
        <v>41</v>
      </c>
      <c r="C625" s="61" t="s">
        <v>42</v>
      </c>
      <c r="F625" s="82">
        <v>1</v>
      </c>
      <c r="G625" s="82"/>
      <c r="H625" s="242">
        <v>0</v>
      </c>
      <c r="I625" s="242">
        <v>0</v>
      </c>
      <c r="J625" s="242">
        <v>0</v>
      </c>
      <c r="K625" s="242">
        <v>0</v>
      </c>
      <c r="L625" s="242">
        <v>0</v>
      </c>
      <c r="M625" s="242">
        <v>0</v>
      </c>
      <c r="N625" s="242">
        <v>0</v>
      </c>
      <c r="O625" s="242">
        <v>0</v>
      </c>
      <c r="P625" s="242">
        <v>0</v>
      </c>
      <c r="Q625" s="242">
        <v>0</v>
      </c>
      <c r="R625" s="242">
        <v>0</v>
      </c>
      <c r="S625" s="242">
        <v>0</v>
      </c>
      <c r="T625" s="242">
        <v>0</v>
      </c>
      <c r="U625" s="242">
        <v>0</v>
      </c>
      <c r="V625" s="242">
        <v>0</v>
      </c>
      <c r="W625" s="242">
        <v>0</v>
      </c>
      <c r="X625" s="82">
        <v>0</v>
      </c>
      <c r="Y625" s="82">
        <v>0</v>
      </c>
      <c r="Z625" s="82">
        <v>0</v>
      </c>
      <c r="AA625" s="82">
        <v>0</v>
      </c>
      <c r="AB625" s="82">
        <v>0</v>
      </c>
      <c r="AC625" s="82">
        <v>0</v>
      </c>
      <c r="AD625" s="82">
        <v>0</v>
      </c>
      <c r="AE625" s="82">
        <v>1</v>
      </c>
      <c r="AF625" s="242">
        <f t="shared" si="252"/>
        <v>1</v>
      </c>
      <c r="AG625" s="94" t="str">
        <f t="shared" si="250"/>
        <v>ok</v>
      </c>
    </row>
    <row r="626" spans="1:33" s="61" customFormat="1" x14ac:dyDescent="0.25">
      <c r="A626" s="61" t="s">
        <v>646</v>
      </c>
      <c r="C626" s="61" t="s">
        <v>645</v>
      </c>
      <c r="F626" s="82">
        <v>1</v>
      </c>
      <c r="G626" s="82"/>
      <c r="H626" s="243">
        <v>0.34989916450590608</v>
      </c>
      <c r="I626" s="243">
        <v>0.3409641691201506</v>
      </c>
      <c r="J626" s="243">
        <v>0.30913666637394333</v>
      </c>
      <c r="K626" s="242">
        <v>0</v>
      </c>
      <c r="L626" s="242">
        <v>0</v>
      </c>
      <c r="M626" s="242">
        <v>0</v>
      </c>
      <c r="N626" s="242">
        <v>0</v>
      </c>
      <c r="O626" s="242">
        <v>0</v>
      </c>
      <c r="P626" s="242">
        <v>0</v>
      </c>
      <c r="Q626" s="242">
        <v>0</v>
      </c>
      <c r="R626" s="242">
        <v>0</v>
      </c>
      <c r="S626" s="242">
        <v>0</v>
      </c>
      <c r="T626" s="242">
        <v>0</v>
      </c>
      <c r="U626" s="242">
        <v>0</v>
      </c>
      <c r="V626" s="242">
        <v>0</v>
      </c>
      <c r="W626" s="242">
        <v>0</v>
      </c>
      <c r="X626" s="82">
        <v>0</v>
      </c>
      <c r="Y626" s="82">
        <v>0</v>
      </c>
      <c r="Z626" s="82">
        <v>0</v>
      </c>
      <c r="AA626" s="82">
        <v>0</v>
      </c>
      <c r="AB626" s="82">
        <v>0</v>
      </c>
      <c r="AC626" s="82">
        <v>0</v>
      </c>
      <c r="AD626" s="82">
        <v>0</v>
      </c>
      <c r="AE626" s="82">
        <v>0</v>
      </c>
      <c r="AF626" s="242">
        <f t="shared" si="252"/>
        <v>1</v>
      </c>
      <c r="AG626" s="94" t="str">
        <f t="shared" si="250"/>
        <v>ok</v>
      </c>
    </row>
    <row r="627" spans="1:33" s="61" customFormat="1" x14ac:dyDescent="0.25">
      <c r="A627" s="61" t="s">
        <v>651</v>
      </c>
      <c r="C627" s="61" t="s">
        <v>652</v>
      </c>
      <c r="F627" s="82">
        <v>1</v>
      </c>
      <c r="G627" s="82"/>
      <c r="H627" s="242">
        <v>0</v>
      </c>
      <c r="I627" s="242">
        <v>0</v>
      </c>
      <c r="J627" s="242">
        <v>0</v>
      </c>
      <c r="K627" s="242">
        <v>1</v>
      </c>
      <c r="L627" s="242">
        <v>0</v>
      </c>
      <c r="M627" s="242">
        <v>0</v>
      </c>
      <c r="N627" s="242">
        <v>0</v>
      </c>
      <c r="O627" s="242">
        <v>0</v>
      </c>
      <c r="P627" s="242">
        <v>0</v>
      </c>
      <c r="Q627" s="242">
        <v>0</v>
      </c>
      <c r="R627" s="242">
        <v>0</v>
      </c>
      <c r="S627" s="242">
        <v>0</v>
      </c>
      <c r="T627" s="242">
        <v>0</v>
      </c>
      <c r="U627" s="242">
        <v>0</v>
      </c>
      <c r="V627" s="242">
        <v>0</v>
      </c>
      <c r="W627" s="242">
        <v>0</v>
      </c>
      <c r="X627" s="82">
        <v>0</v>
      </c>
      <c r="Y627" s="82">
        <v>0</v>
      </c>
      <c r="Z627" s="82">
        <v>0</v>
      </c>
      <c r="AA627" s="82">
        <v>0</v>
      </c>
      <c r="AB627" s="82">
        <v>0</v>
      </c>
      <c r="AC627" s="82">
        <v>0</v>
      </c>
      <c r="AD627" s="82">
        <v>0</v>
      </c>
      <c r="AE627" s="82">
        <v>0</v>
      </c>
      <c r="AF627" s="242">
        <f t="shared" si="252"/>
        <v>1</v>
      </c>
      <c r="AG627" s="94" t="str">
        <f t="shared" si="250"/>
        <v>ok</v>
      </c>
    </row>
    <row r="628" spans="1:33" s="61" customFormat="1" x14ac:dyDescent="0.25">
      <c r="A628" s="61" t="s">
        <v>647</v>
      </c>
      <c r="C628" s="61" t="s">
        <v>648</v>
      </c>
      <c r="F628" s="82">
        <v>1</v>
      </c>
      <c r="G628" s="82"/>
      <c r="H628" s="242">
        <v>0</v>
      </c>
      <c r="I628" s="242">
        <v>0</v>
      </c>
      <c r="J628" s="242">
        <v>0</v>
      </c>
      <c r="K628" s="242">
        <v>1</v>
      </c>
      <c r="L628" s="242">
        <v>0</v>
      </c>
      <c r="M628" s="242">
        <v>0</v>
      </c>
      <c r="N628" s="242">
        <v>0</v>
      </c>
      <c r="O628" s="242">
        <v>0</v>
      </c>
      <c r="P628" s="242">
        <v>0</v>
      </c>
      <c r="Q628" s="242">
        <v>0</v>
      </c>
      <c r="R628" s="242">
        <v>0</v>
      </c>
      <c r="S628" s="242">
        <v>0</v>
      </c>
      <c r="T628" s="242">
        <v>0</v>
      </c>
      <c r="U628" s="242">
        <v>0</v>
      </c>
      <c r="V628" s="242">
        <v>0</v>
      </c>
      <c r="W628" s="242">
        <v>0</v>
      </c>
      <c r="X628" s="82">
        <v>0</v>
      </c>
      <c r="Y628" s="82">
        <v>0</v>
      </c>
      <c r="Z628" s="82">
        <v>0</v>
      </c>
      <c r="AA628" s="82">
        <v>0</v>
      </c>
      <c r="AB628" s="82">
        <v>0</v>
      </c>
      <c r="AC628" s="82">
        <v>0</v>
      </c>
      <c r="AD628" s="82">
        <v>0</v>
      </c>
      <c r="AE628" s="82">
        <v>0</v>
      </c>
      <c r="AF628" s="242">
        <f t="shared" si="252"/>
        <v>1</v>
      </c>
      <c r="AG628" s="94" t="str">
        <f t="shared" si="250"/>
        <v>ok</v>
      </c>
    </row>
    <row r="629" spans="1:33" s="61" customFormat="1" x14ac:dyDescent="0.25">
      <c r="A629" s="61" t="s">
        <v>649</v>
      </c>
      <c r="C629" s="61" t="s">
        <v>650</v>
      </c>
      <c r="F629" s="80">
        <f>F363+F364+F366+F367+F368</f>
        <v>16884031</v>
      </c>
      <c r="G629" s="113"/>
      <c r="H629" s="80">
        <f>H363+H364+H366+H367+H368</f>
        <v>5033443.6398732355</v>
      </c>
      <c r="I629" s="80">
        <f t="shared" ref="I629:AE629" si="253">I363+I364+I366+I367+I368</f>
        <v>4904910.0500310436</v>
      </c>
      <c r="J629" s="80">
        <f t="shared" si="253"/>
        <v>4447058.3100957209</v>
      </c>
      <c r="K629" s="80">
        <f t="shared" si="253"/>
        <v>2498619</v>
      </c>
      <c r="L629" s="83">
        <f t="shared" si="253"/>
        <v>0</v>
      </c>
      <c r="M629" s="83">
        <f t="shared" si="253"/>
        <v>0</v>
      </c>
      <c r="N629" s="83">
        <f t="shared" si="253"/>
        <v>0</v>
      </c>
      <c r="O629" s="83">
        <f t="shared" si="253"/>
        <v>0</v>
      </c>
      <c r="P629" s="83">
        <f t="shared" si="253"/>
        <v>0</v>
      </c>
      <c r="Q629" s="83">
        <f t="shared" si="253"/>
        <v>0</v>
      </c>
      <c r="R629" s="83">
        <f t="shared" si="253"/>
        <v>0</v>
      </c>
      <c r="S629" s="83">
        <f t="shared" si="253"/>
        <v>0</v>
      </c>
      <c r="T629" s="83">
        <f t="shared" si="253"/>
        <v>0</v>
      </c>
      <c r="U629" s="83">
        <f t="shared" si="253"/>
        <v>0</v>
      </c>
      <c r="V629" s="83">
        <f t="shared" si="253"/>
        <v>0</v>
      </c>
      <c r="W629" s="83">
        <f t="shared" si="253"/>
        <v>0</v>
      </c>
      <c r="X629" s="83">
        <f t="shared" si="253"/>
        <v>0</v>
      </c>
      <c r="Y629" s="83">
        <f t="shared" si="253"/>
        <v>0</v>
      </c>
      <c r="Z629" s="83">
        <f t="shared" si="253"/>
        <v>0</v>
      </c>
      <c r="AA629" s="83">
        <f t="shared" si="253"/>
        <v>0</v>
      </c>
      <c r="AB629" s="83">
        <f t="shared" si="253"/>
        <v>0</v>
      </c>
      <c r="AC629" s="83">
        <f t="shared" si="253"/>
        <v>0</v>
      </c>
      <c r="AD629" s="83">
        <f t="shared" si="253"/>
        <v>0</v>
      </c>
      <c r="AE629" s="83">
        <f t="shared" si="253"/>
        <v>0</v>
      </c>
      <c r="AF629" s="83">
        <f t="shared" si="252"/>
        <v>16884031</v>
      </c>
      <c r="AG629" s="94" t="str">
        <f t="shared" si="250"/>
        <v>ok</v>
      </c>
    </row>
    <row r="630" spans="1:33" s="61" customFormat="1" x14ac:dyDescent="0.25">
      <c r="A630" s="61" t="s">
        <v>653</v>
      </c>
      <c r="C630" s="61" t="s">
        <v>653</v>
      </c>
      <c r="F630" s="82">
        <v>1</v>
      </c>
      <c r="G630" s="82"/>
      <c r="H630" s="243">
        <f>H626</f>
        <v>0.34989916450590608</v>
      </c>
      <c r="I630" s="243">
        <f>I626</f>
        <v>0.3409641691201506</v>
      </c>
      <c r="J630" s="243">
        <f>J626</f>
        <v>0.30913666637394333</v>
      </c>
      <c r="K630" s="242">
        <v>0</v>
      </c>
      <c r="L630" s="242">
        <v>0</v>
      </c>
      <c r="M630" s="242">
        <v>0</v>
      </c>
      <c r="N630" s="242">
        <v>0</v>
      </c>
      <c r="O630" s="242">
        <v>0</v>
      </c>
      <c r="P630" s="242">
        <v>0</v>
      </c>
      <c r="Q630" s="242">
        <v>0</v>
      </c>
      <c r="R630" s="242">
        <v>0</v>
      </c>
      <c r="S630" s="242">
        <v>0</v>
      </c>
      <c r="T630" s="242">
        <v>0</v>
      </c>
      <c r="U630" s="242">
        <v>0</v>
      </c>
      <c r="V630" s="242">
        <v>0</v>
      </c>
      <c r="W630" s="242">
        <v>0</v>
      </c>
      <c r="X630" s="82">
        <v>0</v>
      </c>
      <c r="Y630" s="82">
        <v>0</v>
      </c>
      <c r="Z630" s="82">
        <v>0</v>
      </c>
      <c r="AA630" s="82">
        <v>0</v>
      </c>
      <c r="AB630" s="82">
        <v>0</v>
      </c>
      <c r="AC630" s="82">
        <v>0</v>
      </c>
      <c r="AD630" s="82">
        <v>0</v>
      </c>
      <c r="AE630" s="82">
        <v>0</v>
      </c>
      <c r="AF630" s="242">
        <f t="shared" si="252"/>
        <v>1</v>
      </c>
      <c r="AG630" s="94" t="str">
        <f t="shared" si="250"/>
        <v>ok</v>
      </c>
    </row>
    <row r="631" spans="1:33" s="61" customFormat="1" x14ac:dyDescent="0.25">
      <c r="A631" s="61" t="s">
        <v>654</v>
      </c>
      <c r="C631" s="61" t="s">
        <v>655</v>
      </c>
      <c r="F631" s="80">
        <f>F374+F375+F376+F377</f>
        <v>8762461</v>
      </c>
      <c r="G631" s="113"/>
      <c r="H631" s="80">
        <f>H374+H375+H376+H377</f>
        <v>76083.473926822247</v>
      </c>
      <c r="I631" s="80">
        <f t="shared" ref="I631:AE631" si="254">I374+I375+I376+I377</f>
        <v>74140.61279016202</v>
      </c>
      <c r="J631" s="80">
        <f t="shared" si="254"/>
        <v>67219.913283015732</v>
      </c>
      <c r="K631" s="80">
        <f t="shared" si="254"/>
        <v>8545017</v>
      </c>
      <c r="L631" s="83">
        <f t="shared" si="254"/>
        <v>0</v>
      </c>
      <c r="M631" s="83">
        <f t="shared" si="254"/>
        <v>0</v>
      </c>
      <c r="N631" s="83">
        <f t="shared" si="254"/>
        <v>0</v>
      </c>
      <c r="O631" s="83">
        <f t="shared" si="254"/>
        <v>0</v>
      </c>
      <c r="P631" s="83">
        <f t="shared" si="254"/>
        <v>0</v>
      </c>
      <c r="Q631" s="83">
        <f t="shared" si="254"/>
        <v>0</v>
      </c>
      <c r="R631" s="83">
        <f t="shared" si="254"/>
        <v>0</v>
      </c>
      <c r="S631" s="83">
        <f t="shared" si="254"/>
        <v>0</v>
      </c>
      <c r="T631" s="83">
        <f t="shared" si="254"/>
        <v>0</v>
      </c>
      <c r="U631" s="83">
        <f t="shared" si="254"/>
        <v>0</v>
      </c>
      <c r="V631" s="83">
        <f t="shared" si="254"/>
        <v>0</v>
      </c>
      <c r="W631" s="83">
        <f t="shared" si="254"/>
        <v>0</v>
      </c>
      <c r="X631" s="83">
        <f t="shared" si="254"/>
        <v>0</v>
      </c>
      <c r="Y631" s="83">
        <f t="shared" si="254"/>
        <v>0</v>
      </c>
      <c r="Z631" s="83">
        <f t="shared" si="254"/>
        <v>0</v>
      </c>
      <c r="AA631" s="83">
        <f t="shared" si="254"/>
        <v>0</v>
      </c>
      <c r="AB631" s="83">
        <f t="shared" si="254"/>
        <v>0</v>
      </c>
      <c r="AC631" s="83">
        <f t="shared" si="254"/>
        <v>0</v>
      </c>
      <c r="AD631" s="83">
        <f t="shared" si="254"/>
        <v>0</v>
      </c>
      <c r="AE631" s="83">
        <f t="shared" si="254"/>
        <v>0</v>
      </c>
      <c r="AF631" s="83">
        <f t="shared" si="252"/>
        <v>8762461</v>
      </c>
      <c r="AG631" s="94" t="str">
        <f t="shared" si="250"/>
        <v>ok</v>
      </c>
    </row>
    <row r="632" spans="1:33" s="61" customFormat="1" x14ac:dyDescent="0.25">
      <c r="A632" s="61" t="s">
        <v>656</v>
      </c>
      <c r="C632" s="61" t="s">
        <v>657</v>
      </c>
      <c r="F632" s="80">
        <f>F385+F386+F387+F388+F389</f>
        <v>218766</v>
      </c>
      <c r="G632" s="113"/>
      <c r="H632" s="80">
        <f t="shared" ref="H632:M632" si="255">H385+H386+H387+H388+H389</f>
        <v>76546.040622299042</v>
      </c>
      <c r="I632" s="80">
        <f t="shared" si="255"/>
        <v>74591.367421738862</v>
      </c>
      <c r="J632" s="80">
        <f t="shared" si="255"/>
        <v>67628.591955962096</v>
      </c>
      <c r="K632" s="80">
        <f t="shared" si="255"/>
        <v>0</v>
      </c>
      <c r="L632" s="83">
        <f t="shared" si="255"/>
        <v>0</v>
      </c>
      <c r="M632" s="83">
        <f t="shared" si="255"/>
        <v>0</v>
      </c>
      <c r="N632" s="83">
        <f>N385+N386+N387+N388+N389</f>
        <v>0</v>
      </c>
      <c r="O632" s="83">
        <f>O385+O386+O387+O388+O389</f>
        <v>0</v>
      </c>
      <c r="P632" s="83">
        <f>P385+P386+P387+P388+P389</f>
        <v>0</v>
      </c>
      <c r="Q632" s="83">
        <f t="shared" ref="Q632:AB632" si="256">Q385+Q386+Q387+Q388+Q389</f>
        <v>0</v>
      </c>
      <c r="R632" s="83">
        <f t="shared" si="256"/>
        <v>0</v>
      </c>
      <c r="S632" s="83">
        <f t="shared" si="256"/>
        <v>0</v>
      </c>
      <c r="T632" s="83">
        <f t="shared" si="256"/>
        <v>0</v>
      </c>
      <c r="U632" s="83">
        <f t="shared" si="256"/>
        <v>0</v>
      </c>
      <c r="V632" s="83">
        <f t="shared" si="256"/>
        <v>0</v>
      </c>
      <c r="W632" s="83">
        <f t="shared" si="256"/>
        <v>0</v>
      </c>
      <c r="X632" s="83">
        <f t="shared" si="256"/>
        <v>0</v>
      </c>
      <c r="Y632" s="83">
        <f t="shared" si="256"/>
        <v>0</v>
      </c>
      <c r="Z632" s="83">
        <f t="shared" si="256"/>
        <v>0</v>
      </c>
      <c r="AA632" s="83">
        <f t="shared" si="256"/>
        <v>0</v>
      </c>
      <c r="AB632" s="83">
        <f t="shared" si="256"/>
        <v>0</v>
      </c>
      <c r="AC632" s="83">
        <f>AC385+AC386+AC387+AC388+AC389</f>
        <v>0</v>
      </c>
      <c r="AD632" s="83">
        <f>AD385+AD386+AD387+AD388+AD389</f>
        <v>0</v>
      </c>
      <c r="AE632" s="83">
        <f>AE385+AE386+AE387+AE388+AE389</f>
        <v>0</v>
      </c>
      <c r="AF632" s="83">
        <f t="shared" si="252"/>
        <v>218766</v>
      </c>
      <c r="AG632" s="94" t="str">
        <f t="shared" si="250"/>
        <v>ok</v>
      </c>
    </row>
    <row r="633" spans="1:33" s="61" customFormat="1" x14ac:dyDescent="0.25">
      <c r="A633" s="61" t="s">
        <v>663</v>
      </c>
      <c r="C633" s="61" t="s">
        <v>664</v>
      </c>
      <c r="F633" s="80">
        <f>F395+F396+F397+F398</f>
        <v>264273</v>
      </c>
      <c r="G633" s="113"/>
      <c r="H633" s="80">
        <f>H395+H396+H397+H398</f>
        <v>33625.309709017572</v>
      </c>
      <c r="I633" s="80">
        <f t="shared" ref="I633:AE633" si="257">I395+I396+I397+I398</f>
        <v>32766.656652446472</v>
      </c>
      <c r="J633" s="80">
        <f t="shared" si="257"/>
        <v>29708.033638535951</v>
      </c>
      <c r="K633" s="80">
        <f t="shared" si="257"/>
        <v>168173</v>
      </c>
      <c r="L633" s="83">
        <f t="shared" si="257"/>
        <v>0</v>
      </c>
      <c r="M633" s="83">
        <f t="shared" si="257"/>
        <v>0</v>
      </c>
      <c r="N633" s="83">
        <f t="shared" si="257"/>
        <v>0</v>
      </c>
      <c r="O633" s="83">
        <f t="shared" si="257"/>
        <v>0</v>
      </c>
      <c r="P633" s="83">
        <f t="shared" si="257"/>
        <v>0</v>
      </c>
      <c r="Q633" s="83">
        <f t="shared" si="257"/>
        <v>0</v>
      </c>
      <c r="R633" s="83">
        <f t="shared" si="257"/>
        <v>0</v>
      </c>
      <c r="S633" s="83">
        <f t="shared" si="257"/>
        <v>0</v>
      </c>
      <c r="T633" s="83">
        <f t="shared" si="257"/>
        <v>0</v>
      </c>
      <c r="U633" s="83">
        <f t="shared" si="257"/>
        <v>0</v>
      </c>
      <c r="V633" s="83">
        <f t="shared" si="257"/>
        <v>0</v>
      </c>
      <c r="W633" s="83">
        <f t="shared" si="257"/>
        <v>0</v>
      </c>
      <c r="X633" s="83">
        <f t="shared" si="257"/>
        <v>0</v>
      </c>
      <c r="Y633" s="83">
        <f t="shared" si="257"/>
        <v>0</v>
      </c>
      <c r="Z633" s="83">
        <f t="shared" si="257"/>
        <v>0</v>
      </c>
      <c r="AA633" s="83">
        <f t="shared" si="257"/>
        <v>0</v>
      </c>
      <c r="AB633" s="83">
        <f t="shared" si="257"/>
        <v>0</v>
      </c>
      <c r="AC633" s="83">
        <f t="shared" si="257"/>
        <v>0</v>
      </c>
      <c r="AD633" s="83">
        <f t="shared" si="257"/>
        <v>0</v>
      </c>
      <c r="AE633" s="83">
        <f t="shared" si="257"/>
        <v>0</v>
      </c>
      <c r="AF633" s="83">
        <f t="shared" si="252"/>
        <v>264273</v>
      </c>
      <c r="AG633" s="94" t="str">
        <f t="shared" si="250"/>
        <v>ok</v>
      </c>
    </row>
    <row r="634" spans="1:33" s="61" customFormat="1" x14ac:dyDescent="0.25">
      <c r="A634" s="61" t="s">
        <v>666</v>
      </c>
      <c r="C634" s="61" t="s">
        <v>665</v>
      </c>
      <c r="F634" s="80">
        <f>F452+F453+F454+F455+F456+F457+F458+F459+F460+F461</f>
        <v>6644788</v>
      </c>
      <c r="G634" s="113"/>
      <c r="H634" s="80">
        <f>H452+H453+H454+H455+H456+H457+H458+H459+H460+H461</f>
        <v>0</v>
      </c>
      <c r="I634" s="80">
        <f t="shared" ref="I634:AE634" si="258">I452+I453+I454+I455+I456+I457+I458+I459+I460+I461</f>
        <v>0</v>
      </c>
      <c r="J634" s="80">
        <f t="shared" si="258"/>
        <v>0</v>
      </c>
      <c r="K634" s="80">
        <f t="shared" si="258"/>
        <v>0</v>
      </c>
      <c r="L634" s="83">
        <f t="shared" si="258"/>
        <v>0</v>
      </c>
      <c r="M634" s="83">
        <f t="shared" si="258"/>
        <v>0</v>
      </c>
      <c r="N634" s="83">
        <f t="shared" si="258"/>
        <v>0</v>
      </c>
      <c r="O634" s="83">
        <f t="shared" si="258"/>
        <v>0</v>
      </c>
      <c r="P634" s="83">
        <f t="shared" si="258"/>
        <v>0</v>
      </c>
      <c r="Q634" s="83">
        <f t="shared" si="258"/>
        <v>0</v>
      </c>
      <c r="R634" s="83">
        <f t="shared" si="258"/>
        <v>1256114.082510568</v>
      </c>
      <c r="S634" s="83">
        <f t="shared" si="258"/>
        <v>0</v>
      </c>
      <c r="T634" s="83">
        <f t="shared" si="258"/>
        <v>700908.38877282024</v>
      </c>
      <c r="U634" s="83">
        <f t="shared" si="258"/>
        <v>1020561.1489329559</v>
      </c>
      <c r="V634" s="83">
        <f t="shared" si="258"/>
        <v>233636.12959094008</v>
      </c>
      <c r="W634" s="83">
        <f t="shared" si="258"/>
        <v>340187.0496443187</v>
      </c>
      <c r="X634" s="83">
        <f t="shared" si="258"/>
        <v>93091.721768621675</v>
      </c>
      <c r="Y634" s="83">
        <f t="shared" si="258"/>
        <v>70648.252298066946</v>
      </c>
      <c r="Z634" s="83">
        <f t="shared" si="258"/>
        <v>33527.39064449408</v>
      </c>
      <c r="AA634" s="83">
        <f t="shared" si="258"/>
        <v>2791712.5111931893</v>
      </c>
      <c r="AB634" s="83">
        <f t="shared" si="258"/>
        <v>104401.32464402533</v>
      </c>
      <c r="AC634" s="83">
        <f t="shared" si="258"/>
        <v>0</v>
      </c>
      <c r="AD634" s="83">
        <f t="shared" si="258"/>
        <v>0</v>
      </c>
      <c r="AE634" s="83">
        <f t="shared" si="258"/>
        <v>0</v>
      </c>
      <c r="AF634" s="83">
        <f t="shared" si="252"/>
        <v>6644788.0000000009</v>
      </c>
      <c r="AG634" s="94" t="str">
        <f t="shared" si="250"/>
        <v>ok</v>
      </c>
    </row>
    <row r="635" spans="1:33" s="61" customFormat="1" x14ac:dyDescent="0.25">
      <c r="A635" s="61" t="s">
        <v>667</v>
      </c>
      <c r="C635" s="61" t="s">
        <v>668</v>
      </c>
      <c r="F635" s="80">
        <f>F473+F474+F475+F476+F477+F478+F479+F480</f>
        <v>4150036</v>
      </c>
      <c r="G635" s="113"/>
      <c r="H635" s="80">
        <f>H473+H474+H475+H476+H477+H478+H479+H480</f>
        <v>0</v>
      </c>
      <c r="I635" s="80">
        <f t="shared" ref="I635:AE635" si="259">I473+I474+I475+I476+I477+I478+I479+I480</f>
        <v>0</v>
      </c>
      <c r="J635" s="80">
        <f t="shared" si="259"/>
        <v>0</v>
      </c>
      <c r="K635" s="80">
        <f t="shared" si="259"/>
        <v>0</v>
      </c>
      <c r="L635" s="83">
        <f t="shared" si="259"/>
        <v>0</v>
      </c>
      <c r="M635" s="83">
        <f t="shared" si="259"/>
        <v>0</v>
      </c>
      <c r="N635" s="83">
        <f t="shared" si="259"/>
        <v>0</v>
      </c>
      <c r="O635" s="83">
        <f t="shared" si="259"/>
        <v>0</v>
      </c>
      <c r="P635" s="83">
        <f t="shared" si="259"/>
        <v>0</v>
      </c>
      <c r="Q635" s="83">
        <f t="shared" si="259"/>
        <v>0</v>
      </c>
      <c r="R635" s="83">
        <f t="shared" si="259"/>
        <v>347774.99490289402</v>
      </c>
      <c r="S635" s="83">
        <f t="shared" si="259"/>
        <v>0</v>
      </c>
      <c r="T635" s="83">
        <f t="shared" si="259"/>
        <v>1103907.9446739692</v>
      </c>
      <c r="U635" s="83">
        <f t="shared" si="259"/>
        <v>1626337.6239361726</v>
      </c>
      <c r="V635" s="83">
        <f t="shared" si="259"/>
        <v>367969.3148913231</v>
      </c>
      <c r="W635" s="83">
        <f t="shared" si="259"/>
        <v>542112.54131205752</v>
      </c>
      <c r="X635" s="83">
        <f t="shared" si="259"/>
        <v>71222.889426419264</v>
      </c>
      <c r="Y635" s="83">
        <f t="shared" si="259"/>
        <v>54051.77351968419</v>
      </c>
      <c r="Z635" s="83">
        <f t="shared" si="259"/>
        <v>1409.2937939174933</v>
      </c>
      <c r="AA635" s="83">
        <f t="shared" si="259"/>
        <v>1861.2075031468553</v>
      </c>
      <c r="AB635" s="83">
        <f t="shared" si="259"/>
        <v>33388.416040415977</v>
      </c>
      <c r="AC635" s="83">
        <f t="shared" si="259"/>
        <v>0</v>
      </c>
      <c r="AD635" s="83">
        <f t="shared" si="259"/>
        <v>0</v>
      </c>
      <c r="AE635" s="83">
        <f t="shared" si="259"/>
        <v>0</v>
      </c>
      <c r="AF635" s="83">
        <f t="shared" si="252"/>
        <v>4150036</v>
      </c>
      <c r="AG635" s="94" t="str">
        <f t="shared" si="250"/>
        <v>ok</v>
      </c>
    </row>
    <row r="636" spans="1:33" s="61" customFormat="1" x14ac:dyDescent="0.25">
      <c r="A636" s="61" t="s">
        <v>1047</v>
      </c>
      <c r="C636" s="61" t="s">
        <v>669</v>
      </c>
      <c r="F636" s="82">
        <v>1</v>
      </c>
      <c r="G636" s="82"/>
      <c r="H636" s="242">
        <v>0</v>
      </c>
      <c r="I636" s="242">
        <v>0</v>
      </c>
      <c r="J636" s="242">
        <v>0</v>
      </c>
      <c r="K636" s="242">
        <v>0</v>
      </c>
      <c r="L636" s="242">
        <v>0</v>
      </c>
      <c r="M636" s="242">
        <v>0</v>
      </c>
      <c r="N636" s="242">
        <v>0</v>
      </c>
      <c r="O636" s="242">
        <v>0</v>
      </c>
      <c r="P636" s="242">
        <v>0</v>
      </c>
      <c r="Q636" s="242">
        <v>0</v>
      </c>
      <c r="R636" s="242">
        <v>0</v>
      </c>
      <c r="S636" s="242">
        <v>0</v>
      </c>
      <c r="T636" s="242">
        <v>0</v>
      </c>
      <c r="U636" s="242">
        <v>0</v>
      </c>
      <c r="V636" s="242">
        <v>0</v>
      </c>
      <c r="W636" s="242">
        <v>0</v>
      </c>
      <c r="X636" s="82">
        <v>0</v>
      </c>
      <c r="Y636" s="82">
        <v>0</v>
      </c>
      <c r="Z636" s="82">
        <v>0</v>
      </c>
      <c r="AA636" s="82">
        <v>0</v>
      </c>
      <c r="AB636" s="82">
        <v>0</v>
      </c>
      <c r="AC636" s="82">
        <v>1</v>
      </c>
      <c r="AD636" s="82">
        <v>0</v>
      </c>
      <c r="AE636" s="82">
        <v>0</v>
      </c>
      <c r="AF636" s="242">
        <f t="shared" si="252"/>
        <v>1</v>
      </c>
      <c r="AG636" s="94" t="str">
        <f t="shared" si="250"/>
        <v>ok</v>
      </c>
    </row>
    <row r="637" spans="1:33" s="61" customFormat="1" x14ac:dyDescent="0.25">
      <c r="A637" s="61" t="s">
        <v>1058</v>
      </c>
      <c r="C637" s="61" t="s">
        <v>670</v>
      </c>
      <c r="F637" s="82">
        <v>1</v>
      </c>
      <c r="G637" s="82"/>
      <c r="H637" s="242">
        <v>0</v>
      </c>
      <c r="I637" s="242">
        <v>0</v>
      </c>
      <c r="J637" s="242">
        <v>0</v>
      </c>
      <c r="K637" s="242">
        <v>0</v>
      </c>
      <c r="L637" s="242">
        <v>0</v>
      </c>
      <c r="M637" s="242">
        <v>0</v>
      </c>
      <c r="N637" s="242">
        <v>0</v>
      </c>
      <c r="O637" s="242">
        <v>0</v>
      </c>
      <c r="P637" s="242">
        <v>0</v>
      </c>
      <c r="Q637" s="242">
        <v>0</v>
      </c>
      <c r="R637" s="242">
        <v>0</v>
      </c>
      <c r="S637" s="242">
        <v>0</v>
      </c>
      <c r="T637" s="242">
        <v>0</v>
      </c>
      <c r="U637" s="242">
        <v>0</v>
      </c>
      <c r="V637" s="242">
        <v>0</v>
      </c>
      <c r="W637" s="242">
        <v>0</v>
      </c>
      <c r="X637" s="82">
        <v>0</v>
      </c>
      <c r="Y637" s="82">
        <v>0</v>
      </c>
      <c r="Z637" s="82">
        <v>0</v>
      </c>
      <c r="AA637" s="82">
        <v>0</v>
      </c>
      <c r="AB637" s="82">
        <v>0</v>
      </c>
      <c r="AC637" s="82">
        <v>0</v>
      </c>
      <c r="AD637" s="82">
        <v>1</v>
      </c>
      <c r="AE637" s="82">
        <v>0</v>
      </c>
      <c r="AF637" s="242">
        <f t="shared" si="252"/>
        <v>1</v>
      </c>
      <c r="AG637" s="94" t="str">
        <f t="shared" si="250"/>
        <v>ok</v>
      </c>
    </row>
    <row r="638" spans="1:33" s="61" customFormat="1" x14ac:dyDescent="0.25">
      <c r="A638" s="61" t="s">
        <v>907</v>
      </c>
      <c r="C638" s="61" t="s">
        <v>906</v>
      </c>
      <c r="F638" s="80">
        <f>F37+F38</f>
        <v>752785636.67230678</v>
      </c>
      <c r="G638" s="80">
        <f t="shared" ref="G638:AE638" si="260">G37+G38</f>
        <v>0</v>
      </c>
      <c r="H638" s="80">
        <f t="shared" si="260"/>
        <v>0</v>
      </c>
      <c r="I638" s="80">
        <f t="shared" si="260"/>
        <v>0</v>
      </c>
      <c r="J638" s="80">
        <f t="shared" si="260"/>
        <v>0</v>
      </c>
      <c r="K638" s="80">
        <f t="shared" si="260"/>
        <v>0</v>
      </c>
      <c r="L638" s="80">
        <f t="shared" si="260"/>
        <v>0</v>
      </c>
      <c r="M638" s="80">
        <f t="shared" si="260"/>
        <v>0</v>
      </c>
      <c r="N638" s="80">
        <f t="shared" si="260"/>
        <v>0</v>
      </c>
      <c r="O638" s="80">
        <f t="shared" si="260"/>
        <v>0</v>
      </c>
      <c r="P638" s="80">
        <f t="shared" si="260"/>
        <v>0</v>
      </c>
      <c r="Q638" s="80">
        <f t="shared" si="260"/>
        <v>0</v>
      </c>
      <c r="R638" s="80">
        <f t="shared" si="260"/>
        <v>0</v>
      </c>
      <c r="S638" s="80">
        <f t="shared" si="260"/>
        <v>0</v>
      </c>
      <c r="T638" s="80">
        <f t="shared" si="260"/>
        <v>215087763.53034049</v>
      </c>
      <c r="U638" s="80">
        <f t="shared" si="260"/>
        <v>349501463.97388959</v>
      </c>
      <c r="V638" s="80">
        <f t="shared" si="260"/>
        <v>71695921.176780164</v>
      </c>
      <c r="W638" s="80">
        <f t="shared" si="260"/>
        <v>116500487.99129653</v>
      </c>
      <c r="X638" s="80">
        <f t="shared" si="260"/>
        <v>0</v>
      </c>
      <c r="Y638" s="80">
        <f t="shared" si="260"/>
        <v>0</v>
      </c>
      <c r="Z638" s="80">
        <f t="shared" si="260"/>
        <v>0</v>
      </c>
      <c r="AA638" s="80">
        <f t="shared" si="260"/>
        <v>0</v>
      </c>
      <c r="AB638" s="80">
        <f t="shared" si="260"/>
        <v>0</v>
      </c>
      <c r="AC638" s="80">
        <f t="shared" si="260"/>
        <v>0</v>
      </c>
      <c r="AD638" s="80">
        <f t="shared" si="260"/>
        <v>0</v>
      </c>
      <c r="AE638" s="80">
        <f t="shared" si="260"/>
        <v>0</v>
      </c>
      <c r="AF638" s="83">
        <f t="shared" ref="AF638:AF646" si="261">SUM(H638:AE638)</f>
        <v>752785636.67230678</v>
      </c>
      <c r="AG638" s="94" t="str">
        <f t="shared" si="250"/>
        <v>ok</v>
      </c>
    </row>
    <row r="639" spans="1:33" s="61" customFormat="1" x14ac:dyDescent="0.25">
      <c r="A639" s="61" t="s">
        <v>931</v>
      </c>
      <c r="D639" s="61" t="s">
        <v>645</v>
      </c>
      <c r="F639" s="80">
        <v>20765365.719999999</v>
      </c>
      <c r="G639" s="80"/>
      <c r="H639" s="80">
        <f t="shared" ref="H639:Q640" si="262">IF(VLOOKUP($D639,$C$6:$AE$651,H$2,)=0,0,((VLOOKUP($D639,$C$6:$AE$651,H$2,)/VLOOKUP($D639,$C$6:$AE$651,4,))*$F639))</f>
        <v>7265784.116087582</v>
      </c>
      <c r="I639" s="80">
        <f t="shared" si="262"/>
        <v>7080245.6691958569</v>
      </c>
      <c r="J639" s="80">
        <f t="shared" si="262"/>
        <v>6419335.934716559</v>
      </c>
      <c r="K639" s="80">
        <f t="shared" si="262"/>
        <v>0</v>
      </c>
      <c r="L639" s="80">
        <f t="shared" si="262"/>
        <v>0</v>
      </c>
      <c r="M639" s="80">
        <f t="shared" si="262"/>
        <v>0</v>
      </c>
      <c r="N639" s="80">
        <f t="shared" si="262"/>
        <v>0</v>
      </c>
      <c r="O639" s="80">
        <f t="shared" si="262"/>
        <v>0</v>
      </c>
      <c r="P639" s="80">
        <f t="shared" si="262"/>
        <v>0</v>
      </c>
      <c r="Q639" s="80">
        <f t="shared" si="262"/>
        <v>0</v>
      </c>
      <c r="R639" s="80">
        <f t="shared" ref="R639:AE640" si="263">IF(VLOOKUP($D639,$C$6:$AE$651,R$2,)=0,0,((VLOOKUP($D639,$C$6:$AE$651,R$2,)/VLOOKUP($D639,$C$6:$AE$651,4,))*$F639))</f>
        <v>0</v>
      </c>
      <c r="S639" s="80">
        <f t="shared" si="263"/>
        <v>0</v>
      </c>
      <c r="T639" s="80">
        <f t="shared" si="263"/>
        <v>0</v>
      </c>
      <c r="U639" s="80">
        <f t="shared" si="263"/>
        <v>0</v>
      </c>
      <c r="V639" s="80">
        <f t="shared" si="263"/>
        <v>0</v>
      </c>
      <c r="W639" s="80">
        <f t="shared" si="263"/>
        <v>0</v>
      </c>
      <c r="X639" s="80">
        <f t="shared" si="263"/>
        <v>0</v>
      </c>
      <c r="Y639" s="80">
        <f t="shared" si="263"/>
        <v>0</v>
      </c>
      <c r="Z639" s="80">
        <f t="shared" si="263"/>
        <v>0</v>
      </c>
      <c r="AA639" s="80">
        <f t="shared" si="263"/>
        <v>0</v>
      </c>
      <c r="AB639" s="80">
        <f t="shared" si="263"/>
        <v>0</v>
      </c>
      <c r="AC639" s="80">
        <f t="shared" si="263"/>
        <v>0</v>
      </c>
      <c r="AD639" s="80">
        <f t="shared" si="263"/>
        <v>0</v>
      </c>
      <c r="AE639" s="80">
        <f t="shared" si="263"/>
        <v>0</v>
      </c>
      <c r="AF639" s="80">
        <f t="shared" si="261"/>
        <v>20765365.719999999</v>
      </c>
      <c r="AG639" s="94" t="str">
        <f>IF(ABS(AF639-F639)&lt;1,"ok","err")</f>
        <v>ok</v>
      </c>
    </row>
    <row r="640" spans="1:33" s="61" customFormat="1" x14ac:dyDescent="0.25">
      <c r="A640" s="61" t="s">
        <v>932</v>
      </c>
      <c r="D640" s="61" t="s">
        <v>648</v>
      </c>
      <c r="F640" s="80">
        <v>48301061.920000002</v>
      </c>
      <c r="G640" s="82"/>
      <c r="H640" s="80">
        <f t="shared" si="262"/>
        <v>0</v>
      </c>
      <c r="I640" s="80">
        <f t="shared" si="262"/>
        <v>0</v>
      </c>
      <c r="J640" s="80">
        <f t="shared" si="262"/>
        <v>0</v>
      </c>
      <c r="K640" s="80">
        <f t="shared" si="262"/>
        <v>48301061.920000002</v>
      </c>
      <c r="L640" s="80">
        <f t="shared" si="262"/>
        <v>0</v>
      </c>
      <c r="M640" s="80">
        <f t="shared" si="262"/>
        <v>0</v>
      </c>
      <c r="N640" s="80">
        <f t="shared" si="262"/>
        <v>0</v>
      </c>
      <c r="O640" s="80">
        <f t="shared" si="262"/>
        <v>0</v>
      </c>
      <c r="P640" s="80">
        <f t="shared" si="262"/>
        <v>0</v>
      </c>
      <c r="Q640" s="80">
        <f t="shared" si="262"/>
        <v>0</v>
      </c>
      <c r="R640" s="80">
        <f t="shared" si="263"/>
        <v>0</v>
      </c>
      <c r="S640" s="80">
        <f t="shared" si="263"/>
        <v>0</v>
      </c>
      <c r="T640" s="80">
        <f t="shared" si="263"/>
        <v>0</v>
      </c>
      <c r="U640" s="80">
        <f t="shared" si="263"/>
        <v>0</v>
      </c>
      <c r="V640" s="80">
        <f t="shared" si="263"/>
        <v>0</v>
      </c>
      <c r="W640" s="80">
        <f t="shared" si="263"/>
        <v>0</v>
      </c>
      <c r="X640" s="80">
        <f t="shared" si="263"/>
        <v>0</v>
      </c>
      <c r="Y640" s="80">
        <f t="shared" si="263"/>
        <v>0</v>
      </c>
      <c r="Z640" s="80">
        <f t="shared" si="263"/>
        <v>0</v>
      </c>
      <c r="AA640" s="80">
        <f t="shared" si="263"/>
        <v>0</v>
      </c>
      <c r="AB640" s="80">
        <f t="shared" si="263"/>
        <v>0</v>
      </c>
      <c r="AC640" s="80">
        <f t="shared" si="263"/>
        <v>0</v>
      </c>
      <c r="AD640" s="80">
        <f t="shared" si="263"/>
        <v>0</v>
      </c>
      <c r="AE640" s="80">
        <f t="shared" si="263"/>
        <v>0</v>
      </c>
      <c r="AF640" s="80">
        <f t="shared" si="261"/>
        <v>48301061.920000002</v>
      </c>
      <c r="AG640" s="94" t="str">
        <f>IF(ABS(AF640-F640)&lt;1,"ok","err")</f>
        <v>ok</v>
      </c>
    </row>
    <row r="641" spans="1:33" s="61" customFormat="1" x14ac:dyDescent="0.25">
      <c r="A641" s="61" t="s">
        <v>10</v>
      </c>
      <c r="C641" s="61" t="s">
        <v>1008</v>
      </c>
      <c r="F641" s="80">
        <f>F639+F640</f>
        <v>69066427.640000001</v>
      </c>
      <c r="G641" s="80"/>
      <c r="H641" s="80">
        <f>H639+H640</f>
        <v>7265784.116087582</v>
      </c>
      <c r="I641" s="80">
        <f t="shared" ref="I641:AE641" si="264">I639+I640</f>
        <v>7080245.6691958569</v>
      </c>
      <c r="J641" s="80">
        <f t="shared" si="264"/>
        <v>6419335.934716559</v>
      </c>
      <c r="K641" s="80">
        <f t="shared" si="264"/>
        <v>48301061.920000002</v>
      </c>
      <c r="L641" s="80">
        <f t="shared" si="264"/>
        <v>0</v>
      </c>
      <c r="M641" s="80">
        <f t="shared" si="264"/>
        <v>0</v>
      </c>
      <c r="N641" s="80">
        <f t="shared" si="264"/>
        <v>0</v>
      </c>
      <c r="O641" s="80">
        <f t="shared" si="264"/>
        <v>0</v>
      </c>
      <c r="P641" s="80">
        <f t="shared" si="264"/>
        <v>0</v>
      </c>
      <c r="Q641" s="80">
        <f t="shared" si="264"/>
        <v>0</v>
      </c>
      <c r="R641" s="80">
        <f t="shared" si="264"/>
        <v>0</v>
      </c>
      <c r="S641" s="80">
        <f t="shared" si="264"/>
        <v>0</v>
      </c>
      <c r="T641" s="80">
        <f t="shared" si="264"/>
        <v>0</v>
      </c>
      <c r="U641" s="80">
        <f t="shared" si="264"/>
        <v>0</v>
      </c>
      <c r="V641" s="80">
        <f t="shared" si="264"/>
        <v>0</v>
      </c>
      <c r="W641" s="80">
        <f t="shared" si="264"/>
        <v>0</v>
      </c>
      <c r="X641" s="80">
        <f t="shared" si="264"/>
        <v>0</v>
      </c>
      <c r="Y641" s="80">
        <f t="shared" si="264"/>
        <v>0</v>
      </c>
      <c r="Z641" s="80">
        <f t="shared" si="264"/>
        <v>0</v>
      </c>
      <c r="AA641" s="80">
        <f t="shared" si="264"/>
        <v>0</v>
      </c>
      <c r="AB641" s="80">
        <f t="shared" si="264"/>
        <v>0</v>
      </c>
      <c r="AC641" s="80">
        <f t="shared" si="264"/>
        <v>0</v>
      </c>
      <c r="AD641" s="80">
        <f t="shared" si="264"/>
        <v>0</v>
      </c>
      <c r="AE641" s="80">
        <f t="shared" si="264"/>
        <v>0</v>
      </c>
      <c r="AF641" s="80">
        <f t="shared" si="261"/>
        <v>69066427.640000001</v>
      </c>
      <c r="AG641" s="94" t="str">
        <f>IF(ABS(AF641-F641)&lt;1,"ok","err")</f>
        <v>ok</v>
      </c>
    </row>
    <row r="642" spans="1:33" s="61" customFormat="1" x14ac:dyDescent="0.25">
      <c r="A642" s="61" t="s">
        <v>116</v>
      </c>
      <c r="C642" s="61" t="s">
        <v>114</v>
      </c>
      <c r="F642" s="84">
        <v>1</v>
      </c>
      <c r="H642" s="80">
        <v>0</v>
      </c>
      <c r="I642" s="80">
        <v>0</v>
      </c>
      <c r="J642" s="80">
        <v>0</v>
      </c>
      <c r="K642" s="80">
        <v>0</v>
      </c>
      <c r="L642" s="80">
        <v>0</v>
      </c>
      <c r="M642" s="80">
        <v>0</v>
      </c>
      <c r="N642" s="80">
        <v>0</v>
      </c>
      <c r="O642" s="80">
        <v>0</v>
      </c>
      <c r="P642" s="80">
        <v>0</v>
      </c>
      <c r="Q642" s="80">
        <v>0</v>
      </c>
      <c r="R642" s="80">
        <v>0</v>
      </c>
      <c r="S642" s="80">
        <v>0</v>
      </c>
      <c r="T642" s="80">
        <v>0</v>
      </c>
      <c r="U642" s="80">
        <v>0</v>
      </c>
      <c r="V642" s="80">
        <v>0</v>
      </c>
      <c r="W642" s="80">
        <v>0</v>
      </c>
      <c r="X642" s="80">
        <v>0</v>
      </c>
      <c r="Y642" s="80">
        <v>0</v>
      </c>
      <c r="Z642" s="80">
        <v>0</v>
      </c>
      <c r="AA642" s="80">
        <v>0</v>
      </c>
      <c r="AB642" s="80">
        <v>0</v>
      </c>
      <c r="AC642" s="84">
        <v>1</v>
      </c>
      <c r="AD642" s="80">
        <v>0</v>
      </c>
      <c r="AE642" s="80">
        <v>0</v>
      </c>
      <c r="AF642" s="242">
        <f t="shared" si="261"/>
        <v>1</v>
      </c>
      <c r="AG642" s="94" t="str">
        <f>IF(ABS(AF642-F642)&lt;1,"ok","err")</f>
        <v>ok</v>
      </c>
    </row>
    <row r="643" spans="1:33" s="61" customFormat="1" x14ac:dyDescent="0.25">
      <c r="A643" s="61" t="s">
        <v>117</v>
      </c>
      <c r="C643" s="61" t="s">
        <v>115</v>
      </c>
      <c r="F643" s="84">
        <v>1</v>
      </c>
      <c r="H643" s="80">
        <v>0</v>
      </c>
      <c r="I643" s="80">
        <v>0</v>
      </c>
      <c r="J643" s="80">
        <v>0</v>
      </c>
      <c r="K643" s="80">
        <v>0</v>
      </c>
      <c r="L643" s="80">
        <v>0</v>
      </c>
      <c r="M643" s="80">
        <v>0</v>
      </c>
      <c r="N643" s="80">
        <v>0</v>
      </c>
      <c r="O643" s="80">
        <v>0</v>
      </c>
      <c r="P643" s="80">
        <v>0</v>
      </c>
      <c r="Q643" s="80">
        <v>0</v>
      </c>
      <c r="R643" s="80">
        <v>0</v>
      </c>
      <c r="S643" s="80">
        <v>0</v>
      </c>
      <c r="T643" s="80">
        <v>0</v>
      </c>
      <c r="U643" s="80">
        <v>0</v>
      </c>
      <c r="V643" s="80">
        <v>0</v>
      </c>
      <c r="W643" s="80">
        <v>0</v>
      </c>
      <c r="X643" s="80">
        <v>0</v>
      </c>
      <c r="Y643" s="80">
        <v>0</v>
      </c>
      <c r="Z643" s="80">
        <v>0</v>
      </c>
      <c r="AA643" s="80">
        <v>0</v>
      </c>
      <c r="AB643" s="80">
        <v>0</v>
      </c>
      <c r="AC643" s="84">
        <v>1</v>
      </c>
      <c r="AD643" s="80">
        <v>0</v>
      </c>
      <c r="AE643" s="80">
        <v>0</v>
      </c>
      <c r="AF643" s="242">
        <f t="shared" si="261"/>
        <v>1</v>
      </c>
      <c r="AG643" s="94" t="str">
        <f>IF(ABS(AF643-F643)&lt;1,"ok","err")</f>
        <v>ok</v>
      </c>
    </row>
    <row r="644" spans="1:33" s="61" customFormat="1" x14ac:dyDescent="0.25">
      <c r="A644" s="61" t="s">
        <v>122</v>
      </c>
      <c r="C644" s="61" t="s">
        <v>119</v>
      </c>
      <c r="F644" s="82">
        <v>1</v>
      </c>
      <c r="G644" s="82"/>
      <c r="H644" s="242">
        <v>0</v>
      </c>
      <c r="I644" s="242">
        <v>0</v>
      </c>
      <c r="J644" s="242">
        <v>0</v>
      </c>
      <c r="K644" s="242">
        <v>0</v>
      </c>
      <c r="L644" s="242">
        <v>0</v>
      </c>
      <c r="M644" s="242">
        <v>1</v>
      </c>
      <c r="N644" s="242">
        <v>0</v>
      </c>
      <c r="O644" s="242">
        <v>0</v>
      </c>
      <c r="P644" s="242">
        <v>0</v>
      </c>
      <c r="Q644" s="242">
        <v>0</v>
      </c>
      <c r="R644" s="242">
        <v>0</v>
      </c>
      <c r="S644" s="242">
        <v>0</v>
      </c>
      <c r="T644" s="242">
        <v>0</v>
      </c>
      <c r="U644" s="242">
        <v>0</v>
      </c>
      <c r="V644" s="242">
        <v>0</v>
      </c>
      <c r="W644" s="242">
        <v>0</v>
      </c>
      <c r="X644" s="82">
        <v>0</v>
      </c>
      <c r="Y644" s="82">
        <v>0</v>
      </c>
      <c r="Z644" s="82">
        <v>0</v>
      </c>
      <c r="AA644" s="82">
        <v>0</v>
      </c>
      <c r="AB644" s="82">
        <v>0</v>
      </c>
      <c r="AC644" s="82">
        <v>0</v>
      </c>
      <c r="AD644" s="82">
        <v>0</v>
      </c>
      <c r="AE644" s="82">
        <v>0</v>
      </c>
      <c r="AF644" s="242">
        <f t="shared" si="261"/>
        <v>1</v>
      </c>
      <c r="AG644" s="94" t="str">
        <f>IF(ABS(AF644-F644)&lt;0.0000001,"ok","err")</f>
        <v>ok</v>
      </c>
    </row>
    <row r="645" spans="1:33" s="61" customFormat="1" x14ac:dyDescent="0.25">
      <c r="A645" s="61" t="s">
        <v>121</v>
      </c>
      <c r="C645" s="61" t="s">
        <v>120</v>
      </c>
      <c r="F645" s="82">
        <v>1</v>
      </c>
      <c r="G645" s="82"/>
      <c r="H645" s="242">
        <v>1</v>
      </c>
      <c r="I645" s="242">
        <v>0</v>
      </c>
      <c r="J645" s="242">
        <v>0</v>
      </c>
      <c r="K645" s="242">
        <v>0</v>
      </c>
      <c r="L645" s="242">
        <v>0</v>
      </c>
      <c r="M645" s="242">
        <v>0</v>
      </c>
      <c r="N645" s="242">
        <v>0</v>
      </c>
      <c r="O645" s="242">
        <v>0</v>
      </c>
      <c r="P645" s="242">
        <v>0</v>
      </c>
      <c r="Q645" s="242">
        <v>0</v>
      </c>
      <c r="R645" s="242">
        <v>0</v>
      </c>
      <c r="S645" s="242">
        <v>0</v>
      </c>
      <c r="T645" s="242">
        <v>0</v>
      </c>
      <c r="U645" s="242">
        <v>0</v>
      </c>
      <c r="V645" s="242">
        <v>0</v>
      </c>
      <c r="W645" s="242">
        <v>0</v>
      </c>
      <c r="X645" s="82">
        <v>0</v>
      </c>
      <c r="Y645" s="82">
        <v>0</v>
      </c>
      <c r="Z645" s="82">
        <v>0</v>
      </c>
      <c r="AA645" s="82">
        <v>0</v>
      </c>
      <c r="AB645" s="82">
        <v>0</v>
      </c>
      <c r="AC645" s="82">
        <v>0</v>
      </c>
      <c r="AD645" s="82">
        <v>0</v>
      </c>
      <c r="AE645" s="82">
        <v>0</v>
      </c>
      <c r="AF645" s="242">
        <f t="shared" si="261"/>
        <v>1</v>
      </c>
      <c r="AG645" s="94" t="str">
        <f>IF(ABS(AF645-F645)&lt;0.0000001,"ok","err")</f>
        <v>ok</v>
      </c>
    </row>
    <row r="646" spans="1:33" s="61" customFormat="1" x14ac:dyDescent="0.25">
      <c r="C646" s="61" t="s">
        <v>952</v>
      </c>
      <c r="F646" s="82">
        <v>1</v>
      </c>
      <c r="G646" s="82"/>
      <c r="H646" s="242">
        <v>0</v>
      </c>
      <c r="I646" s="242">
        <v>0</v>
      </c>
      <c r="J646" s="242">
        <v>0</v>
      </c>
      <c r="K646" s="242">
        <v>1</v>
      </c>
      <c r="L646" s="242">
        <v>0</v>
      </c>
      <c r="M646" s="242">
        <v>0</v>
      </c>
      <c r="N646" s="242">
        <v>0</v>
      </c>
      <c r="O646" s="242">
        <v>0</v>
      </c>
      <c r="P646" s="242">
        <v>0</v>
      </c>
      <c r="Q646" s="242">
        <v>0</v>
      </c>
      <c r="R646" s="242">
        <v>0</v>
      </c>
      <c r="S646" s="242">
        <v>0</v>
      </c>
      <c r="T646" s="242">
        <v>0</v>
      </c>
      <c r="U646" s="242">
        <v>0</v>
      </c>
      <c r="V646" s="242">
        <v>0</v>
      </c>
      <c r="W646" s="242">
        <v>0</v>
      </c>
      <c r="X646" s="82">
        <v>0</v>
      </c>
      <c r="Y646" s="82">
        <v>0</v>
      </c>
      <c r="Z646" s="82">
        <v>0</v>
      </c>
      <c r="AA646" s="82">
        <v>0</v>
      </c>
      <c r="AB646" s="82">
        <v>0</v>
      </c>
      <c r="AC646" s="82">
        <v>0</v>
      </c>
      <c r="AD646" s="82">
        <v>0</v>
      </c>
      <c r="AE646" s="82">
        <v>0</v>
      </c>
      <c r="AF646" s="242">
        <f t="shared" si="261"/>
        <v>1</v>
      </c>
      <c r="AG646" s="94" t="str">
        <f>IF(ABS(AF646-F646)&lt;0.0000001,"ok","err")</f>
        <v>ok</v>
      </c>
    </row>
    <row r="647" spans="1:33" s="61" customFormat="1" x14ac:dyDescent="0.25">
      <c r="W647" s="78"/>
      <c r="AG647" s="94"/>
    </row>
    <row r="648" spans="1:33" s="61" customFormat="1" x14ac:dyDescent="0.25">
      <c r="A648" s="66" t="s">
        <v>922</v>
      </c>
      <c r="W648" s="78"/>
      <c r="AG648" s="94"/>
    </row>
    <row r="649" spans="1:33" s="61" customFormat="1" x14ac:dyDescent="0.25">
      <c r="A649" s="61" t="s">
        <v>905</v>
      </c>
      <c r="D649" s="61" t="s">
        <v>1186</v>
      </c>
      <c r="F649" s="82">
        <v>1</v>
      </c>
      <c r="H649" s="111">
        <f>H48/$F$48</f>
        <v>0.20451256112443167</v>
      </c>
      <c r="I649" s="111">
        <f>I48/$F$48</f>
        <v>0.1992901457106761</v>
      </c>
      <c r="J649" s="111">
        <f>J48/$F$48</f>
        <v>0.18068728877041082</v>
      </c>
      <c r="K649" s="111">
        <f>K48/$F$48</f>
        <v>0</v>
      </c>
      <c r="L649" s="111">
        <f t="shared" ref="L649:AE649" si="265">L48/$F$48</f>
        <v>0</v>
      </c>
      <c r="M649" s="111">
        <f t="shared" si="265"/>
        <v>0</v>
      </c>
      <c r="N649" s="111">
        <f t="shared" si="265"/>
        <v>3.6618334992317571E-2</v>
      </c>
      <c r="O649" s="111">
        <f t="shared" si="265"/>
        <v>3.5683252295985825E-2</v>
      </c>
      <c r="P649" s="111">
        <f t="shared" si="265"/>
        <v>3.2352377930580323E-2</v>
      </c>
      <c r="Q649" s="111">
        <f t="shared" si="265"/>
        <v>0</v>
      </c>
      <c r="R649" s="111">
        <f t="shared" si="265"/>
        <v>3.7051893022293662E-2</v>
      </c>
      <c r="S649" s="111">
        <f t="shared" si="265"/>
        <v>0</v>
      </c>
      <c r="T649" s="111">
        <f t="shared" si="265"/>
        <v>5.4375585440345389E-2</v>
      </c>
      <c r="U649" s="111">
        <f t="shared" si="265"/>
        <v>8.8356243069853929E-2</v>
      </c>
      <c r="V649" s="111">
        <f t="shared" si="265"/>
        <v>1.8125195146781795E-2</v>
      </c>
      <c r="W649" s="111">
        <f t="shared" si="265"/>
        <v>2.9452081023284643E-2</v>
      </c>
      <c r="X649" s="111">
        <f t="shared" si="265"/>
        <v>2.2467871274998875E-2</v>
      </c>
      <c r="Y649" s="111">
        <f t="shared" si="265"/>
        <v>1.705109550322708E-2</v>
      </c>
      <c r="Z649" s="111">
        <f t="shared" si="265"/>
        <v>8.0919020818992406E-3</v>
      </c>
      <c r="AA649" s="111">
        <f t="shared" si="265"/>
        <v>1.0686706302520091E-2</v>
      </c>
      <c r="AB649" s="111">
        <f t="shared" si="265"/>
        <v>2.5197466310393057E-2</v>
      </c>
      <c r="AC649" s="111">
        <f t="shared" si="265"/>
        <v>0</v>
      </c>
      <c r="AD649" s="111">
        <f t="shared" si="265"/>
        <v>0</v>
      </c>
      <c r="AE649" s="111">
        <f t="shared" si="265"/>
        <v>0</v>
      </c>
      <c r="AF649" s="242">
        <f t="shared" ref="AF649:AF667" si="266">SUM(H649:AE649)</f>
        <v>1</v>
      </c>
      <c r="AG649" s="94" t="str">
        <f t="shared" ref="AG649:AG667" si="267">IF(ABS(AF649-F649)&lt;0.0000001,"ok","err")</f>
        <v>ok</v>
      </c>
    </row>
    <row r="650" spans="1:33" s="61" customFormat="1" x14ac:dyDescent="0.25">
      <c r="A650" s="61" t="s">
        <v>977</v>
      </c>
      <c r="D650" s="61" t="s">
        <v>957</v>
      </c>
      <c r="F650" s="82">
        <v>1</v>
      </c>
      <c r="H650" s="111">
        <f>H46/$F$46</f>
        <v>0</v>
      </c>
      <c r="I650" s="111">
        <f t="shared" ref="I650:AE650" si="268">I46/$F$46</f>
        <v>0</v>
      </c>
      <c r="J650" s="111">
        <f t="shared" si="268"/>
        <v>0</v>
      </c>
      <c r="K650" s="111">
        <f t="shared" si="268"/>
        <v>0</v>
      </c>
      <c r="L650" s="111">
        <f t="shared" si="268"/>
        <v>0</v>
      </c>
      <c r="M650" s="111">
        <f t="shared" si="268"/>
        <v>0</v>
      </c>
      <c r="N650" s="111">
        <f t="shared" si="268"/>
        <v>0</v>
      </c>
      <c r="O650" s="111">
        <f t="shared" si="268"/>
        <v>0</v>
      </c>
      <c r="P650" s="111">
        <f t="shared" si="268"/>
        <v>0</v>
      </c>
      <c r="Q650" s="111">
        <f t="shared" si="268"/>
        <v>0</v>
      </c>
      <c r="R650" s="111">
        <f t="shared" si="268"/>
        <v>0.11919309375670076</v>
      </c>
      <c r="S650" s="111">
        <f t="shared" si="268"/>
        <v>0</v>
      </c>
      <c r="T650" s="111">
        <f t="shared" si="268"/>
        <v>0.17492208156724751</v>
      </c>
      <c r="U650" s="111">
        <f t="shared" si="268"/>
        <v>0.28423524697856323</v>
      </c>
      <c r="V650" s="111">
        <f t="shared" si="268"/>
        <v>5.8307360522415835E-2</v>
      </c>
      <c r="W650" s="111">
        <f t="shared" si="268"/>
        <v>9.4745082326187738E-2</v>
      </c>
      <c r="X650" s="111">
        <f t="shared" si="268"/>
        <v>7.227741604951457E-2</v>
      </c>
      <c r="Y650" s="111">
        <f t="shared" si="268"/>
        <v>5.4852064474755734E-2</v>
      </c>
      <c r="Z650" s="111">
        <f t="shared" si="268"/>
        <v>2.6031027427870727E-2</v>
      </c>
      <c r="AA650" s="111">
        <f t="shared" si="268"/>
        <v>3.4378313288883341E-2</v>
      </c>
      <c r="AB650" s="111">
        <f t="shared" si="268"/>
        <v>8.1058313607860796E-2</v>
      </c>
      <c r="AC650" s="111">
        <f t="shared" si="268"/>
        <v>0</v>
      </c>
      <c r="AD650" s="111">
        <f t="shared" si="268"/>
        <v>0</v>
      </c>
      <c r="AE650" s="111">
        <f t="shared" si="268"/>
        <v>0</v>
      </c>
      <c r="AF650" s="242">
        <f t="shared" si="266"/>
        <v>1.0000000000000002</v>
      </c>
      <c r="AG650" s="94" t="str">
        <f t="shared" si="267"/>
        <v>ok</v>
      </c>
    </row>
    <row r="651" spans="1:33" s="61" customFormat="1" x14ac:dyDescent="0.25">
      <c r="A651" s="61" t="s">
        <v>1156</v>
      </c>
      <c r="D651" s="61" t="s">
        <v>1184</v>
      </c>
      <c r="F651" s="82">
        <v>1</v>
      </c>
      <c r="H651" s="111">
        <f>H33/$F$33</f>
        <v>0</v>
      </c>
      <c r="I651" s="111">
        <f t="shared" ref="I651:AE651" si="269">I33/$F$33</f>
        <v>0</v>
      </c>
      <c r="J651" s="111">
        <f t="shared" si="269"/>
        <v>0</v>
      </c>
      <c r="K651" s="111">
        <f t="shared" si="269"/>
        <v>0</v>
      </c>
      <c r="L651" s="111">
        <f t="shared" si="269"/>
        <v>0</v>
      </c>
      <c r="M651" s="111">
        <f t="shared" si="269"/>
        <v>0</v>
      </c>
      <c r="N651" s="111">
        <f t="shared" si="269"/>
        <v>0.34989916450590608</v>
      </c>
      <c r="O651" s="111">
        <f t="shared" si="269"/>
        <v>0.34096416912015054</v>
      </c>
      <c r="P651" s="111">
        <f t="shared" si="269"/>
        <v>0.30913666637394333</v>
      </c>
      <c r="Q651" s="111">
        <f t="shared" si="269"/>
        <v>0</v>
      </c>
      <c r="R651" s="111">
        <f t="shared" si="269"/>
        <v>0</v>
      </c>
      <c r="S651" s="111">
        <f t="shared" si="269"/>
        <v>0</v>
      </c>
      <c r="T651" s="111">
        <f t="shared" si="269"/>
        <v>0</v>
      </c>
      <c r="U651" s="111">
        <f t="shared" si="269"/>
        <v>0</v>
      </c>
      <c r="V651" s="111">
        <f t="shared" si="269"/>
        <v>0</v>
      </c>
      <c r="W651" s="111">
        <f t="shared" si="269"/>
        <v>0</v>
      </c>
      <c r="X651" s="111">
        <f t="shared" si="269"/>
        <v>0</v>
      </c>
      <c r="Y651" s="111">
        <f t="shared" si="269"/>
        <v>0</v>
      </c>
      <c r="Z651" s="111">
        <f t="shared" si="269"/>
        <v>0</v>
      </c>
      <c r="AA651" s="111">
        <f t="shared" si="269"/>
        <v>0</v>
      </c>
      <c r="AB651" s="111">
        <f t="shared" si="269"/>
        <v>0</v>
      </c>
      <c r="AC651" s="111">
        <f t="shared" si="269"/>
        <v>0</v>
      </c>
      <c r="AD651" s="111">
        <f t="shared" si="269"/>
        <v>0</v>
      </c>
      <c r="AE651" s="111">
        <f t="shared" si="269"/>
        <v>0</v>
      </c>
      <c r="AF651" s="242">
        <f t="shared" si="266"/>
        <v>0.99999999999999989</v>
      </c>
      <c r="AG651" s="94" t="str">
        <f t="shared" si="267"/>
        <v>ok</v>
      </c>
    </row>
    <row r="652" spans="1:33" s="61" customFormat="1" x14ac:dyDescent="0.25">
      <c r="A652" s="61" t="s">
        <v>19</v>
      </c>
      <c r="D652" s="61" t="s">
        <v>999</v>
      </c>
      <c r="F652" s="82">
        <v>1</v>
      </c>
      <c r="H652" s="111">
        <f>H333/$F$333</f>
        <v>5.0364489250102354E-2</v>
      </c>
      <c r="I652" s="111">
        <f t="shared" ref="I652:AE652" si="270">I333/$F$333</f>
        <v>4.9078385924616989E-2</v>
      </c>
      <c r="J652" s="111">
        <f t="shared" si="270"/>
        <v>4.4497134859949466E-2</v>
      </c>
      <c r="K652" s="111">
        <f t="shared" si="270"/>
        <v>0.67961955854506961</v>
      </c>
      <c r="L652" s="111">
        <f t="shared" si="270"/>
        <v>0</v>
      </c>
      <c r="M652" s="111">
        <f t="shared" si="270"/>
        <v>0</v>
      </c>
      <c r="N652" s="111">
        <f t="shared" si="270"/>
        <v>1.1617645768182673E-2</v>
      </c>
      <c r="O652" s="111">
        <f t="shared" si="270"/>
        <v>1.1320978551275665E-2</v>
      </c>
      <c r="P652" s="111">
        <f t="shared" si="270"/>
        <v>1.0264215088826601E-2</v>
      </c>
      <c r="Q652" s="111">
        <f t="shared" si="270"/>
        <v>0</v>
      </c>
      <c r="R652" s="111">
        <f t="shared" si="270"/>
        <v>1.0704854413073011E-2</v>
      </c>
      <c r="S652" s="111">
        <f t="shared" si="270"/>
        <v>0</v>
      </c>
      <c r="T652" s="111">
        <f t="shared" si="270"/>
        <v>2.2034936051721569E-2</v>
      </c>
      <c r="U652" s="111">
        <f t="shared" si="270"/>
        <v>3.1454281228431628E-2</v>
      </c>
      <c r="V652" s="111">
        <f t="shared" si="270"/>
        <v>7.3449786839071898E-3</v>
      </c>
      <c r="W652" s="111">
        <f t="shared" si="270"/>
        <v>1.0484760409477208E-2</v>
      </c>
      <c r="X652" s="111">
        <f t="shared" si="270"/>
        <v>1.6187489074432459E-3</v>
      </c>
      <c r="Y652" s="111">
        <f t="shared" si="270"/>
        <v>1.2284849721064933E-3</v>
      </c>
      <c r="Z652" s="111">
        <f t="shared" si="270"/>
        <v>3.9109517985997852E-4</v>
      </c>
      <c r="AA652" s="111">
        <f t="shared" si="270"/>
        <v>2.0631530581175322E-2</v>
      </c>
      <c r="AB652" s="111">
        <f t="shared" si="270"/>
        <v>1.9470559328411041E-3</v>
      </c>
      <c r="AC652" s="111">
        <f t="shared" si="270"/>
        <v>3.1046128531050005E-2</v>
      </c>
      <c r="AD652" s="111">
        <f t="shared" si="270"/>
        <v>4.3507371208897031E-3</v>
      </c>
      <c r="AE652" s="111">
        <f t="shared" si="270"/>
        <v>0</v>
      </c>
      <c r="AF652" s="242">
        <f t="shared" si="266"/>
        <v>0.99999999999999989</v>
      </c>
      <c r="AG652" s="94" t="str">
        <f t="shared" si="267"/>
        <v>ok</v>
      </c>
    </row>
    <row r="653" spans="1:33" s="61" customFormat="1" x14ac:dyDescent="0.25">
      <c r="A653" s="61" t="s">
        <v>981</v>
      </c>
      <c r="D653" s="61" t="s">
        <v>982</v>
      </c>
      <c r="F653" s="82">
        <v>1</v>
      </c>
      <c r="H653" s="111">
        <f>H67/$F$67</f>
        <v>0.20423435545383908</v>
      </c>
      <c r="I653" s="111">
        <f t="shared" ref="I653:AE653" si="271">I67/$F$67</f>
        <v>0.19901904427648989</v>
      </c>
      <c r="J653" s="111">
        <f t="shared" si="271"/>
        <v>0.1804414934605113</v>
      </c>
      <c r="K653" s="111">
        <f t="shared" si="271"/>
        <v>0</v>
      </c>
      <c r="L653" s="111">
        <f t="shared" si="271"/>
        <v>0</v>
      </c>
      <c r="M653" s="111">
        <f t="shared" si="271"/>
        <v>0</v>
      </c>
      <c r="N653" s="111">
        <f t="shared" si="271"/>
        <v>3.6568521776021663E-2</v>
      </c>
      <c r="O653" s="111">
        <f t="shared" si="271"/>
        <v>3.5634711105756008E-2</v>
      </c>
      <c r="P653" s="111">
        <f t="shared" si="271"/>
        <v>3.2308367846564191E-2</v>
      </c>
      <c r="Q653" s="111">
        <f t="shared" si="271"/>
        <v>0</v>
      </c>
      <c r="R653" s="111">
        <f t="shared" si="271"/>
        <v>3.7163632603021378E-2</v>
      </c>
      <c r="S653" s="111">
        <f t="shared" si="271"/>
        <v>0</v>
      </c>
      <c r="T653" s="111">
        <f t="shared" si="271"/>
        <v>5.4539569102806891E-2</v>
      </c>
      <c r="U653" s="111">
        <f t="shared" si="271"/>
        <v>8.8622704207193398E-2</v>
      </c>
      <c r="V653" s="111">
        <f t="shared" si="271"/>
        <v>1.81798563676023E-2</v>
      </c>
      <c r="W653" s="111">
        <f t="shared" si="271"/>
        <v>2.9540901402397797E-2</v>
      </c>
      <c r="X653" s="111">
        <f t="shared" si="271"/>
        <v>2.2535628960540122E-2</v>
      </c>
      <c r="Y653" s="111">
        <f t="shared" si="271"/>
        <v>1.710251749835516E-2</v>
      </c>
      <c r="Z653" s="111">
        <f t="shared" si="271"/>
        <v>8.116305308621747E-3</v>
      </c>
      <c r="AA653" s="111">
        <f t="shared" si="271"/>
        <v>1.0718934833485707E-2</v>
      </c>
      <c r="AB653" s="111">
        <f t="shared" si="271"/>
        <v>2.5273455796793382E-2</v>
      </c>
      <c r="AC653" s="111">
        <f t="shared" si="271"/>
        <v>0</v>
      </c>
      <c r="AD653" s="111">
        <f t="shared" si="271"/>
        <v>0</v>
      </c>
      <c r="AE653" s="111">
        <f t="shared" si="271"/>
        <v>0</v>
      </c>
      <c r="AF653" s="242">
        <f t="shared" si="266"/>
        <v>1.0000000000000002</v>
      </c>
      <c r="AG653" s="94" t="str">
        <f t="shared" si="267"/>
        <v>ok</v>
      </c>
    </row>
    <row r="654" spans="1:33" s="61" customFormat="1" x14ac:dyDescent="0.25">
      <c r="A654" s="61" t="s">
        <v>923</v>
      </c>
      <c r="D654" s="61" t="s">
        <v>99</v>
      </c>
      <c r="F654" s="82">
        <v>1</v>
      </c>
      <c r="H654" s="111">
        <f>H538/$F$538</f>
        <v>0.13830039458416654</v>
      </c>
      <c r="I654" s="111">
        <f t="shared" ref="I654:AE654" si="272">I538/$F$538</f>
        <v>0.13476876743894986</v>
      </c>
      <c r="J654" s="111">
        <f t="shared" si="272"/>
        <v>0.1221886968501994</v>
      </c>
      <c r="K654" s="111">
        <f t="shared" si="272"/>
        <v>0.22936173270343904</v>
      </c>
      <c r="L654" s="111">
        <f t="shared" si="272"/>
        <v>0</v>
      </c>
      <c r="M654" s="111">
        <f t="shared" si="272"/>
        <v>0</v>
      </c>
      <c r="N654" s="111">
        <f t="shared" si="272"/>
        <v>2.122323541811735E-2</v>
      </c>
      <c r="O654" s="111">
        <f t="shared" si="272"/>
        <v>2.068128067867275E-2</v>
      </c>
      <c r="P654" s="111">
        <f t="shared" si="272"/>
        <v>1.8750774258323378E-2</v>
      </c>
      <c r="Q654" s="111">
        <f t="shared" si="272"/>
        <v>0</v>
      </c>
      <c r="R654" s="111">
        <f t="shared" si="272"/>
        <v>3.2798853002696367E-2</v>
      </c>
      <c r="S654" s="111">
        <f t="shared" si="272"/>
        <v>0</v>
      </c>
      <c r="T654" s="111">
        <f t="shared" si="272"/>
        <v>3.5779409555565793E-2</v>
      </c>
      <c r="U654" s="111">
        <f t="shared" si="272"/>
        <v>5.2536492485117985E-2</v>
      </c>
      <c r="V654" s="111">
        <f t="shared" si="272"/>
        <v>1.1926469851855265E-2</v>
      </c>
      <c r="W654" s="111">
        <f t="shared" si="272"/>
        <v>1.7512164161705993E-2</v>
      </c>
      <c r="X654" s="111">
        <f t="shared" si="272"/>
        <v>3.4633056298571789E-3</v>
      </c>
      <c r="Y654" s="111">
        <f t="shared" si="272"/>
        <v>2.6283377863781055E-3</v>
      </c>
      <c r="Z654" s="111">
        <f t="shared" si="272"/>
        <v>7.8958980273776379E-4</v>
      </c>
      <c r="AA654" s="111">
        <f t="shared" si="272"/>
        <v>5.7702501232496595E-2</v>
      </c>
      <c r="AB654" s="111">
        <f t="shared" si="272"/>
        <v>3.006288944348407E-3</v>
      </c>
      <c r="AC654" s="111">
        <f t="shared" si="272"/>
        <v>7.9513387158939047E-2</v>
      </c>
      <c r="AD654" s="111">
        <f t="shared" si="272"/>
        <v>1.7068318456433171E-2</v>
      </c>
      <c r="AE654" s="111">
        <f t="shared" si="272"/>
        <v>0</v>
      </c>
      <c r="AF654" s="242">
        <f t="shared" si="266"/>
        <v>1</v>
      </c>
      <c r="AG654" s="94" t="str">
        <f t="shared" si="267"/>
        <v>ok</v>
      </c>
    </row>
    <row r="655" spans="1:33" s="61" customFormat="1" x14ac:dyDescent="0.25">
      <c r="A655" s="61" t="s">
        <v>278</v>
      </c>
      <c r="D655" s="61" t="s">
        <v>18</v>
      </c>
      <c r="F655" s="82">
        <v>1</v>
      </c>
      <c r="H655" s="111">
        <f>H306/$F$306</f>
        <v>4.257018939526603E-2</v>
      </c>
      <c r="I655" s="111">
        <f t="shared" ref="I655:AE655" si="273">I306/$F$306</f>
        <v>4.1483120649747435E-2</v>
      </c>
      <c r="J655" s="111">
        <f t="shared" si="273"/>
        <v>3.761085413034132E-2</v>
      </c>
      <c r="K655" s="111">
        <f t="shared" si="273"/>
        <v>0.7520393999670173</v>
      </c>
      <c r="L655" s="111">
        <f t="shared" si="273"/>
        <v>0</v>
      </c>
      <c r="M655" s="111">
        <f t="shared" si="273"/>
        <v>0</v>
      </c>
      <c r="N655" s="111">
        <f t="shared" si="273"/>
        <v>8.7019480139636715E-3</v>
      </c>
      <c r="O655" s="111">
        <f t="shared" si="273"/>
        <v>8.4797358075937475E-3</v>
      </c>
      <c r="P655" s="111">
        <f t="shared" si="273"/>
        <v>7.6881898354766703E-3</v>
      </c>
      <c r="Q655" s="111">
        <f t="shared" si="273"/>
        <v>0</v>
      </c>
      <c r="R655" s="111">
        <f t="shared" si="273"/>
        <v>6.1353168369129669E-3</v>
      </c>
      <c r="S655" s="111">
        <f t="shared" si="273"/>
        <v>0</v>
      </c>
      <c r="T655" s="111">
        <f t="shared" si="273"/>
        <v>1.7288579354206107E-2</v>
      </c>
      <c r="U655" s="111">
        <f t="shared" si="273"/>
        <v>2.435611428347996E-2</v>
      </c>
      <c r="V655" s="111">
        <f t="shared" si="273"/>
        <v>5.7628597847353691E-3</v>
      </c>
      <c r="W655" s="111">
        <f t="shared" si="273"/>
        <v>8.1187047611599866E-3</v>
      </c>
      <c r="X655" s="111">
        <f t="shared" si="273"/>
        <v>9.4850897591975043E-4</v>
      </c>
      <c r="Y655" s="111">
        <f t="shared" si="273"/>
        <v>7.1983308681639166E-4</v>
      </c>
      <c r="Z655" s="111">
        <f t="shared" si="273"/>
        <v>2.0611275823447439E-4</v>
      </c>
      <c r="AA655" s="111">
        <f t="shared" si="273"/>
        <v>1.3266655068480392E-2</v>
      </c>
      <c r="AB655" s="111">
        <f t="shared" si="273"/>
        <v>1.3225459704235593E-3</v>
      </c>
      <c r="AC655" s="111">
        <f t="shared" si="273"/>
        <v>2.1160550848889924E-2</v>
      </c>
      <c r="AD655" s="111">
        <f t="shared" si="273"/>
        <v>2.140780471334796E-3</v>
      </c>
      <c r="AE655" s="111">
        <f t="shared" si="273"/>
        <v>0</v>
      </c>
      <c r="AF655" s="242">
        <f t="shared" si="266"/>
        <v>0.99999999999999978</v>
      </c>
      <c r="AG655" s="94" t="str">
        <f t="shared" si="267"/>
        <v>ok</v>
      </c>
    </row>
    <row r="656" spans="1:33" s="61" customFormat="1" x14ac:dyDescent="0.25">
      <c r="A656" s="61" t="s">
        <v>924</v>
      </c>
      <c r="D656" s="61" t="s">
        <v>658</v>
      </c>
      <c r="F656" s="82">
        <v>1</v>
      </c>
      <c r="H656" s="111">
        <f>H370/$F$370</f>
        <v>0.29811859738194241</v>
      </c>
      <c r="I656" s="111">
        <f t="shared" ref="I656:AE656" si="274">I370/$F$370</f>
        <v>0.29050586616614504</v>
      </c>
      <c r="J656" s="111">
        <f t="shared" si="274"/>
        <v>0.26338842365876497</v>
      </c>
      <c r="K656" s="111">
        <f t="shared" si="274"/>
        <v>0.14798711279314755</v>
      </c>
      <c r="L656" s="111">
        <f t="shared" si="274"/>
        <v>0</v>
      </c>
      <c r="M656" s="111">
        <f t="shared" si="274"/>
        <v>0</v>
      </c>
      <c r="N656" s="111">
        <f t="shared" si="274"/>
        <v>0</v>
      </c>
      <c r="O656" s="111">
        <f t="shared" si="274"/>
        <v>0</v>
      </c>
      <c r="P656" s="111">
        <f t="shared" si="274"/>
        <v>0</v>
      </c>
      <c r="Q656" s="111">
        <f t="shared" si="274"/>
        <v>0</v>
      </c>
      <c r="R656" s="111">
        <f t="shared" si="274"/>
        <v>0</v>
      </c>
      <c r="S656" s="111">
        <f t="shared" si="274"/>
        <v>0</v>
      </c>
      <c r="T656" s="111">
        <f t="shared" si="274"/>
        <v>0</v>
      </c>
      <c r="U656" s="111">
        <f t="shared" si="274"/>
        <v>0</v>
      </c>
      <c r="V656" s="111">
        <f t="shared" si="274"/>
        <v>0</v>
      </c>
      <c r="W656" s="111">
        <f t="shared" si="274"/>
        <v>0</v>
      </c>
      <c r="X656" s="111">
        <f t="shared" si="274"/>
        <v>0</v>
      </c>
      <c r="Y656" s="111">
        <f t="shared" si="274"/>
        <v>0</v>
      </c>
      <c r="Z656" s="111">
        <f t="shared" si="274"/>
        <v>0</v>
      </c>
      <c r="AA656" s="111">
        <f t="shared" si="274"/>
        <v>0</v>
      </c>
      <c r="AB656" s="111">
        <f t="shared" si="274"/>
        <v>0</v>
      </c>
      <c r="AC656" s="111">
        <f t="shared" si="274"/>
        <v>0</v>
      </c>
      <c r="AD656" s="111">
        <f t="shared" si="274"/>
        <v>0</v>
      </c>
      <c r="AE656" s="111">
        <f t="shared" si="274"/>
        <v>0</v>
      </c>
      <c r="AF656" s="242">
        <f t="shared" si="266"/>
        <v>1</v>
      </c>
      <c r="AG656" s="94" t="str">
        <f t="shared" si="267"/>
        <v>ok</v>
      </c>
    </row>
    <row r="657" spans="1:33" s="61" customFormat="1" x14ac:dyDescent="0.25">
      <c r="A657" s="61" t="s">
        <v>925</v>
      </c>
      <c r="D657" s="61" t="s">
        <v>87</v>
      </c>
      <c r="F657" s="82">
        <v>1</v>
      </c>
      <c r="H657" s="111">
        <f>H379/$F$379</f>
        <v>8.6828887371735233E-3</v>
      </c>
      <c r="I657" s="111">
        <f t="shared" ref="I657:AE657" si="275">I379/$F$379</f>
        <v>8.4611632268790718E-3</v>
      </c>
      <c r="J657" s="111">
        <f t="shared" si="275"/>
        <v>7.6713509233325818E-3</v>
      </c>
      <c r="K657" s="111">
        <f t="shared" si="275"/>
        <v>0.97518459711261474</v>
      </c>
      <c r="L657" s="111">
        <f t="shared" si="275"/>
        <v>0</v>
      </c>
      <c r="M657" s="111">
        <f t="shared" si="275"/>
        <v>0</v>
      </c>
      <c r="N657" s="111">
        <f t="shared" si="275"/>
        <v>0</v>
      </c>
      <c r="O657" s="111">
        <f t="shared" si="275"/>
        <v>0</v>
      </c>
      <c r="P657" s="111">
        <f t="shared" si="275"/>
        <v>0</v>
      </c>
      <c r="Q657" s="111">
        <f t="shared" si="275"/>
        <v>0</v>
      </c>
      <c r="R657" s="111">
        <f t="shared" si="275"/>
        <v>0</v>
      </c>
      <c r="S657" s="111">
        <f t="shared" si="275"/>
        <v>0</v>
      </c>
      <c r="T657" s="111">
        <f t="shared" si="275"/>
        <v>0</v>
      </c>
      <c r="U657" s="111">
        <f t="shared" si="275"/>
        <v>0</v>
      </c>
      <c r="V657" s="111">
        <f t="shared" si="275"/>
        <v>0</v>
      </c>
      <c r="W657" s="111">
        <f t="shared" si="275"/>
        <v>0</v>
      </c>
      <c r="X657" s="111">
        <f t="shared" si="275"/>
        <v>0</v>
      </c>
      <c r="Y657" s="111">
        <f t="shared" si="275"/>
        <v>0</v>
      </c>
      <c r="Z657" s="111">
        <f t="shared" si="275"/>
        <v>0</v>
      </c>
      <c r="AA657" s="111">
        <f t="shared" si="275"/>
        <v>0</v>
      </c>
      <c r="AB657" s="111">
        <f t="shared" si="275"/>
        <v>0</v>
      </c>
      <c r="AC657" s="111">
        <f t="shared" si="275"/>
        <v>0</v>
      </c>
      <c r="AD657" s="111">
        <f t="shared" si="275"/>
        <v>0</v>
      </c>
      <c r="AE657" s="111">
        <f t="shared" si="275"/>
        <v>0</v>
      </c>
      <c r="AF657" s="242">
        <f t="shared" si="266"/>
        <v>0.99999999999999989</v>
      </c>
      <c r="AG657" s="94" t="str">
        <f t="shared" si="267"/>
        <v>ok</v>
      </c>
    </row>
    <row r="658" spans="1:33" s="61" customFormat="1" x14ac:dyDescent="0.25">
      <c r="A658" s="61" t="s">
        <v>926</v>
      </c>
      <c r="D658" s="61" t="s">
        <v>659</v>
      </c>
      <c r="F658" s="82">
        <v>1</v>
      </c>
      <c r="H658" s="111">
        <f>H391/$F$391</f>
        <v>0.34989916450590608</v>
      </c>
      <c r="I658" s="111">
        <f t="shared" ref="I658:AE658" si="276">I391/$F$391</f>
        <v>0.3409641691201506</v>
      </c>
      <c r="J658" s="111">
        <f t="shared" si="276"/>
        <v>0.30913666637394333</v>
      </c>
      <c r="K658" s="111">
        <f t="shared" si="276"/>
        <v>0</v>
      </c>
      <c r="L658" s="111">
        <f t="shared" si="276"/>
        <v>0</v>
      </c>
      <c r="M658" s="111">
        <f t="shared" si="276"/>
        <v>0</v>
      </c>
      <c r="N658" s="111">
        <f t="shared" si="276"/>
        <v>0</v>
      </c>
      <c r="O658" s="111">
        <f t="shared" si="276"/>
        <v>0</v>
      </c>
      <c r="P658" s="111">
        <f t="shared" si="276"/>
        <v>0</v>
      </c>
      <c r="Q658" s="111">
        <f t="shared" si="276"/>
        <v>0</v>
      </c>
      <c r="R658" s="111">
        <f t="shared" si="276"/>
        <v>0</v>
      </c>
      <c r="S658" s="111">
        <f t="shared" si="276"/>
        <v>0</v>
      </c>
      <c r="T658" s="111">
        <f t="shared" si="276"/>
        <v>0</v>
      </c>
      <c r="U658" s="111">
        <f t="shared" si="276"/>
        <v>0</v>
      </c>
      <c r="V658" s="111">
        <f t="shared" si="276"/>
        <v>0</v>
      </c>
      <c r="W658" s="111">
        <f t="shared" si="276"/>
        <v>0</v>
      </c>
      <c r="X658" s="111">
        <f t="shared" si="276"/>
        <v>0</v>
      </c>
      <c r="Y658" s="111">
        <f t="shared" si="276"/>
        <v>0</v>
      </c>
      <c r="Z658" s="111">
        <f t="shared" si="276"/>
        <v>0</v>
      </c>
      <c r="AA658" s="111">
        <f t="shared" si="276"/>
        <v>0</v>
      </c>
      <c r="AB658" s="111">
        <f t="shared" si="276"/>
        <v>0</v>
      </c>
      <c r="AC658" s="111">
        <f t="shared" si="276"/>
        <v>0</v>
      </c>
      <c r="AD658" s="111">
        <f t="shared" si="276"/>
        <v>0</v>
      </c>
      <c r="AE658" s="111">
        <f t="shared" si="276"/>
        <v>0</v>
      </c>
      <c r="AF658" s="242">
        <f t="shared" si="266"/>
        <v>1</v>
      </c>
      <c r="AG658" s="94" t="str">
        <f t="shared" si="267"/>
        <v>ok</v>
      </c>
    </row>
    <row r="659" spans="1:33" s="61" customFormat="1" x14ac:dyDescent="0.25">
      <c r="A659" s="61" t="s">
        <v>927</v>
      </c>
      <c r="D659" s="61" t="s">
        <v>660</v>
      </c>
      <c r="F659" s="82">
        <v>1</v>
      </c>
      <c r="H659" s="111">
        <f>H400/$F$400</f>
        <v>0.12723702273413315</v>
      </c>
      <c r="I659" s="111">
        <f t="shared" ref="I659:AE659" si="277">I400/$F$400</f>
        <v>0.12398790891406414</v>
      </c>
      <c r="J659" s="111">
        <f t="shared" si="277"/>
        <v>0.11241418396331049</v>
      </c>
      <c r="K659" s="111">
        <f t="shared" si="277"/>
        <v>0.63636088438849225</v>
      </c>
      <c r="L659" s="111">
        <f t="shared" si="277"/>
        <v>0</v>
      </c>
      <c r="M659" s="111">
        <f t="shared" si="277"/>
        <v>0</v>
      </c>
      <c r="N659" s="111">
        <f t="shared" si="277"/>
        <v>0</v>
      </c>
      <c r="O659" s="111">
        <f t="shared" si="277"/>
        <v>0</v>
      </c>
      <c r="P659" s="111">
        <f t="shared" si="277"/>
        <v>0</v>
      </c>
      <c r="Q659" s="111">
        <f t="shared" si="277"/>
        <v>0</v>
      </c>
      <c r="R659" s="111">
        <f t="shared" si="277"/>
        <v>0</v>
      </c>
      <c r="S659" s="111">
        <f t="shared" si="277"/>
        <v>0</v>
      </c>
      <c r="T659" s="111">
        <f t="shared" si="277"/>
        <v>0</v>
      </c>
      <c r="U659" s="111">
        <f t="shared" si="277"/>
        <v>0</v>
      </c>
      <c r="V659" s="111">
        <f t="shared" si="277"/>
        <v>0</v>
      </c>
      <c r="W659" s="111">
        <f t="shared" si="277"/>
        <v>0</v>
      </c>
      <c r="X659" s="111">
        <f t="shared" si="277"/>
        <v>0</v>
      </c>
      <c r="Y659" s="111">
        <f t="shared" si="277"/>
        <v>0</v>
      </c>
      <c r="Z659" s="111">
        <f t="shared" si="277"/>
        <v>0</v>
      </c>
      <c r="AA659" s="111">
        <f t="shared" si="277"/>
        <v>0</v>
      </c>
      <c r="AB659" s="111">
        <f t="shared" si="277"/>
        <v>0</v>
      </c>
      <c r="AC659" s="111">
        <f t="shared" si="277"/>
        <v>0</v>
      </c>
      <c r="AD659" s="111">
        <f t="shared" si="277"/>
        <v>0</v>
      </c>
      <c r="AE659" s="111">
        <f t="shared" si="277"/>
        <v>0</v>
      </c>
      <c r="AF659" s="242">
        <f t="shared" si="266"/>
        <v>1</v>
      </c>
      <c r="AG659" s="94" t="str">
        <f t="shared" si="267"/>
        <v>ok</v>
      </c>
    </row>
    <row r="660" spans="1:33" s="61" customFormat="1" x14ac:dyDescent="0.25">
      <c r="A660" s="61" t="s">
        <v>928</v>
      </c>
      <c r="D660" s="61" t="s">
        <v>661</v>
      </c>
      <c r="F660" s="82">
        <v>1</v>
      </c>
      <c r="H660" s="111">
        <f>H413/$F$413</f>
        <v>0.34989916450590608</v>
      </c>
      <c r="I660" s="111">
        <f t="shared" ref="I660:AE660" si="278">I413/$F$413</f>
        <v>0.3409641691201506</v>
      </c>
      <c r="J660" s="111">
        <f t="shared" si="278"/>
        <v>0.30913666637394333</v>
      </c>
      <c r="K660" s="111">
        <f t="shared" si="278"/>
        <v>0</v>
      </c>
      <c r="L660" s="111">
        <f t="shared" si="278"/>
        <v>0</v>
      </c>
      <c r="M660" s="111">
        <f t="shared" si="278"/>
        <v>0</v>
      </c>
      <c r="N660" s="111">
        <f t="shared" si="278"/>
        <v>0</v>
      </c>
      <c r="O660" s="111">
        <f t="shared" si="278"/>
        <v>0</v>
      </c>
      <c r="P660" s="111">
        <f t="shared" si="278"/>
        <v>0</v>
      </c>
      <c r="Q660" s="111">
        <f t="shared" si="278"/>
        <v>0</v>
      </c>
      <c r="R660" s="111">
        <f t="shared" si="278"/>
        <v>0</v>
      </c>
      <c r="S660" s="111">
        <f t="shared" si="278"/>
        <v>0</v>
      </c>
      <c r="T660" s="111">
        <f t="shared" si="278"/>
        <v>0</v>
      </c>
      <c r="U660" s="111">
        <f t="shared" si="278"/>
        <v>0</v>
      </c>
      <c r="V660" s="111">
        <f t="shared" si="278"/>
        <v>0</v>
      </c>
      <c r="W660" s="111">
        <f t="shared" si="278"/>
        <v>0</v>
      </c>
      <c r="X660" s="111">
        <f t="shared" si="278"/>
        <v>0</v>
      </c>
      <c r="Y660" s="111">
        <f t="shared" si="278"/>
        <v>0</v>
      </c>
      <c r="Z660" s="111">
        <f t="shared" si="278"/>
        <v>0</v>
      </c>
      <c r="AA660" s="111">
        <f t="shared" si="278"/>
        <v>0</v>
      </c>
      <c r="AB660" s="111">
        <f t="shared" si="278"/>
        <v>0</v>
      </c>
      <c r="AC660" s="111">
        <f t="shared" si="278"/>
        <v>0</v>
      </c>
      <c r="AD660" s="111">
        <f t="shared" si="278"/>
        <v>0</v>
      </c>
      <c r="AE660" s="111">
        <f t="shared" si="278"/>
        <v>0</v>
      </c>
      <c r="AF660" s="242">
        <f t="shared" si="266"/>
        <v>1</v>
      </c>
      <c r="AG660" s="94" t="str">
        <f t="shared" si="267"/>
        <v>ok</v>
      </c>
    </row>
    <row r="661" spans="1:33" s="61" customFormat="1" x14ac:dyDescent="0.25">
      <c r="A661" s="61" t="s">
        <v>104</v>
      </c>
      <c r="D661" s="61" t="s">
        <v>673</v>
      </c>
      <c r="F661" s="82">
        <v>1</v>
      </c>
      <c r="H661" s="333">
        <f>H448/$F$448</f>
        <v>0</v>
      </c>
      <c r="I661" s="333">
        <f t="shared" ref="I661:AE661" si="279">I448/$F$448</f>
        <v>0</v>
      </c>
      <c r="J661" s="333">
        <f t="shared" si="279"/>
        <v>0</v>
      </c>
      <c r="K661" s="333">
        <f t="shared" si="279"/>
        <v>0</v>
      </c>
      <c r="L661" s="333">
        <f t="shared" si="279"/>
        <v>0</v>
      </c>
      <c r="M661" s="333">
        <f t="shared" si="279"/>
        <v>0</v>
      </c>
      <c r="N661" s="333">
        <f t="shared" si="279"/>
        <v>0.34989916450590608</v>
      </c>
      <c r="O661" s="333">
        <f t="shared" si="279"/>
        <v>0.34096416912015048</v>
      </c>
      <c r="P661" s="333">
        <f t="shared" si="279"/>
        <v>0.30913666637394333</v>
      </c>
      <c r="Q661" s="333">
        <f t="shared" si="279"/>
        <v>0</v>
      </c>
      <c r="R661" s="333">
        <f t="shared" si="279"/>
        <v>0</v>
      </c>
      <c r="S661" s="333">
        <f t="shared" si="279"/>
        <v>0</v>
      </c>
      <c r="T661" s="333">
        <f t="shared" si="279"/>
        <v>0</v>
      </c>
      <c r="U661" s="333">
        <f t="shared" si="279"/>
        <v>0</v>
      </c>
      <c r="V661" s="333">
        <f t="shared" si="279"/>
        <v>0</v>
      </c>
      <c r="W661" s="333">
        <f t="shared" si="279"/>
        <v>0</v>
      </c>
      <c r="X661" s="333">
        <f t="shared" si="279"/>
        <v>0</v>
      </c>
      <c r="Y661" s="333">
        <f t="shared" si="279"/>
        <v>0</v>
      </c>
      <c r="Z661" s="333">
        <f t="shared" si="279"/>
        <v>0</v>
      </c>
      <c r="AA661" s="333">
        <f t="shared" si="279"/>
        <v>0</v>
      </c>
      <c r="AB661" s="333">
        <f t="shared" si="279"/>
        <v>0</v>
      </c>
      <c r="AC661" s="333">
        <f t="shared" si="279"/>
        <v>0</v>
      </c>
      <c r="AD661" s="333">
        <f t="shared" si="279"/>
        <v>0</v>
      </c>
      <c r="AE661" s="333">
        <f t="shared" si="279"/>
        <v>0</v>
      </c>
      <c r="AF661" s="242">
        <f t="shared" si="266"/>
        <v>0.99999999999999989</v>
      </c>
      <c r="AG661" s="94" t="str">
        <f t="shared" si="267"/>
        <v>ok</v>
      </c>
    </row>
    <row r="662" spans="1:33" s="61" customFormat="1" x14ac:dyDescent="0.25">
      <c r="A662" s="61" t="s">
        <v>107</v>
      </c>
      <c r="D662" s="61" t="s">
        <v>64</v>
      </c>
      <c r="F662" s="82">
        <v>1</v>
      </c>
      <c r="H662" s="111">
        <f>H463/$F$463</f>
        <v>0</v>
      </c>
      <c r="I662" s="111">
        <f t="shared" ref="I662:AE662" si="280">I463/$F$463</f>
        <v>0</v>
      </c>
      <c r="J662" s="111">
        <f t="shared" si="280"/>
        <v>0</v>
      </c>
      <c r="K662" s="111">
        <f t="shared" si="280"/>
        <v>0</v>
      </c>
      <c r="L662" s="111">
        <f t="shared" si="280"/>
        <v>0</v>
      </c>
      <c r="M662" s="111">
        <f t="shared" si="280"/>
        <v>0</v>
      </c>
      <c r="N662" s="111">
        <f t="shared" si="280"/>
        <v>0</v>
      </c>
      <c r="O662" s="111">
        <f t="shared" si="280"/>
        <v>0</v>
      </c>
      <c r="P662" s="111">
        <f t="shared" si="280"/>
        <v>0</v>
      </c>
      <c r="Q662" s="111">
        <f t="shared" si="280"/>
        <v>0</v>
      </c>
      <c r="R662" s="111">
        <f t="shared" si="280"/>
        <v>0.1890374956297429</v>
      </c>
      <c r="S662" s="111">
        <f t="shared" si="280"/>
        <v>0</v>
      </c>
      <c r="T662" s="111">
        <f t="shared" si="280"/>
        <v>0.10548243055652345</v>
      </c>
      <c r="U662" s="111">
        <f t="shared" si="280"/>
        <v>0.15358821815428214</v>
      </c>
      <c r="V662" s="111">
        <f t="shared" si="280"/>
        <v>3.5160810185507811E-2</v>
      </c>
      <c r="W662" s="111">
        <f t="shared" si="280"/>
        <v>5.1196072718094038E-2</v>
      </c>
      <c r="X662" s="111">
        <f t="shared" si="280"/>
        <v>1.4009735414978127E-2</v>
      </c>
      <c r="Y662" s="111">
        <f t="shared" si="280"/>
        <v>1.0632130370158829E-2</v>
      </c>
      <c r="Z662" s="111">
        <f t="shared" si="280"/>
        <v>5.0456674681711557E-3</v>
      </c>
      <c r="AA662" s="111">
        <f t="shared" si="280"/>
        <v>0.42013567794686441</v>
      </c>
      <c r="AB662" s="111">
        <f t="shared" si="280"/>
        <v>1.5711761555677221E-2</v>
      </c>
      <c r="AC662" s="111">
        <f t="shared" si="280"/>
        <v>0</v>
      </c>
      <c r="AD662" s="111">
        <f t="shared" si="280"/>
        <v>0</v>
      </c>
      <c r="AE662" s="111">
        <f t="shared" si="280"/>
        <v>0</v>
      </c>
      <c r="AF662" s="242">
        <f t="shared" si="266"/>
        <v>1</v>
      </c>
      <c r="AG662" s="94" t="str">
        <f t="shared" si="267"/>
        <v>ok</v>
      </c>
    </row>
    <row r="663" spans="1:33" s="61" customFormat="1" x14ac:dyDescent="0.25">
      <c r="A663" s="61" t="s">
        <v>109</v>
      </c>
      <c r="D663" s="61" t="s">
        <v>73</v>
      </c>
      <c r="F663" s="82">
        <v>1</v>
      </c>
      <c r="H663" s="111">
        <f>H482/$F$482</f>
        <v>0</v>
      </c>
      <c r="I663" s="111">
        <f t="shared" ref="I663:AE663" si="281">I482/$F$482</f>
        <v>0</v>
      </c>
      <c r="J663" s="111">
        <f t="shared" si="281"/>
        <v>0</v>
      </c>
      <c r="K663" s="111">
        <f t="shared" si="281"/>
        <v>0</v>
      </c>
      <c r="L663" s="111">
        <f t="shared" si="281"/>
        <v>0</v>
      </c>
      <c r="M663" s="111">
        <f t="shared" si="281"/>
        <v>0</v>
      </c>
      <c r="N663" s="111">
        <f t="shared" si="281"/>
        <v>0</v>
      </c>
      <c r="O663" s="111">
        <f t="shared" si="281"/>
        <v>0</v>
      </c>
      <c r="P663" s="111">
        <f t="shared" si="281"/>
        <v>0</v>
      </c>
      <c r="Q663" s="111">
        <f t="shared" si="281"/>
        <v>0</v>
      </c>
      <c r="R663" s="111">
        <f t="shared" si="281"/>
        <v>8.3800476647164987E-2</v>
      </c>
      <c r="S663" s="111">
        <f t="shared" si="281"/>
        <v>0</v>
      </c>
      <c r="T663" s="111">
        <f t="shared" si="281"/>
        <v>0.26599960691280006</v>
      </c>
      <c r="U663" s="111">
        <f t="shared" si="281"/>
        <v>0.39188518459506677</v>
      </c>
      <c r="V663" s="111">
        <f t="shared" si="281"/>
        <v>8.8666535637600033E-2</v>
      </c>
      <c r="W663" s="111">
        <f t="shared" si="281"/>
        <v>0.13062839486502226</v>
      </c>
      <c r="X663" s="111">
        <f t="shared" si="281"/>
        <v>1.7161993155341126E-2</v>
      </c>
      <c r="Y663" s="111">
        <f t="shared" si="281"/>
        <v>1.3024410756842637E-2</v>
      </c>
      <c r="Z663" s="111">
        <f t="shared" si="281"/>
        <v>3.3958592019864243E-4</v>
      </c>
      <c r="AA663" s="111">
        <f t="shared" si="281"/>
        <v>4.4847984527046397E-4</v>
      </c>
      <c r="AB663" s="111">
        <f t="shared" si="281"/>
        <v>8.0453316646930239E-3</v>
      </c>
      <c r="AC663" s="111">
        <f t="shared" si="281"/>
        <v>0</v>
      </c>
      <c r="AD663" s="111">
        <f t="shared" si="281"/>
        <v>0</v>
      </c>
      <c r="AE663" s="111">
        <f t="shared" si="281"/>
        <v>0</v>
      </c>
      <c r="AF663" s="242">
        <f t="shared" si="266"/>
        <v>1.0000000000000002</v>
      </c>
      <c r="AG663" s="94" t="str">
        <f t="shared" si="267"/>
        <v>ok</v>
      </c>
    </row>
    <row r="664" spans="1:33" s="61" customFormat="1" x14ac:dyDescent="0.25">
      <c r="A664" s="61" t="s">
        <v>857</v>
      </c>
      <c r="D664" s="61" t="s">
        <v>671</v>
      </c>
      <c r="F664" s="82">
        <v>1</v>
      </c>
      <c r="H664" s="111">
        <f>H514/$F$514</f>
        <v>0.13770969778978656</v>
      </c>
      <c r="I664" s="111">
        <f t="shared" ref="I664:AE664" si="282">I514/$F$514</f>
        <v>0.13419315462780723</v>
      </c>
      <c r="J664" s="111">
        <f t="shared" si="282"/>
        <v>0.12166681495856854</v>
      </c>
      <c r="K664" s="111">
        <f t="shared" si="282"/>
        <v>0.23140793126996639</v>
      </c>
      <c r="L664" s="111">
        <f t="shared" si="282"/>
        <v>0</v>
      </c>
      <c r="M664" s="111">
        <f t="shared" si="282"/>
        <v>0</v>
      </c>
      <c r="N664" s="111">
        <f t="shared" si="282"/>
        <v>2.1085891536428925E-2</v>
      </c>
      <c r="O664" s="111">
        <f t="shared" si="282"/>
        <v>2.0547443998697363E-2</v>
      </c>
      <c r="P664" s="111">
        <f t="shared" si="282"/>
        <v>1.8629430642679218E-2</v>
      </c>
      <c r="Q664" s="111">
        <f t="shared" si="282"/>
        <v>0</v>
      </c>
      <c r="R664" s="111">
        <f t="shared" si="282"/>
        <v>3.2760910472837926E-2</v>
      </c>
      <c r="S664" s="111">
        <f t="shared" si="282"/>
        <v>0</v>
      </c>
      <c r="T664" s="111">
        <f t="shared" si="282"/>
        <v>3.5613507999147379E-2</v>
      </c>
      <c r="U664" s="111">
        <f t="shared" si="282"/>
        <v>5.2216934721772079E-2</v>
      </c>
      <c r="V664" s="111">
        <f t="shared" si="282"/>
        <v>1.1871169333049126E-2</v>
      </c>
      <c r="W664" s="111">
        <f t="shared" si="282"/>
        <v>1.7405644907257357E-2</v>
      </c>
      <c r="X664" s="111">
        <f t="shared" si="282"/>
        <v>3.2937607170148778E-3</v>
      </c>
      <c r="Y664" s="111">
        <f t="shared" si="282"/>
        <v>2.4996684315657849E-3</v>
      </c>
      <c r="Z664" s="111">
        <f t="shared" si="282"/>
        <v>7.2444388348681828E-4</v>
      </c>
      <c r="AA664" s="111">
        <f t="shared" si="282"/>
        <v>5.812194196071193E-2</v>
      </c>
      <c r="AB664" s="111">
        <f t="shared" si="282"/>
        <v>2.8083153993252461E-3</v>
      </c>
      <c r="AC664" s="111">
        <f t="shared" si="282"/>
        <v>8.0222747769824937E-2</v>
      </c>
      <c r="AD664" s="111">
        <f t="shared" si="282"/>
        <v>1.722058958007237E-2</v>
      </c>
      <c r="AE664" s="111">
        <f t="shared" si="282"/>
        <v>0</v>
      </c>
      <c r="AF664" s="242">
        <f t="shared" si="266"/>
        <v>1.0000000000000002</v>
      </c>
      <c r="AG664" s="94" t="str">
        <f t="shared" si="267"/>
        <v>ok</v>
      </c>
    </row>
    <row r="665" spans="1:33" s="61" customFormat="1" x14ac:dyDescent="0.25">
      <c r="A665" s="61" t="s">
        <v>979</v>
      </c>
      <c r="D665" s="61" t="s">
        <v>980</v>
      </c>
      <c r="F665" s="82">
        <v>1</v>
      </c>
      <c r="H665" s="111">
        <f>H58/$F$58</f>
        <v>0.20451256112443167</v>
      </c>
      <c r="I665" s="111">
        <f t="shared" ref="I665:AE665" si="283">I58/$F$58</f>
        <v>0.1992901457106761</v>
      </c>
      <c r="J665" s="111">
        <f t="shared" si="283"/>
        <v>0.18068728877041082</v>
      </c>
      <c r="K665" s="111">
        <f t="shared" si="283"/>
        <v>0</v>
      </c>
      <c r="L665" s="111">
        <f t="shared" si="283"/>
        <v>0</v>
      </c>
      <c r="M665" s="111">
        <f t="shared" si="283"/>
        <v>0</v>
      </c>
      <c r="N665" s="111">
        <f t="shared" si="283"/>
        <v>3.6618334992317571E-2</v>
      </c>
      <c r="O665" s="111">
        <f t="shared" si="283"/>
        <v>3.5683252295985825E-2</v>
      </c>
      <c r="P665" s="111">
        <f t="shared" si="283"/>
        <v>3.2352377930580323E-2</v>
      </c>
      <c r="Q665" s="111">
        <f t="shared" si="283"/>
        <v>0</v>
      </c>
      <c r="R665" s="111">
        <f t="shared" si="283"/>
        <v>3.7051893022293662E-2</v>
      </c>
      <c r="S665" s="111">
        <f t="shared" si="283"/>
        <v>0</v>
      </c>
      <c r="T665" s="111">
        <f t="shared" si="283"/>
        <v>5.4375585440345389E-2</v>
      </c>
      <c r="U665" s="111">
        <f t="shared" si="283"/>
        <v>8.8356243069853929E-2</v>
      </c>
      <c r="V665" s="111">
        <f t="shared" si="283"/>
        <v>1.8125195146781795E-2</v>
      </c>
      <c r="W665" s="111">
        <f t="shared" si="283"/>
        <v>2.9452081023284643E-2</v>
      </c>
      <c r="X665" s="111">
        <f t="shared" si="283"/>
        <v>2.2467871274998875E-2</v>
      </c>
      <c r="Y665" s="111">
        <f t="shared" si="283"/>
        <v>1.705109550322708E-2</v>
      </c>
      <c r="Z665" s="111">
        <f t="shared" si="283"/>
        <v>8.0919020818992406E-3</v>
      </c>
      <c r="AA665" s="111">
        <f t="shared" si="283"/>
        <v>1.0686706302520091E-2</v>
      </c>
      <c r="AB665" s="111">
        <f t="shared" si="283"/>
        <v>2.5197466310393057E-2</v>
      </c>
      <c r="AC665" s="111">
        <f t="shared" si="283"/>
        <v>0</v>
      </c>
      <c r="AD665" s="111">
        <f t="shared" si="283"/>
        <v>0</v>
      </c>
      <c r="AE665" s="111">
        <f t="shared" si="283"/>
        <v>0</v>
      </c>
      <c r="AF665" s="242">
        <f t="shared" si="266"/>
        <v>1</v>
      </c>
      <c r="AG665" s="94" t="str">
        <f t="shared" si="267"/>
        <v>ok</v>
      </c>
    </row>
    <row r="666" spans="1:33" s="61" customFormat="1" x14ac:dyDescent="0.25">
      <c r="A666" s="61" t="s">
        <v>201</v>
      </c>
      <c r="D666" s="61" t="s">
        <v>202</v>
      </c>
      <c r="F666" s="82">
        <v>1</v>
      </c>
      <c r="H666" s="111">
        <f>H29/$F$29</f>
        <v>0.34989916450590608</v>
      </c>
      <c r="I666" s="111">
        <f t="shared" ref="I666:AE666" si="284">I29/$F$29</f>
        <v>0.3409641691201506</v>
      </c>
      <c r="J666" s="111">
        <f t="shared" si="284"/>
        <v>0.30913666637394333</v>
      </c>
      <c r="K666" s="111">
        <f t="shared" si="284"/>
        <v>0</v>
      </c>
      <c r="L666" s="111">
        <f t="shared" si="284"/>
        <v>0</v>
      </c>
      <c r="M666" s="111">
        <f t="shared" si="284"/>
        <v>0</v>
      </c>
      <c r="N666" s="111">
        <f t="shared" si="284"/>
        <v>0</v>
      </c>
      <c r="O666" s="111">
        <f t="shared" si="284"/>
        <v>0</v>
      </c>
      <c r="P666" s="111">
        <f t="shared" si="284"/>
        <v>0</v>
      </c>
      <c r="Q666" s="111">
        <f t="shared" si="284"/>
        <v>0</v>
      </c>
      <c r="R666" s="111">
        <f t="shared" si="284"/>
        <v>0</v>
      </c>
      <c r="S666" s="111">
        <f t="shared" si="284"/>
        <v>0</v>
      </c>
      <c r="T666" s="111">
        <f t="shared" si="284"/>
        <v>0</v>
      </c>
      <c r="U666" s="111">
        <f t="shared" si="284"/>
        <v>0</v>
      </c>
      <c r="V666" s="111">
        <f t="shared" si="284"/>
        <v>0</v>
      </c>
      <c r="W666" s="111">
        <f t="shared" si="284"/>
        <v>0</v>
      </c>
      <c r="X666" s="111">
        <f t="shared" si="284"/>
        <v>0</v>
      </c>
      <c r="Y666" s="111">
        <f t="shared" si="284"/>
        <v>0</v>
      </c>
      <c r="Z666" s="111">
        <f t="shared" si="284"/>
        <v>0</v>
      </c>
      <c r="AA666" s="111">
        <f t="shared" si="284"/>
        <v>0</v>
      </c>
      <c r="AB666" s="111">
        <f t="shared" si="284"/>
        <v>0</v>
      </c>
      <c r="AC666" s="111">
        <f t="shared" si="284"/>
        <v>0</v>
      </c>
      <c r="AD666" s="111">
        <f t="shared" si="284"/>
        <v>0</v>
      </c>
      <c r="AE666" s="111">
        <f t="shared" si="284"/>
        <v>0</v>
      </c>
      <c r="AF666" s="242">
        <f t="shared" si="266"/>
        <v>1</v>
      </c>
      <c r="AG666" s="94" t="str">
        <f t="shared" si="267"/>
        <v>ok</v>
      </c>
    </row>
    <row r="667" spans="1:33" s="61" customFormat="1" x14ac:dyDescent="0.25">
      <c r="A667" s="61" t="s">
        <v>958</v>
      </c>
      <c r="D667" s="61" t="s">
        <v>959</v>
      </c>
      <c r="F667" s="82">
        <v>1</v>
      </c>
      <c r="H667" s="111">
        <f>H15/$F$15</f>
        <v>0.20451256112443167</v>
      </c>
      <c r="I667" s="111">
        <f t="shared" ref="I667:AE667" si="285">I15/$F$15</f>
        <v>0.1992901457106761</v>
      </c>
      <c r="J667" s="111">
        <f t="shared" si="285"/>
        <v>0.18068728877041082</v>
      </c>
      <c r="K667" s="111">
        <f t="shared" si="285"/>
        <v>0</v>
      </c>
      <c r="L667" s="111">
        <f t="shared" si="285"/>
        <v>0</v>
      </c>
      <c r="M667" s="111">
        <f t="shared" si="285"/>
        <v>0</v>
      </c>
      <c r="N667" s="111">
        <f t="shared" si="285"/>
        <v>3.6618334992317571E-2</v>
      </c>
      <c r="O667" s="111">
        <f t="shared" si="285"/>
        <v>3.5683252295985825E-2</v>
      </c>
      <c r="P667" s="111">
        <f t="shared" si="285"/>
        <v>3.2352377930580323E-2</v>
      </c>
      <c r="Q667" s="111">
        <f t="shared" si="285"/>
        <v>0</v>
      </c>
      <c r="R667" s="111">
        <f t="shared" si="285"/>
        <v>3.7051893022293662E-2</v>
      </c>
      <c r="S667" s="111">
        <f t="shared" si="285"/>
        <v>0</v>
      </c>
      <c r="T667" s="111">
        <f t="shared" si="285"/>
        <v>5.4375585440345389E-2</v>
      </c>
      <c r="U667" s="111">
        <f t="shared" si="285"/>
        <v>8.8356243069853929E-2</v>
      </c>
      <c r="V667" s="111">
        <f t="shared" si="285"/>
        <v>1.8125195146781795E-2</v>
      </c>
      <c r="W667" s="111">
        <f t="shared" si="285"/>
        <v>2.9452081023284643E-2</v>
      </c>
      <c r="X667" s="111">
        <f t="shared" si="285"/>
        <v>2.2467871274998875E-2</v>
      </c>
      <c r="Y667" s="111">
        <f t="shared" si="285"/>
        <v>1.705109550322708E-2</v>
      </c>
      <c r="Z667" s="111">
        <f t="shared" si="285"/>
        <v>8.0919020818992406E-3</v>
      </c>
      <c r="AA667" s="111">
        <f t="shared" si="285"/>
        <v>1.0686706302520091E-2</v>
      </c>
      <c r="AB667" s="111">
        <f t="shared" si="285"/>
        <v>2.5197466310393057E-2</v>
      </c>
      <c r="AC667" s="111">
        <f t="shared" si="285"/>
        <v>0</v>
      </c>
      <c r="AD667" s="111">
        <f t="shared" si="285"/>
        <v>0</v>
      </c>
      <c r="AE667" s="111">
        <f t="shared" si="285"/>
        <v>0</v>
      </c>
      <c r="AF667" s="242">
        <f t="shared" si="266"/>
        <v>1</v>
      </c>
      <c r="AG667" s="94" t="str">
        <f t="shared" si="267"/>
        <v>ok</v>
      </c>
    </row>
    <row r="668" spans="1:33" s="61" customFormat="1" x14ac:dyDescent="0.25">
      <c r="W668" s="78"/>
    </row>
  </sheetData>
  <autoFilter ref="C2:D667"/>
  <mergeCells count="5">
    <mergeCell ref="V3:W3"/>
    <mergeCell ref="X3:Y3"/>
    <mergeCell ref="H3:J3"/>
    <mergeCell ref="N3:P3"/>
    <mergeCell ref="S3:U3"/>
  </mergeCells>
  <phoneticPr fontId="0" type="noConversion"/>
  <printOptions headings="1"/>
  <pageMargins left="0.25" right="0.25" top="1.25" bottom="0.5" header="0.5" footer="0.3"/>
  <pageSetup scale="55" fitToWidth="2" pageOrder="overThenDown" orientation="landscape" horizontalDpi="300" verticalDpi="300" r:id="rId1"/>
  <headerFooter alignWithMargins="0">
    <oddHeader>&amp;C&amp;"Times New Roman,Bold"LOUISVILLE GAS AND ELECTRIC COMPANY
Cost of Service Study
Functional Assignment and Classification
12 Months Ended 
June 30, 2016
&amp;R&amp;"Times New Roman,Bold"&amp;12Exhibit MJB - 8
Page &amp;P of &amp;N</oddHeader>
  </headerFooter>
  <rowBreaks count="14" manualBreakCount="14">
    <brk id="52" max="16383" man="1"/>
    <brk id="88" max="16383" man="1"/>
    <brk id="139" max="16383" man="1"/>
    <brk id="194" max="16383" man="1"/>
    <brk id="239" max="16383" man="1"/>
    <brk id="278" max="16383" man="1"/>
    <brk id="310" max="30" man="1"/>
    <brk id="358" max="16383" man="1"/>
    <brk id="402" max="16383" man="1"/>
    <brk id="433" max="16383" man="1"/>
    <brk id="467" max="16383" man="1"/>
    <brk id="518" max="16383" man="1"/>
    <brk id="564" max="16383" man="1"/>
    <brk id="610" max="16383" man="1"/>
  </rowBreaks>
  <colBreaks count="2" manualBreakCount="2">
    <brk id="16" max="666" man="1"/>
    <brk id="23" max="66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80" zoomScaleNormal="80" workbookViewId="0">
      <selection sqref="A1:K1"/>
    </sheetView>
  </sheetViews>
  <sheetFormatPr defaultRowHeight="13.8" x14ac:dyDescent="0.25"/>
  <cols>
    <col min="1" max="1" width="4.5546875" customWidth="1"/>
    <col min="2" max="2" width="41.109375" bestFit="1" customWidth="1"/>
    <col min="3" max="3" width="30.6640625" hidden="1" customWidth="1"/>
    <col min="4" max="4" width="28.33203125" customWidth="1"/>
    <col min="5" max="5" width="22.5546875" bestFit="1" customWidth="1"/>
    <col min="6" max="6" width="20.5546875" customWidth="1"/>
    <col min="7" max="8" width="22.5546875" bestFit="1" customWidth="1"/>
    <col min="9" max="9" width="24.6640625" bestFit="1" customWidth="1"/>
    <col min="10" max="10" width="37" bestFit="1" customWidth="1"/>
    <col min="11" max="11" width="21.44140625" customWidth="1"/>
    <col min="12" max="12" width="17.88671875" customWidth="1"/>
  </cols>
  <sheetData>
    <row r="1" spans="1:14" ht="15.6" x14ac:dyDescent="0.3">
      <c r="A1" s="381" t="s">
        <v>623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233"/>
      <c r="M1" s="233"/>
      <c r="N1" s="233"/>
    </row>
    <row r="2" spans="1:14" ht="15.6" x14ac:dyDescent="0.3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187"/>
      <c r="M2" s="187"/>
      <c r="N2" s="187"/>
    </row>
    <row r="3" spans="1:14" ht="15.6" x14ac:dyDescent="0.3">
      <c r="A3" s="381" t="s">
        <v>1214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233"/>
      <c r="M3" s="233"/>
      <c r="N3" s="233"/>
    </row>
    <row r="4" spans="1:14" ht="15.6" x14ac:dyDescent="0.3">
      <c r="A4" s="381" t="s">
        <v>1372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233"/>
      <c r="M4" s="233"/>
      <c r="N4" s="233"/>
    </row>
    <row r="5" spans="1:14" ht="15.6" x14ac:dyDescent="0.3">
      <c r="A5" s="240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1"/>
      <c r="M5" s="21"/>
      <c r="N5" s="21"/>
    </row>
    <row r="6" spans="1:14" ht="15.6" x14ac:dyDescent="0.3">
      <c r="A6" s="381" t="s">
        <v>1385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233"/>
      <c r="M6" s="233"/>
      <c r="N6" s="233"/>
    </row>
    <row r="8" spans="1:14" ht="14.4" thickBot="1" x14ac:dyDescent="0.3"/>
    <row r="9" spans="1:14" ht="14.4" thickBot="1" x14ac:dyDescent="0.3">
      <c r="A9" s="189"/>
      <c r="B9" s="190"/>
      <c r="C9" s="191"/>
      <c r="D9" s="189"/>
      <c r="E9" s="379" t="s">
        <v>730</v>
      </c>
      <c r="F9" s="380"/>
      <c r="G9" s="192" t="s">
        <v>1153</v>
      </c>
      <c r="H9" s="379" t="s">
        <v>960</v>
      </c>
      <c r="I9" s="380"/>
      <c r="J9" s="274" t="s">
        <v>1216</v>
      </c>
      <c r="K9" s="191"/>
      <c r="L9" s="276"/>
    </row>
    <row r="10" spans="1:14" x14ac:dyDescent="0.25">
      <c r="A10" s="194"/>
      <c r="B10" s="195"/>
      <c r="C10" s="196"/>
      <c r="D10" s="196"/>
      <c r="E10" s="191"/>
      <c r="F10" s="191"/>
      <c r="G10" s="191"/>
      <c r="H10" s="191"/>
      <c r="I10" s="191"/>
      <c r="J10" s="189"/>
      <c r="K10" s="196"/>
      <c r="L10" s="277"/>
    </row>
    <row r="11" spans="1:14" x14ac:dyDescent="0.25">
      <c r="A11" s="194"/>
      <c r="B11" s="195"/>
      <c r="C11" s="196"/>
      <c r="D11" s="196"/>
      <c r="E11" s="196"/>
      <c r="F11" s="196"/>
      <c r="G11" s="196"/>
      <c r="H11" s="196"/>
      <c r="I11" s="196"/>
      <c r="J11" s="194"/>
      <c r="K11" s="196"/>
      <c r="L11" s="277"/>
    </row>
    <row r="12" spans="1:14" ht="14.4" thickBot="1" x14ac:dyDescent="0.3">
      <c r="A12" s="198"/>
      <c r="B12" s="278" t="s">
        <v>947</v>
      </c>
      <c r="C12" s="279" t="s">
        <v>1217</v>
      </c>
      <c r="D12" s="279" t="s">
        <v>1282</v>
      </c>
      <c r="E12" s="199" t="s">
        <v>1218</v>
      </c>
      <c r="F12" s="199" t="s">
        <v>1219</v>
      </c>
      <c r="G12" s="199" t="s">
        <v>1218</v>
      </c>
      <c r="H12" s="199" t="s">
        <v>1218</v>
      </c>
      <c r="I12" s="199" t="s">
        <v>1220</v>
      </c>
      <c r="J12" s="298" t="s">
        <v>1220</v>
      </c>
      <c r="K12" s="200" t="s">
        <v>944</v>
      </c>
      <c r="L12" s="200" t="s">
        <v>1221</v>
      </c>
    </row>
    <row r="13" spans="1:14" x14ac:dyDescent="0.25">
      <c r="A13" s="201"/>
      <c r="B13" s="202"/>
      <c r="C13" s="203"/>
      <c r="D13" s="204"/>
      <c r="E13" s="205"/>
      <c r="F13" s="205"/>
      <c r="G13" s="205"/>
      <c r="H13" s="205"/>
      <c r="I13" s="205"/>
      <c r="J13" s="205"/>
      <c r="K13" s="193"/>
      <c r="L13" s="197"/>
    </row>
    <row r="14" spans="1:14" x14ac:dyDescent="0.25">
      <c r="A14" s="206" t="s">
        <v>1222</v>
      </c>
      <c r="B14" s="207" t="s">
        <v>987</v>
      </c>
      <c r="C14" s="208"/>
      <c r="D14" s="280">
        <f>'Allocation ProForma'!J176</f>
        <v>20130039.304534759</v>
      </c>
      <c r="E14" s="281">
        <f>'Allocation ProForma'!J125+'Allocation ProForma'!J126+'Allocation ProForma'!J127</f>
        <v>14304601.114262976</v>
      </c>
      <c r="F14" s="281">
        <f>'Allocation ProForma'!J128</f>
        <v>728288.56909196812</v>
      </c>
      <c r="G14" s="281">
        <f>'Allocation ProForma'!J137</f>
        <v>2609900.0151866162</v>
      </c>
      <c r="H14" s="281">
        <f>'Allocation ProForma'!J147+'Allocation ProForma'!J149+'Allocation ProForma'!J154+'Allocation ProForma'!J143</f>
        <v>2250288.6932146004</v>
      </c>
      <c r="I14" s="281">
        <f>'Allocation ProForma'!J148+'Allocation ProForma'!J150+'Allocation ProForma'!J155+'Allocation ProForma'!J159+'Allocation ProForma'!J162+'Allocation ProForma'!J165</f>
        <v>235030.96625582711</v>
      </c>
      <c r="J14" s="281">
        <f>'Allocation ProForma'!J168+'Allocation ProForma'!J171</f>
        <v>1929.9465227734738</v>
      </c>
      <c r="K14" s="297">
        <f>SUM(E14:J14)</f>
        <v>20130039.304534759</v>
      </c>
      <c r="L14" s="209" t="str">
        <f>IF(ABS(K14-D14)&lt;0.01,"ok","err")</f>
        <v>ok</v>
      </c>
    </row>
    <row r="15" spans="1:14" x14ac:dyDescent="0.25">
      <c r="A15" s="210" t="s">
        <v>1223</v>
      </c>
      <c r="B15" s="215" t="s">
        <v>1224</v>
      </c>
      <c r="C15" s="208"/>
      <c r="D15" s="282">
        <f>'Allocation ProForma'!J840+'Allocation ProForma'!J841+'Allocation ProForma'!J842</f>
        <v>0</v>
      </c>
      <c r="E15" s="237">
        <f t="shared" ref="E15:J15" si="0">(E14/$D$14)*$D$15</f>
        <v>0</v>
      </c>
      <c r="F15" s="237">
        <f t="shared" si="0"/>
        <v>0</v>
      </c>
      <c r="G15" s="237">
        <f t="shared" si="0"/>
        <v>0</v>
      </c>
      <c r="H15" s="237">
        <f t="shared" si="0"/>
        <v>0</v>
      </c>
      <c r="I15" s="237">
        <f t="shared" si="0"/>
        <v>0</v>
      </c>
      <c r="J15" s="237">
        <f t="shared" si="0"/>
        <v>0</v>
      </c>
      <c r="K15" s="297">
        <f>SUM(E15:J15)</f>
        <v>0</v>
      </c>
      <c r="L15" s="209" t="str">
        <f>IF(ABS(K15-D15)&lt;0.01,"ok","err")</f>
        <v>ok</v>
      </c>
    </row>
    <row r="16" spans="1:14" x14ac:dyDescent="0.25">
      <c r="A16" s="210" t="s">
        <v>1225</v>
      </c>
      <c r="B16" s="236" t="s">
        <v>1226</v>
      </c>
      <c r="C16" s="208"/>
      <c r="D16" s="234">
        <f>D14+D15</f>
        <v>20130039.304534759</v>
      </c>
      <c r="E16" s="235">
        <f t="shared" ref="E16:K16" si="1">E14+E15</f>
        <v>14304601.114262976</v>
      </c>
      <c r="F16" s="235">
        <f t="shared" si="1"/>
        <v>728288.56909196812</v>
      </c>
      <c r="G16" s="235">
        <f t="shared" si="1"/>
        <v>2609900.0151866162</v>
      </c>
      <c r="H16" s="235">
        <f t="shared" si="1"/>
        <v>2250288.6932146004</v>
      </c>
      <c r="I16" s="235">
        <f t="shared" si="1"/>
        <v>235030.96625582711</v>
      </c>
      <c r="J16" s="235">
        <f t="shared" si="1"/>
        <v>1929.9465227734738</v>
      </c>
      <c r="K16" s="297">
        <f t="shared" si="1"/>
        <v>20130039.304534759</v>
      </c>
      <c r="L16" s="209" t="str">
        <f>IF(ABS(K16-D16)&lt;0.01,"ok","err")</f>
        <v>ok</v>
      </c>
    </row>
    <row r="17" spans="1:12" x14ac:dyDescent="0.25">
      <c r="A17" s="210"/>
      <c r="B17" s="211"/>
      <c r="C17" s="212"/>
      <c r="D17" s="283"/>
      <c r="E17" s="238"/>
      <c r="F17" s="238"/>
      <c r="G17" s="238"/>
      <c r="H17" s="238"/>
      <c r="I17" s="238"/>
      <c r="J17" s="238"/>
      <c r="K17" s="296"/>
      <c r="L17" s="213"/>
    </row>
    <row r="18" spans="1:12" x14ac:dyDescent="0.25">
      <c r="A18" s="210" t="s">
        <v>1227</v>
      </c>
      <c r="B18" s="207" t="s">
        <v>1143</v>
      </c>
      <c r="C18" s="208"/>
      <c r="D18" s="284">
        <f>'Allocation ProForma'!J995</f>
        <v>0.10230368064607906</v>
      </c>
      <c r="E18" s="285">
        <f t="shared" ref="E18:J18" si="2">D18</f>
        <v>0.10230368064607906</v>
      </c>
      <c r="F18" s="285">
        <f t="shared" si="2"/>
        <v>0.10230368064607906</v>
      </c>
      <c r="G18" s="285">
        <f t="shared" si="2"/>
        <v>0.10230368064607906</v>
      </c>
      <c r="H18" s="285">
        <f t="shared" si="2"/>
        <v>0.10230368064607906</v>
      </c>
      <c r="I18" s="285">
        <f t="shared" si="2"/>
        <v>0.10230368064607906</v>
      </c>
      <c r="J18" s="285">
        <f t="shared" si="2"/>
        <v>0.10230368064607906</v>
      </c>
      <c r="K18" s="296"/>
      <c r="L18" s="209"/>
    </row>
    <row r="19" spans="1:12" x14ac:dyDescent="0.25">
      <c r="A19" s="214"/>
      <c r="B19" s="207"/>
      <c r="C19" s="212"/>
      <c r="D19" s="283"/>
      <c r="E19" s="238"/>
      <c r="F19" s="238"/>
      <c r="G19" s="238"/>
      <c r="H19" s="238"/>
      <c r="I19" s="238"/>
      <c r="J19" s="238"/>
      <c r="K19" s="296"/>
      <c r="L19" s="213"/>
    </row>
    <row r="20" spans="1:12" x14ac:dyDescent="0.25">
      <c r="A20" s="210" t="s">
        <v>1228</v>
      </c>
      <c r="B20" s="207" t="s">
        <v>1229</v>
      </c>
      <c r="C20" s="208"/>
      <c r="D20" s="286">
        <f>D18*D16</f>
        <v>2059377.1124041434</v>
      </c>
      <c r="E20" s="235">
        <f t="shared" ref="E20:J20" si="3">E18*E16</f>
        <v>1463413.3441631061</v>
      </c>
      <c r="F20" s="235">
        <f t="shared" si="3"/>
        <v>74506.601190574598</v>
      </c>
      <c r="G20" s="235">
        <f t="shared" si="3"/>
        <v>267002.37767184846</v>
      </c>
      <c r="H20" s="235">
        <f t="shared" si="3"/>
        <v>230212.81583210905</v>
      </c>
      <c r="I20" s="235">
        <f t="shared" si="3"/>
        <v>24044.532913775522</v>
      </c>
      <c r="J20" s="235">
        <f t="shared" si="3"/>
        <v>197.44063272982822</v>
      </c>
      <c r="K20" s="297">
        <f>SUM(E20:J20)</f>
        <v>2059377.1124041434</v>
      </c>
      <c r="L20" s="209" t="str">
        <f>IF(ABS(K20-D20)&lt;0.01,"ok","err")</f>
        <v>ok</v>
      </c>
    </row>
    <row r="21" spans="1:12" x14ac:dyDescent="0.25">
      <c r="A21" s="214"/>
      <c r="B21" s="207"/>
      <c r="C21" s="212"/>
      <c r="D21" s="283"/>
      <c r="E21" s="238"/>
      <c r="F21" s="238"/>
      <c r="G21" s="238"/>
      <c r="H21" s="238"/>
      <c r="I21" s="238"/>
      <c r="J21" s="238"/>
      <c r="K21" s="297"/>
      <c r="L21" s="213"/>
    </row>
    <row r="22" spans="1:12" x14ac:dyDescent="0.25">
      <c r="A22" s="210" t="s">
        <v>1230</v>
      </c>
      <c r="B22" s="207" t="s">
        <v>817</v>
      </c>
      <c r="C22" s="208"/>
      <c r="D22" s="286">
        <f>'Allocation ProForma'!J742</f>
        <v>482640.23881582875</v>
      </c>
      <c r="E22" s="235">
        <f t="shared" ref="E22:J22" si="4">(E14/$D$14)*$D$22</f>
        <v>342968.83346858498</v>
      </c>
      <c r="F22" s="235">
        <f t="shared" si="4"/>
        <v>17461.534157769966</v>
      </c>
      <c r="G22" s="235">
        <f t="shared" si="4"/>
        <v>62575.276061748154</v>
      </c>
      <c r="H22" s="235">
        <f t="shared" si="4"/>
        <v>53953.191837682563</v>
      </c>
      <c r="I22" s="235">
        <f t="shared" si="4"/>
        <v>5635.1306605384234</v>
      </c>
      <c r="J22" s="235">
        <f t="shared" si="4"/>
        <v>46.272629504669297</v>
      </c>
      <c r="K22" s="297">
        <f>SUM(E22:J22)</f>
        <v>482640.23881582881</v>
      </c>
      <c r="L22" s="209" t="str">
        <f>IF(ABS(K22-D22)&lt;0.01,"ok","err")</f>
        <v>ok</v>
      </c>
    </row>
    <row r="23" spans="1:12" x14ac:dyDescent="0.25">
      <c r="A23" s="214"/>
      <c r="B23" s="207"/>
      <c r="C23" s="212"/>
      <c r="D23" s="283"/>
      <c r="E23" s="238"/>
      <c r="F23" s="238"/>
      <c r="G23" s="238"/>
      <c r="H23" s="238"/>
      <c r="I23" s="238"/>
      <c r="J23" s="238"/>
      <c r="K23" s="297"/>
      <c r="L23" s="213"/>
    </row>
    <row r="24" spans="1:12" x14ac:dyDescent="0.25">
      <c r="A24" s="210" t="s">
        <v>1231</v>
      </c>
      <c r="B24" s="207" t="s">
        <v>1232</v>
      </c>
      <c r="C24" s="208"/>
      <c r="D24" s="286">
        <f>D20-D22</f>
        <v>1576736.8735883147</v>
      </c>
      <c r="E24" s="235">
        <f t="shared" ref="E24:J24" si="5">E20-E22</f>
        <v>1120444.510694521</v>
      </c>
      <c r="F24" s="235">
        <f t="shared" si="5"/>
        <v>57045.067032804633</v>
      </c>
      <c r="G24" s="235">
        <f t="shared" si="5"/>
        <v>204427.1016101003</v>
      </c>
      <c r="H24" s="235">
        <f t="shared" si="5"/>
        <v>176259.62399442648</v>
      </c>
      <c r="I24" s="235">
        <f t="shared" si="5"/>
        <v>18409.402253237098</v>
      </c>
      <c r="J24" s="235">
        <f t="shared" si="5"/>
        <v>151.16800322515894</v>
      </c>
      <c r="K24" s="297">
        <f>SUM(E24:J24)</f>
        <v>1576736.873588315</v>
      </c>
      <c r="L24" s="209" t="str">
        <f>IF(ABS(K24-D24)&lt;0.01,"ok","err")</f>
        <v>ok</v>
      </c>
    </row>
    <row r="25" spans="1:12" x14ac:dyDescent="0.25">
      <c r="A25" s="214"/>
      <c r="B25" s="207"/>
      <c r="C25" s="212"/>
      <c r="D25" s="283"/>
      <c r="E25" s="238"/>
      <c r="F25" s="238"/>
      <c r="G25" s="238"/>
      <c r="H25" s="238"/>
      <c r="I25" s="238"/>
      <c r="J25" s="238"/>
      <c r="K25" s="297"/>
      <c r="L25" s="213"/>
    </row>
    <row r="26" spans="1:12" x14ac:dyDescent="0.25">
      <c r="A26" s="210" t="s">
        <v>1233</v>
      </c>
      <c r="B26" s="207" t="s">
        <v>1234</v>
      </c>
      <c r="C26" s="212"/>
      <c r="D26" s="286">
        <f>'Allocation ProForma'!J792+'Allocation ProForma'!J986</f>
        <v>1050000.9058847632</v>
      </c>
      <c r="E26" s="235">
        <f t="shared" ref="E26:J26" si="6">$D$26*(E24/$K$24)</f>
        <v>746140.82471824798</v>
      </c>
      <c r="F26" s="235">
        <f t="shared" si="6"/>
        <v>37988.185006664004</v>
      </c>
      <c r="G26" s="235">
        <f t="shared" si="6"/>
        <v>136134.72575770208</v>
      </c>
      <c r="H26" s="235">
        <f t="shared" si="6"/>
        <v>117377.07664809642</v>
      </c>
      <c r="I26" s="235">
        <f t="shared" si="6"/>
        <v>12259.426012347434</v>
      </c>
      <c r="J26" s="235">
        <f t="shared" si="6"/>
        <v>100.66774170504438</v>
      </c>
      <c r="K26" s="297">
        <f>SUM(E26:J26)</f>
        <v>1050000.9058847628</v>
      </c>
      <c r="L26" s="209" t="str">
        <f>IF(ABS(K26-D26)&lt;0.01,"ok","err")</f>
        <v>ok</v>
      </c>
    </row>
    <row r="27" spans="1:12" x14ac:dyDescent="0.25">
      <c r="A27" s="214"/>
      <c r="B27" s="207"/>
      <c r="C27" s="212"/>
      <c r="D27" s="283"/>
      <c r="E27" s="238"/>
      <c r="F27" s="238"/>
      <c r="G27" s="238"/>
      <c r="H27" s="238"/>
      <c r="I27" s="238"/>
      <c r="J27" s="238"/>
      <c r="K27" s="297"/>
      <c r="L27" s="213"/>
    </row>
    <row r="28" spans="1:12" x14ac:dyDescent="0.25">
      <c r="A28" s="210" t="s">
        <v>1235</v>
      </c>
      <c r="B28" s="207" t="s">
        <v>997</v>
      </c>
      <c r="C28" s="208"/>
      <c r="D28" s="286">
        <f>'Allocation ProForma'!J712</f>
        <v>8188517.9653387209</v>
      </c>
      <c r="E28" s="235">
        <f>'Allocation ProForma'!J182+'Allocation ProForma'!J183+'Allocation ProForma'!J184</f>
        <v>1243293.2297698224</v>
      </c>
      <c r="F28" s="235">
        <f>'Allocation ProForma'!J185</f>
        <v>6352889.0232039504</v>
      </c>
      <c r="G28" s="235">
        <f>'Allocation ProForma'!J194</f>
        <v>233941.93753634655</v>
      </c>
      <c r="H28" s="235">
        <f>'Allocation ProForma'!J200+'Allocation ProForma'!J204+'Allocation ProForma'!J206+'Allocation ProForma'!J211</f>
        <v>232381.22113502183</v>
      </c>
      <c r="I28" s="235">
        <f>'Allocation ProForma'!J205+'Allocation ProForma'!J207+'Allocation ProForma'!J212+'Allocation ProForma'!J216+'Allocation ProForma'!J219</f>
        <v>109283.84656888143</v>
      </c>
      <c r="J28" s="235">
        <f>'Allocation ProForma'!J225+'Allocation ProForma'!J228</f>
        <v>16728.707124699598</v>
      </c>
      <c r="K28" s="297">
        <f t="shared" ref="K28:K33" si="7">SUM(E28:J28)</f>
        <v>8188517.9653387228</v>
      </c>
      <c r="L28" s="209" t="str">
        <f>IF(ABS(K28-D28)&lt;0.01,"ok","err")</f>
        <v>ok</v>
      </c>
    </row>
    <row r="29" spans="1:12" x14ac:dyDescent="0.25">
      <c r="A29" s="210" t="s">
        <v>1236</v>
      </c>
      <c r="B29" s="207" t="s">
        <v>1094</v>
      </c>
      <c r="C29" s="208"/>
      <c r="D29" s="282">
        <f>'Allocation ProForma'!J713</f>
        <v>1022265.4769023344</v>
      </c>
      <c r="E29" s="235">
        <f>'Allocation ProForma'!J302</f>
        <v>775228.79109954345</v>
      </c>
      <c r="F29" s="235">
        <v>0</v>
      </c>
      <c r="G29" s="235">
        <f>'Allocation ProForma'!J308</f>
        <v>107984.51488813659</v>
      </c>
      <c r="H29" s="235">
        <f>'Allocation ProForma'!J314+'Allocation ProForma'!J318+'Allocation ProForma'!J320+'Allocation ProForma'!J325</f>
        <v>126480.96456938059</v>
      </c>
      <c r="I29" s="235">
        <f>'Allocation ProForma'!J319+'Allocation ProForma'!J321+'Allocation ProForma'!J326+'Allocation ProForma'!J330+'Allocation ProForma'!J333</f>
        <v>12571.206345273746</v>
      </c>
      <c r="J29" s="235">
        <v>0</v>
      </c>
      <c r="K29" s="297">
        <f t="shared" si="7"/>
        <v>1022265.4769023345</v>
      </c>
      <c r="L29" s="209" t="str">
        <f>IF(ABS(K29-D29)&lt;0.01,"ok","err")</f>
        <v>ok</v>
      </c>
    </row>
    <row r="30" spans="1:12" x14ac:dyDescent="0.25">
      <c r="A30" s="210" t="s">
        <v>1237</v>
      </c>
      <c r="B30" s="207" t="s">
        <v>1238</v>
      </c>
      <c r="C30" s="208"/>
      <c r="D30" s="282">
        <f>'Allocation ProForma'!J714+'Allocation ProForma'!J715+'Allocation ProForma'!J718+'Allocation ProForma'!J719+'Allocation ProForma'!J720</f>
        <v>253110.18415798497</v>
      </c>
      <c r="E30" s="235">
        <f>'Allocation ProForma'!J417+'Allocation ProForma'!J474+'Allocation ProForma'!J359+'Allocation ProForma'!J531+'Allocation ProForma'!J589</f>
        <v>187393.78073413728</v>
      </c>
      <c r="F30" s="235">
        <f>'Allocation ProForma'!J356+'Allocation ProForma'!J357+'Allocation ProForma'!J358+'Allocation ProForma'!J414+'Allocation ProForma'!J415+'Allocation ProForma'!J416+'Allocation ProForma'!J471+'Allocation ProForma'!J472+'Allocation ProForma'!J473+'Allocation ProForma'!J528+'Allocation ProForma'!J529+'Allocation ProForma'!J530+'Allocation ProForma'!J586+'Allocation ProForma'!J587+'Allocation ProForma'!J588</f>
        <v>0</v>
      </c>
      <c r="G30" s="235">
        <f>'Allocation ProForma'!J365+'Allocation ProForma'!J423+'Allocation ProForma'!J480+'Allocation ProForma'!J537+'Allocation ProForma'!J595</f>
        <v>33224.595025051472</v>
      </c>
      <c r="H30" s="235">
        <f>'Allocation ProForma'!J371+'Allocation ProForma'!J375+'Allocation ProForma'!J377+'Allocation ProForma'!J382+'Allocation ProForma'!J429+'Allocation ProForma'!J433+'Allocation ProForma'!J435+'Allocation ProForma'!J440+'Allocation ProForma'!J486+'Allocation ProForma'!J490+'Allocation ProForma'!J492+'Allocation ProForma'!J497+'Allocation ProForma'!J543+'Allocation ProForma'!J547+'Allocation ProForma'!J549+'Allocation ProForma'!J554+'Allocation ProForma'!J601+'Allocation ProForma'!J605+'Allocation ProForma'!J607+'Allocation ProForma'!J612</f>
        <v>29554.340934422253</v>
      </c>
      <c r="I30" s="235">
        <f>'Allocation ProForma'!J376+'Allocation ProForma'!J378+'Allocation ProForma'!J383+'Allocation ProForma'!J387+'Allocation ProForma'!J391+'Allocation ProForma'!J434+'Allocation ProForma'!J436+'Allocation ProForma'!J441+'Allocation ProForma'!J445+'Allocation ProForma'!J448+'Allocation ProForma'!J491+'Allocation ProForma'!J493+'Allocation ProForma'!J498+'Allocation ProForma'!J502+'Allocation ProForma'!J505+'Allocation ProForma'!J548+'Allocation ProForma'!J550+'Allocation ProForma'!J555+'Allocation ProForma'!J559+'Allocation ProForma'!J562+'Allocation ProForma'!J606+'Allocation ProForma'!J608+'Allocation ProForma'!J613+'Allocation ProForma'!J617+'Allocation ProForma'!J620</f>
        <v>2937.4674643739727</v>
      </c>
      <c r="J30" s="235">
        <v>0</v>
      </c>
      <c r="K30" s="297">
        <f t="shared" si="7"/>
        <v>253110.18415798497</v>
      </c>
      <c r="L30" s="209" t="str">
        <f>IF(ABS(K30-D30)&lt;0.01,"ok","err")</f>
        <v>ok</v>
      </c>
    </row>
    <row r="31" spans="1:12" x14ac:dyDescent="0.25">
      <c r="A31" s="210" t="s">
        <v>1239</v>
      </c>
      <c r="B31" s="207" t="s">
        <v>1270</v>
      </c>
      <c r="C31" s="208"/>
      <c r="D31" s="282">
        <f>'Allocation ProForma'!J716+'Allocation ProForma'!J717</f>
        <v>0</v>
      </c>
      <c r="E31" s="235">
        <f t="shared" ref="E31:J31" si="8">$D$31*(E14/$K$14)</f>
        <v>0</v>
      </c>
      <c r="F31" s="235">
        <f t="shared" si="8"/>
        <v>0</v>
      </c>
      <c r="G31" s="235">
        <f t="shared" si="8"/>
        <v>0</v>
      </c>
      <c r="H31" s="235">
        <f t="shared" si="8"/>
        <v>0</v>
      </c>
      <c r="I31" s="235">
        <f t="shared" si="8"/>
        <v>0</v>
      </c>
      <c r="J31" s="235">
        <f t="shared" si="8"/>
        <v>0</v>
      </c>
      <c r="K31" s="297">
        <f t="shared" si="7"/>
        <v>0</v>
      </c>
      <c r="L31" s="209" t="str">
        <f>IF(ABS(K31-D31)&lt;0.01,"ok","err")</f>
        <v>ok</v>
      </c>
    </row>
    <row r="32" spans="1:12" x14ac:dyDescent="0.25">
      <c r="A32" s="210" t="s">
        <v>1241</v>
      </c>
      <c r="B32" s="215" t="s">
        <v>1240</v>
      </c>
      <c r="C32" s="208"/>
      <c r="D32" s="282">
        <f>'Allocation ProForma'!J723</f>
        <v>38428.615429308375</v>
      </c>
      <c r="E32" s="235">
        <f>D32</f>
        <v>38428.615429308375</v>
      </c>
      <c r="F32" s="235">
        <v>0</v>
      </c>
      <c r="G32" s="235">
        <v>0</v>
      </c>
      <c r="H32" s="235">
        <v>0</v>
      </c>
      <c r="I32" s="235">
        <v>0</v>
      </c>
      <c r="J32" s="235">
        <v>0</v>
      </c>
      <c r="K32" s="297">
        <f t="shared" si="7"/>
        <v>38428.615429308375</v>
      </c>
      <c r="L32" s="209" t="str">
        <f>IF(ABS(K32-D32)&lt;0.01,"ok","err")</f>
        <v>ok</v>
      </c>
    </row>
    <row r="33" spans="1:12" x14ac:dyDescent="0.25">
      <c r="A33" s="210" t="s">
        <v>1243</v>
      </c>
      <c r="B33" s="215" t="s">
        <v>1242</v>
      </c>
      <c r="C33" s="208"/>
      <c r="D33" s="282">
        <f>'Allocation ProForma'!J810</f>
        <v>884.2697217518421</v>
      </c>
      <c r="E33" s="235">
        <f>D33</f>
        <v>884.2697217518421</v>
      </c>
      <c r="F33" s="235">
        <v>0</v>
      </c>
      <c r="G33" s="235">
        <v>0</v>
      </c>
      <c r="H33" s="235">
        <v>0</v>
      </c>
      <c r="I33" s="235">
        <v>0</v>
      </c>
      <c r="J33" s="235">
        <v>0</v>
      </c>
      <c r="K33" s="297">
        <f t="shared" si="7"/>
        <v>884.2697217518421</v>
      </c>
      <c r="L33" s="209" t="str">
        <f t="shared" ref="L33:L39" si="9">IF(ABS(K33-D33)&lt;0.01,"ok","err")</f>
        <v>ok</v>
      </c>
    </row>
    <row r="34" spans="1:12" x14ac:dyDescent="0.25">
      <c r="A34" s="210" t="s">
        <v>1245</v>
      </c>
      <c r="B34" s="215" t="s">
        <v>1244</v>
      </c>
      <c r="C34" s="208"/>
      <c r="D34" s="282">
        <f>'Allocation ProForma'!J797+'Allocation ProForma'!J800+'Allocation ProForma'!J801</f>
        <v>0</v>
      </c>
      <c r="E34" s="235">
        <v>0</v>
      </c>
      <c r="F34" s="235">
        <f>D34</f>
        <v>0</v>
      </c>
      <c r="G34" s="235">
        <v>0</v>
      </c>
      <c r="H34" s="235">
        <v>0</v>
      </c>
      <c r="I34" s="235">
        <v>0</v>
      </c>
      <c r="J34" s="235">
        <v>0</v>
      </c>
      <c r="K34" s="297">
        <f t="shared" ref="K34:K39" si="10">SUM(E34:J34)</f>
        <v>0</v>
      </c>
      <c r="L34" s="209" t="str">
        <f t="shared" si="9"/>
        <v>ok</v>
      </c>
    </row>
    <row r="35" spans="1:12" x14ac:dyDescent="0.25">
      <c r="A35" s="210" t="s">
        <v>1247</v>
      </c>
      <c r="B35" s="207" t="s">
        <v>1246</v>
      </c>
      <c r="C35" s="208"/>
      <c r="D35" s="282">
        <f>'Allocation ProForma'!J808+'Allocation ProForma'!J811</f>
        <v>0</v>
      </c>
      <c r="E35" s="235">
        <v>0</v>
      </c>
      <c r="F35" s="235">
        <v>0</v>
      </c>
      <c r="G35" s="235">
        <f>D35</f>
        <v>0</v>
      </c>
      <c r="H35" s="235">
        <v>0</v>
      </c>
      <c r="I35" s="235">
        <v>0</v>
      </c>
      <c r="J35" s="235">
        <v>0</v>
      </c>
      <c r="K35" s="297">
        <f t="shared" si="10"/>
        <v>0</v>
      </c>
      <c r="L35" s="209" t="str">
        <f t="shared" si="9"/>
        <v>ok</v>
      </c>
    </row>
    <row r="36" spans="1:12" x14ac:dyDescent="0.25">
      <c r="A36" s="210" t="s">
        <v>1249</v>
      </c>
      <c r="B36" s="207" t="s">
        <v>1248</v>
      </c>
      <c r="C36" s="208"/>
      <c r="D36" s="282">
        <f>'Allocation ProForma'!J802</f>
        <v>0</v>
      </c>
      <c r="E36" s="235">
        <v>0</v>
      </c>
      <c r="F36" s="235">
        <v>0</v>
      </c>
      <c r="G36" s="235">
        <v>0</v>
      </c>
      <c r="H36" s="235">
        <f>(H14/($I$14+$H$14)*$D$36)</f>
        <v>0</v>
      </c>
      <c r="I36" s="235">
        <f>(I14/($I$14+$H$14)*$D$36)</f>
        <v>0</v>
      </c>
      <c r="J36" s="235">
        <v>0</v>
      </c>
      <c r="K36" s="297">
        <f t="shared" si="10"/>
        <v>0</v>
      </c>
      <c r="L36" s="209" t="str">
        <f t="shared" si="9"/>
        <v>ok</v>
      </c>
    </row>
    <row r="37" spans="1:12" x14ac:dyDescent="0.25">
      <c r="A37" s="216" t="s">
        <v>1251</v>
      </c>
      <c r="B37" s="207" t="s">
        <v>1250</v>
      </c>
      <c r="C37" s="208"/>
      <c r="D37" s="282">
        <f>'Allocation ProForma'!J803+'Allocation ProForma'!J804+'Allocation ProForma'!J805+'Allocation ProForma'!J806+'Allocation ProForma'!J807+'Allocation ProForma'!J809+'Allocation ProForma'!J814+'Allocation ProForma'!J815+'Allocation ProForma'!J818+'Allocation ProForma'!J819+'Allocation ProForma'!J820+'Allocation ProForma'!J821+'Allocation ProForma'!J822+'Allocation ProForma'!J823+'Allocation ProForma'!J824+'Allocation ProForma'!J826+'Allocation ProForma'!J827+'Allocation ProForma'!J983+'Allocation ProForma'!J984</f>
        <v>38056.562556013836</v>
      </c>
      <c r="E37" s="235">
        <f t="shared" ref="E37:J37" si="11">(E14/($D$14)*$D$37)</f>
        <v>27043.36235553892</v>
      </c>
      <c r="F37" s="235">
        <f t="shared" si="11"/>
        <v>1376.8557064980284</v>
      </c>
      <c r="G37" s="235">
        <f t="shared" si="11"/>
        <v>4934.1097496275588</v>
      </c>
      <c r="H37" s="235">
        <f t="shared" si="11"/>
        <v>4254.2516249891305</v>
      </c>
      <c r="I37" s="235">
        <f t="shared" si="11"/>
        <v>444.33448611798343</v>
      </c>
      <c r="J37" s="235">
        <f t="shared" si="11"/>
        <v>3.6486332422184797</v>
      </c>
      <c r="K37" s="297">
        <f t="shared" si="10"/>
        <v>38056.562556013851</v>
      </c>
      <c r="L37" s="209" t="str">
        <f t="shared" si="9"/>
        <v>ok</v>
      </c>
    </row>
    <row r="38" spans="1:12" x14ac:dyDescent="0.25">
      <c r="A38" s="210"/>
      <c r="B38" s="207"/>
      <c r="D38" s="286"/>
      <c r="E38" s="235"/>
      <c r="F38" s="235"/>
      <c r="G38" s="235"/>
      <c r="H38" s="235"/>
      <c r="I38" s="235"/>
      <c r="J38" s="235"/>
      <c r="K38" s="297"/>
      <c r="L38" s="209"/>
    </row>
    <row r="39" spans="1:12" x14ac:dyDescent="0.25">
      <c r="A39" s="210" t="s">
        <v>1253</v>
      </c>
      <c r="B39" s="207" t="s">
        <v>1252</v>
      </c>
      <c r="C39" s="208"/>
      <c r="D39" s="286">
        <f>'Allocation ProForma'!J828+'Allocation ProForma'!J983+'Allocation ProForma'!J984</f>
        <v>38940.832277765679</v>
      </c>
      <c r="E39" s="235">
        <f>SUM(E33:E37)</f>
        <v>27927.632077290764</v>
      </c>
      <c r="F39" s="235">
        <f>SUM(F34:F37)</f>
        <v>1376.8557064980284</v>
      </c>
      <c r="G39" s="235">
        <f>SUM(G33:G37)</f>
        <v>4934.1097496275588</v>
      </c>
      <c r="H39" s="235">
        <f>SUM(H33:H37)</f>
        <v>4254.2516249891305</v>
      </c>
      <c r="I39" s="235">
        <f>SUM(I33:I37)</f>
        <v>444.33448611798343</v>
      </c>
      <c r="J39" s="235">
        <f>SUM(J33:J37)</f>
        <v>3.6486332422184797</v>
      </c>
      <c r="K39" s="297">
        <f t="shared" si="10"/>
        <v>38940.832277765694</v>
      </c>
      <c r="L39" s="209" t="str">
        <f t="shared" si="9"/>
        <v>ok</v>
      </c>
    </row>
    <row r="40" spans="1:12" x14ac:dyDescent="0.25">
      <c r="A40" s="214"/>
      <c r="B40" s="207"/>
      <c r="C40" s="212"/>
      <c r="D40" s="234"/>
      <c r="E40" s="238"/>
      <c r="F40" s="238"/>
      <c r="G40" s="238"/>
      <c r="H40" s="238"/>
      <c r="I40" s="238"/>
      <c r="J40" s="238"/>
      <c r="K40" s="277"/>
      <c r="L40" s="213"/>
    </row>
    <row r="41" spans="1:12" x14ac:dyDescent="0.25">
      <c r="A41" s="210" t="s">
        <v>1255</v>
      </c>
      <c r="B41" s="207" t="s">
        <v>1254</v>
      </c>
      <c r="C41" s="217">
        <f>'Allocation ProForma'!J975</f>
        <v>12650641.092395021</v>
      </c>
      <c r="D41" s="286">
        <f t="shared" ref="D41:I41" si="12">SUM(D28:D32)+D22+D26+D39+D24</f>
        <v>12650641.092395021</v>
      </c>
      <c r="E41" s="235">
        <f t="shared" si="12"/>
        <v>4481826.2179914564</v>
      </c>
      <c r="F41" s="235">
        <f t="shared" si="12"/>
        <v>6466760.665107687</v>
      </c>
      <c r="G41" s="235">
        <f t="shared" si="12"/>
        <v>783222.26062871283</v>
      </c>
      <c r="H41" s="235">
        <f t="shared" si="12"/>
        <v>740260.67074401921</v>
      </c>
      <c r="I41" s="235">
        <f t="shared" si="12"/>
        <v>161540.81379077007</v>
      </c>
      <c r="J41" s="235">
        <f>SUM(J28:J32)+J22+J26+J39+J24</f>
        <v>17030.464132376692</v>
      </c>
      <c r="K41" s="297">
        <f>SUM(E41:J41)</f>
        <v>12650641.092395021</v>
      </c>
      <c r="L41" s="209" t="str">
        <f>IF(ABS(K41-D41)&lt;0.01,"ok","err")</f>
        <v>ok</v>
      </c>
    </row>
    <row r="42" spans="1:12" x14ac:dyDescent="0.25">
      <c r="A42" s="214"/>
      <c r="B42" s="207"/>
      <c r="C42" s="212"/>
      <c r="D42" s="287"/>
      <c r="E42" s="238"/>
      <c r="F42" s="238"/>
      <c r="G42" s="238"/>
      <c r="H42" s="238"/>
      <c r="I42" s="238"/>
      <c r="J42" s="238"/>
      <c r="K42" s="277"/>
      <c r="L42" s="213"/>
    </row>
    <row r="43" spans="1:12" x14ac:dyDescent="0.25">
      <c r="A43" s="210" t="s">
        <v>1256</v>
      </c>
      <c r="B43" s="207" t="s">
        <v>1257</v>
      </c>
      <c r="C43" s="208"/>
      <c r="D43" s="286">
        <f>-('Allocation ProForma'!J700+'Allocation ProForma'!J701+'Allocation ProForma'!J702)</f>
        <v>0</v>
      </c>
      <c r="E43" s="235">
        <v>0</v>
      </c>
      <c r="F43" s="235">
        <f>D43</f>
        <v>0</v>
      </c>
      <c r="G43" s="235">
        <v>0</v>
      </c>
      <c r="H43" s="235">
        <v>0</v>
      </c>
      <c r="I43" s="235">
        <v>0</v>
      </c>
      <c r="J43" s="235">
        <v>0</v>
      </c>
      <c r="K43" s="297">
        <f>SUM(E43:J43)</f>
        <v>0</v>
      </c>
      <c r="L43" s="209" t="str">
        <f>IF(ABS(K43-D43)&lt;0.01,"ok","err")</f>
        <v>ok</v>
      </c>
    </row>
    <row r="44" spans="1:12" x14ac:dyDescent="0.25">
      <c r="A44" s="210" t="s">
        <v>1258</v>
      </c>
      <c r="B44" s="207" t="s">
        <v>1259</v>
      </c>
      <c r="C44" s="208"/>
      <c r="D44" s="282">
        <f>-('Allocation ProForma'!J698+'Allocation ProForma'!J699+'Allocation ProForma'!J703+'Allocation ProForma'!J704+'Allocation ProForma'!J705+'Allocation ProForma'!J706)</f>
        <v>-831886.83569481585</v>
      </c>
      <c r="E44" s="235">
        <f>-('Allocation ProForma'!J698+'Allocation ProForma'!J699)-(E14/($D$14)*('Allocation ProForma'!J703+'Allocation ProForma'!J704+'Allocation ProForma'!J705+'Allocation ProForma'!J706))</f>
        <v>-804180.32857511169</v>
      </c>
      <c r="F44" s="235">
        <f>(F14/($D$14)*-('Allocation ProForma'!J703+'Allocation ProForma'!J704+'Allocation ProForma'!J705+'Allocation ProForma'!J706))</f>
        <v>-3463.8308339521463</v>
      </c>
      <c r="G44" s="235">
        <f>(G14/($D$14)*-('Allocation ProForma'!J703+'Allocation ProForma'!J704+'Allocation ProForma'!J705+'Allocation ProForma'!J706))</f>
        <v>-12413.008427973795</v>
      </c>
      <c r="H44" s="235">
        <f>(H14/($D$14)*-('Allocation ProForma'!J703+'Allocation ProForma'!J704+'Allocation ProForma'!J705+'Allocation ProForma'!J706))</f>
        <v>-10702.652343656808</v>
      </c>
      <c r="I44" s="235">
        <f>(I14/($D$14)*-('Allocation ProForma'!J703+'Allocation ProForma'!J704+'Allocation ProForma'!J705+'Allocation ProForma'!J706))</f>
        <v>-1117.8364489031201</v>
      </c>
      <c r="J44" s="235">
        <f>(J14/($D$14)*-('Allocation ProForma'!J703+'Allocation ProForma'!J704+'Allocation ProForma'!J705+'Allocation ProForma'!J706))</f>
        <v>-9.1790652183328518</v>
      </c>
      <c r="K44" s="297">
        <f>SUM(E44:J44)</f>
        <v>-831886.83569481585</v>
      </c>
      <c r="L44" s="209" t="str">
        <f>IF(ABS(K44-D44)&lt;0.01,"ok","err")</f>
        <v>ok</v>
      </c>
    </row>
    <row r="45" spans="1:12" x14ac:dyDescent="0.25">
      <c r="A45" s="210" t="s">
        <v>1260</v>
      </c>
      <c r="B45" s="207" t="s">
        <v>1261</v>
      </c>
      <c r="C45" s="208"/>
      <c r="D45" s="282">
        <f t="shared" ref="D45:J45" si="13">SUM(D43:D44)</f>
        <v>-831886.83569481585</v>
      </c>
      <c r="E45" s="235">
        <f t="shared" si="13"/>
        <v>-804180.32857511169</v>
      </c>
      <c r="F45" s="235">
        <f t="shared" si="13"/>
        <v>-3463.8308339521463</v>
      </c>
      <c r="G45" s="235">
        <f t="shared" si="13"/>
        <v>-12413.008427973795</v>
      </c>
      <c r="H45" s="235">
        <f t="shared" si="13"/>
        <v>-10702.652343656808</v>
      </c>
      <c r="I45" s="235">
        <f t="shared" si="13"/>
        <v>-1117.8364489031201</v>
      </c>
      <c r="J45" s="235">
        <f t="shared" si="13"/>
        <v>-9.1790652183328518</v>
      </c>
      <c r="K45" s="297">
        <f>SUM(E45:J45)</f>
        <v>-831886.83569481585</v>
      </c>
      <c r="L45" s="209" t="str">
        <f>IF(ABS(K45-D45)&lt;0.01,"ok","err")</f>
        <v>ok</v>
      </c>
    </row>
    <row r="46" spans="1:12" x14ac:dyDescent="0.25">
      <c r="A46" s="214"/>
      <c r="B46" s="207"/>
      <c r="D46" s="288"/>
      <c r="E46" s="238"/>
      <c r="F46" s="238"/>
      <c r="G46" s="238"/>
      <c r="H46" s="238"/>
      <c r="I46" s="238"/>
      <c r="J46" s="238"/>
      <c r="K46" s="277"/>
      <c r="L46" s="213"/>
    </row>
    <row r="47" spans="1:12" x14ac:dyDescent="0.25">
      <c r="A47" s="210" t="s">
        <v>1262</v>
      </c>
      <c r="B47" s="207" t="s">
        <v>1263</v>
      </c>
      <c r="C47" s="218">
        <f>'Allocation ProForma'!J975-SUM('Allocation ProForma'!J698:J706)</f>
        <v>11818754.256700205</v>
      </c>
      <c r="D47" s="286">
        <f t="shared" ref="D47:I47" si="14">D41+D45</f>
        <v>11818754.256700205</v>
      </c>
      <c r="E47" s="235">
        <f t="shared" si="14"/>
        <v>3677645.8894163445</v>
      </c>
      <c r="F47" s="235">
        <f t="shared" si="14"/>
        <v>6463296.8342737351</v>
      </c>
      <c r="G47" s="235">
        <f t="shared" si="14"/>
        <v>770809.25220073899</v>
      </c>
      <c r="H47" s="235">
        <f t="shared" si="14"/>
        <v>729558.01840036246</v>
      </c>
      <c r="I47" s="235">
        <f t="shared" si="14"/>
        <v>160422.97734186696</v>
      </c>
      <c r="J47" s="235">
        <f>J41+J45</f>
        <v>17021.285067158358</v>
      </c>
      <c r="K47" s="297">
        <f>SUM(E47:J47)</f>
        <v>11818754.256700205</v>
      </c>
      <c r="L47" s="209" t="str">
        <f>IF(ABS(K47-D47)&lt;0.01,"ok","err")</f>
        <v>ok</v>
      </c>
    </row>
    <row r="48" spans="1:12" x14ac:dyDescent="0.25">
      <c r="A48" s="214"/>
      <c r="B48" s="207"/>
      <c r="C48" s="212"/>
      <c r="D48" s="289"/>
      <c r="E48" s="238"/>
      <c r="F48" s="238"/>
      <c r="G48" s="238"/>
      <c r="H48" s="238"/>
      <c r="I48" s="238"/>
      <c r="J48" s="238"/>
      <c r="K48" s="277"/>
      <c r="L48" s="213"/>
    </row>
    <row r="49" spans="1:12" ht="14.4" x14ac:dyDescent="0.3">
      <c r="A49" s="210" t="s">
        <v>1264</v>
      </c>
      <c r="B49" s="207" t="s">
        <v>1265</v>
      </c>
      <c r="C49" s="208"/>
      <c r="D49" s="290"/>
      <c r="E49" s="344">
        <f>'[9]Sch M-2.3 pgs 3-19'!$D$216+'[9]Sch M-2.3 pgs 3-19'!$D$217</f>
        <v>400332.38770662411</v>
      </c>
      <c r="F49" s="291">
        <f>'Allocation ProForma'!J1013</f>
        <v>162948372</v>
      </c>
      <c r="G49" s="291">
        <f>E49</f>
        <v>400332.38770662411</v>
      </c>
      <c r="H49" s="291">
        <f>G49</f>
        <v>400332.38770662411</v>
      </c>
      <c r="I49" s="291">
        <f>'Allocation ProForma'!$J$1029*12</f>
        <v>876</v>
      </c>
      <c r="J49" s="291">
        <f>'Allocation ProForma'!$J$1029*12</f>
        <v>876</v>
      </c>
      <c r="K49" s="277"/>
      <c r="L49" s="213"/>
    </row>
    <row r="50" spans="1:12" ht="14.4" thickBot="1" x14ac:dyDescent="0.3">
      <c r="A50" s="214"/>
      <c r="B50" s="207"/>
      <c r="C50" s="212"/>
      <c r="D50" s="288"/>
      <c r="E50" s="238"/>
      <c r="F50" s="238"/>
      <c r="G50" s="238"/>
      <c r="H50" s="238"/>
      <c r="I50" s="238"/>
      <c r="J50" s="238"/>
      <c r="K50" s="277"/>
      <c r="L50" s="213"/>
    </row>
    <row r="51" spans="1:12" ht="14.4" thickBot="1" x14ac:dyDescent="0.3">
      <c r="A51" s="219" t="s">
        <v>1266</v>
      </c>
      <c r="B51" s="220" t="s">
        <v>1267</v>
      </c>
      <c r="C51" s="221"/>
      <c r="D51" s="292"/>
      <c r="E51" s="293">
        <f t="shared" ref="E51:J51" si="15">E47/E49</f>
        <v>9.1864810401286761</v>
      </c>
      <c r="F51" s="293">
        <f t="shared" si="15"/>
        <v>3.9664691061005106E-2</v>
      </c>
      <c r="G51" s="293">
        <f t="shared" si="15"/>
        <v>1.9254231630282477</v>
      </c>
      <c r="H51" s="293">
        <f t="shared" si="15"/>
        <v>1.8223807036442052</v>
      </c>
      <c r="I51" s="294">
        <f t="shared" si="15"/>
        <v>183.13125267336412</v>
      </c>
      <c r="J51" s="294">
        <f t="shared" si="15"/>
        <v>19.430690715934197</v>
      </c>
      <c r="K51" s="275">
        <f>I51+J51</f>
        <v>202.56194338929831</v>
      </c>
      <c r="L51" s="222"/>
    </row>
    <row r="53" spans="1:12" x14ac:dyDescent="0.25">
      <c r="D53" s="269"/>
      <c r="E53" s="345"/>
      <c r="J53" s="223" t="s">
        <v>1268</v>
      </c>
      <c r="K53" s="224">
        <f>I51+J51</f>
        <v>202.56194338929831</v>
      </c>
    </row>
    <row r="54" spans="1:12" x14ac:dyDescent="0.25">
      <c r="I54" s="20"/>
      <c r="J54" s="223" t="s">
        <v>1269</v>
      </c>
      <c r="K54" s="9">
        <f>F51</f>
        <v>3.9664691061005106E-2</v>
      </c>
    </row>
    <row r="55" spans="1:12" x14ac:dyDescent="0.25">
      <c r="J55" t="s">
        <v>1351</v>
      </c>
      <c r="K55" s="224">
        <f>E51+G51+H51</f>
        <v>12.934284906801128</v>
      </c>
    </row>
    <row r="56" spans="1:12" x14ac:dyDescent="0.25">
      <c r="I56" s="8"/>
      <c r="J56" s="238"/>
      <c r="K56" s="340"/>
    </row>
    <row r="57" spans="1:12" x14ac:dyDescent="0.25">
      <c r="J57" s="238"/>
      <c r="K57" s="341"/>
    </row>
    <row r="58" spans="1:12" x14ac:dyDescent="0.25">
      <c r="J58" s="21"/>
      <c r="K58" s="342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80" zoomScaleNormal="80" workbookViewId="0">
      <selection sqref="A1:K1"/>
    </sheetView>
  </sheetViews>
  <sheetFormatPr defaultRowHeight="13.8" x14ac:dyDescent="0.25"/>
  <cols>
    <col min="1" max="1" width="4.5546875" customWidth="1"/>
    <col min="2" max="2" width="41.109375" bestFit="1" customWidth="1"/>
    <col min="3" max="3" width="30.6640625" hidden="1" customWidth="1"/>
    <col min="4" max="4" width="28.33203125" customWidth="1"/>
    <col min="5" max="5" width="22.5546875" bestFit="1" customWidth="1"/>
    <col min="6" max="6" width="20.5546875" customWidth="1"/>
    <col min="7" max="8" width="22.5546875" bestFit="1" customWidth="1"/>
    <col min="9" max="9" width="24.6640625" bestFit="1" customWidth="1"/>
    <col min="10" max="10" width="37" bestFit="1" customWidth="1"/>
    <col min="11" max="11" width="21.44140625" customWidth="1"/>
    <col min="12" max="12" width="17.88671875" customWidth="1"/>
  </cols>
  <sheetData>
    <row r="1" spans="1:14" ht="15.6" x14ac:dyDescent="0.3">
      <c r="A1" s="381" t="s">
        <v>623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233"/>
      <c r="M1" s="233"/>
      <c r="N1" s="233"/>
    </row>
    <row r="2" spans="1:14" ht="15.6" x14ac:dyDescent="0.3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187"/>
      <c r="M2" s="187"/>
      <c r="N2" s="187"/>
    </row>
    <row r="3" spans="1:14" ht="15.6" x14ac:dyDescent="0.3">
      <c r="A3" s="381" t="s">
        <v>1214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233"/>
      <c r="M3" s="233"/>
      <c r="N3" s="233"/>
    </row>
    <row r="4" spans="1:14" ht="15.6" x14ac:dyDescent="0.3">
      <c r="A4" s="381" t="s">
        <v>1372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233"/>
      <c r="M4" s="233"/>
      <c r="N4" s="233"/>
    </row>
    <row r="5" spans="1:14" ht="15.6" x14ac:dyDescent="0.3">
      <c r="A5" s="240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1"/>
      <c r="M5" s="21"/>
      <c r="N5" s="21"/>
    </row>
    <row r="6" spans="1:14" ht="15.6" x14ac:dyDescent="0.3">
      <c r="A6" s="381" t="s">
        <v>1386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233"/>
      <c r="M6" s="233"/>
      <c r="N6" s="233"/>
    </row>
    <row r="8" spans="1:14" ht="14.4" thickBot="1" x14ac:dyDescent="0.3"/>
    <row r="9" spans="1:14" ht="14.4" thickBot="1" x14ac:dyDescent="0.3">
      <c r="A9" s="189"/>
      <c r="B9" s="190"/>
      <c r="C9" s="191"/>
      <c r="D9" s="189"/>
      <c r="E9" s="379" t="s">
        <v>730</v>
      </c>
      <c r="F9" s="380"/>
      <c r="G9" s="192" t="s">
        <v>1153</v>
      </c>
      <c r="H9" s="379" t="s">
        <v>960</v>
      </c>
      <c r="I9" s="380"/>
      <c r="J9" s="274" t="s">
        <v>1216</v>
      </c>
      <c r="K9" s="191"/>
      <c r="L9" s="276"/>
    </row>
    <row r="10" spans="1:14" x14ac:dyDescent="0.25">
      <c r="A10" s="194"/>
      <c r="B10" s="195"/>
      <c r="C10" s="196"/>
      <c r="D10" s="196"/>
      <c r="E10" s="191"/>
      <c r="F10" s="191"/>
      <c r="G10" s="191"/>
      <c r="H10" s="191"/>
      <c r="I10" s="191"/>
      <c r="J10" s="189"/>
      <c r="K10" s="196"/>
      <c r="L10" s="277"/>
    </row>
    <row r="11" spans="1:14" x14ac:dyDescent="0.25">
      <c r="A11" s="194"/>
      <c r="B11" s="195"/>
      <c r="C11" s="196"/>
      <c r="D11" s="196"/>
      <c r="E11" s="196"/>
      <c r="F11" s="196"/>
      <c r="G11" s="196"/>
      <c r="H11" s="196"/>
      <c r="I11" s="196"/>
      <c r="J11" s="194"/>
      <c r="K11" s="196"/>
      <c r="L11" s="277"/>
    </row>
    <row r="12" spans="1:14" ht="14.4" thickBot="1" x14ac:dyDescent="0.3">
      <c r="A12" s="198"/>
      <c r="B12" s="278" t="s">
        <v>947</v>
      </c>
      <c r="C12" s="279" t="s">
        <v>1217</v>
      </c>
      <c r="D12" s="279" t="s">
        <v>1282</v>
      </c>
      <c r="E12" s="199" t="s">
        <v>1218</v>
      </c>
      <c r="F12" s="199" t="s">
        <v>1219</v>
      </c>
      <c r="G12" s="199" t="s">
        <v>1218</v>
      </c>
      <c r="H12" s="199" t="s">
        <v>1218</v>
      </c>
      <c r="I12" s="199" t="s">
        <v>1220</v>
      </c>
      <c r="J12" s="298" t="s">
        <v>1220</v>
      </c>
      <c r="K12" s="200" t="s">
        <v>944</v>
      </c>
      <c r="L12" s="200" t="s">
        <v>1221</v>
      </c>
    </row>
    <row r="13" spans="1:14" x14ac:dyDescent="0.25">
      <c r="A13" s="201"/>
      <c r="B13" s="202"/>
      <c r="C13" s="203"/>
      <c r="D13" s="204"/>
      <c r="E13" s="205"/>
      <c r="F13" s="205"/>
      <c r="G13" s="205"/>
      <c r="H13" s="205"/>
      <c r="I13" s="205"/>
      <c r="J13" s="205"/>
      <c r="K13" s="193"/>
      <c r="L13" s="197"/>
    </row>
    <row r="14" spans="1:14" x14ac:dyDescent="0.25">
      <c r="A14" s="206" t="s">
        <v>1222</v>
      </c>
      <c r="B14" s="207" t="s">
        <v>987</v>
      </c>
      <c r="C14" s="208"/>
      <c r="D14" s="280">
        <f>'Allocation ProForma'!O176</f>
        <v>128875799.74577057</v>
      </c>
      <c r="E14" s="281">
        <f>'Allocation ProForma'!O125+'Allocation ProForma'!O126+'Allocation ProForma'!O127</f>
        <v>90145217.146264538</v>
      </c>
      <c r="F14" s="281">
        <f>'Allocation ProForma'!O128</f>
        <v>4750991.0704411957</v>
      </c>
      <c r="G14" s="281">
        <f>'Allocation ProForma'!O137</f>
        <v>16447155.82907455</v>
      </c>
      <c r="H14" s="281">
        <f>'Allocation ProForma'!O147+'Allocation ProForma'!O149+'Allocation ProForma'!O154+'Allocation ProForma'!O143</f>
        <v>17099497.176323406</v>
      </c>
      <c r="I14" s="281">
        <f>'Allocation ProForma'!O148+'Allocation ProForma'!O150+'Allocation ProForma'!O155+'Allocation ProForma'!O159+'Allocation ProForma'!O162+'Allocation ProForma'!O165</f>
        <v>391810.06964094163</v>
      </c>
      <c r="J14" s="281">
        <f>'Allocation ProForma'!O168+'Allocation ProForma'!O171</f>
        <v>41128.454025950385</v>
      </c>
      <c r="K14" s="297">
        <f>SUM(E14:J14)</f>
        <v>128875799.74577057</v>
      </c>
      <c r="L14" s="209" t="str">
        <f>IF(ABS(K14-D14)&lt;0.01,"ok","err")</f>
        <v>ok</v>
      </c>
    </row>
    <row r="15" spans="1:14" x14ac:dyDescent="0.25">
      <c r="A15" s="210" t="s">
        <v>1223</v>
      </c>
      <c r="B15" s="215" t="s">
        <v>1224</v>
      </c>
      <c r="C15" s="208"/>
      <c r="D15" s="282">
        <f>'Allocation ProForma'!O840+'Allocation ProForma'!O841+'Allocation ProForma'!O842</f>
        <v>0</v>
      </c>
      <c r="E15" s="237">
        <f t="shared" ref="E15:J15" si="0">(E14/$D$14)*$D$15</f>
        <v>0</v>
      </c>
      <c r="F15" s="237">
        <f t="shared" si="0"/>
        <v>0</v>
      </c>
      <c r="G15" s="237">
        <f t="shared" si="0"/>
        <v>0</v>
      </c>
      <c r="H15" s="237">
        <f t="shared" si="0"/>
        <v>0</v>
      </c>
      <c r="I15" s="237">
        <f t="shared" si="0"/>
        <v>0</v>
      </c>
      <c r="J15" s="237">
        <f t="shared" si="0"/>
        <v>0</v>
      </c>
      <c r="K15" s="297">
        <f>SUM(E15:J15)</f>
        <v>0</v>
      </c>
      <c r="L15" s="209" t="str">
        <f>IF(ABS(K15-D15)&lt;0.01,"ok","err")</f>
        <v>ok</v>
      </c>
    </row>
    <row r="16" spans="1:14" x14ac:dyDescent="0.25">
      <c r="A16" s="210" t="s">
        <v>1225</v>
      </c>
      <c r="B16" s="236" t="s">
        <v>1226</v>
      </c>
      <c r="C16" s="208"/>
      <c r="D16" s="234">
        <f>D14+D15</f>
        <v>128875799.74577057</v>
      </c>
      <c r="E16" s="235">
        <f t="shared" ref="E16:K16" si="1">E14+E15</f>
        <v>90145217.146264538</v>
      </c>
      <c r="F16" s="235">
        <f t="shared" si="1"/>
        <v>4750991.0704411957</v>
      </c>
      <c r="G16" s="235">
        <f t="shared" si="1"/>
        <v>16447155.82907455</v>
      </c>
      <c r="H16" s="235">
        <f t="shared" si="1"/>
        <v>17099497.176323406</v>
      </c>
      <c r="I16" s="235">
        <f t="shared" si="1"/>
        <v>391810.06964094163</v>
      </c>
      <c r="J16" s="235">
        <f t="shared" si="1"/>
        <v>41128.454025950385</v>
      </c>
      <c r="K16" s="297">
        <f t="shared" si="1"/>
        <v>128875799.74577057</v>
      </c>
      <c r="L16" s="209" t="str">
        <f>IF(ABS(K16-D16)&lt;0.01,"ok","err")</f>
        <v>ok</v>
      </c>
    </row>
    <row r="17" spans="1:12" x14ac:dyDescent="0.25">
      <c r="A17" s="210"/>
      <c r="B17" s="211"/>
      <c r="C17" s="212"/>
      <c r="D17" s="283"/>
      <c r="E17" s="238"/>
      <c r="F17" s="238"/>
      <c r="G17" s="238"/>
      <c r="H17" s="238"/>
      <c r="I17" s="238"/>
      <c r="J17" s="238"/>
      <c r="K17" s="296"/>
      <c r="L17" s="213"/>
    </row>
    <row r="18" spans="1:12" x14ac:dyDescent="0.25">
      <c r="A18" s="210" t="s">
        <v>1227</v>
      </c>
      <c r="B18" s="207" t="s">
        <v>1143</v>
      </c>
      <c r="C18" s="208"/>
      <c r="D18" s="284">
        <f>'Allocation ProForma'!O995</f>
        <v>9.9995293955539452E-2</v>
      </c>
      <c r="E18" s="285">
        <f t="shared" ref="E18:J18" si="2">D18</f>
        <v>9.9995293955539452E-2</v>
      </c>
      <c r="F18" s="285">
        <f t="shared" si="2"/>
        <v>9.9995293955539452E-2</v>
      </c>
      <c r="G18" s="285">
        <f t="shared" si="2"/>
        <v>9.9995293955539452E-2</v>
      </c>
      <c r="H18" s="285">
        <f t="shared" si="2"/>
        <v>9.9995293955539452E-2</v>
      </c>
      <c r="I18" s="285">
        <f t="shared" si="2"/>
        <v>9.9995293955539452E-2</v>
      </c>
      <c r="J18" s="285">
        <f t="shared" si="2"/>
        <v>9.9995293955539452E-2</v>
      </c>
      <c r="K18" s="296"/>
      <c r="L18" s="209"/>
    </row>
    <row r="19" spans="1:12" x14ac:dyDescent="0.25">
      <c r="A19" s="214"/>
      <c r="B19" s="207"/>
      <c r="C19" s="212"/>
      <c r="D19" s="283"/>
      <c r="E19" s="238"/>
      <c r="F19" s="238"/>
      <c r="G19" s="238"/>
      <c r="H19" s="238"/>
      <c r="I19" s="238"/>
      <c r="J19" s="238"/>
      <c r="K19" s="296"/>
      <c r="L19" s="213"/>
    </row>
    <row r="20" spans="1:12" x14ac:dyDescent="0.25">
      <c r="A20" s="210" t="s">
        <v>1228</v>
      </c>
      <c r="B20" s="207" t="s">
        <v>1229</v>
      </c>
      <c r="C20" s="208"/>
      <c r="D20" s="286">
        <f>D18*D16</f>
        <v>12886973.479333565</v>
      </c>
      <c r="E20" s="235">
        <f t="shared" ref="E20:J20" si="3">E18*E16</f>
        <v>9014097.4872266576</v>
      </c>
      <c r="F20" s="235">
        <f t="shared" si="3"/>
        <v>475076.74866891041</v>
      </c>
      <c r="G20" s="235">
        <f t="shared" si="3"/>
        <v>1644638.1818608739</v>
      </c>
      <c r="H20" s="235">
        <f t="shared" si="3"/>
        <v>1709869.2466383758</v>
      </c>
      <c r="I20" s="235">
        <f t="shared" si="3"/>
        <v>39179.163088486341</v>
      </c>
      <c r="J20" s="235">
        <f t="shared" si="3"/>
        <v>4112.6518502617992</v>
      </c>
      <c r="K20" s="297">
        <f>SUM(E20:J20)</f>
        <v>12886973.479333567</v>
      </c>
      <c r="L20" s="209" t="str">
        <f>IF(ABS(K20-D20)&lt;0.01,"ok","err")</f>
        <v>ok</v>
      </c>
    </row>
    <row r="21" spans="1:12" x14ac:dyDescent="0.25">
      <c r="A21" s="214"/>
      <c r="B21" s="207"/>
      <c r="C21" s="212"/>
      <c r="D21" s="283"/>
      <c r="E21" s="238"/>
      <c r="F21" s="238"/>
      <c r="G21" s="238"/>
      <c r="H21" s="238"/>
      <c r="I21" s="238"/>
      <c r="J21" s="238"/>
      <c r="K21" s="297"/>
      <c r="L21" s="213"/>
    </row>
    <row r="22" spans="1:12" x14ac:dyDescent="0.25">
      <c r="A22" s="210" t="s">
        <v>1230</v>
      </c>
      <c r="B22" s="207" t="s">
        <v>817</v>
      </c>
      <c r="C22" s="208"/>
      <c r="D22" s="286">
        <f>'Allocation ProForma'!O742</f>
        <v>3089491.8548910357</v>
      </c>
      <c r="E22" s="235">
        <f t="shared" ref="E22:J22" si="4">(E14/$D$14)*$D$22</f>
        <v>2161017.9310635696</v>
      </c>
      <c r="F22" s="235">
        <f t="shared" si="4"/>
        <v>113893.75075649006</v>
      </c>
      <c r="G22" s="235">
        <f t="shared" si="4"/>
        <v>394281.58017476846</v>
      </c>
      <c r="H22" s="235">
        <f t="shared" si="4"/>
        <v>409919.91788370768</v>
      </c>
      <c r="I22" s="235">
        <f t="shared" si="4"/>
        <v>9392.7178043347467</v>
      </c>
      <c r="J22" s="235">
        <f t="shared" si="4"/>
        <v>985.95720816548555</v>
      </c>
      <c r="K22" s="297">
        <f>SUM(E22:J22)</f>
        <v>3089491.8548910357</v>
      </c>
      <c r="L22" s="209" t="str">
        <f>IF(ABS(K22-D22)&lt;0.01,"ok","err")</f>
        <v>ok</v>
      </c>
    </row>
    <row r="23" spans="1:12" x14ac:dyDescent="0.25">
      <c r="A23" s="214"/>
      <c r="B23" s="207"/>
      <c r="C23" s="212"/>
      <c r="D23" s="283"/>
      <c r="E23" s="238"/>
      <c r="F23" s="238"/>
      <c r="G23" s="238"/>
      <c r="H23" s="238"/>
      <c r="I23" s="238"/>
      <c r="J23" s="238"/>
      <c r="K23" s="297"/>
      <c r="L23" s="213"/>
    </row>
    <row r="24" spans="1:12" x14ac:dyDescent="0.25">
      <c r="A24" s="210" t="s">
        <v>1231</v>
      </c>
      <c r="B24" s="207" t="s">
        <v>1232</v>
      </c>
      <c r="C24" s="208"/>
      <c r="D24" s="286">
        <f>D20-D22</f>
        <v>9797481.6244425289</v>
      </c>
      <c r="E24" s="235">
        <f t="shared" ref="E24:J24" si="5">E20-E22</f>
        <v>6853079.5561630875</v>
      </c>
      <c r="F24" s="235">
        <f t="shared" si="5"/>
        <v>361182.99791242037</v>
      </c>
      <c r="G24" s="235">
        <f t="shared" si="5"/>
        <v>1250356.6016861056</v>
      </c>
      <c r="H24" s="235">
        <f t="shared" si="5"/>
        <v>1299949.3287546681</v>
      </c>
      <c r="I24" s="235">
        <f t="shared" si="5"/>
        <v>29786.445284151596</v>
      </c>
      <c r="J24" s="235">
        <f t="shared" si="5"/>
        <v>3126.6946420963136</v>
      </c>
      <c r="K24" s="297">
        <f>SUM(E24:J24)</f>
        <v>9797481.6244425308</v>
      </c>
      <c r="L24" s="209" t="str">
        <f>IF(ABS(K24-D24)&lt;0.01,"ok","err")</f>
        <v>ok</v>
      </c>
    </row>
    <row r="25" spans="1:12" x14ac:dyDescent="0.25">
      <c r="A25" s="214"/>
      <c r="B25" s="207"/>
      <c r="C25" s="212"/>
      <c r="D25" s="283"/>
      <c r="E25" s="238"/>
      <c r="F25" s="238"/>
      <c r="G25" s="238"/>
      <c r="H25" s="238"/>
      <c r="I25" s="238"/>
      <c r="J25" s="238"/>
      <c r="K25" s="297"/>
      <c r="L25" s="213"/>
    </row>
    <row r="26" spans="1:12" x14ac:dyDescent="0.25">
      <c r="A26" s="210" t="s">
        <v>1233</v>
      </c>
      <c r="B26" s="207" t="s">
        <v>1234</v>
      </c>
      <c r="C26" s="212"/>
      <c r="D26" s="286">
        <f>'Allocation ProForma'!O792+'Allocation ProForma'!O986</f>
        <v>6516607.6191356499</v>
      </c>
      <c r="E26" s="235">
        <f t="shared" ref="E26:J26" si="6">$D$26*(E24/$K$24)</f>
        <v>4558194.8670177972</v>
      </c>
      <c r="F26" s="235">
        <f t="shared" si="6"/>
        <v>240233.96688251069</v>
      </c>
      <c r="G26" s="235">
        <f t="shared" si="6"/>
        <v>831650.79247064725</v>
      </c>
      <c r="H26" s="235">
        <f t="shared" si="6"/>
        <v>864636.4468925402</v>
      </c>
      <c r="I26" s="235">
        <f t="shared" si="6"/>
        <v>19811.884699167676</v>
      </c>
      <c r="J26" s="235">
        <f t="shared" si="6"/>
        <v>2079.6611729858487</v>
      </c>
      <c r="K26" s="297">
        <f>SUM(E26:J26)</f>
        <v>6516607.6191356489</v>
      </c>
      <c r="L26" s="209" t="str">
        <f>IF(ABS(K26-D26)&lt;0.01,"ok","err")</f>
        <v>ok</v>
      </c>
    </row>
    <row r="27" spans="1:12" x14ac:dyDescent="0.25">
      <c r="A27" s="214"/>
      <c r="B27" s="207"/>
      <c r="C27" s="212"/>
      <c r="D27" s="283"/>
      <c r="E27" s="238"/>
      <c r="F27" s="238"/>
      <c r="G27" s="238"/>
      <c r="H27" s="238"/>
      <c r="I27" s="238"/>
      <c r="J27" s="238"/>
      <c r="K27" s="297"/>
      <c r="L27" s="213"/>
    </row>
    <row r="28" spans="1:12" x14ac:dyDescent="0.25">
      <c r="A28" s="210" t="s">
        <v>1235</v>
      </c>
      <c r="B28" s="207" t="s">
        <v>997</v>
      </c>
      <c r="C28" s="208"/>
      <c r="D28" s="286">
        <f>'Allocation ProForma'!O712</f>
        <v>52756380.98267249</v>
      </c>
      <c r="E28" s="235">
        <f>'Allocation ProForma'!O182+'Allocation ProForma'!O183+'Allocation ProForma'!O184</f>
        <v>7835027.1551669063</v>
      </c>
      <c r="F28" s="235">
        <f>'Allocation ProForma'!O185</f>
        <v>41443076.689199574</v>
      </c>
      <c r="G28" s="235">
        <f>'Allocation ProForma'!O194</f>
        <v>1474263.1822011755</v>
      </c>
      <c r="H28" s="235">
        <f>'Allocation ProForma'!O200+'Allocation ProForma'!O204+'Allocation ProForma'!O206+'Allocation ProForma'!O211</f>
        <v>1535852.2510163535</v>
      </c>
      <c r="I28" s="235">
        <f>'Allocation ProForma'!O205+'Allocation ProForma'!O207+'Allocation ProForma'!O212+'Allocation ProForma'!O216+'Allocation ProForma'!O219</f>
        <v>102459.94545605418</v>
      </c>
      <c r="J28" s="235">
        <f>'Allocation ProForma'!O225+'Allocation ProForma'!O228</f>
        <v>365701.75963241706</v>
      </c>
      <c r="K28" s="297">
        <f t="shared" ref="K28:K33" si="7">SUM(E28:J28)</f>
        <v>52756380.98267249</v>
      </c>
      <c r="L28" s="209" t="str">
        <f>IF(ABS(K28-D28)&lt;0.01,"ok","err")</f>
        <v>ok</v>
      </c>
    </row>
    <row r="29" spans="1:12" x14ac:dyDescent="0.25">
      <c r="A29" s="210" t="s">
        <v>1236</v>
      </c>
      <c r="B29" s="207" t="s">
        <v>1094</v>
      </c>
      <c r="C29" s="208"/>
      <c r="D29" s="282">
        <f>'Allocation ProForma'!O713</f>
        <v>6549815.8341149148</v>
      </c>
      <c r="E29" s="235">
        <f>'Allocation ProForma'!O302</f>
        <v>4885362.9090030817</v>
      </c>
      <c r="F29" s="235">
        <v>0</v>
      </c>
      <c r="G29" s="235">
        <f>'Allocation ProForma'!O308</f>
        <v>680500.45333449717</v>
      </c>
      <c r="H29" s="235">
        <f>'Allocation ProForma'!O314+'Allocation ProForma'!O318+'Allocation ProForma'!O320+'Allocation ProForma'!O325</f>
        <v>962398.21879236575</v>
      </c>
      <c r="I29" s="235">
        <f>'Allocation ProForma'!O319+'Allocation ProForma'!O321+'Allocation ProForma'!O326+'Allocation ProForma'!O330+'Allocation ProForma'!O333</f>
        <v>21554.252984968996</v>
      </c>
      <c r="J29" s="235">
        <v>0</v>
      </c>
      <c r="K29" s="297">
        <f t="shared" si="7"/>
        <v>6549815.8341149138</v>
      </c>
      <c r="L29" s="209" t="str">
        <f>IF(ABS(K29-D29)&lt;0.01,"ok","err")</f>
        <v>ok</v>
      </c>
    </row>
    <row r="30" spans="1:12" x14ac:dyDescent="0.25">
      <c r="A30" s="210" t="s">
        <v>1237</v>
      </c>
      <c r="B30" s="207" t="s">
        <v>1238</v>
      </c>
      <c r="C30" s="208"/>
      <c r="D30" s="282">
        <f>'Allocation ProForma'!O714+'Allocation ProForma'!O715+'Allocation ProForma'!O718+'Allocation ProForma'!O719+'Allocation ProForma'!O720</f>
        <v>1620216.8602118194</v>
      </c>
      <c r="E30" s="235">
        <f>'Allocation ProForma'!O417+'Allocation ProForma'!O474+'Allocation ProForma'!O359+'Allocation ProForma'!O531+'Allocation ProForma'!O589</f>
        <v>1180924.4397101568</v>
      </c>
      <c r="F30" s="235">
        <f>'Allocation ProForma'!O356+'Allocation ProForma'!O357+'Allocation ProForma'!O358+'Allocation ProForma'!O414+'Allocation ProForma'!O415+'Allocation ProForma'!O416+'Allocation ProForma'!O471+'Allocation ProForma'!O472+'Allocation ProForma'!O473+'Allocation ProForma'!O528+'Allocation ProForma'!O529+'Allocation ProForma'!O530+'Allocation ProForma'!O586+'Allocation ProForma'!O587+'Allocation ProForma'!O588</f>
        <v>0</v>
      </c>
      <c r="G30" s="235">
        <f>'Allocation ProForma'!O365+'Allocation ProForma'!O423+'Allocation ProForma'!O480+'Allocation ProForma'!O537+'Allocation ProForma'!O595</f>
        <v>209375.87208521614</v>
      </c>
      <c r="H30" s="235">
        <f>'Allocation ProForma'!O371+'Allocation ProForma'!O375+'Allocation ProForma'!O377+'Allocation ProForma'!O382+'Allocation ProForma'!O429+'Allocation ProForma'!O433+'Allocation ProForma'!O435+'Allocation ProForma'!O440+'Allocation ProForma'!O486+'Allocation ProForma'!O490+'Allocation ProForma'!O492+'Allocation ProForma'!O497+'Allocation ProForma'!O543+'Allocation ProForma'!O547+'Allocation ProForma'!O549+'Allocation ProForma'!O554+'Allocation ProForma'!O601+'Allocation ProForma'!O605+'Allocation ProForma'!O607+'Allocation ProForma'!O612</f>
        <v>224880.04554446589</v>
      </c>
      <c r="I30" s="235">
        <f>'Allocation ProForma'!O376+'Allocation ProForma'!O378+'Allocation ProForma'!O383+'Allocation ProForma'!O387+'Allocation ProForma'!O391+'Allocation ProForma'!O434+'Allocation ProForma'!O436+'Allocation ProForma'!O441+'Allocation ProForma'!O445+'Allocation ProForma'!O448+'Allocation ProForma'!O491+'Allocation ProForma'!O493+'Allocation ProForma'!O498+'Allocation ProForma'!O502+'Allocation ProForma'!O505+'Allocation ProForma'!O548+'Allocation ProForma'!O550+'Allocation ProForma'!O555+'Allocation ProForma'!O559+'Allocation ProForma'!O562+'Allocation ProForma'!O606+'Allocation ProForma'!O608+'Allocation ProForma'!O613+'Allocation ProForma'!O617+'Allocation ProForma'!O620</f>
        <v>5036.5028719806023</v>
      </c>
      <c r="J30" s="235">
        <v>0</v>
      </c>
      <c r="K30" s="297">
        <f t="shared" si="7"/>
        <v>1620216.8602118196</v>
      </c>
      <c r="L30" s="209" t="str">
        <f>IF(ABS(K30-D30)&lt;0.01,"ok","err")</f>
        <v>ok</v>
      </c>
    </row>
    <row r="31" spans="1:12" x14ac:dyDescent="0.25">
      <c r="A31" s="210" t="s">
        <v>1239</v>
      </c>
      <c r="B31" s="207" t="s">
        <v>1270</v>
      </c>
      <c r="C31" s="208"/>
      <c r="D31" s="282">
        <f>'Allocation ProForma'!O716+'Allocation ProForma'!O717</f>
        <v>0</v>
      </c>
      <c r="E31" s="235">
        <f t="shared" ref="E31:J31" si="8">$D$31*(E14/$K$14)</f>
        <v>0</v>
      </c>
      <c r="F31" s="235">
        <f t="shared" si="8"/>
        <v>0</v>
      </c>
      <c r="G31" s="235">
        <f t="shared" si="8"/>
        <v>0</v>
      </c>
      <c r="H31" s="235">
        <f t="shared" si="8"/>
        <v>0</v>
      </c>
      <c r="I31" s="235">
        <f t="shared" si="8"/>
        <v>0</v>
      </c>
      <c r="J31" s="235">
        <f t="shared" si="8"/>
        <v>0</v>
      </c>
      <c r="K31" s="297">
        <f t="shared" si="7"/>
        <v>0</v>
      </c>
      <c r="L31" s="209" t="str">
        <f>IF(ABS(K31-D31)&lt;0.01,"ok","err")</f>
        <v>ok</v>
      </c>
    </row>
    <row r="32" spans="1:12" x14ac:dyDescent="0.25">
      <c r="A32" s="210" t="s">
        <v>1241</v>
      </c>
      <c r="B32" s="215" t="s">
        <v>1240</v>
      </c>
      <c r="C32" s="208"/>
      <c r="D32" s="282">
        <f>'Allocation ProForma'!O723</f>
        <v>242170.74316397536</v>
      </c>
      <c r="E32" s="235">
        <f>D32</f>
        <v>242170.74316397536</v>
      </c>
      <c r="F32" s="235">
        <v>0</v>
      </c>
      <c r="G32" s="235">
        <v>0</v>
      </c>
      <c r="H32" s="235">
        <v>0</v>
      </c>
      <c r="I32" s="235">
        <v>0</v>
      </c>
      <c r="J32" s="235">
        <v>0</v>
      </c>
      <c r="K32" s="297">
        <f t="shared" si="7"/>
        <v>242170.74316397536</v>
      </c>
      <c r="L32" s="209" t="str">
        <f>IF(ABS(K32-D32)&lt;0.01,"ok","err")</f>
        <v>ok</v>
      </c>
    </row>
    <row r="33" spans="1:12" x14ac:dyDescent="0.25">
      <c r="A33" s="210" t="s">
        <v>1243</v>
      </c>
      <c r="B33" s="215" t="s">
        <v>1242</v>
      </c>
      <c r="C33" s="208"/>
      <c r="D33" s="282">
        <f>'Allocation ProForma'!O810</f>
        <v>5572.5207187850901</v>
      </c>
      <c r="E33" s="235">
        <f>D33</f>
        <v>5572.5207187850901</v>
      </c>
      <c r="F33" s="235">
        <v>0</v>
      </c>
      <c r="G33" s="235">
        <v>0</v>
      </c>
      <c r="H33" s="235">
        <v>0</v>
      </c>
      <c r="I33" s="235">
        <v>0</v>
      </c>
      <c r="J33" s="235">
        <v>0</v>
      </c>
      <c r="K33" s="297">
        <f t="shared" si="7"/>
        <v>5572.5207187850901</v>
      </c>
      <c r="L33" s="209" t="str">
        <f t="shared" ref="L33:L39" si="9">IF(ABS(K33-D33)&lt;0.01,"ok","err")</f>
        <v>ok</v>
      </c>
    </row>
    <row r="34" spans="1:12" x14ac:dyDescent="0.25">
      <c r="A34" s="210" t="s">
        <v>1245</v>
      </c>
      <c r="B34" s="215" t="s">
        <v>1244</v>
      </c>
      <c r="C34" s="208"/>
      <c r="D34" s="282">
        <f>'Allocation ProForma'!O797+'Allocation ProForma'!O800+'Allocation ProForma'!O801</f>
        <v>0</v>
      </c>
      <c r="E34" s="235">
        <v>0</v>
      </c>
      <c r="F34" s="235">
        <f>D34</f>
        <v>0</v>
      </c>
      <c r="G34" s="235">
        <v>0</v>
      </c>
      <c r="H34" s="235">
        <v>0</v>
      </c>
      <c r="I34" s="235">
        <v>0</v>
      </c>
      <c r="J34" s="235">
        <v>0</v>
      </c>
      <c r="K34" s="297">
        <f t="shared" ref="K34:K39" si="10">SUM(E34:J34)</f>
        <v>0</v>
      </c>
      <c r="L34" s="209" t="str">
        <f t="shared" si="9"/>
        <v>ok</v>
      </c>
    </row>
    <row r="35" spans="1:12" x14ac:dyDescent="0.25">
      <c r="A35" s="210" t="s">
        <v>1247</v>
      </c>
      <c r="B35" s="207" t="s">
        <v>1246</v>
      </c>
      <c r="C35" s="208"/>
      <c r="D35" s="282">
        <f>'Allocation ProForma'!O808+'Allocation ProForma'!O811</f>
        <v>0</v>
      </c>
      <c r="E35" s="235">
        <v>0</v>
      </c>
      <c r="F35" s="235">
        <v>0</v>
      </c>
      <c r="G35" s="235">
        <f>D35</f>
        <v>0</v>
      </c>
      <c r="H35" s="235">
        <v>0</v>
      </c>
      <c r="I35" s="235">
        <v>0</v>
      </c>
      <c r="J35" s="235">
        <v>0</v>
      </c>
      <c r="K35" s="297">
        <f t="shared" si="10"/>
        <v>0</v>
      </c>
      <c r="L35" s="209" t="str">
        <f t="shared" si="9"/>
        <v>ok</v>
      </c>
    </row>
    <row r="36" spans="1:12" x14ac:dyDescent="0.25">
      <c r="A36" s="210" t="s">
        <v>1249</v>
      </c>
      <c r="B36" s="207" t="s">
        <v>1248</v>
      </c>
      <c r="C36" s="208"/>
      <c r="D36" s="282">
        <f>'Allocation ProForma'!O802</f>
        <v>0</v>
      </c>
      <c r="E36" s="235">
        <v>0</v>
      </c>
      <c r="F36" s="235">
        <v>0</v>
      </c>
      <c r="G36" s="235">
        <v>0</v>
      </c>
      <c r="H36" s="235">
        <f>(H14/($I$14+$H$14)*$D$36)</f>
        <v>0</v>
      </c>
      <c r="I36" s="235">
        <f>(I14/($I$14+$H$14)*$D$36)</f>
        <v>0</v>
      </c>
      <c r="J36" s="235">
        <v>0</v>
      </c>
      <c r="K36" s="297">
        <f t="shared" si="10"/>
        <v>0</v>
      </c>
      <c r="L36" s="209" t="str">
        <f t="shared" si="9"/>
        <v>ok</v>
      </c>
    </row>
    <row r="37" spans="1:12" x14ac:dyDescent="0.25">
      <c r="A37" s="216" t="s">
        <v>1251</v>
      </c>
      <c r="B37" s="207" t="s">
        <v>1250</v>
      </c>
      <c r="C37" s="208"/>
      <c r="D37" s="282">
        <f>'Allocation ProForma'!O803+'Allocation ProForma'!O804+'Allocation ProForma'!O805+'Allocation ProForma'!O806+'Allocation ProForma'!O807+'Allocation ProForma'!O809+'Allocation ProForma'!O814+'Allocation ProForma'!O815+'Allocation ProForma'!O818+'Allocation ProForma'!O819+'Allocation ProForma'!O820+'Allocation ProForma'!O821+'Allocation ProForma'!O822+'Allocation ProForma'!O823+'Allocation ProForma'!O824+'Allocation ProForma'!O826+'Allocation ProForma'!O827+'Allocation ProForma'!O983+'Allocation ProForma'!O984</f>
        <v>235627.00097408734</v>
      </c>
      <c r="E37" s="235">
        <f t="shared" ref="E37:J37" si="11">(E14/($D$14)*$D$37)</f>
        <v>164814.8621403939</v>
      </c>
      <c r="F37" s="235">
        <f t="shared" si="11"/>
        <v>8686.3614409459078</v>
      </c>
      <c r="G37" s="235">
        <f t="shared" si="11"/>
        <v>30070.765886250087</v>
      </c>
      <c r="H37" s="235">
        <f t="shared" si="11"/>
        <v>31263.458661517911</v>
      </c>
      <c r="I37" s="235">
        <f t="shared" si="11"/>
        <v>716.35661499724779</v>
      </c>
      <c r="J37" s="235">
        <f t="shared" si="11"/>
        <v>75.196229982296231</v>
      </c>
      <c r="K37" s="297">
        <f t="shared" si="10"/>
        <v>235627.00097408739</v>
      </c>
      <c r="L37" s="209" t="str">
        <f t="shared" si="9"/>
        <v>ok</v>
      </c>
    </row>
    <row r="38" spans="1:12" x14ac:dyDescent="0.25">
      <c r="A38" s="210"/>
      <c r="B38" s="207"/>
      <c r="D38" s="286"/>
      <c r="E38" s="235"/>
      <c r="F38" s="235"/>
      <c r="G38" s="235"/>
      <c r="H38" s="235"/>
      <c r="I38" s="235"/>
      <c r="J38" s="235"/>
      <c r="K38" s="297"/>
      <c r="L38" s="209"/>
    </row>
    <row r="39" spans="1:12" x14ac:dyDescent="0.25">
      <c r="A39" s="210" t="s">
        <v>1253</v>
      </c>
      <c r="B39" s="207" t="s">
        <v>1252</v>
      </c>
      <c r="C39" s="208"/>
      <c r="D39" s="286">
        <f>'Allocation ProForma'!O828+'Allocation ProForma'!O983+'Allocation ProForma'!O984</f>
        <v>241199.52169287243</v>
      </c>
      <c r="E39" s="235">
        <f>SUM(E33:E37)</f>
        <v>170387.38285917899</v>
      </c>
      <c r="F39" s="235">
        <f>SUM(F34:F37)</f>
        <v>8686.3614409459078</v>
      </c>
      <c r="G39" s="235">
        <f>SUM(G33:G37)</f>
        <v>30070.765886250087</v>
      </c>
      <c r="H39" s="235">
        <f>SUM(H33:H37)</f>
        <v>31263.458661517911</v>
      </c>
      <c r="I39" s="235">
        <f>SUM(I33:I37)</f>
        <v>716.35661499724779</v>
      </c>
      <c r="J39" s="235">
        <f>SUM(J33:J37)</f>
        <v>75.196229982296231</v>
      </c>
      <c r="K39" s="297">
        <f t="shared" si="10"/>
        <v>241199.52169287248</v>
      </c>
      <c r="L39" s="209" t="str">
        <f t="shared" si="9"/>
        <v>ok</v>
      </c>
    </row>
    <row r="40" spans="1:12" x14ac:dyDescent="0.25">
      <c r="A40" s="214"/>
      <c r="B40" s="207"/>
      <c r="C40" s="212"/>
      <c r="D40" s="234"/>
      <c r="E40" s="238"/>
      <c r="F40" s="238"/>
      <c r="G40" s="238"/>
      <c r="H40" s="238"/>
      <c r="I40" s="238"/>
      <c r="J40" s="238"/>
      <c r="K40" s="277"/>
      <c r="L40" s="213"/>
    </row>
    <row r="41" spans="1:12" x14ac:dyDescent="0.25">
      <c r="A41" s="210" t="s">
        <v>1255</v>
      </c>
      <c r="B41" s="207" t="s">
        <v>1254</v>
      </c>
      <c r="C41" s="217">
        <f>'Allocation ProForma'!O975</f>
        <v>80813365.040325284</v>
      </c>
      <c r="D41" s="286">
        <f t="shared" ref="D41:I41" si="12">SUM(D28:D32)+D22+D26+D39+D24</f>
        <v>80813365.040325284</v>
      </c>
      <c r="E41" s="235">
        <f t="shared" si="12"/>
        <v>27886164.984147754</v>
      </c>
      <c r="F41" s="235">
        <f t="shared" si="12"/>
        <v>42167073.766191944</v>
      </c>
      <c r="G41" s="235">
        <f t="shared" si="12"/>
        <v>4870499.2478386592</v>
      </c>
      <c r="H41" s="235">
        <f t="shared" si="12"/>
        <v>5328899.6675456194</v>
      </c>
      <c r="I41" s="235">
        <f t="shared" si="12"/>
        <v>188758.10571565505</v>
      </c>
      <c r="J41" s="235">
        <f>SUM(J28:J32)+J22+J26+J39+J24</f>
        <v>371969.268885647</v>
      </c>
      <c r="K41" s="297">
        <f>SUM(E41:J41)</f>
        <v>80813365.040325284</v>
      </c>
      <c r="L41" s="209" t="str">
        <f>IF(ABS(K41-D41)&lt;0.01,"ok","err")</f>
        <v>ok</v>
      </c>
    </row>
    <row r="42" spans="1:12" x14ac:dyDescent="0.25">
      <c r="A42" s="214"/>
      <c r="B42" s="207"/>
      <c r="C42" s="212"/>
      <c r="D42" s="287"/>
      <c r="E42" s="238"/>
      <c r="F42" s="238"/>
      <c r="G42" s="238"/>
      <c r="H42" s="238"/>
      <c r="I42" s="238"/>
      <c r="J42" s="238"/>
      <c r="K42" s="277"/>
      <c r="L42" s="213"/>
    </row>
    <row r="43" spans="1:12" x14ac:dyDescent="0.25">
      <c r="A43" s="210" t="s">
        <v>1256</v>
      </c>
      <c r="B43" s="207" t="s">
        <v>1257</v>
      </c>
      <c r="C43" s="208"/>
      <c r="D43" s="286">
        <f>-('Allocation ProForma'!O700+'Allocation ProForma'!O701+'Allocation ProForma'!O702)</f>
        <v>0</v>
      </c>
      <c r="E43" s="235">
        <v>0</v>
      </c>
      <c r="F43" s="235">
        <f>D43</f>
        <v>0</v>
      </c>
      <c r="G43" s="235">
        <v>0</v>
      </c>
      <c r="H43" s="235">
        <v>0</v>
      </c>
      <c r="I43" s="235">
        <v>0</v>
      </c>
      <c r="J43" s="235">
        <v>0</v>
      </c>
      <c r="K43" s="297">
        <f>SUM(E43:J43)</f>
        <v>0</v>
      </c>
      <c r="L43" s="209" t="str">
        <f>IF(ABS(K43-D43)&lt;0.01,"ok","err")</f>
        <v>ok</v>
      </c>
    </row>
    <row r="44" spans="1:12" x14ac:dyDescent="0.25">
      <c r="A44" s="210" t="s">
        <v>1258</v>
      </c>
      <c r="B44" s="207" t="s">
        <v>1259</v>
      </c>
      <c r="C44" s="208"/>
      <c r="D44" s="282">
        <f>-('Allocation ProForma'!O698+'Allocation ProForma'!O699+'Allocation ProForma'!O703+'Allocation ProForma'!O704+'Allocation ProForma'!O705+'Allocation ProForma'!O706)</f>
        <v>-5168549.0969278105</v>
      </c>
      <c r="E44" s="235">
        <f>-('Allocation ProForma'!O698+'Allocation ProForma'!O699)-(E14/($D$14)*('Allocation ProForma'!O703+'Allocation ProForma'!O704+'Allocation ProForma'!O705+'Allocation ProForma'!O706))</f>
        <v>-4982235.448911597</v>
      </c>
      <c r="F44" s="235">
        <f>(F14/($D$14)*-('Allocation ProForma'!O703+'Allocation ProForma'!O704+'Allocation ProForma'!O705+'Allocation ProForma'!O706))</f>
        <v>-22854.664676220145</v>
      </c>
      <c r="G44" s="235">
        <f>(G14/($D$14)*-('Allocation ProForma'!O703+'Allocation ProForma'!O704+'Allocation ProForma'!O705+'Allocation ProForma'!O706))</f>
        <v>-79119.119732660605</v>
      </c>
      <c r="H44" s="235">
        <f>(H14/($D$14)*-('Allocation ProForma'!O703+'Allocation ProForma'!O704+'Allocation ProForma'!O705+'Allocation ProForma'!O706))</f>
        <v>-82257.210822446999</v>
      </c>
      <c r="I44" s="235">
        <f>(I14/($D$14)*-('Allocation ProForma'!O703+'Allocation ProForma'!O704+'Allocation ProForma'!O705+'Allocation ProForma'!O706))</f>
        <v>-1884.8041652030752</v>
      </c>
      <c r="J44" s="235">
        <f>(J14/($D$14)*-('Allocation ProForma'!O703+'Allocation ProForma'!O704+'Allocation ProForma'!O705+'Allocation ProForma'!O706))</f>
        <v>-197.84861968329113</v>
      </c>
      <c r="K44" s="297">
        <f>SUM(E44:J44)</f>
        <v>-5168549.0969278114</v>
      </c>
      <c r="L44" s="209" t="str">
        <f>IF(ABS(K44-D44)&lt;0.01,"ok","err")</f>
        <v>ok</v>
      </c>
    </row>
    <row r="45" spans="1:12" x14ac:dyDescent="0.25">
      <c r="A45" s="210" t="s">
        <v>1260</v>
      </c>
      <c r="B45" s="207" t="s">
        <v>1261</v>
      </c>
      <c r="C45" s="208"/>
      <c r="D45" s="282">
        <f t="shared" ref="D45:J45" si="13">SUM(D43:D44)</f>
        <v>-5168549.0969278105</v>
      </c>
      <c r="E45" s="235">
        <f t="shared" si="13"/>
        <v>-4982235.448911597</v>
      </c>
      <c r="F45" s="235">
        <f t="shared" si="13"/>
        <v>-22854.664676220145</v>
      </c>
      <c r="G45" s="235">
        <f t="shared" si="13"/>
        <v>-79119.119732660605</v>
      </c>
      <c r="H45" s="235">
        <f t="shared" si="13"/>
        <v>-82257.210822446999</v>
      </c>
      <c r="I45" s="235">
        <f t="shared" si="13"/>
        <v>-1884.8041652030752</v>
      </c>
      <c r="J45" s="235">
        <f t="shared" si="13"/>
        <v>-197.84861968329113</v>
      </c>
      <c r="K45" s="297">
        <f>SUM(E45:J45)</f>
        <v>-5168549.0969278114</v>
      </c>
      <c r="L45" s="209" t="str">
        <f>IF(ABS(K45-D45)&lt;0.01,"ok","err")</f>
        <v>ok</v>
      </c>
    </row>
    <row r="46" spans="1:12" x14ac:dyDescent="0.25">
      <c r="A46" s="214"/>
      <c r="B46" s="207"/>
      <c r="D46" s="288"/>
      <c r="E46" s="238"/>
      <c r="F46" s="238"/>
      <c r="G46" s="238"/>
      <c r="H46" s="238"/>
      <c r="I46" s="238"/>
      <c r="J46" s="238"/>
      <c r="K46" s="277"/>
      <c r="L46" s="213"/>
    </row>
    <row r="47" spans="1:12" x14ac:dyDescent="0.25">
      <c r="A47" s="210" t="s">
        <v>1262</v>
      </c>
      <c r="B47" s="207" t="s">
        <v>1263</v>
      </c>
      <c r="C47" s="218">
        <f>'Allocation ProForma'!O975-SUM('Allocation ProForma'!O698:O706)</f>
        <v>75644815.943397477</v>
      </c>
      <c r="D47" s="286">
        <f t="shared" ref="D47:I47" si="14">D41+D45</f>
        <v>75644815.943397477</v>
      </c>
      <c r="E47" s="235">
        <f t="shared" si="14"/>
        <v>22903929.535236157</v>
      </c>
      <c r="F47" s="235">
        <f t="shared" si="14"/>
        <v>42144219.101515725</v>
      </c>
      <c r="G47" s="235">
        <f t="shared" si="14"/>
        <v>4791380.128105999</v>
      </c>
      <c r="H47" s="235">
        <f t="shared" si="14"/>
        <v>5246642.4567231722</v>
      </c>
      <c r="I47" s="235">
        <f t="shared" si="14"/>
        <v>186873.30155045199</v>
      </c>
      <c r="J47" s="235">
        <f>J41+J45</f>
        <v>371771.42026596371</v>
      </c>
      <c r="K47" s="297">
        <f>SUM(E47:J47)</f>
        <v>75644815.943397462</v>
      </c>
      <c r="L47" s="209" t="str">
        <f>IF(ABS(K47-D47)&lt;0.01,"ok","err")</f>
        <v>ok</v>
      </c>
    </row>
    <row r="48" spans="1:12" x14ac:dyDescent="0.25">
      <c r="A48" s="214"/>
      <c r="B48" s="207"/>
      <c r="C48" s="212"/>
      <c r="D48" s="289"/>
      <c r="E48" s="238"/>
      <c r="F48" s="238"/>
      <c r="G48" s="238"/>
      <c r="H48" s="238"/>
      <c r="I48" s="238"/>
      <c r="J48" s="238"/>
      <c r="K48" s="277"/>
      <c r="L48" s="213"/>
    </row>
    <row r="49" spans="1:12" ht="14.4" x14ac:dyDescent="0.3">
      <c r="A49" s="210" t="s">
        <v>1264</v>
      </c>
      <c r="B49" s="207" t="s">
        <v>1265</v>
      </c>
      <c r="C49" s="208"/>
      <c r="D49" s="290"/>
      <c r="E49" s="344">
        <f>'[9]Sch M-2.3 pgs 3-19'!$D$255</f>
        <v>2122416.0723105436</v>
      </c>
      <c r="F49" s="291">
        <f>'Allocation ProForma'!O1013</f>
        <v>1040406894</v>
      </c>
      <c r="G49" s="291">
        <f>E49</f>
        <v>2122416.0723105436</v>
      </c>
      <c r="H49" s="291">
        <f>G49</f>
        <v>2122416.0723105436</v>
      </c>
      <c r="I49" s="291">
        <f>'Allocation ProForma'!$O$1029*12</f>
        <v>3830</v>
      </c>
      <c r="J49" s="291">
        <f>'Allocation ProForma'!$O$1029*12</f>
        <v>3830</v>
      </c>
      <c r="K49" s="277"/>
      <c r="L49" s="213"/>
    </row>
    <row r="50" spans="1:12" ht="14.4" thickBot="1" x14ac:dyDescent="0.3">
      <c r="A50" s="214"/>
      <c r="B50" s="207"/>
      <c r="C50" s="212"/>
      <c r="D50" s="288"/>
      <c r="E50" s="238"/>
      <c r="F50" s="238"/>
      <c r="G50" s="238"/>
      <c r="H50" s="238"/>
      <c r="I50" s="238"/>
      <c r="J50" s="238"/>
      <c r="K50" s="277"/>
      <c r="L50" s="213"/>
    </row>
    <row r="51" spans="1:12" ht="14.4" thickBot="1" x14ac:dyDescent="0.3">
      <c r="A51" s="219" t="s">
        <v>1266</v>
      </c>
      <c r="B51" s="220" t="s">
        <v>1267</v>
      </c>
      <c r="C51" s="221"/>
      <c r="D51" s="292"/>
      <c r="E51" s="293">
        <f t="shared" ref="E51:J51" si="15">E47/E49</f>
        <v>10.791441807308809</v>
      </c>
      <c r="F51" s="293">
        <f t="shared" si="15"/>
        <v>4.0507439295683602E-2</v>
      </c>
      <c r="G51" s="293">
        <f t="shared" si="15"/>
        <v>2.2575121770963213</v>
      </c>
      <c r="H51" s="293">
        <f t="shared" si="15"/>
        <v>2.4720140999551874</v>
      </c>
      <c r="I51" s="294">
        <f t="shared" si="15"/>
        <v>48.791984739021409</v>
      </c>
      <c r="J51" s="294">
        <f t="shared" si="15"/>
        <v>97.068255944115847</v>
      </c>
      <c r="K51" s="275">
        <f>I51+J51</f>
        <v>145.86024068313725</v>
      </c>
      <c r="L51" s="222"/>
    </row>
    <row r="53" spans="1:12" x14ac:dyDescent="0.25">
      <c r="D53" s="269"/>
      <c r="E53" s="345"/>
      <c r="J53" s="223" t="s">
        <v>1268</v>
      </c>
      <c r="K53" s="224">
        <f>I51+J51</f>
        <v>145.86024068313725</v>
      </c>
    </row>
    <row r="54" spans="1:12" x14ac:dyDescent="0.25">
      <c r="I54" s="20"/>
      <c r="J54" s="223" t="s">
        <v>1269</v>
      </c>
      <c r="K54" s="9">
        <f>F51</f>
        <v>4.0507439295683602E-2</v>
      </c>
    </row>
    <row r="55" spans="1:12" x14ac:dyDescent="0.25">
      <c r="J55" t="s">
        <v>1351</v>
      </c>
      <c r="K55" s="345">
        <f>E51+G51+H51</f>
        <v>15.520968084360318</v>
      </c>
    </row>
    <row r="56" spans="1:12" x14ac:dyDescent="0.25">
      <c r="I56" s="8"/>
      <c r="J56" s="238"/>
      <c r="K56" s="340"/>
    </row>
    <row r="57" spans="1:12" x14ac:dyDescent="0.25">
      <c r="J57" s="238"/>
      <c r="K57" s="341"/>
    </row>
    <row r="58" spans="1:12" x14ac:dyDescent="0.25">
      <c r="J58" s="21"/>
      <c r="K58" s="342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80" zoomScaleNormal="80" workbookViewId="0">
      <selection sqref="A1:K1"/>
    </sheetView>
  </sheetViews>
  <sheetFormatPr defaultRowHeight="13.8" x14ac:dyDescent="0.25"/>
  <cols>
    <col min="1" max="1" width="4.5546875" customWidth="1"/>
    <col min="2" max="2" width="41.109375" bestFit="1" customWidth="1"/>
    <col min="3" max="3" width="30.6640625" customWidth="1"/>
    <col min="4" max="4" width="28.33203125" customWidth="1"/>
    <col min="5" max="5" width="22.5546875" bestFit="1" customWidth="1"/>
    <col min="6" max="6" width="20.5546875" customWidth="1"/>
    <col min="7" max="8" width="22.5546875" bestFit="1" customWidth="1"/>
    <col min="9" max="9" width="24.6640625" bestFit="1" customWidth="1"/>
    <col min="10" max="10" width="37" bestFit="1" customWidth="1"/>
    <col min="11" max="11" width="21.44140625" customWidth="1"/>
    <col min="12" max="12" width="17.88671875" customWidth="1"/>
  </cols>
  <sheetData>
    <row r="1" spans="1:14" ht="15.6" x14ac:dyDescent="0.3">
      <c r="A1" s="381" t="s">
        <v>623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233"/>
      <c r="M1" s="233"/>
      <c r="N1" s="233"/>
    </row>
    <row r="2" spans="1:14" ht="15.6" x14ac:dyDescent="0.3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187"/>
      <c r="M2" s="187"/>
      <c r="N2" s="187"/>
    </row>
    <row r="3" spans="1:14" ht="15.6" x14ac:dyDescent="0.3">
      <c r="A3" s="381" t="s">
        <v>1214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233"/>
      <c r="M3" s="233"/>
      <c r="N3" s="233"/>
    </row>
    <row r="4" spans="1:14" ht="15.6" x14ac:dyDescent="0.3">
      <c r="A4" s="381" t="s">
        <v>1372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233"/>
      <c r="M4" s="233"/>
      <c r="N4" s="233"/>
    </row>
    <row r="5" spans="1:14" ht="15.6" x14ac:dyDescent="0.3">
      <c r="A5" s="240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1"/>
      <c r="M5" s="21"/>
      <c r="N5" s="21"/>
    </row>
    <row r="6" spans="1:14" ht="15.6" x14ac:dyDescent="0.3">
      <c r="A6" s="381" t="s">
        <v>1201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233"/>
      <c r="M6" s="233"/>
      <c r="N6" s="233"/>
    </row>
    <row r="8" spans="1:14" ht="14.4" thickBot="1" x14ac:dyDescent="0.3"/>
    <row r="9" spans="1:14" ht="14.4" thickBot="1" x14ac:dyDescent="0.3">
      <c r="A9" s="189"/>
      <c r="B9" s="190"/>
      <c r="C9" s="191"/>
      <c r="D9" s="189"/>
      <c r="E9" s="379" t="s">
        <v>730</v>
      </c>
      <c r="F9" s="380"/>
      <c r="G9" s="192" t="s">
        <v>1153</v>
      </c>
      <c r="H9" s="379" t="s">
        <v>960</v>
      </c>
      <c r="I9" s="380"/>
      <c r="J9" s="274" t="s">
        <v>1216</v>
      </c>
      <c r="K9" s="191"/>
      <c r="L9" s="276"/>
    </row>
    <row r="10" spans="1:14" x14ac:dyDescent="0.25">
      <c r="A10" s="194"/>
      <c r="B10" s="195"/>
      <c r="C10" s="196"/>
      <c r="D10" s="196"/>
      <c r="E10" s="191"/>
      <c r="F10" s="191"/>
      <c r="G10" s="191"/>
      <c r="H10" s="191"/>
      <c r="I10" s="191"/>
      <c r="J10" s="189"/>
      <c r="K10" s="196"/>
      <c r="L10" s="277"/>
    </row>
    <row r="11" spans="1:14" x14ac:dyDescent="0.25">
      <c r="A11" s="194"/>
      <c r="B11" s="195"/>
      <c r="C11" s="196"/>
      <c r="D11" s="196"/>
      <c r="E11" s="196"/>
      <c r="F11" s="196"/>
      <c r="G11" s="196"/>
      <c r="H11" s="196"/>
      <c r="I11" s="196"/>
      <c r="J11" s="194"/>
      <c r="K11" s="196"/>
      <c r="L11" s="277"/>
    </row>
    <row r="12" spans="1:14" ht="14.4" thickBot="1" x14ac:dyDescent="0.3">
      <c r="A12" s="198"/>
      <c r="B12" s="278" t="s">
        <v>947</v>
      </c>
      <c r="C12" s="279" t="s">
        <v>1217</v>
      </c>
      <c r="D12" s="279" t="s">
        <v>1282</v>
      </c>
      <c r="E12" s="199" t="s">
        <v>1218</v>
      </c>
      <c r="F12" s="199" t="s">
        <v>1219</v>
      </c>
      <c r="G12" s="199" t="s">
        <v>1218</v>
      </c>
      <c r="H12" s="199" t="s">
        <v>1218</v>
      </c>
      <c r="I12" s="199" t="s">
        <v>1220</v>
      </c>
      <c r="J12" s="298" t="s">
        <v>1220</v>
      </c>
      <c r="K12" s="200" t="s">
        <v>944</v>
      </c>
      <c r="L12" s="200" t="s">
        <v>1221</v>
      </c>
    </row>
    <row r="13" spans="1:14" x14ac:dyDescent="0.25">
      <c r="A13" s="201"/>
      <c r="B13" s="202"/>
      <c r="C13" s="203"/>
      <c r="D13" s="204"/>
      <c r="E13" s="205"/>
      <c r="F13" s="205"/>
      <c r="G13" s="205"/>
      <c r="H13" s="205"/>
      <c r="I13" s="205"/>
      <c r="J13" s="205"/>
      <c r="K13" s="193"/>
      <c r="L13" s="197"/>
    </row>
    <row r="14" spans="1:14" x14ac:dyDescent="0.25">
      <c r="A14" s="206" t="s">
        <v>1222</v>
      </c>
      <c r="B14" s="207" t="s">
        <v>987</v>
      </c>
      <c r="C14" s="208"/>
      <c r="D14" s="280">
        <f>'Allocation ProForma'!P176</f>
        <v>46217422.218736798</v>
      </c>
      <c r="E14" s="281">
        <f>'Allocation ProForma'!P125+'Allocation ProForma'!P126+'Allocation ProForma'!P127</f>
        <v>35640903.725343913</v>
      </c>
      <c r="F14" s="281">
        <f>'Allocation ProForma'!P128</f>
        <v>3844201.9333236148</v>
      </c>
      <c r="G14" s="281">
        <f>'Allocation ProForma'!P137</f>
        <v>6502746.5240740813</v>
      </c>
      <c r="H14" s="281">
        <f>'Allocation ProForma'!P147+'Allocation ProForma'!P149+'Allocation ProForma'!P154+'Allocation ProForma'!P143</f>
        <v>0</v>
      </c>
      <c r="I14" s="281">
        <f>'Allocation ProForma'!P148+'Allocation ProForma'!P150+'Allocation ProForma'!P155+'Allocation ProForma'!P159+'Allocation ProForma'!P162+'Allocation ProForma'!P165</f>
        <v>228023.69203180599</v>
      </c>
      <c r="J14" s="281">
        <f>'Allocation ProForma'!P168+'Allocation ProForma'!P171</f>
        <v>1546.3439633777689</v>
      </c>
      <c r="K14" s="297">
        <f>SUM(E14:J14)</f>
        <v>46217422.218736798</v>
      </c>
      <c r="L14" s="209" t="str">
        <f>IF(ABS(K14-D14)&lt;0.01,"ok","err")</f>
        <v>ok</v>
      </c>
    </row>
    <row r="15" spans="1:14" x14ac:dyDescent="0.25">
      <c r="A15" s="210" t="s">
        <v>1223</v>
      </c>
      <c r="B15" s="215" t="s">
        <v>1224</v>
      </c>
      <c r="C15" s="208"/>
      <c r="D15" s="282">
        <f>'Allocation ProForma'!P840+'Allocation ProForma'!P841+'Allocation ProForma'!P842</f>
        <v>0</v>
      </c>
      <c r="E15" s="237">
        <f t="shared" ref="E15:J15" si="0">(E14/$D$14)*$D$15</f>
        <v>0</v>
      </c>
      <c r="F15" s="237">
        <f t="shared" si="0"/>
        <v>0</v>
      </c>
      <c r="G15" s="237">
        <f t="shared" si="0"/>
        <v>0</v>
      </c>
      <c r="H15" s="237">
        <f t="shared" si="0"/>
        <v>0</v>
      </c>
      <c r="I15" s="237">
        <f t="shared" si="0"/>
        <v>0</v>
      </c>
      <c r="J15" s="237">
        <f t="shared" si="0"/>
        <v>0</v>
      </c>
      <c r="K15" s="297">
        <f>SUM(E15:J15)</f>
        <v>0</v>
      </c>
      <c r="L15" s="209" t="str">
        <f>IF(ABS(K15-D15)&lt;0.01,"ok","err")</f>
        <v>ok</v>
      </c>
    </row>
    <row r="16" spans="1:14" x14ac:dyDescent="0.25">
      <c r="A16" s="210" t="s">
        <v>1225</v>
      </c>
      <c r="B16" s="236" t="s">
        <v>1226</v>
      </c>
      <c r="C16" s="208"/>
      <c r="D16" s="234">
        <f>D14+D15</f>
        <v>46217422.218736798</v>
      </c>
      <c r="E16" s="235">
        <f t="shared" ref="E16:K16" si="1">E14+E15</f>
        <v>35640903.725343913</v>
      </c>
      <c r="F16" s="235">
        <f t="shared" si="1"/>
        <v>3844201.9333236148</v>
      </c>
      <c r="G16" s="235">
        <f t="shared" si="1"/>
        <v>6502746.5240740813</v>
      </c>
      <c r="H16" s="235">
        <f t="shared" si="1"/>
        <v>0</v>
      </c>
      <c r="I16" s="235">
        <f t="shared" si="1"/>
        <v>228023.69203180599</v>
      </c>
      <c r="J16" s="235">
        <f t="shared" si="1"/>
        <v>1546.3439633777689</v>
      </c>
      <c r="K16" s="297">
        <f t="shared" si="1"/>
        <v>46217422.218736798</v>
      </c>
      <c r="L16" s="209" t="str">
        <f>IF(ABS(K16-D16)&lt;0.01,"ok","err")</f>
        <v>ok</v>
      </c>
    </row>
    <row r="17" spans="1:12" x14ac:dyDescent="0.25">
      <c r="A17" s="210"/>
      <c r="B17" s="211"/>
      <c r="C17" s="212"/>
      <c r="D17" s="283"/>
      <c r="E17" s="238"/>
      <c r="F17" s="238"/>
      <c r="G17" s="238"/>
      <c r="H17" s="238"/>
      <c r="I17" s="238"/>
      <c r="J17" s="238"/>
      <c r="K17" s="296"/>
      <c r="L17" s="213"/>
    </row>
    <row r="18" spans="1:12" x14ac:dyDescent="0.25">
      <c r="A18" s="210" t="s">
        <v>1227</v>
      </c>
      <c r="B18" s="207" t="s">
        <v>1143</v>
      </c>
      <c r="C18" s="208"/>
      <c r="D18" s="284">
        <f>'Allocation ProForma'!P995</f>
        <v>0.12130422394051853</v>
      </c>
      <c r="E18" s="285">
        <f t="shared" ref="E18:J18" si="2">D18</f>
        <v>0.12130422394051853</v>
      </c>
      <c r="F18" s="285">
        <f t="shared" si="2"/>
        <v>0.12130422394051853</v>
      </c>
      <c r="G18" s="285">
        <f t="shared" si="2"/>
        <v>0.12130422394051853</v>
      </c>
      <c r="H18" s="285">
        <f t="shared" si="2"/>
        <v>0.12130422394051853</v>
      </c>
      <c r="I18" s="285">
        <f t="shared" si="2"/>
        <v>0.12130422394051853</v>
      </c>
      <c r="J18" s="285">
        <f t="shared" si="2"/>
        <v>0.12130422394051853</v>
      </c>
      <c r="K18" s="296"/>
      <c r="L18" s="209"/>
    </row>
    <row r="19" spans="1:12" x14ac:dyDescent="0.25">
      <c r="A19" s="214"/>
      <c r="B19" s="207"/>
      <c r="C19" s="212"/>
      <c r="D19" s="283"/>
      <c r="E19" s="238"/>
      <c r="F19" s="238"/>
      <c r="G19" s="238"/>
      <c r="H19" s="238"/>
      <c r="I19" s="238"/>
      <c r="J19" s="238"/>
      <c r="K19" s="296"/>
      <c r="L19" s="213"/>
    </row>
    <row r="20" spans="1:12" x14ac:dyDescent="0.25">
      <c r="A20" s="210" t="s">
        <v>1228</v>
      </c>
      <c r="B20" s="207" t="s">
        <v>1229</v>
      </c>
      <c r="C20" s="208"/>
      <c r="D20" s="286">
        <f>D18*D16</f>
        <v>5606368.5347751454</v>
      </c>
      <c r="E20" s="235">
        <f t="shared" ref="E20:J20" si="3">E18*E16</f>
        <v>4323392.1669415794</v>
      </c>
      <c r="F20" s="235">
        <f t="shared" si="3"/>
        <v>466317.93219246203</v>
      </c>
      <c r="G20" s="235">
        <f t="shared" si="3"/>
        <v>788810.62058471085</v>
      </c>
      <c r="H20" s="235">
        <f t="shared" si="3"/>
        <v>0</v>
      </c>
      <c r="I20" s="235">
        <f t="shared" si="3"/>
        <v>27660.237001970025</v>
      </c>
      <c r="J20" s="235">
        <f t="shared" si="3"/>
        <v>187.57805442264586</v>
      </c>
      <c r="K20" s="297">
        <f>SUM(E20:J20)</f>
        <v>5606368.5347751444</v>
      </c>
      <c r="L20" s="209" t="str">
        <f>IF(ABS(K20-D20)&lt;0.01,"ok","err")</f>
        <v>ok</v>
      </c>
    </row>
    <row r="21" spans="1:12" x14ac:dyDescent="0.25">
      <c r="A21" s="214"/>
      <c r="B21" s="207"/>
      <c r="C21" s="212"/>
      <c r="D21" s="283"/>
      <c r="E21" s="238"/>
      <c r="F21" s="238"/>
      <c r="G21" s="238"/>
      <c r="H21" s="238"/>
      <c r="I21" s="238"/>
      <c r="J21" s="238"/>
      <c r="K21" s="297"/>
      <c r="L21" s="213"/>
    </row>
    <row r="22" spans="1:12" x14ac:dyDescent="0.25">
      <c r="A22" s="210" t="s">
        <v>1230</v>
      </c>
      <c r="B22" s="207" t="s">
        <v>817</v>
      </c>
      <c r="C22" s="208"/>
      <c r="D22" s="286">
        <f>'Allocation ProForma'!P742</f>
        <v>1053549.0988629968</v>
      </c>
      <c r="E22" s="235">
        <f t="shared" ref="E22:J22" si="4">(E14/$D$14)*$D$22</f>
        <v>812452.10571861255</v>
      </c>
      <c r="F22" s="235">
        <f t="shared" si="4"/>
        <v>87630.492750817459</v>
      </c>
      <c r="G22" s="235">
        <f t="shared" si="4"/>
        <v>148233.33737975793</v>
      </c>
      <c r="H22" s="235">
        <f t="shared" si="4"/>
        <v>0</v>
      </c>
      <c r="I22" s="235">
        <f t="shared" si="4"/>
        <v>5197.9133349875674</v>
      </c>
      <c r="J22" s="235">
        <f t="shared" si="4"/>
        <v>35.249678821083563</v>
      </c>
      <c r="K22" s="297">
        <f>SUM(E22:J22)</f>
        <v>1053549.0988629966</v>
      </c>
      <c r="L22" s="209" t="str">
        <f>IF(ABS(K22-D22)&lt;0.01,"ok","err")</f>
        <v>ok</v>
      </c>
    </row>
    <row r="23" spans="1:12" x14ac:dyDescent="0.25">
      <c r="A23" s="214"/>
      <c r="B23" s="207"/>
      <c r="C23" s="212"/>
      <c r="D23" s="283"/>
      <c r="E23" s="238"/>
      <c r="F23" s="238"/>
      <c r="G23" s="238"/>
      <c r="H23" s="238"/>
      <c r="I23" s="238"/>
      <c r="J23" s="238"/>
      <c r="K23" s="297"/>
      <c r="L23" s="213"/>
    </row>
    <row r="24" spans="1:12" x14ac:dyDescent="0.25">
      <c r="A24" s="210" t="s">
        <v>1231</v>
      </c>
      <c r="B24" s="207" t="s">
        <v>1232</v>
      </c>
      <c r="C24" s="208"/>
      <c r="D24" s="286">
        <f>D20-D22</f>
        <v>4552819.435912149</v>
      </c>
      <c r="E24" s="235">
        <f t="shared" ref="E24:J24" si="5">E20-E22</f>
        <v>3510940.0612229668</v>
      </c>
      <c r="F24" s="235">
        <f t="shared" si="5"/>
        <v>378687.43944164459</v>
      </c>
      <c r="G24" s="235">
        <f t="shared" si="5"/>
        <v>640577.28320495295</v>
      </c>
      <c r="H24" s="235">
        <f t="shared" si="5"/>
        <v>0</v>
      </c>
      <c r="I24" s="235">
        <f t="shared" si="5"/>
        <v>22462.323666982458</v>
      </c>
      <c r="J24" s="235">
        <f t="shared" si="5"/>
        <v>152.3283756015623</v>
      </c>
      <c r="K24" s="297">
        <f>SUM(E24:J24)</f>
        <v>4552819.4359121481</v>
      </c>
      <c r="L24" s="209" t="str">
        <f>IF(ABS(K24-D24)&lt;0.01,"ok","err")</f>
        <v>ok</v>
      </c>
    </row>
    <row r="25" spans="1:12" x14ac:dyDescent="0.25">
      <c r="A25" s="214"/>
      <c r="B25" s="207"/>
      <c r="C25" s="212"/>
      <c r="D25" s="283"/>
      <c r="E25" s="238"/>
      <c r="F25" s="238"/>
      <c r="G25" s="238"/>
      <c r="H25" s="238"/>
      <c r="I25" s="238"/>
      <c r="J25" s="238"/>
      <c r="K25" s="297"/>
      <c r="L25" s="213"/>
    </row>
    <row r="26" spans="1:12" x14ac:dyDescent="0.25">
      <c r="A26" s="210" t="s">
        <v>1233</v>
      </c>
      <c r="B26" s="207" t="s">
        <v>1234</v>
      </c>
      <c r="C26" s="212"/>
      <c r="D26" s="286">
        <f>'Allocation ProForma'!P792+'Allocation ProForma'!P986</f>
        <v>3187309.7510593841</v>
      </c>
      <c r="E26" s="235">
        <f t="shared" ref="E26:J26" si="6">$D$26*(E24/$K$24)</f>
        <v>2457917.2642455143</v>
      </c>
      <c r="F26" s="235">
        <f t="shared" si="6"/>
        <v>265109.16703953251</v>
      </c>
      <c r="G26" s="235">
        <f t="shared" si="6"/>
        <v>448451.39364882826</v>
      </c>
      <c r="H26" s="235">
        <f t="shared" si="6"/>
        <v>0</v>
      </c>
      <c r="I26" s="235">
        <f t="shared" si="6"/>
        <v>15725.285015807216</v>
      </c>
      <c r="J26" s="235">
        <f t="shared" si="6"/>
        <v>106.64110970186618</v>
      </c>
      <c r="K26" s="297">
        <f>SUM(E26:J26)</f>
        <v>3187309.7510593841</v>
      </c>
      <c r="L26" s="209" t="str">
        <f>IF(ABS(K26-D26)&lt;0.01,"ok","err")</f>
        <v>ok</v>
      </c>
    </row>
    <row r="27" spans="1:12" x14ac:dyDescent="0.25">
      <c r="A27" s="214"/>
      <c r="B27" s="207"/>
      <c r="C27" s="212"/>
      <c r="D27" s="283"/>
      <c r="E27" s="238"/>
      <c r="F27" s="238"/>
      <c r="G27" s="238"/>
      <c r="H27" s="238"/>
      <c r="I27" s="238"/>
      <c r="J27" s="238"/>
      <c r="K27" s="297"/>
      <c r="L27" s="213"/>
    </row>
    <row r="28" spans="1:12" x14ac:dyDescent="0.25">
      <c r="A28" s="210" t="s">
        <v>1235</v>
      </c>
      <c r="B28" s="207" t="s">
        <v>997</v>
      </c>
      <c r="C28" s="208"/>
      <c r="D28" s="286">
        <f>'Allocation ProForma'!P712</f>
        <v>37347255.706858248</v>
      </c>
      <c r="E28" s="235">
        <f>'Allocation ProForma'!P182+'Allocation ProForma'!P183+'Allocation ProForma'!P184</f>
        <v>3097751.1327047748</v>
      </c>
      <c r="F28" s="235">
        <f>'Allocation ProForma'!P185</f>
        <v>33533120.388859238</v>
      </c>
      <c r="G28" s="235">
        <f>'Allocation ProForma'!P194</f>
        <v>582882.52894655743</v>
      </c>
      <c r="H28" s="235">
        <f>'Allocation ProForma'!P200+'Allocation ProForma'!P204+'Allocation ProForma'!P206+'Allocation ProForma'!P211</f>
        <v>0</v>
      </c>
      <c r="I28" s="235">
        <f>'Allocation ProForma'!P205+'Allocation ProForma'!P207+'Allocation ProForma'!P212+'Allocation ProForma'!P216+'Allocation ProForma'!P219</f>
        <v>119752.03405341062</v>
      </c>
      <c r="J28" s="235">
        <f>'Allocation ProForma'!P225+'Allocation ProForma'!P228</f>
        <v>13749.622294273642</v>
      </c>
      <c r="K28" s="297">
        <f t="shared" ref="K28:K33" si="7">SUM(E28:J28)</f>
        <v>37347255.706858255</v>
      </c>
      <c r="L28" s="209" t="str">
        <f>IF(ABS(K28-D28)&lt;0.01,"ok","err")</f>
        <v>ok</v>
      </c>
    </row>
    <row r="29" spans="1:12" x14ac:dyDescent="0.25">
      <c r="A29" s="210" t="s">
        <v>1236</v>
      </c>
      <c r="B29" s="207" t="s">
        <v>1094</v>
      </c>
      <c r="C29" s="208"/>
      <c r="D29" s="282">
        <f>'Allocation ProForma'!P713</f>
        <v>2212676.8668894335</v>
      </c>
      <c r="E29" s="235">
        <f>'Allocation ProForma'!P302</f>
        <v>1931536.1881111192</v>
      </c>
      <c r="F29" s="235">
        <v>0</v>
      </c>
      <c r="G29" s="235">
        <f>'Allocation ProForma'!P308</f>
        <v>269050.89266128337</v>
      </c>
      <c r="H29" s="235">
        <f>'Allocation ProForma'!P314+'Allocation ProForma'!P318+'Allocation ProForma'!P320+'Allocation ProForma'!P325</f>
        <v>0</v>
      </c>
      <c r="I29" s="235">
        <f>'Allocation ProForma'!P319+'Allocation ProForma'!P321+'Allocation ProForma'!P326+'Allocation ProForma'!P330+'Allocation ProForma'!P333</f>
        <v>12089.786117030786</v>
      </c>
      <c r="J29" s="235">
        <v>0</v>
      </c>
      <c r="K29" s="297">
        <f t="shared" si="7"/>
        <v>2212676.8668894335</v>
      </c>
      <c r="L29" s="209" t="str">
        <f>IF(ABS(K29-D29)&lt;0.01,"ok","err")</f>
        <v>ok</v>
      </c>
    </row>
    <row r="30" spans="1:12" x14ac:dyDescent="0.25">
      <c r="A30" s="210" t="s">
        <v>1237</v>
      </c>
      <c r="B30" s="207" t="s">
        <v>1238</v>
      </c>
      <c r="C30" s="208"/>
      <c r="D30" s="282">
        <f>'Allocation ProForma'!P714+'Allocation ProForma'!P715+'Allocation ProForma'!P718+'Allocation ProForma'!P719+'Allocation ProForma'!P720</f>
        <v>552510.9284028199</v>
      </c>
      <c r="E30" s="235">
        <f>'Allocation ProForma'!P417+'Allocation ProForma'!P474+'Allocation ProForma'!P359+'Allocation ProForma'!P531+'Allocation ProForma'!P589</f>
        <v>466904.57458573562</v>
      </c>
      <c r="F30" s="235">
        <f>'Allocation ProForma'!P356+'Allocation ProForma'!P357+'Allocation ProForma'!P358+'Allocation ProForma'!P414+'Allocation ProForma'!P415+'Allocation ProForma'!P416+'Allocation ProForma'!P471+'Allocation ProForma'!P472+'Allocation ProForma'!P473+'Allocation ProForma'!P528+'Allocation ProForma'!P529+'Allocation ProForma'!P530+'Allocation ProForma'!P586+'Allocation ProForma'!P587+'Allocation ProForma'!P588</f>
        <v>0</v>
      </c>
      <c r="G30" s="235">
        <f>'Allocation ProForma'!P365+'Allocation ProForma'!P423+'Allocation ProForma'!P480+'Allocation ProForma'!P537+'Allocation ProForma'!P595</f>
        <v>82781.378043508725</v>
      </c>
      <c r="H30" s="235">
        <f>'Allocation ProForma'!P371+'Allocation ProForma'!P375+'Allocation ProForma'!P377+'Allocation ProForma'!P382+'Allocation ProForma'!P429+'Allocation ProForma'!P433+'Allocation ProForma'!P435+'Allocation ProForma'!P440+'Allocation ProForma'!P486+'Allocation ProForma'!P490+'Allocation ProForma'!P492+'Allocation ProForma'!P497+'Allocation ProForma'!P543+'Allocation ProForma'!P547+'Allocation ProForma'!P549+'Allocation ProForma'!P554+'Allocation ProForma'!P601+'Allocation ProForma'!P605+'Allocation ProForma'!P607+'Allocation ProForma'!P612</f>
        <v>0</v>
      </c>
      <c r="I30" s="235">
        <f>'Allocation ProForma'!P376+'Allocation ProForma'!P378+'Allocation ProForma'!P383+'Allocation ProForma'!P387+'Allocation ProForma'!P391+'Allocation ProForma'!P434+'Allocation ProForma'!P436+'Allocation ProForma'!P441+'Allocation ProForma'!P445+'Allocation ProForma'!P448+'Allocation ProForma'!P491+'Allocation ProForma'!P493+'Allocation ProForma'!P498+'Allocation ProForma'!P502+'Allocation ProForma'!P505+'Allocation ProForma'!P548+'Allocation ProForma'!P550+'Allocation ProForma'!P555+'Allocation ProForma'!P559+'Allocation ProForma'!P562+'Allocation ProForma'!P606+'Allocation ProForma'!P608+'Allocation ProForma'!P613+'Allocation ProForma'!P617+'Allocation ProForma'!P620</f>
        <v>2824.9757735755911</v>
      </c>
      <c r="J30" s="235">
        <v>0</v>
      </c>
      <c r="K30" s="297">
        <f t="shared" si="7"/>
        <v>552510.9284028199</v>
      </c>
      <c r="L30" s="209" t="str">
        <f>IF(ABS(K30-D30)&lt;0.01,"ok","err")</f>
        <v>ok</v>
      </c>
    </row>
    <row r="31" spans="1:12" x14ac:dyDescent="0.25">
      <c r="A31" s="210" t="s">
        <v>1239</v>
      </c>
      <c r="B31" s="207" t="s">
        <v>1270</v>
      </c>
      <c r="C31" s="208"/>
      <c r="D31" s="282">
        <f>'Allocation ProForma'!P716+'Allocation ProForma'!P717</f>
        <v>0</v>
      </c>
      <c r="E31" s="235">
        <f t="shared" ref="E31:J31" si="8">$D$31*(E14/$K$14)</f>
        <v>0</v>
      </c>
      <c r="F31" s="235">
        <f t="shared" si="8"/>
        <v>0</v>
      </c>
      <c r="G31" s="235">
        <f t="shared" si="8"/>
        <v>0</v>
      </c>
      <c r="H31" s="235">
        <f t="shared" si="8"/>
        <v>0</v>
      </c>
      <c r="I31" s="235">
        <f t="shared" si="8"/>
        <v>0</v>
      </c>
      <c r="J31" s="235">
        <f t="shared" si="8"/>
        <v>0</v>
      </c>
      <c r="K31" s="297">
        <f t="shared" si="7"/>
        <v>0</v>
      </c>
      <c r="L31" s="209" t="str">
        <f>IF(ABS(K31-D31)&lt;0.01,"ok","err")</f>
        <v>ok</v>
      </c>
    </row>
    <row r="32" spans="1:12" x14ac:dyDescent="0.25">
      <c r="A32" s="210" t="s">
        <v>1241</v>
      </c>
      <c r="B32" s="215" t="s">
        <v>1240</v>
      </c>
      <c r="C32" s="208"/>
      <c r="D32" s="282">
        <f>'Allocation ProForma'!P723+'Allocation ProForma'!P722</f>
        <v>-3342564.4449389502</v>
      </c>
      <c r="E32" s="235">
        <f>D32</f>
        <v>-3342564.4449389502</v>
      </c>
      <c r="F32" s="235">
        <v>0</v>
      </c>
      <c r="G32" s="235">
        <v>0</v>
      </c>
      <c r="H32" s="235">
        <v>0</v>
      </c>
      <c r="I32" s="235">
        <v>0</v>
      </c>
      <c r="J32" s="235">
        <v>0</v>
      </c>
      <c r="K32" s="297">
        <f t="shared" si="7"/>
        <v>-3342564.4449389502</v>
      </c>
      <c r="L32" s="209" t="str">
        <f>IF(ABS(K32-D32)&lt;0.01,"ok","err")</f>
        <v>ok</v>
      </c>
    </row>
    <row r="33" spans="1:12" x14ac:dyDescent="0.25">
      <c r="A33" s="210" t="s">
        <v>1243</v>
      </c>
      <c r="B33" s="215" t="s">
        <v>1242</v>
      </c>
      <c r="C33" s="208"/>
      <c r="D33" s="282">
        <f>'Allocation ProForma'!P810</f>
        <v>2203.2192137653942</v>
      </c>
      <c r="E33" s="235">
        <f>D33</f>
        <v>2203.2192137653942</v>
      </c>
      <c r="F33" s="235">
        <v>0</v>
      </c>
      <c r="G33" s="235">
        <v>0</v>
      </c>
      <c r="H33" s="235">
        <v>0</v>
      </c>
      <c r="I33" s="235">
        <v>0</v>
      </c>
      <c r="J33" s="235">
        <v>0</v>
      </c>
      <c r="K33" s="297">
        <f t="shared" si="7"/>
        <v>2203.2192137653942</v>
      </c>
      <c r="L33" s="209" t="str">
        <f t="shared" ref="L33:L39" si="9">IF(ABS(K33-D33)&lt;0.01,"ok","err")</f>
        <v>ok</v>
      </c>
    </row>
    <row r="34" spans="1:12" x14ac:dyDescent="0.25">
      <c r="A34" s="210" t="s">
        <v>1245</v>
      </c>
      <c r="B34" s="215" t="s">
        <v>1244</v>
      </c>
      <c r="C34" s="208"/>
      <c r="D34" s="282">
        <f>'Allocation ProForma'!P797+'Allocation ProForma'!P800+'Allocation ProForma'!P801</f>
        <v>0</v>
      </c>
      <c r="E34" s="235">
        <v>0</v>
      </c>
      <c r="F34" s="235">
        <f>D34</f>
        <v>0</v>
      </c>
      <c r="G34" s="235">
        <v>0</v>
      </c>
      <c r="H34" s="235">
        <v>0</v>
      </c>
      <c r="I34" s="235">
        <v>0</v>
      </c>
      <c r="J34" s="235">
        <v>0</v>
      </c>
      <c r="K34" s="297">
        <f t="shared" ref="K34:K39" si="10">SUM(E34:J34)</f>
        <v>0</v>
      </c>
      <c r="L34" s="209" t="str">
        <f t="shared" si="9"/>
        <v>ok</v>
      </c>
    </row>
    <row r="35" spans="1:12" x14ac:dyDescent="0.25">
      <c r="A35" s="210" t="s">
        <v>1247</v>
      </c>
      <c r="B35" s="207" t="s">
        <v>1246</v>
      </c>
      <c r="C35" s="208"/>
      <c r="D35" s="282">
        <f>'Allocation ProForma'!P808+'Allocation ProForma'!P811</f>
        <v>0</v>
      </c>
      <c r="E35" s="235">
        <v>0</v>
      </c>
      <c r="F35" s="235">
        <v>0</v>
      </c>
      <c r="G35" s="235">
        <f>D35</f>
        <v>0</v>
      </c>
      <c r="H35" s="235">
        <v>0</v>
      </c>
      <c r="I35" s="235">
        <v>0</v>
      </c>
      <c r="J35" s="235">
        <v>0</v>
      </c>
      <c r="K35" s="297">
        <f t="shared" si="10"/>
        <v>0</v>
      </c>
      <c r="L35" s="209" t="str">
        <f t="shared" si="9"/>
        <v>ok</v>
      </c>
    </row>
    <row r="36" spans="1:12" x14ac:dyDescent="0.25">
      <c r="A36" s="210" t="s">
        <v>1249</v>
      </c>
      <c r="B36" s="207" t="s">
        <v>1248</v>
      </c>
      <c r="C36" s="208"/>
      <c r="D36" s="282">
        <f>'Allocation ProForma'!P802</f>
        <v>0</v>
      </c>
      <c r="E36" s="235">
        <v>0</v>
      </c>
      <c r="F36" s="235">
        <v>0</v>
      </c>
      <c r="G36" s="235">
        <v>0</v>
      </c>
      <c r="H36" s="235">
        <f>(H14/($I$14+$H$14)*$D$36)</f>
        <v>0</v>
      </c>
      <c r="I36" s="235">
        <f>(I14/($I$14+$H$14)*$D$36)</f>
        <v>0</v>
      </c>
      <c r="J36" s="235">
        <v>0</v>
      </c>
      <c r="K36" s="297">
        <f t="shared" si="10"/>
        <v>0</v>
      </c>
      <c r="L36" s="209" t="str">
        <f t="shared" si="9"/>
        <v>ok</v>
      </c>
    </row>
    <row r="37" spans="1:12" x14ac:dyDescent="0.25">
      <c r="A37" s="216" t="s">
        <v>1251</v>
      </c>
      <c r="B37" s="207" t="s">
        <v>1250</v>
      </c>
      <c r="C37" s="208"/>
      <c r="D37" s="282">
        <f>'Allocation ProForma'!P803+'Allocation ProForma'!P804+'Allocation ProForma'!P805+'Allocation ProForma'!P806+'Allocation ProForma'!P807+'Allocation ProForma'!P809+'Allocation ProForma'!P814+'Allocation ProForma'!P815+'Allocation ProForma'!P818+'Allocation ProForma'!P819+'Allocation ProForma'!P820+'Allocation ProForma'!P821+'Allocation ProForma'!P822+'Allocation ProForma'!P823+'Allocation ProForma'!P824+'Allocation ProForma'!P826+'Allocation ProForma'!P827+'Allocation ProForma'!P983+'Allocation ProForma'!P984</f>
        <v>96936.379348022412</v>
      </c>
      <c r="E37" s="235">
        <f t="shared" ref="E37:J37" si="11">(E14/($D$14)*$D$37)</f>
        <v>74753.199074474716</v>
      </c>
      <c r="F37" s="235">
        <f t="shared" si="11"/>
        <v>8062.8256404137474</v>
      </c>
      <c r="G37" s="235">
        <f t="shared" si="11"/>
        <v>13638.854648326336</v>
      </c>
      <c r="H37" s="235">
        <f t="shared" si="11"/>
        <v>0</v>
      </c>
      <c r="I37" s="235">
        <f t="shared" si="11"/>
        <v>478.25668438450424</v>
      </c>
      <c r="J37" s="235">
        <f t="shared" si="11"/>
        <v>3.2433004230976521</v>
      </c>
      <c r="K37" s="297">
        <f t="shared" si="10"/>
        <v>96936.379348022398</v>
      </c>
      <c r="L37" s="209" t="str">
        <f t="shared" si="9"/>
        <v>ok</v>
      </c>
    </row>
    <row r="38" spans="1:12" x14ac:dyDescent="0.25">
      <c r="A38" s="210"/>
      <c r="B38" s="207"/>
      <c r="D38" s="286"/>
      <c r="E38" s="235"/>
      <c r="F38" s="235"/>
      <c r="G38" s="235"/>
      <c r="H38" s="235"/>
      <c r="I38" s="235"/>
      <c r="J38" s="235"/>
      <c r="K38" s="297"/>
      <c r="L38" s="209"/>
    </row>
    <row r="39" spans="1:12" x14ac:dyDescent="0.25">
      <c r="A39" s="210" t="s">
        <v>1253</v>
      </c>
      <c r="B39" s="207" t="s">
        <v>1252</v>
      </c>
      <c r="C39" s="208"/>
      <c r="D39" s="286">
        <f>'Allocation ProForma'!P828+'Allocation ProForma'!P983+'Allocation ProForma'!P984</f>
        <v>99139.598561787803</v>
      </c>
      <c r="E39" s="235">
        <f>SUM(E33:E37)</f>
        <v>76956.418288240107</v>
      </c>
      <c r="F39" s="235">
        <f>SUM(F34:F37)</f>
        <v>8062.8256404137474</v>
      </c>
      <c r="G39" s="235">
        <f>SUM(G33:G37)</f>
        <v>13638.854648326336</v>
      </c>
      <c r="H39" s="235">
        <f>SUM(H33:H37)</f>
        <v>0</v>
      </c>
      <c r="I39" s="235">
        <f>SUM(I33:I37)</f>
        <v>478.25668438450424</v>
      </c>
      <c r="J39" s="235">
        <f>SUM(J33:J37)</f>
        <v>3.2433004230976521</v>
      </c>
      <c r="K39" s="297">
        <f t="shared" si="10"/>
        <v>99139.598561787789</v>
      </c>
      <c r="L39" s="209" t="str">
        <f t="shared" si="9"/>
        <v>ok</v>
      </c>
    </row>
    <row r="40" spans="1:12" x14ac:dyDescent="0.25">
      <c r="A40" s="214"/>
      <c r="B40" s="207"/>
      <c r="C40" s="212"/>
      <c r="D40" s="234"/>
      <c r="E40" s="238"/>
      <c r="F40" s="238"/>
      <c r="G40" s="238"/>
      <c r="H40" s="238"/>
      <c r="I40" s="238"/>
      <c r="J40" s="238"/>
      <c r="K40" s="277"/>
      <c r="L40" s="213"/>
    </row>
    <row r="41" spans="1:12" x14ac:dyDescent="0.25">
      <c r="A41" s="210" t="s">
        <v>1255</v>
      </c>
      <c r="B41" s="207" t="s">
        <v>1254</v>
      </c>
      <c r="C41" s="217">
        <f>'Allocation ProForma'!P975</f>
        <v>45662696.941607863</v>
      </c>
      <c r="D41" s="286">
        <f t="shared" ref="D41:I41" si="12">SUM(D28:D32)+D22+D26+D39+D24</f>
        <v>45662696.941607863</v>
      </c>
      <c r="E41" s="235">
        <f t="shared" si="12"/>
        <v>9011893.2999380138</v>
      </c>
      <c r="F41" s="235">
        <f t="shared" si="12"/>
        <v>34272610.313731648</v>
      </c>
      <c r="G41" s="235">
        <f t="shared" si="12"/>
        <v>2185615.6685332148</v>
      </c>
      <c r="H41" s="235">
        <f t="shared" si="12"/>
        <v>0</v>
      </c>
      <c r="I41" s="235">
        <f t="shared" si="12"/>
        <v>178530.57464617878</v>
      </c>
      <c r="J41" s="235">
        <f>SUM(J28:J32)+J22+J26+J39+J24</f>
        <v>14047.084758821251</v>
      </c>
      <c r="K41" s="297">
        <f>SUM(E41:J41)</f>
        <v>45662696.941607878</v>
      </c>
      <c r="L41" s="209" t="str">
        <f>IF(ABS(K41-D41)&lt;0.01,"ok","err")</f>
        <v>ok</v>
      </c>
    </row>
    <row r="42" spans="1:12" x14ac:dyDescent="0.25">
      <c r="A42" s="214"/>
      <c r="B42" s="207"/>
      <c r="C42" s="212"/>
      <c r="D42" s="287"/>
      <c r="E42" s="238"/>
      <c r="F42" s="238"/>
      <c r="G42" s="238"/>
      <c r="H42" s="238"/>
      <c r="I42" s="238"/>
      <c r="J42" s="238"/>
      <c r="K42" s="277"/>
      <c r="L42" s="213"/>
    </row>
    <row r="43" spans="1:12" x14ac:dyDescent="0.25">
      <c r="A43" s="210" t="s">
        <v>1256</v>
      </c>
      <c r="B43" s="207" t="s">
        <v>1257</v>
      </c>
      <c r="C43" s="208"/>
      <c r="D43" s="286">
        <f>-('Allocation ProForma'!P700+'Allocation ProForma'!P701+'Allocation ProForma'!P702)</f>
        <v>0</v>
      </c>
      <c r="E43" s="235">
        <v>0</v>
      </c>
      <c r="F43" s="235">
        <f>D43</f>
        <v>0</v>
      </c>
      <c r="G43" s="235">
        <v>0</v>
      </c>
      <c r="H43" s="235">
        <v>0</v>
      </c>
      <c r="I43" s="235">
        <v>0</v>
      </c>
      <c r="J43" s="235">
        <v>0</v>
      </c>
      <c r="K43" s="297">
        <f>SUM(E43:J43)</f>
        <v>0</v>
      </c>
      <c r="L43" s="209" t="str">
        <f>IF(ABS(K43-D43)&lt;0.01,"ok","err")</f>
        <v>ok</v>
      </c>
    </row>
    <row r="44" spans="1:12" x14ac:dyDescent="0.25">
      <c r="A44" s="210" t="s">
        <v>1258</v>
      </c>
      <c r="B44" s="207" t="s">
        <v>1259</v>
      </c>
      <c r="C44" s="208"/>
      <c r="D44" s="282">
        <f>-('Allocation ProForma'!P698+'Allocation ProForma'!P699+'Allocation ProForma'!P703+'Allocation ProForma'!P704+'Allocation ProForma'!P705+'Allocation ProForma'!P706)</f>
        <v>-909686.04330996482</v>
      </c>
      <c r="E44" s="235">
        <f>-('Allocation ProForma'!P698+'Allocation ProForma'!P699)-(E14/($D$14)*('Allocation ProForma'!P703+'Allocation ProForma'!P704+'Allocation ProForma'!P705+'Allocation ProForma'!P706))</f>
        <v>-860937.01780221332</v>
      </c>
      <c r="F44" s="235">
        <f>(F14/($D$14)*-('Allocation ProForma'!P703+'Allocation ProForma'!P704+'Allocation ProForma'!P705+'Allocation ProForma'!P706))</f>
        <v>-17718.599766228319</v>
      </c>
      <c r="G44" s="235">
        <f>(G14/($D$14)*-('Allocation ProForma'!P703+'Allocation ProForma'!P704+'Allocation ProForma'!P705+'Allocation ProForma'!P706))</f>
        <v>-29972.297251743134</v>
      </c>
      <c r="H44" s="235">
        <f>(H14/($D$14)*-('Allocation ProForma'!P703+'Allocation ProForma'!P704+'Allocation ProForma'!P705+'Allocation ProForma'!P706))</f>
        <v>0</v>
      </c>
      <c r="I44" s="235">
        <f>(I14/($D$14)*-('Allocation ProForma'!P703+'Allocation ProForma'!P704+'Allocation ProForma'!P705+'Allocation ProForma'!P706))</f>
        <v>-1051.0011197138524</v>
      </c>
      <c r="J44" s="235">
        <f>(J14/($D$14)*-('Allocation ProForma'!P703+'Allocation ProForma'!P704+'Allocation ProForma'!P705+'Allocation ProForma'!P706))</f>
        <v>-7.1273700662039037</v>
      </c>
      <c r="K44" s="297">
        <f>SUM(E44:J44)</f>
        <v>-909686.04330996494</v>
      </c>
      <c r="L44" s="209" t="str">
        <f>IF(ABS(K44-D44)&lt;0.01,"ok","err")</f>
        <v>ok</v>
      </c>
    </row>
    <row r="45" spans="1:12" x14ac:dyDescent="0.25">
      <c r="A45" s="210" t="s">
        <v>1260</v>
      </c>
      <c r="B45" s="207" t="s">
        <v>1261</v>
      </c>
      <c r="C45" s="208"/>
      <c r="D45" s="282">
        <f t="shared" ref="D45:J45" si="13">SUM(D43:D44)</f>
        <v>-909686.04330996482</v>
      </c>
      <c r="E45" s="235">
        <f t="shared" si="13"/>
        <v>-860937.01780221332</v>
      </c>
      <c r="F45" s="235">
        <f t="shared" si="13"/>
        <v>-17718.599766228319</v>
      </c>
      <c r="G45" s="235">
        <f t="shared" si="13"/>
        <v>-29972.297251743134</v>
      </c>
      <c r="H45" s="235">
        <f t="shared" si="13"/>
        <v>0</v>
      </c>
      <c r="I45" s="235">
        <f t="shared" si="13"/>
        <v>-1051.0011197138524</v>
      </c>
      <c r="J45" s="235">
        <f t="shared" si="13"/>
        <v>-7.1273700662039037</v>
      </c>
      <c r="K45" s="297">
        <f>SUM(E45:J45)</f>
        <v>-909686.04330996494</v>
      </c>
      <c r="L45" s="209" t="str">
        <f>IF(ABS(K45-D45)&lt;0.01,"ok","err")</f>
        <v>ok</v>
      </c>
    </row>
    <row r="46" spans="1:12" x14ac:dyDescent="0.25">
      <c r="A46" s="214"/>
      <c r="B46" s="207"/>
      <c r="D46" s="288"/>
      <c r="E46" s="238"/>
      <c r="F46" s="238"/>
      <c r="G46" s="238"/>
      <c r="H46" s="238"/>
      <c r="I46" s="238"/>
      <c r="J46" s="238"/>
      <c r="K46" s="277"/>
      <c r="L46" s="213"/>
    </row>
    <row r="47" spans="1:12" x14ac:dyDescent="0.25">
      <c r="A47" s="210" t="s">
        <v>1262</v>
      </c>
      <c r="B47" s="207" t="s">
        <v>1263</v>
      </c>
      <c r="C47" s="218">
        <f>'Allocation ProForma'!P975-SUM('Allocation ProForma'!P698:P706)</f>
        <v>44753010.898297898</v>
      </c>
      <c r="D47" s="286">
        <f t="shared" ref="D47:I47" si="14">D41+D45</f>
        <v>44753010.898297898</v>
      </c>
      <c r="E47" s="235">
        <f t="shared" si="14"/>
        <v>8150956.2821358005</v>
      </c>
      <c r="F47" s="235">
        <f t="shared" si="14"/>
        <v>34254891.713965423</v>
      </c>
      <c r="G47" s="235">
        <f t="shared" si="14"/>
        <v>2155643.3712814716</v>
      </c>
      <c r="H47" s="235">
        <f t="shared" si="14"/>
        <v>0</v>
      </c>
      <c r="I47" s="235">
        <f t="shared" si="14"/>
        <v>177479.57352646493</v>
      </c>
      <c r="J47" s="235">
        <f>J41+J45</f>
        <v>14039.957388755047</v>
      </c>
      <c r="K47" s="297">
        <f>SUM(E47:J47)</f>
        <v>44753010.898297921</v>
      </c>
      <c r="L47" s="209" t="str">
        <f>IF(ABS(K47-D47)&lt;0.01,"ok","err")</f>
        <v>ok</v>
      </c>
    </row>
    <row r="48" spans="1:12" x14ac:dyDescent="0.25">
      <c r="A48" s="214"/>
      <c r="B48" s="207"/>
      <c r="C48" s="212"/>
      <c r="D48" s="289"/>
      <c r="E48" s="238"/>
      <c r="F48" s="238"/>
      <c r="G48" s="238"/>
      <c r="H48" s="238"/>
      <c r="I48" s="238"/>
      <c r="J48" s="238"/>
      <c r="K48" s="277"/>
      <c r="L48" s="213"/>
    </row>
    <row r="49" spans="1:12" ht="14.4" x14ac:dyDescent="0.3">
      <c r="A49" s="210" t="s">
        <v>1264</v>
      </c>
      <c r="B49" s="207" t="s">
        <v>1265</v>
      </c>
      <c r="C49" s="208"/>
      <c r="D49" s="290"/>
      <c r="E49" s="344">
        <f>'[9]Sch M-2.3 pgs 3-19'!$D$405</f>
        <v>1917694</v>
      </c>
      <c r="F49" s="291">
        <f>'Allocation ProForma'!P1013</f>
        <v>876840985</v>
      </c>
      <c r="G49" s="291">
        <f>E49</f>
        <v>1917694</v>
      </c>
      <c r="H49" s="291">
        <f>G49</f>
        <v>1917694</v>
      </c>
      <c r="I49" s="291">
        <f>'Allocation ProForma'!$P$1029*12</f>
        <v>144</v>
      </c>
      <c r="J49" s="291">
        <f>'Allocation ProForma'!$P$1029*12</f>
        <v>144</v>
      </c>
      <c r="K49" s="277"/>
      <c r="L49" s="213"/>
    </row>
    <row r="50" spans="1:12" ht="14.4" thickBot="1" x14ac:dyDescent="0.3">
      <c r="A50" s="214"/>
      <c r="B50" s="207"/>
      <c r="C50" s="212"/>
      <c r="D50" s="288"/>
      <c r="E50" s="238"/>
      <c r="F50" s="238"/>
      <c r="G50" s="238"/>
      <c r="H50" s="238"/>
      <c r="I50" s="238"/>
      <c r="J50" s="238"/>
      <c r="K50" s="277"/>
      <c r="L50" s="213"/>
    </row>
    <row r="51" spans="1:12" ht="14.4" thickBot="1" x14ac:dyDescent="0.3">
      <c r="A51" s="219" t="s">
        <v>1266</v>
      </c>
      <c r="B51" s="220" t="s">
        <v>1267</v>
      </c>
      <c r="C51" s="221"/>
      <c r="D51" s="292"/>
      <c r="E51" s="293">
        <f t="shared" ref="E51:J51" si="15">E47/E49</f>
        <v>4.2503946313310674</v>
      </c>
      <c r="F51" s="293">
        <f t="shared" si="15"/>
        <v>3.9066252946610862E-2</v>
      </c>
      <c r="G51" s="293">
        <f t="shared" si="15"/>
        <v>1.1240809906489104</v>
      </c>
      <c r="H51" s="293">
        <f t="shared" si="15"/>
        <v>0</v>
      </c>
      <c r="I51" s="294">
        <f t="shared" si="15"/>
        <v>1232.4970383782286</v>
      </c>
      <c r="J51" s="294">
        <f t="shared" si="15"/>
        <v>97.499704088576721</v>
      </c>
      <c r="K51" s="275">
        <f>I51+J51</f>
        <v>1329.9967424668052</v>
      </c>
      <c r="L51" s="222"/>
    </row>
    <row r="53" spans="1:12" x14ac:dyDescent="0.25">
      <c r="D53" s="269"/>
      <c r="E53" s="345"/>
      <c r="J53" s="223" t="s">
        <v>1268</v>
      </c>
      <c r="K53" s="224">
        <f>I51+J51</f>
        <v>1329.9967424668052</v>
      </c>
    </row>
    <row r="54" spans="1:12" x14ac:dyDescent="0.25">
      <c r="I54" s="20"/>
      <c r="J54" s="223" t="s">
        <v>1269</v>
      </c>
      <c r="K54" s="9">
        <f>F51</f>
        <v>3.9066252946610862E-2</v>
      </c>
    </row>
    <row r="55" spans="1:12" x14ac:dyDescent="0.25">
      <c r="J55" t="s">
        <v>1351</v>
      </c>
      <c r="K55" s="366">
        <f>E51+G51+H51</f>
        <v>5.3744756219799781</v>
      </c>
    </row>
    <row r="56" spans="1:12" x14ac:dyDescent="0.25">
      <c r="I56" s="8"/>
      <c r="J56" s="238"/>
      <c r="K56" s="340"/>
    </row>
    <row r="57" spans="1:12" x14ac:dyDescent="0.25">
      <c r="J57" s="238"/>
      <c r="K57" s="341"/>
    </row>
    <row r="58" spans="1:12" x14ac:dyDescent="0.25">
      <c r="J58" s="21"/>
      <c r="K58" s="342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zoomScale="75" zoomScaleNormal="75" workbookViewId="0"/>
  </sheetViews>
  <sheetFormatPr defaultColWidth="9.109375" defaultRowHeight="13.8" x14ac:dyDescent="0.25"/>
  <cols>
    <col min="1" max="1" width="9.109375" style="92"/>
    <col min="2" max="2" width="56.5546875" style="92" customWidth="1"/>
    <col min="3" max="3" width="13.109375" bestFit="1" customWidth="1"/>
    <col min="4" max="4" width="13.6640625" style="92" bestFit="1" customWidth="1"/>
    <col min="5" max="5" width="16.109375" style="92" bestFit="1" customWidth="1"/>
    <col min="6" max="6" width="14.88671875" style="92" customWidth="1"/>
    <col min="7" max="11" width="9.109375" style="92"/>
    <col min="12" max="12" width="17.33203125" style="92" customWidth="1"/>
    <col min="13" max="13" width="13" style="92" customWidth="1"/>
    <col min="14" max="16384" width="9.109375" style="92"/>
  </cols>
  <sheetData>
    <row r="1" spans="1:20" x14ac:dyDescent="0.25">
      <c r="A1" s="91" t="s">
        <v>623</v>
      </c>
    </row>
    <row r="2" spans="1:20" x14ac:dyDescent="0.25">
      <c r="A2" s="92" t="s">
        <v>714</v>
      </c>
    </row>
    <row r="6" spans="1:20" ht="13.2" x14ac:dyDescent="0.25">
      <c r="C6" s="93" t="s">
        <v>146</v>
      </c>
      <c r="D6" s="93" t="s">
        <v>1361</v>
      </c>
      <c r="E6" s="105" t="s">
        <v>944</v>
      </c>
      <c r="F6" s="91"/>
    </row>
    <row r="7" spans="1:20" ht="13.2" x14ac:dyDescent="0.25">
      <c r="C7" s="106" t="s">
        <v>1329</v>
      </c>
      <c r="D7" s="106" t="s">
        <v>881</v>
      </c>
      <c r="E7" s="105" t="s">
        <v>146</v>
      </c>
      <c r="F7" s="105" t="s">
        <v>946</v>
      </c>
    </row>
    <row r="8" spans="1:20" thickBot="1" x14ac:dyDescent="0.3">
      <c r="C8" s="97" t="s">
        <v>147</v>
      </c>
      <c r="D8" s="97" t="s">
        <v>145</v>
      </c>
      <c r="E8" s="107" t="s">
        <v>147</v>
      </c>
      <c r="F8" s="107" t="s">
        <v>705</v>
      </c>
    </row>
    <row r="9" spans="1:20" x14ac:dyDescent="0.25">
      <c r="D9" s="90"/>
      <c r="F9" s="98"/>
    </row>
    <row r="10" spans="1:20" x14ac:dyDescent="0.25">
      <c r="A10" s="32" t="s">
        <v>1309</v>
      </c>
      <c r="C10" s="256">
        <v>63.61</v>
      </c>
      <c r="D10" s="108">
        <f>'Billing Det'!B8</f>
        <v>361519.08333333331</v>
      </c>
      <c r="E10" s="100">
        <f>C10*D10</f>
        <v>22996228.890833333</v>
      </c>
      <c r="F10" s="99">
        <f>E10/$E$38</f>
        <v>0.6850404869853528</v>
      </c>
    </row>
    <row r="11" spans="1:20" x14ac:dyDescent="0.25">
      <c r="C11" s="257"/>
      <c r="D11" s="108"/>
      <c r="E11" s="100"/>
      <c r="F11" s="99"/>
      <c r="O11" s="91"/>
      <c r="P11" s="91"/>
      <c r="Q11" s="91"/>
      <c r="R11" s="91"/>
      <c r="S11" s="91"/>
      <c r="T11" s="91"/>
    </row>
    <row r="12" spans="1:20" x14ac:dyDescent="0.25">
      <c r="A12" s="188" t="s">
        <v>1359</v>
      </c>
      <c r="C12" s="256">
        <v>104.5</v>
      </c>
      <c r="D12" s="108">
        <f>'Billing Det'!B10</f>
        <v>28214.833333333332</v>
      </c>
      <c r="E12" s="100">
        <f>C12*D12</f>
        <v>2948450.083333333</v>
      </c>
      <c r="F12" s="99">
        <f>E12/$E$38</f>
        <v>8.7832126325016635E-2</v>
      </c>
      <c r="O12" s="91"/>
      <c r="P12" s="91"/>
      <c r="Q12" s="91"/>
      <c r="R12" s="91"/>
      <c r="S12" s="91"/>
      <c r="T12" s="91"/>
    </row>
    <row r="13" spans="1:20" x14ac:dyDescent="0.25">
      <c r="C13" s="257"/>
      <c r="D13" s="108"/>
      <c r="E13" s="100"/>
      <c r="F13" s="99"/>
      <c r="G13" s="91"/>
      <c r="H13" s="91"/>
      <c r="I13" s="91"/>
      <c r="J13" s="91"/>
    </row>
    <row r="14" spans="1:20" x14ac:dyDescent="0.25">
      <c r="A14" s="226" t="s">
        <v>1358</v>
      </c>
      <c r="C14" s="256">
        <v>279.44</v>
      </c>
      <c r="D14" s="108">
        <f>'Billing Det'!B12</f>
        <v>16382.666666666666</v>
      </c>
      <c r="E14" s="100">
        <f>C14*D14</f>
        <v>4577972.3733333331</v>
      </c>
      <c r="F14" s="99">
        <f>E14/$E$38</f>
        <v>0.13637437855229631</v>
      </c>
    </row>
    <row r="15" spans="1:20" x14ac:dyDescent="0.25">
      <c r="C15" s="257"/>
      <c r="D15" s="108"/>
      <c r="E15" s="100"/>
      <c r="F15" s="99"/>
    </row>
    <row r="16" spans="1:20" x14ac:dyDescent="0.25">
      <c r="A16" s="226" t="s">
        <v>1203</v>
      </c>
      <c r="C16" s="256">
        <v>3742.04</v>
      </c>
      <c r="D16" s="108">
        <f>'Billing Det'!B14</f>
        <v>73</v>
      </c>
      <c r="E16" s="100">
        <f>C16*D16</f>
        <v>273168.92</v>
      </c>
      <c r="F16" s="99">
        <f>E16/$E$38</f>
        <v>8.1374981469529827E-3</v>
      </c>
    </row>
    <row r="17" spans="1:6" x14ac:dyDescent="0.25">
      <c r="C17" s="257"/>
      <c r="D17" s="108"/>
      <c r="E17" s="100"/>
      <c r="F17" s="99"/>
    </row>
    <row r="18" spans="1:6" x14ac:dyDescent="0.25">
      <c r="A18" s="226" t="s">
        <v>1204</v>
      </c>
      <c r="C18" s="256">
        <v>633.70000000000005</v>
      </c>
      <c r="D18" s="108">
        <f>'Billing Det'!B16</f>
        <v>2795.5</v>
      </c>
      <c r="E18" s="100">
        <f>C18*D18</f>
        <v>1771508.35</v>
      </c>
      <c r="F18" s="99">
        <f>E18/$E$38</f>
        <v>5.2771910931290196E-2</v>
      </c>
    </row>
    <row r="19" spans="1:6" x14ac:dyDescent="0.25">
      <c r="C19" s="257"/>
      <c r="D19" s="108"/>
      <c r="E19" s="100"/>
      <c r="F19" s="99"/>
    </row>
    <row r="20" spans="1:6" x14ac:dyDescent="0.25">
      <c r="A20" s="226" t="s">
        <v>1205</v>
      </c>
      <c r="C20" s="256">
        <v>3578.15</v>
      </c>
      <c r="D20" s="108">
        <f>'Billing Det'!B18</f>
        <v>39.5</v>
      </c>
      <c r="E20" s="100">
        <f>C20*D20</f>
        <v>141336.92500000002</v>
      </c>
      <c r="F20" s="99">
        <f>E20/$E$38</f>
        <v>4.210321457080596E-3</v>
      </c>
    </row>
    <row r="21" spans="1:6" x14ac:dyDescent="0.25">
      <c r="C21" s="256"/>
      <c r="D21" s="108"/>
      <c r="E21" s="100"/>
      <c r="F21" s="99"/>
    </row>
    <row r="22" spans="1:6" x14ac:dyDescent="0.25">
      <c r="A22" s="226" t="s">
        <v>1360</v>
      </c>
      <c r="C22" s="256">
        <f>C20</f>
        <v>3578.15</v>
      </c>
      <c r="D22" s="108">
        <f>'Billing Det'!B20</f>
        <v>70.166666666666671</v>
      </c>
      <c r="E22" s="100">
        <f>C22*D22</f>
        <v>251066.85833333337</v>
      </c>
      <c r="F22" s="99">
        <f>E22/$E$38</f>
        <v>7.4790942338857852E-3</v>
      </c>
    </row>
    <row r="23" spans="1:6" x14ac:dyDescent="0.25">
      <c r="C23" s="257"/>
      <c r="D23" s="108"/>
      <c r="E23" s="100"/>
      <c r="F23" s="99"/>
    </row>
    <row r="24" spans="1:6" x14ac:dyDescent="0.25">
      <c r="A24" s="226" t="s">
        <v>1362</v>
      </c>
      <c r="C24" s="256">
        <v>695.93</v>
      </c>
      <c r="D24" s="108">
        <f>'Billing Det'!B22</f>
        <v>319.16666666666669</v>
      </c>
      <c r="E24" s="100">
        <f>C24*D24</f>
        <v>222117.65833333333</v>
      </c>
      <c r="F24" s="99">
        <f>E24/$E$38</f>
        <v>6.6167191827424428E-3</v>
      </c>
    </row>
    <row r="25" spans="1:6" x14ac:dyDescent="0.25">
      <c r="C25" s="257"/>
      <c r="D25" s="108"/>
      <c r="E25" s="100"/>
      <c r="F25" s="99"/>
    </row>
    <row r="26" spans="1:6" x14ac:dyDescent="0.25">
      <c r="A26" s="226" t="s">
        <v>1206</v>
      </c>
      <c r="C26" s="256">
        <v>25756.52</v>
      </c>
      <c r="D26" s="260">
        <f>'Billing Det'!B24</f>
        <v>12</v>
      </c>
      <c r="E26" s="100">
        <f>C26*D26</f>
        <v>309078.24</v>
      </c>
      <c r="F26" s="99">
        <f>E26/$E$38</f>
        <v>9.207209975657148E-3</v>
      </c>
    </row>
    <row r="27" spans="1:6" x14ac:dyDescent="0.25">
      <c r="C27" s="257"/>
      <c r="D27" s="108"/>
      <c r="E27" s="100"/>
      <c r="F27" s="99"/>
    </row>
    <row r="28" spans="1:6" x14ac:dyDescent="0.25">
      <c r="A28" s="226" t="s">
        <v>1391</v>
      </c>
      <c r="C28" s="256">
        <f>C22</f>
        <v>3578.15</v>
      </c>
      <c r="D28" s="108">
        <f>'Billing Det'!B26</f>
        <v>1</v>
      </c>
      <c r="E28" s="100">
        <f>C28*D28</f>
        <v>3578.15</v>
      </c>
      <c r="F28" s="99">
        <f>E28/$E$38</f>
        <v>1.0659041663495179E-4</v>
      </c>
    </row>
    <row r="29" spans="1:6" x14ac:dyDescent="0.25">
      <c r="C29" s="257"/>
      <c r="D29" s="108"/>
      <c r="E29" s="100"/>
      <c r="F29" s="99"/>
    </row>
    <row r="30" spans="1:6" x14ac:dyDescent="0.25">
      <c r="A30" s="226" t="s">
        <v>1394</v>
      </c>
      <c r="C30" s="256">
        <f>C28</f>
        <v>3578.15</v>
      </c>
      <c r="D30" s="108">
        <f>'Billing Det'!B28</f>
        <v>2</v>
      </c>
      <c r="E30" s="100">
        <f>C30*D30</f>
        <v>7156.3</v>
      </c>
      <c r="F30" s="99">
        <f>E30/$E$38</f>
        <v>2.1318083326990359E-4</v>
      </c>
    </row>
    <row r="31" spans="1:6" x14ac:dyDescent="0.25">
      <c r="C31" s="257"/>
      <c r="D31" s="108"/>
      <c r="E31" s="100"/>
      <c r="F31" s="99"/>
    </row>
    <row r="32" spans="1:6" x14ac:dyDescent="0.25">
      <c r="A32" s="188" t="s">
        <v>1323</v>
      </c>
      <c r="C32" s="256">
        <v>0</v>
      </c>
      <c r="D32" s="108">
        <f>'Billing Det'!B30</f>
        <v>95994.583333333328</v>
      </c>
      <c r="E32" s="100">
        <f>C32*D32</f>
        <v>0</v>
      </c>
      <c r="F32" s="99">
        <f>E32/$E$38</f>
        <v>0</v>
      </c>
    </row>
    <row r="33" spans="1:13" x14ac:dyDescent="0.25">
      <c r="C33" s="257"/>
      <c r="D33" s="108"/>
      <c r="E33" s="100"/>
      <c r="F33" s="99"/>
    </row>
    <row r="34" spans="1:13" x14ac:dyDescent="0.25">
      <c r="A34" s="226" t="s">
        <v>1207</v>
      </c>
      <c r="C34" s="256">
        <f>C10</f>
        <v>63.61</v>
      </c>
      <c r="D34" s="108">
        <f>'Billing Det'!B32</f>
        <v>156</v>
      </c>
      <c r="E34" s="100">
        <f>C34*D34</f>
        <v>9923.16</v>
      </c>
      <c r="F34" s="99">
        <f>E34/$E$38</f>
        <v>2.9560352660880292E-4</v>
      </c>
    </row>
    <row r="35" spans="1:13" x14ac:dyDescent="0.25">
      <c r="C35" s="256"/>
      <c r="D35" s="108"/>
      <c r="E35" s="100"/>
      <c r="F35" s="99"/>
    </row>
    <row r="36" spans="1:13" x14ac:dyDescent="0.25">
      <c r="A36" s="188" t="s">
        <v>642</v>
      </c>
      <c r="C36" s="256">
        <f>C10</f>
        <v>63.61</v>
      </c>
      <c r="D36" s="108">
        <f>'Billing Det'!B34</f>
        <v>905</v>
      </c>
      <c r="E36" s="100">
        <f>C36*D36</f>
        <v>57567.05</v>
      </c>
      <c r="F36" s="99">
        <f>E36/$E$38</f>
        <v>1.7148794332113248E-3</v>
      </c>
    </row>
    <row r="37" spans="1:13" ht="13.2" x14ac:dyDescent="0.25">
      <c r="A37" s="101"/>
      <c r="B37" s="102"/>
      <c r="C37" s="102"/>
      <c r="D37" s="109"/>
      <c r="E37" s="103"/>
      <c r="F37" s="104"/>
    </row>
    <row r="38" spans="1:13" ht="13.2" x14ac:dyDescent="0.25">
      <c r="C38" s="92"/>
      <c r="D38" s="108">
        <f>SUM(D10:D37)</f>
        <v>506484.5</v>
      </c>
      <c r="E38" s="96">
        <f>SUM(E10:E37)</f>
        <v>33569152.959166668</v>
      </c>
      <c r="F38" s="99">
        <f>SUM(F10:F37)</f>
        <v>0.99999999999999989</v>
      </c>
    </row>
    <row r="39" spans="1:13" ht="13.2" x14ac:dyDescent="0.25">
      <c r="C39" s="92"/>
      <c r="L39" s="90"/>
      <c r="M39" s="90"/>
    </row>
    <row r="40" spans="1:13" ht="13.2" x14ac:dyDescent="0.25">
      <c r="C40" s="92"/>
      <c r="L40" s="90"/>
      <c r="M40" s="90"/>
    </row>
    <row r="41" spans="1:13" ht="13.2" x14ac:dyDescent="0.25">
      <c r="B41" s="92" t="s">
        <v>634</v>
      </c>
      <c r="C41" s="92"/>
      <c r="E41" s="96">
        <f>'Functional Assignment'!F41</f>
        <v>42272276.049999997</v>
      </c>
    </row>
    <row r="42" spans="1:13" ht="13.2" x14ac:dyDescent="0.25">
      <c r="C42" s="92"/>
    </row>
    <row r="43" spans="1:13" ht="13.2" x14ac:dyDescent="0.25">
      <c r="C43" s="92"/>
    </row>
    <row r="44" spans="1:13" ht="13.2" x14ac:dyDescent="0.25">
      <c r="C44" s="92"/>
    </row>
    <row r="45" spans="1:13" ht="13.2" x14ac:dyDescent="0.25">
      <c r="C45" s="92"/>
    </row>
    <row r="46" spans="1:13" ht="13.2" x14ac:dyDescent="0.25">
      <c r="C46" s="92"/>
    </row>
    <row r="47" spans="1:13" ht="13.2" x14ac:dyDescent="0.25">
      <c r="C47" s="92"/>
      <c r="E47" s="110"/>
    </row>
    <row r="48" spans="1:13" ht="13.2" x14ac:dyDescent="0.25">
      <c r="C48" s="92"/>
    </row>
    <row r="49" spans="3:3" ht="13.2" x14ac:dyDescent="0.25">
      <c r="C49" s="92"/>
    </row>
    <row r="50" spans="3:3" ht="13.2" x14ac:dyDescent="0.25">
      <c r="C50" s="92"/>
    </row>
    <row r="51" spans="3:3" ht="13.2" x14ac:dyDescent="0.25">
      <c r="C51" s="92"/>
    </row>
    <row r="52" spans="3:3" ht="13.2" x14ac:dyDescent="0.25">
      <c r="C52" s="92"/>
    </row>
    <row r="53" spans="3:3" ht="13.2" x14ac:dyDescent="0.25">
      <c r="C53" s="92"/>
    </row>
    <row r="54" spans="3:3" ht="13.2" x14ac:dyDescent="0.25">
      <c r="C54" s="92"/>
    </row>
    <row r="55" spans="3:3" ht="13.2" x14ac:dyDescent="0.25">
      <c r="C55" s="92"/>
    </row>
    <row r="56" spans="3:3" ht="13.2" x14ac:dyDescent="0.25">
      <c r="C56" s="92"/>
    </row>
    <row r="60" spans="3:3" ht="13.2" x14ac:dyDescent="0.25">
      <c r="C60" s="92"/>
    </row>
    <row r="61" spans="3:3" ht="13.2" x14ac:dyDescent="0.25">
      <c r="C61" s="92"/>
    </row>
    <row r="62" spans="3:3" ht="13.2" x14ac:dyDescent="0.25">
      <c r="C62" s="92"/>
    </row>
  </sheetData>
  <phoneticPr fontId="0" type="noConversion"/>
  <pageMargins left="0.75" right="0.75" top="1" bottom="1" header="0.5" footer="0.5"/>
  <pageSetup scale="73" orientation="portrait" horizontalDpi="200" verticalDpi="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zoomScale="75" workbookViewId="0"/>
  </sheetViews>
  <sheetFormatPr defaultColWidth="9.109375" defaultRowHeight="13.8" x14ac:dyDescent="0.25"/>
  <cols>
    <col min="1" max="1" width="9.109375" style="92"/>
    <col min="2" max="2" width="56.5546875" style="92" customWidth="1"/>
    <col min="3" max="3" width="12" bestFit="1" customWidth="1"/>
    <col min="4" max="4" width="13.6640625" style="92" bestFit="1" customWidth="1"/>
    <col min="5" max="5" width="16.109375" style="92" bestFit="1" customWidth="1"/>
    <col min="6" max="6" width="14.88671875" style="92" customWidth="1"/>
    <col min="7" max="11" width="9.109375" style="92"/>
    <col min="12" max="12" width="17.33203125" style="92" customWidth="1"/>
    <col min="13" max="13" width="13" style="92" customWidth="1"/>
    <col min="14" max="16384" width="9.109375" style="92"/>
  </cols>
  <sheetData>
    <row r="1" spans="1:20" x14ac:dyDescent="0.25">
      <c r="A1" s="91" t="s">
        <v>623</v>
      </c>
    </row>
    <row r="2" spans="1:20" x14ac:dyDescent="0.25">
      <c r="A2" s="92" t="s">
        <v>716</v>
      </c>
    </row>
    <row r="6" spans="1:20" ht="13.2" x14ac:dyDescent="0.25">
      <c r="C6" s="93" t="s">
        <v>182</v>
      </c>
      <c r="D6" s="93" t="s">
        <v>1361</v>
      </c>
      <c r="E6" s="105" t="s">
        <v>944</v>
      </c>
      <c r="F6" s="91"/>
    </row>
    <row r="7" spans="1:20" ht="13.2" x14ac:dyDescent="0.25">
      <c r="C7" s="106" t="s">
        <v>1329</v>
      </c>
      <c r="D7" s="106" t="s">
        <v>881</v>
      </c>
      <c r="E7" s="105" t="s">
        <v>182</v>
      </c>
      <c r="F7" s="105" t="s">
        <v>1108</v>
      </c>
    </row>
    <row r="8" spans="1:20" thickBot="1" x14ac:dyDescent="0.3">
      <c r="C8" s="97" t="s">
        <v>147</v>
      </c>
      <c r="D8" s="97" t="s">
        <v>145</v>
      </c>
      <c r="E8" s="107" t="s">
        <v>147</v>
      </c>
      <c r="F8" s="107" t="s">
        <v>705</v>
      </c>
    </row>
    <row r="9" spans="1:20" x14ac:dyDescent="0.25">
      <c r="D9" s="90"/>
      <c r="F9" s="98"/>
    </row>
    <row r="10" spans="1:20" x14ac:dyDescent="0.25">
      <c r="A10" s="32" t="s">
        <v>1309</v>
      </c>
      <c r="C10" s="256">
        <v>337.48</v>
      </c>
      <c r="D10" s="108">
        <f>'Billing Det'!B8</f>
        <v>361519.08333333331</v>
      </c>
      <c r="E10" s="100">
        <f>C10*D10</f>
        <v>122005460.24333334</v>
      </c>
      <c r="F10" s="99">
        <f>E10/$E$38</f>
        <v>0.80732432693026612</v>
      </c>
    </row>
    <row r="11" spans="1:20" x14ac:dyDescent="0.25">
      <c r="C11" s="257"/>
      <c r="D11" s="108"/>
      <c r="E11" s="100"/>
      <c r="F11" s="99"/>
      <c r="O11" s="91"/>
      <c r="P11" s="91"/>
      <c r="Q11" s="91"/>
      <c r="R11" s="91"/>
      <c r="S11" s="91"/>
      <c r="T11" s="91"/>
    </row>
    <row r="12" spans="1:20" x14ac:dyDescent="0.25">
      <c r="A12" s="188" t="s">
        <v>1359</v>
      </c>
      <c r="C12" s="256">
        <v>335.98</v>
      </c>
      <c r="D12" s="108">
        <f>'Billing Det'!B10</f>
        <v>28214.833333333332</v>
      </c>
      <c r="E12" s="100">
        <f>C12*D12</f>
        <v>9479619.7033333331</v>
      </c>
      <c r="F12" s="99">
        <f>E12/$E$38</f>
        <v>6.2727746621214497E-2</v>
      </c>
      <c r="O12" s="91"/>
      <c r="P12" s="91"/>
      <c r="Q12" s="91"/>
      <c r="R12" s="91"/>
      <c r="S12" s="91"/>
      <c r="T12" s="91"/>
    </row>
    <row r="13" spans="1:20" x14ac:dyDescent="0.25">
      <c r="C13" s="257"/>
      <c r="D13" s="108"/>
      <c r="E13" s="100"/>
      <c r="F13" s="99"/>
      <c r="G13" s="91"/>
      <c r="H13" s="91"/>
      <c r="I13" s="91"/>
      <c r="J13" s="91"/>
    </row>
    <row r="14" spans="1:20" x14ac:dyDescent="0.25">
      <c r="A14" s="226" t="s">
        <v>1358</v>
      </c>
      <c r="C14" s="256">
        <v>1011.53</v>
      </c>
      <c r="D14" s="108">
        <f>'Billing Det'!B12</f>
        <v>16382.666666666666</v>
      </c>
      <c r="E14" s="100">
        <f>C14*D14</f>
        <v>16571558.813333333</v>
      </c>
      <c r="F14" s="99">
        <f>E14/$E$38</f>
        <v>0.10965593292690923</v>
      </c>
    </row>
    <row r="15" spans="1:20" x14ac:dyDescent="0.25">
      <c r="C15" s="257"/>
      <c r="D15" s="108"/>
      <c r="E15" s="100"/>
      <c r="F15" s="99"/>
    </row>
    <row r="16" spans="1:20" x14ac:dyDescent="0.25">
      <c r="A16" s="226" t="s">
        <v>1203</v>
      </c>
      <c r="C16" s="256">
        <v>0</v>
      </c>
      <c r="D16" s="108">
        <f>'Billing Det'!B14</f>
        <v>73</v>
      </c>
      <c r="E16" s="100">
        <f>C16*D16</f>
        <v>0</v>
      </c>
      <c r="F16" s="99">
        <f>E16/$E$38</f>
        <v>0</v>
      </c>
    </row>
    <row r="17" spans="1:6" x14ac:dyDescent="0.25">
      <c r="C17" s="257"/>
      <c r="D17" s="108"/>
      <c r="E17" s="100"/>
      <c r="F17" s="99"/>
    </row>
    <row r="18" spans="1:6" x14ac:dyDescent="0.25">
      <c r="A18" s="226" t="s">
        <v>1204</v>
      </c>
      <c r="C18" s="256">
        <v>932.34</v>
      </c>
      <c r="D18" s="108">
        <f>'Billing Det'!B16</f>
        <v>2795.5</v>
      </c>
      <c r="E18" s="100">
        <f>C18*D18</f>
        <v>2606356.4700000002</v>
      </c>
      <c r="F18" s="99">
        <f>E18/$E$38</f>
        <v>1.724656403644911E-2</v>
      </c>
    </row>
    <row r="19" spans="1:6" x14ac:dyDescent="0.25">
      <c r="C19" s="257"/>
      <c r="D19" s="108"/>
      <c r="E19" s="100"/>
      <c r="F19" s="99"/>
    </row>
    <row r="20" spans="1:6" x14ac:dyDescent="0.25">
      <c r="A20" s="226" t="s">
        <v>1205</v>
      </c>
      <c r="C20" s="256">
        <v>0</v>
      </c>
      <c r="D20" s="108">
        <f>'Billing Det'!B18</f>
        <v>39.5</v>
      </c>
      <c r="E20" s="100">
        <f>C20*D20</f>
        <v>0</v>
      </c>
      <c r="F20" s="99">
        <f>E20/$E$38</f>
        <v>0</v>
      </c>
    </row>
    <row r="21" spans="1:6" x14ac:dyDescent="0.25">
      <c r="C21" s="256"/>
      <c r="D21" s="108"/>
      <c r="E21" s="100"/>
      <c r="F21" s="99"/>
    </row>
    <row r="22" spans="1:6" x14ac:dyDescent="0.25">
      <c r="A22" s="226" t="s">
        <v>1360</v>
      </c>
      <c r="C22" s="256">
        <v>0</v>
      </c>
      <c r="D22" s="108">
        <f>'Billing Det'!B20</f>
        <v>70.166666666666671</v>
      </c>
      <c r="E22" s="100">
        <f>C22*D22</f>
        <v>0</v>
      </c>
      <c r="F22" s="99">
        <f>E22/$E$38</f>
        <v>0</v>
      </c>
    </row>
    <row r="23" spans="1:6" x14ac:dyDescent="0.25">
      <c r="C23" s="257"/>
      <c r="D23" s="108"/>
      <c r="E23" s="100"/>
      <c r="F23" s="99"/>
    </row>
    <row r="24" spans="1:6" x14ac:dyDescent="0.25">
      <c r="A24" s="226" t="s">
        <v>1362</v>
      </c>
      <c r="C24" s="256">
        <v>1441.99</v>
      </c>
      <c r="D24" s="108">
        <f>'Billing Det'!B22</f>
        <v>319.16666666666669</v>
      </c>
      <c r="E24" s="100">
        <f>C24*D24</f>
        <v>460235.14166666672</v>
      </c>
      <c r="F24" s="99">
        <f>E24/$E$38</f>
        <v>3.0454294851610972E-3</v>
      </c>
    </row>
    <row r="25" spans="1:6" x14ac:dyDescent="0.25">
      <c r="C25" s="257"/>
      <c r="D25" s="108"/>
      <c r="E25" s="100"/>
      <c r="F25" s="99"/>
    </row>
    <row r="26" spans="1:6" x14ac:dyDescent="0.25">
      <c r="A26" s="226" t="s">
        <v>1206</v>
      </c>
      <c r="C26" s="256">
        <v>0</v>
      </c>
      <c r="D26" s="108">
        <f>'Billing Det'!B24</f>
        <v>12</v>
      </c>
      <c r="E26" s="100">
        <f>C26*D26</f>
        <v>0</v>
      </c>
      <c r="F26" s="99">
        <f>E26/$E$38</f>
        <v>0</v>
      </c>
    </row>
    <row r="27" spans="1:6" x14ac:dyDescent="0.25">
      <c r="C27" s="257"/>
      <c r="D27" s="108"/>
      <c r="E27" s="100"/>
      <c r="F27" s="99"/>
    </row>
    <row r="28" spans="1:6" x14ac:dyDescent="0.25">
      <c r="A28" s="226" t="s">
        <v>1391</v>
      </c>
      <c r="C28" s="256">
        <v>0</v>
      </c>
      <c r="D28" s="108">
        <f>'Billing Det'!B26</f>
        <v>1</v>
      </c>
      <c r="E28" s="100">
        <f>C28*D28</f>
        <v>0</v>
      </c>
      <c r="F28" s="99">
        <f>E28/$E$38</f>
        <v>0</v>
      </c>
    </row>
    <row r="29" spans="1:6" x14ac:dyDescent="0.25">
      <c r="C29" s="257"/>
      <c r="D29" s="108"/>
      <c r="E29" s="100"/>
      <c r="F29" s="99"/>
    </row>
    <row r="30" spans="1:6" x14ac:dyDescent="0.25">
      <c r="A30" s="226" t="s">
        <v>1394</v>
      </c>
      <c r="C30" s="256">
        <v>0</v>
      </c>
      <c r="D30" s="108">
        <f>'Billing Det'!B28</f>
        <v>2</v>
      </c>
      <c r="E30" s="100">
        <f>C30*D30</f>
        <v>0</v>
      </c>
      <c r="F30" s="99">
        <f>E30/$E$38</f>
        <v>0</v>
      </c>
    </row>
    <row r="31" spans="1:6" x14ac:dyDescent="0.25">
      <c r="C31" s="257"/>
      <c r="D31" s="108"/>
      <c r="E31" s="100"/>
      <c r="F31" s="99"/>
    </row>
    <row r="32" spans="1:6" x14ac:dyDescent="0.25">
      <c r="A32" s="188" t="s">
        <v>1323</v>
      </c>
      <c r="C32" s="256">
        <v>0</v>
      </c>
      <c r="D32" s="108">
        <f>'Billing Det'!B30</f>
        <v>95994.583333333328</v>
      </c>
      <c r="E32" s="100">
        <f>C32*D32</f>
        <v>0</v>
      </c>
      <c r="F32" s="99">
        <f>E32/$E$38</f>
        <v>0</v>
      </c>
    </row>
    <row r="33" spans="1:13" x14ac:dyDescent="0.25">
      <c r="C33" s="257"/>
      <c r="D33" s="108"/>
      <c r="E33" s="100"/>
      <c r="F33" s="99"/>
    </row>
    <row r="34" spans="1:13" x14ac:dyDescent="0.25">
      <c r="A34" s="226" t="s">
        <v>1207</v>
      </c>
      <c r="C34" s="256">
        <v>0</v>
      </c>
      <c r="D34" s="108">
        <f>'Billing Det'!B32</f>
        <v>156</v>
      </c>
      <c r="E34" s="100">
        <f>C34*D34</f>
        <v>0</v>
      </c>
      <c r="F34" s="99">
        <f>E34/$E$38</f>
        <v>0</v>
      </c>
    </row>
    <row r="35" spans="1:13" x14ac:dyDescent="0.25">
      <c r="C35" s="257"/>
      <c r="D35" s="108"/>
      <c r="E35" s="100"/>
      <c r="F35" s="99"/>
    </row>
    <row r="36" spans="1:13" x14ac:dyDescent="0.25">
      <c r="A36" s="188" t="s">
        <v>642</v>
      </c>
      <c r="C36" s="256">
        <v>0</v>
      </c>
      <c r="D36" s="108">
        <f>'Billing Det'!B34</f>
        <v>905</v>
      </c>
      <c r="E36" s="100">
        <f>C36*D36</f>
        <v>0</v>
      </c>
      <c r="F36" s="99">
        <f>E36/$E$38</f>
        <v>0</v>
      </c>
    </row>
    <row r="37" spans="1:13" ht="13.2" x14ac:dyDescent="0.25">
      <c r="A37" s="101"/>
      <c r="B37" s="102"/>
      <c r="C37" s="102"/>
      <c r="D37" s="109"/>
      <c r="E37" s="103"/>
      <c r="F37" s="104"/>
    </row>
    <row r="38" spans="1:13" ht="13.2" x14ac:dyDescent="0.25">
      <c r="C38" s="92"/>
      <c r="D38" s="108">
        <f>SUM(D10:D37)</f>
        <v>506484.5</v>
      </c>
      <c r="E38" s="96">
        <f>SUM(E10:E37)</f>
        <v>151123230.37166667</v>
      </c>
      <c r="F38" s="99">
        <f>SUM(F10:F37)</f>
        <v>1</v>
      </c>
    </row>
    <row r="39" spans="1:13" ht="13.2" x14ac:dyDescent="0.25">
      <c r="C39" s="92"/>
      <c r="L39" s="90"/>
      <c r="M39" s="90"/>
    </row>
    <row r="40" spans="1:13" ht="13.2" x14ac:dyDescent="0.25">
      <c r="C40" s="92"/>
      <c r="L40" s="90"/>
      <c r="M40" s="90"/>
    </row>
    <row r="41" spans="1:13" ht="13.2" x14ac:dyDescent="0.25">
      <c r="B41" s="92" t="s">
        <v>634</v>
      </c>
      <c r="C41" s="92"/>
      <c r="E41" s="96">
        <f>'Functional Assignment'!F40</f>
        <v>32008282.897692304</v>
      </c>
    </row>
    <row r="42" spans="1:13" ht="13.2" x14ac:dyDescent="0.25">
      <c r="C42" s="92"/>
    </row>
    <row r="43" spans="1:13" ht="13.2" x14ac:dyDescent="0.25">
      <c r="C43" s="92"/>
    </row>
    <row r="44" spans="1:13" ht="13.2" x14ac:dyDescent="0.25">
      <c r="C44" s="92"/>
    </row>
    <row r="45" spans="1:13" ht="13.2" x14ac:dyDescent="0.25">
      <c r="C45" s="92"/>
    </row>
    <row r="46" spans="1:13" ht="13.2" x14ac:dyDescent="0.25">
      <c r="C46" s="92"/>
    </row>
    <row r="47" spans="1:13" ht="13.2" x14ac:dyDescent="0.25">
      <c r="C47" s="92"/>
      <c r="E47" s="110"/>
    </row>
    <row r="48" spans="1:13" ht="13.2" x14ac:dyDescent="0.25">
      <c r="C48" s="92"/>
    </row>
    <row r="49" spans="3:3" ht="13.2" x14ac:dyDescent="0.25">
      <c r="C49" s="92"/>
    </row>
    <row r="50" spans="3:3" ht="13.2" x14ac:dyDescent="0.25">
      <c r="C50" s="92"/>
    </row>
    <row r="51" spans="3:3" ht="13.2" x14ac:dyDescent="0.25">
      <c r="C51" s="92"/>
    </row>
    <row r="52" spans="3:3" ht="13.2" x14ac:dyDescent="0.25">
      <c r="C52" s="92"/>
    </row>
    <row r="53" spans="3:3" ht="13.2" x14ac:dyDescent="0.25">
      <c r="C53" s="92"/>
    </row>
    <row r="54" spans="3:3" ht="13.2" x14ac:dyDescent="0.25">
      <c r="C54" s="92"/>
    </row>
    <row r="55" spans="3:3" ht="13.2" x14ac:dyDescent="0.25">
      <c r="C55" s="92"/>
    </row>
    <row r="56" spans="3:3" ht="13.2" x14ac:dyDescent="0.25">
      <c r="C56" s="92"/>
    </row>
    <row r="60" spans="3:3" ht="13.2" x14ac:dyDescent="0.25">
      <c r="C60" s="92"/>
    </row>
    <row r="61" spans="3:3" ht="13.2" x14ac:dyDescent="0.25">
      <c r="C61" s="92"/>
    </row>
    <row r="62" spans="3:3" ht="13.2" x14ac:dyDescent="0.25">
      <c r="C62" s="92"/>
    </row>
  </sheetData>
  <phoneticPr fontId="0" type="noConversion"/>
  <pageMargins left="0.75" right="0.75" top="1" bottom="1" header="0.5" footer="0.5"/>
  <pageSetup scale="74" orientation="portrait" r:id="rId1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workbookViewId="0"/>
  </sheetViews>
  <sheetFormatPr defaultRowHeight="13.8" x14ac:dyDescent="0.25"/>
  <cols>
    <col min="4" max="4" width="16.44140625" bestFit="1" customWidth="1"/>
    <col min="15" max="15" width="14" bestFit="1" customWidth="1"/>
  </cols>
  <sheetData>
    <row r="2" spans="1:15" x14ac:dyDescent="0.25">
      <c r="A2" s="7" t="s">
        <v>896</v>
      </c>
      <c r="O2" s="3"/>
    </row>
    <row r="3" spans="1:15" x14ac:dyDescent="0.25">
      <c r="A3" t="s">
        <v>889</v>
      </c>
      <c r="D3" s="4">
        <f>'Allocation ProForma'!S1013</f>
        <v>123147808</v>
      </c>
      <c r="O3" s="3"/>
    </row>
    <row r="4" spans="1:15" x14ac:dyDescent="0.25">
      <c r="O4" s="3"/>
    </row>
    <row r="5" spans="1:15" x14ac:dyDescent="0.25">
      <c r="A5" t="s">
        <v>890</v>
      </c>
      <c r="D5" s="4">
        <f>'Allocation ProForma'!G1013</f>
        <v>4267045465</v>
      </c>
    </row>
    <row r="6" spans="1:15" x14ac:dyDescent="0.25">
      <c r="A6" t="s">
        <v>891</v>
      </c>
      <c r="D6" s="34">
        <f>'Billing Det'!B8</f>
        <v>361519.08333333331</v>
      </c>
      <c r="O6" s="3"/>
    </row>
    <row r="7" spans="1:15" x14ac:dyDescent="0.25">
      <c r="A7" t="s">
        <v>892</v>
      </c>
      <c r="D7" s="3">
        <f>D5/D6</f>
        <v>11803.09881751286</v>
      </c>
      <c r="O7" s="20"/>
    </row>
    <row r="8" spans="1:15" x14ac:dyDescent="0.25">
      <c r="O8" s="20"/>
    </row>
    <row r="9" spans="1:15" x14ac:dyDescent="0.25">
      <c r="A9" t="s">
        <v>893</v>
      </c>
      <c r="D9" s="3">
        <f>D3/D7</f>
        <v>10433.514952639329</v>
      </c>
    </row>
    <row r="10" spans="1:15" x14ac:dyDescent="0.25">
      <c r="A10" t="s">
        <v>894</v>
      </c>
      <c r="D10" s="34">
        <f>'Billing Det'!B30</f>
        <v>95994.583333333328</v>
      </c>
    </row>
    <row r="11" spans="1:15" x14ac:dyDescent="0.25">
      <c r="A11" t="s">
        <v>895</v>
      </c>
      <c r="D11" s="3">
        <f>ROUND(D10/D9,0)</f>
        <v>9</v>
      </c>
    </row>
    <row r="14" spans="1:15" x14ac:dyDescent="0.25">
      <c r="A14" s="7" t="s">
        <v>1395</v>
      </c>
    </row>
    <row r="15" spans="1:15" x14ac:dyDescent="0.25">
      <c r="A15" t="s">
        <v>889</v>
      </c>
      <c r="D15" s="4">
        <f>'Allocation ProForma'!T1013</f>
        <v>3442738</v>
      </c>
    </row>
    <row r="17" spans="1:4" x14ac:dyDescent="0.25">
      <c r="A17" t="s">
        <v>890</v>
      </c>
      <c r="D17" s="4">
        <f>D5</f>
        <v>4267045465</v>
      </c>
    </row>
    <row r="18" spans="1:4" x14ac:dyDescent="0.25">
      <c r="A18" t="s">
        <v>891</v>
      </c>
      <c r="D18" s="34">
        <f>D6</f>
        <v>361519.08333333331</v>
      </c>
    </row>
    <row r="19" spans="1:4" x14ac:dyDescent="0.25">
      <c r="A19" t="s">
        <v>892</v>
      </c>
      <c r="D19" s="3">
        <f>D17/D18</f>
        <v>11803.09881751286</v>
      </c>
    </row>
    <row r="21" spans="1:4" x14ac:dyDescent="0.25">
      <c r="A21" t="s">
        <v>893</v>
      </c>
      <c r="D21" s="3">
        <f>ROUND(D15/D19,0)</f>
        <v>292</v>
      </c>
    </row>
    <row r="24" spans="1:4" x14ac:dyDescent="0.25">
      <c r="A24" s="7" t="s">
        <v>897</v>
      </c>
    </row>
    <row r="25" spans="1:4" x14ac:dyDescent="0.25">
      <c r="A25" t="s">
        <v>889</v>
      </c>
      <c r="D25" s="4">
        <f>'Allocation ProForma'!U1013</f>
        <v>3103723</v>
      </c>
    </row>
    <row r="27" spans="1:4" x14ac:dyDescent="0.25">
      <c r="A27" t="s">
        <v>890</v>
      </c>
      <c r="D27" s="4">
        <f>D17</f>
        <v>4267045465</v>
      </c>
    </row>
    <row r="28" spans="1:4" x14ac:dyDescent="0.25">
      <c r="A28" t="s">
        <v>891</v>
      </c>
      <c r="D28" s="34">
        <f>D18</f>
        <v>361519.08333333331</v>
      </c>
    </row>
    <row r="29" spans="1:4" x14ac:dyDescent="0.25">
      <c r="A29" t="s">
        <v>892</v>
      </c>
      <c r="D29" s="3">
        <f>D27/D28</f>
        <v>11803.09881751286</v>
      </c>
    </row>
    <row r="31" spans="1:4" x14ac:dyDescent="0.25">
      <c r="A31" t="s">
        <v>893</v>
      </c>
      <c r="D31" s="3">
        <f>ROUND(D25/D29,0)</f>
        <v>263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B1254"/>
  <sheetViews>
    <sheetView view="pageBreakPreview" zoomScale="75" zoomScaleNormal="80" zoomScaleSheetLayoutView="75" workbookViewId="0">
      <pane xSplit="6" ySplit="4" topLeftCell="G443" activePane="bottomRight" state="frozen"/>
      <selection pane="topRight" activeCell="G1" sqref="G1"/>
      <selection pane="bottomLeft" activeCell="A5" sqref="A5"/>
      <selection pane="bottomRight" activeCell="E649" sqref="E649:E651"/>
    </sheetView>
  </sheetViews>
  <sheetFormatPr defaultColWidth="9.109375" defaultRowHeight="13.8" x14ac:dyDescent="0.25"/>
  <cols>
    <col min="1" max="1" width="7.6640625" style="61" customWidth="1"/>
    <col min="2" max="2" width="29.44140625" style="61" customWidth="1"/>
    <col min="3" max="3" width="12.5546875" style="61" customWidth="1"/>
    <col min="4" max="4" width="11.88671875" style="61" customWidth="1"/>
    <col min="5" max="5" width="17.33203125" style="61" bestFit="1" customWidth="1"/>
    <col min="6" max="6" width="18.33203125" style="61" bestFit="1" customWidth="1"/>
    <col min="7" max="7" width="18.33203125" style="61" customWidth="1"/>
    <col min="8" max="8" width="22" style="61" bestFit="1" customWidth="1"/>
    <col min="9" max="9" width="18.33203125" style="61" hidden="1" customWidth="1"/>
    <col min="10" max="11" width="18.33203125" style="61" customWidth="1"/>
    <col min="12" max="13" width="18.33203125" style="61" hidden="1" customWidth="1"/>
    <col min="14" max="14" width="18.33203125" style="61" customWidth="1"/>
    <col min="15" max="15" width="19" style="61" customWidth="1"/>
    <col min="16" max="16" width="19" style="61" bestFit="1" customWidth="1"/>
    <col min="17" max="17" width="23.33203125" style="61" customWidth="1"/>
    <col min="18" max="18" width="23.109375" style="61" bestFit="1" customWidth="1"/>
    <col min="19" max="20" width="20.33203125" style="61" bestFit="1" customWidth="1"/>
    <col min="21" max="21" width="18.33203125" style="61" customWidth="1"/>
    <col min="22" max="23" width="18.33203125" style="61" hidden="1" customWidth="1"/>
    <col min="24" max="24" width="15" style="45" hidden="1" customWidth="1"/>
    <col min="25" max="25" width="15.33203125" style="45" hidden="1" customWidth="1"/>
    <col min="26" max="26" width="15.6640625" style="45" hidden="1" customWidth="1"/>
    <col min="27" max="27" width="22.6640625" style="45" customWidth="1"/>
    <col min="28" max="28" width="10.6640625" style="45" customWidth="1"/>
    <col min="29" max="29" width="15.44140625" style="45" bestFit="1" customWidth="1"/>
    <col min="30" max="32" width="9.109375" style="45"/>
    <col min="33" max="33" width="7.44140625" style="45" customWidth="1"/>
    <col min="34" max="36" width="20.6640625" style="45" customWidth="1"/>
    <col min="37" max="16384" width="9.109375" style="45"/>
  </cols>
  <sheetData>
    <row r="2" spans="1:28" s="94" customFormat="1" hidden="1" x14ac:dyDescent="0.25">
      <c r="D2" s="94">
        <v>1</v>
      </c>
      <c r="E2" s="94">
        <f t="shared" ref="E2:AB2" si="0">+D2+1</f>
        <v>2</v>
      </c>
      <c r="F2" s="94">
        <f t="shared" si="0"/>
        <v>3</v>
      </c>
      <c r="G2" s="94">
        <f t="shared" si="0"/>
        <v>4</v>
      </c>
      <c r="H2" s="94">
        <f t="shared" si="0"/>
        <v>5</v>
      </c>
      <c r="I2" s="94">
        <f t="shared" si="0"/>
        <v>6</v>
      </c>
      <c r="J2" s="94">
        <f t="shared" si="0"/>
        <v>7</v>
      </c>
      <c r="K2" s="94">
        <f>+J2+1</f>
        <v>8</v>
      </c>
      <c r="L2" s="94">
        <f t="shared" si="0"/>
        <v>9</v>
      </c>
      <c r="M2" s="94">
        <f t="shared" si="0"/>
        <v>10</v>
      </c>
      <c r="N2" s="94">
        <f t="shared" si="0"/>
        <v>11</v>
      </c>
      <c r="O2" s="94">
        <f t="shared" si="0"/>
        <v>12</v>
      </c>
      <c r="P2" s="94">
        <f t="shared" si="0"/>
        <v>13</v>
      </c>
      <c r="Q2" s="94">
        <f t="shared" si="0"/>
        <v>14</v>
      </c>
      <c r="R2" s="94">
        <f t="shared" si="0"/>
        <v>15</v>
      </c>
      <c r="S2" s="94">
        <f>R2+1</f>
        <v>16</v>
      </c>
      <c r="T2" s="94">
        <f t="shared" si="0"/>
        <v>17</v>
      </c>
      <c r="U2" s="94">
        <f>+T2+1</f>
        <v>18</v>
      </c>
      <c r="V2" s="94">
        <f t="shared" si="0"/>
        <v>19</v>
      </c>
      <c r="W2" s="94">
        <f>+V2+1</f>
        <v>20</v>
      </c>
      <c r="X2" s="94">
        <f t="shared" si="0"/>
        <v>21</v>
      </c>
      <c r="Y2" s="94">
        <f t="shared" si="0"/>
        <v>22</v>
      </c>
      <c r="Z2" s="94">
        <f t="shared" si="0"/>
        <v>23</v>
      </c>
      <c r="AA2" s="94">
        <f t="shared" si="0"/>
        <v>24</v>
      </c>
      <c r="AB2" s="94">
        <f t="shared" si="0"/>
        <v>25</v>
      </c>
    </row>
    <row r="3" spans="1:28" s="61" customFormat="1" ht="29.25" customHeight="1" x14ac:dyDescent="0.25">
      <c r="A3" s="66"/>
      <c r="B3" s="66"/>
      <c r="C3" s="66"/>
      <c r="D3" s="73"/>
      <c r="E3" s="141" t="s">
        <v>1112</v>
      </c>
      <c r="F3" s="142" t="s">
        <v>944</v>
      </c>
      <c r="G3" s="72" t="s">
        <v>205</v>
      </c>
      <c r="H3" s="72" t="s">
        <v>1388</v>
      </c>
      <c r="I3" s="72" t="s">
        <v>1356</v>
      </c>
      <c r="J3" s="73" t="s">
        <v>1200</v>
      </c>
      <c r="K3" s="73" t="s">
        <v>1200</v>
      </c>
      <c r="L3" s="72" t="s">
        <v>186</v>
      </c>
      <c r="M3" s="73" t="s">
        <v>186</v>
      </c>
      <c r="N3" s="72" t="s">
        <v>1365</v>
      </c>
      <c r="O3" s="73" t="s">
        <v>1365</v>
      </c>
      <c r="P3" s="73" t="s">
        <v>1201</v>
      </c>
      <c r="Q3" s="72" t="s">
        <v>597</v>
      </c>
      <c r="R3" s="72" t="s">
        <v>597</v>
      </c>
      <c r="S3" s="72" t="s">
        <v>1109</v>
      </c>
      <c r="T3" s="73" t="s">
        <v>1109</v>
      </c>
      <c r="U3" s="72" t="s">
        <v>939</v>
      </c>
      <c r="V3" s="72" t="s">
        <v>186</v>
      </c>
      <c r="W3" s="72" t="s">
        <v>186</v>
      </c>
      <c r="X3" s="73" t="s">
        <v>186</v>
      </c>
      <c r="Y3" s="73" t="s">
        <v>186</v>
      </c>
      <c r="Z3" s="73" t="s">
        <v>186</v>
      </c>
      <c r="AA3" s="143"/>
      <c r="AB3" s="66"/>
    </row>
    <row r="4" spans="1:28" s="61" customFormat="1" ht="14.4" thickBot="1" x14ac:dyDescent="0.3">
      <c r="A4" s="144" t="s">
        <v>947</v>
      </c>
      <c r="B4" s="144"/>
      <c r="C4" s="145" t="s">
        <v>346</v>
      </c>
      <c r="D4" s="146" t="s">
        <v>948</v>
      </c>
      <c r="E4" s="146" t="s">
        <v>949</v>
      </c>
      <c r="F4" s="74" t="s">
        <v>950</v>
      </c>
      <c r="G4" s="74" t="s">
        <v>1215</v>
      </c>
      <c r="H4" s="74" t="s">
        <v>594</v>
      </c>
      <c r="I4" s="74" t="s">
        <v>594</v>
      </c>
      <c r="J4" s="74" t="s">
        <v>595</v>
      </c>
      <c r="K4" s="74" t="s">
        <v>596</v>
      </c>
      <c r="L4" s="74"/>
      <c r="M4" s="74"/>
      <c r="N4" s="74" t="s">
        <v>595</v>
      </c>
      <c r="O4" s="74" t="s">
        <v>596</v>
      </c>
      <c r="P4" s="74" t="s">
        <v>1153</v>
      </c>
      <c r="Q4" s="74" t="s">
        <v>1392</v>
      </c>
      <c r="R4" s="74" t="s">
        <v>1393</v>
      </c>
      <c r="S4" s="74" t="s">
        <v>1324</v>
      </c>
      <c r="T4" s="74" t="s">
        <v>1202</v>
      </c>
      <c r="U4" s="74" t="s">
        <v>599</v>
      </c>
      <c r="V4" s="74"/>
      <c r="W4" s="74"/>
      <c r="X4" s="74"/>
      <c r="Y4" s="74"/>
      <c r="Z4" s="74"/>
      <c r="AA4" s="74" t="s">
        <v>954</v>
      </c>
      <c r="AB4" s="74" t="s">
        <v>955</v>
      </c>
    </row>
    <row r="6" spans="1:28" x14ac:dyDescent="0.25">
      <c r="A6" s="66" t="s">
        <v>956</v>
      </c>
    </row>
    <row r="8" spans="1:28" x14ac:dyDescent="0.25">
      <c r="A8" s="66" t="s">
        <v>369</v>
      </c>
    </row>
    <row r="9" spans="1:28" x14ac:dyDescent="0.25">
      <c r="A9" s="69" t="s">
        <v>361</v>
      </c>
      <c r="C9" s="61" t="s">
        <v>982</v>
      </c>
      <c r="D9" s="61" t="s">
        <v>370</v>
      </c>
      <c r="E9" s="61" t="s">
        <v>1399</v>
      </c>
      <c r="F9" s="77">
        <f>VLOOKUP(C9,'Functional Assignment'!$C$2:$AP$778,'Functional Assignment'!$H$2,)</f>
        <v>853446770.69684696</v>
      </c>
      <c r="G9" s="77">
        <f t="shared" ref="G9:P14" si="1">IF(VLOOKUP($E9,$D$6:$AN$1141,3,)=0,0,(VLOOKUP($E9,$D$6:$AN$1141,G$2,)/VLOOKUP($E9,$D$6:$AN$1141,3,))*$F9)</f>
        <v>426090379.25251853</v>
      </c>
      <c r="H9" s="77">
        <f t="shared" si="1"/>
        <v>105614406.62645184</v>
      </c>
      <c r="I9" s="77">
        <f t="shared" si="1"/>
        <v>0</v>
      </c>
      <c r="J9" s="77">
        <f t="shared" si="1"/>
        <v>9538627.5999659915</v>
      </c>
      <c r="K9" s="77">
        <f t="shared" si="1"/>
        <v>121303345.74559096</v>
      </c>
      <c r="L9" s="77">
        <f t="shared" si="1"/>
        <v>0</v>
      </c>
      <c r="M9" s="77">
        <f t="shared" si="1"/>
        <v>0</v>
      </c>
      <c r="N9" s="77">
        <f t="shared" si="1"/>
        <v>98500270.316486418</v>
      </c>
      <c r="O9" s="77">
        <f t="shared" si="1"/>
        <v>60110844.714077823</v>
      </c>
      <c r="P9" s="77">
        <f t="shared" si="1"/>
        <v>23766150.852212165</v>
      </c>
      <c r="Q9" s="77">
        <f t="shared" ref="Q9:Z14" si="2">IF(VLOOKUP($E9,$D$6:$AN$1141,3,)=0,0,(VLOOKUP($E9,$D$6:$AN$1141,Q$2,)/VLOOKUP($E9,$D$6:$AN$1141,3,))*$F9)</f>
        <v>5090014.3573634028</v>
      </c>
      <c r="R9" s="77">
        <f t="shared" si="2"/>
        <v>3316634.1832281137</v>
      </c>
      <c r="S9" s="77">
        <f t="shared" si="2"/>
        <v>0</v>
      </c>
      <c r="T9" s="77">
        <f t="shared" si="2"/>
        <v>0</v>
      </c>
      <c r="U9" s="77">
        <f t="shared" si="2"/>
        <v>116097.04895187011</v>
      </c>
      <c r="V9" s="77">
        <f t="shared" si="2"/>
        <v>0</v>
      </c>
      <c r="W9" s="77">
        <f t="shared" si="2"/>
        <v>0</v>
      </c>
      <c r="X9" s="63">
        <f t="shared" si="2"/>
        <v>0</v>
      </c>
      <c r="Y9" s="63">
        <f t="shared" si="2"/>
        <v>0</v>
      </c>
      <c r="Z9" s="63">
        <f t="shared" si="2"/>
        <v>0</v>
      </c>
      <c r="AA9" s="65">
        <f t="shared" ref="AA9:AA15" si="3">SUM(G9:Z9)</f>
        <v>853446770.69684708</v>
      </c>
      <c r="AB9" s="59" t="str">
        <f t="shared" ref="AB9:AB15" si="4">IF(ABS(F9-AA9)&lt;0.01,"ok","err")</f>
        <v>ok</v>
      </c>
    </row>
    <row r="10" spans="1:28" x14ac:dyDescent="0.25">
      <c r="A10" s="69" t="s">
        <v>1285</v>
      </c>
      <c r="C10" s="61" t="s">
        <v>982</v>
      </c>
      <c r="D10" s="61" t="s">
        <v>371</v>
      </c>
      <c r="E10" s="61" t="s">
        <v>1399</v>
      </c>
      <c r="F10" s="80">
        <f>VLOOKUP(C10,'Functional Assignment'!$C$2:$AP$778,'Functional Assignment'!$I$2,)</f>
        <v>831653226.3512001</v>
      </c>
      <c r="G10" s="80">
        <f t="shared" si="1"/>
        <v>415209771.46966743</v>
      </c>
      <c r="H10" s="80">
        <f t="shared" si="1"/>
        <v>102917446.09723994</v>
      </c>
      <c r="I10" s="80">
        <f t="shared" si="1"/>
        <v>0</v>
      </c>
      <c r="J10" s="80">
        <f t="shared" si="1"/>
        <v>9295050.0146565586</v>
      </c>
      <c r="K10" s="80">
        <f t="shared" si="1"/>
        <v>118205753.79779634</v>
      </c>
      <c r="L10" s="80">
        <f t="shared" si="1"/>
        <v>0</v>
      </c>
      <c r="M10" s="80">
        <f t="shared" si="1"/>
        <v>0</v>
      </c>
      <c r="N10" s="80">
        <f t="shared" si="1"/>
        <v>95984975.768652141</v>
      </c>
      <c r="O10" s="80">
        <f t="shared" si="1"/>
        <v>58575859.282167524</v>
      </c>
      <c r="P10" s="80">
        <f t="shared" si="1"/>
        <v>23159260.439937115</v>
      </c>
      <c r="Q10" s="80">
        <f t="shared" si="2"/>
        <v>4960036.1824778104</v>
      </c>
      <c r="R10" s="80">
        <f t="shared" si="2"/>
        <v>3231940.8940479904</v>
      </c>
      <c r="S10" s="80">
        <f t="shared" si="2"/>
        <v>0</v>
      </c>
      <c r="T10" s="80">
        <f t="shared" si="2"/>
        <v>0</v>
      </c>
      <c r="U10" s="80">
        <f t="shared" si="2"/>
        <v>113132.40455739263</v>
      </c>
      <c r="V10" s="80">
        <f t="shared" si="2"/>
        <v>0</v>
      </c>
      <c r="W10" s="80">
        <f t="shared" si="2"/>
        <v>0</v>
      </c>
      <c r="X10" s="64">
        <f t="shared" si="2"/>
        <v>0</v>
      </c>
      <c r="Y10" s="64">
        <f t="shared" si="2"/>
        <v>0</v>
      </c>
      <c r="Z10" s="64">
        <f t="shared" si="2"/>
        <v>0</v>
      </c>
      <c r="AA10" s="64">
        <f t="shared" si="3"/>
        <v>831653226.35120022</v>
      </c>
      <c r="AB10" s="59" t="str">
        <f t="shared" si="4"/>
        <v>ok</v>
      </c>
    </row>
    <row r="11" spans="1:28" x14ac:dyDescent="0.25">
      <c r="A11" s="69" t="s">
        <v>1286</v>
      </c>
      <c r="C11" s="61" t="s">
        <v>982</v>
      </c>
      <c r="D11" s="61" t="s">
        <v>372</v>
      </c>
      <c r="E11" s="61" t="s">
        <v>1399</v>
      </c>
      <c r="F11" s="80">
        <f>VLOOKUP(C11,'Functional Assignment'!$C$2:$AP$778,'Functional Assignment'!$J$2,)</f>
        <v>754022062.308689</v>
      </c>
      <c r="G11" s="80">
        <f t="shared" si="1"/>
        <v>376451768.90357929</v>
      </c>
      <c r="H11" s="80">
        <f t="shared" si="1"/>
        <v>93310556.004520953</v>
      </c>
      <c r="I11" s="80">
        <f t="shared" si="1"/>
        <v>0</v>
      </c>
      <c r="J11" s="80">
        <f t="shared" si="1"/>
        <v>8427398.0539504886</v>
      </c>
      <c r="K11" s="80">
        <f t="shared" si="1"/>
        <v>107171767.54837576</v>
      </c>
      <c r="L11" s="80">
        <f t="shared" si="1"/>
        <v>0</v>
      </c>
      <c r="M11" s="80">
        <f t="shared" si="1"/>
        <v>0</v>
      </c>
      <c r="N11" s="80">
        <f t="shared" si="1"/>
        <v>87025201.233531162</v>
      </c>
      <c r="O11" s="80">
        <f t="shared" si="1"/>
        <v>53108060.929702885</v>
      </c>
      <c r="P11" s="80">
        <f t="shared" si="1"/>
        <v>20997445.5279647</v>
      </c>
      <c r="Q11" s="80">
        <f t="shared" si="2"/>
        <v>4497038.6609890638</v>
      </c>
      <c r="R11" s="80">
        <f t="shared" si="2"/>
        <v>2930253.452970732</v>
      </c>
      <c r="S11" s="80">
        <f t="shared" si="2"/>
        <v>0</v>
      </c>
      <c r="T11" s="80">
        <f t="shared" si="2"/>
        <v>0</v>
      </c>
      <c r="U11" s="80">
        <f t="shared" si="2"/>
        <v>102571.99310410999</v>
      </c>
      <c r="V11" s="80">
        <f t="shared" si="2"/>
        <v>0</v>
      </c>
      <c r="W11" s="80">
        <f t="shared" si="2"/>
        <v>0</v>
      </c>
      <c r="X11" s="64">
        <f t="shared" si="2"/>
        <v>0</v>
      </c>
      <c r="Y11" s="64">
        <f t="shared" si="2"/>
        <v>0</v>
      </c>
      <c r="Z11" s="64">
        <f t="shared" si="2"/>
        <v>0</v>
      </c>
      <c r="AA11" s="64">
        <f t="shared" si="3"/>
        <v>754022062.30868912</v>
      </c>
      <c r="AB11" s="59" t="str">
        <f t="shared" si="4"/>
        <v>ok</v>
      </c>
    </row>
    <row r="12" spans="1:28" x14ac:dyDescent="0.25">
      <c r="A12" s="69" t="s">
        <v>1287</v>
      </c>
      <c r="C12" s="61" t="s">
        <v>982</v>
      </c>
      <c r="D12" s="61" t="s">
        <v>373</v>
      </c>
      <c r="E12" s="61" t="s">
        <v>1114</v>
      </c>
      <c r="F12" s="80">
        <f>VLOOKUP(C12,'Functional Assignment'!$C$2:$AP$778,'Functional Assignment'!$K$2,)</f>
        <v>0</v>
      </c>
      <c r="G12" s="80">
        <f t="shared" si="1"/>
        <v>0</v>
      </c>
      <c r="H12" s="80">
        <f t="shared" si="1"/>
        <v>0</v>
      </c>
      <c r="I12" s="80">
        <f t="shared" si="1"/>
        <v>0</v>
      </c>
      <c r="J12" s="80">
        <f t="shared" si="1"/>
        <v>0</v>
      </c>
      <c r="K12" s="80">
        <f t="shared" si="1"/>
        <v>0</v>
      </c>
      <c r="L12" s="80">
        <f t="shared" si="1"/>
        <v>0</v>
      </c>
      <c r="M12" s="80">
        <f t="shared" si="1"/>
        <v>0</v>
      </c>
      <c r="N12" s="80">
        <f t="shared" si="1"/>
        <v>0</v>
      </c>
      <c r="O12" s="80">
        <f t="shared" si="1"/>
        <v>0</v>
      </c>
      <c r="P12" s="80">
        <f t="shared" si="1"/>
        <v>0</v>
      </c>
      <c r="Q12" s="80">
        <f t="shared" si="2"/>
        <v>0</v>
      </c>
      <c r="R12" s="80">
        <f t="shared" si="2"/>
        <v>0</v>
      </c>
      <c r="S12" s="80">
        <f t="shared" si="2"/>
        <v>0</v>
      </c>
      <c r="T12" s="80">
        <f t="shared" si="2"/>
        <v>0</v>
      </c>
      <c r="U12" s="80">
        <f t="shared" si="2"/>
        <v>0</v>
      </c>
      <c r="V12" s="80">
        <f t="shared" si="2"/>
        <v>0</v>
      </c>
      <c r="W12" s="80">
        <f t="shared" si="2"/>
        <v>0</v>
      </c>
      <c r="X12" s="64">
        <f t="shared" si="2"/>
        <v>0</v>
      </c>
      <c r="Y12" s="64">
        <f t="shared" si="2"/>
        <v>0</v>
      </c>
      <c r="Z12" s="64">
        <f t="shared" si="2"/>
        <v>0</v>
      </c>
      <c r="AA12" s="64">
        <f t="shared" si="3"/>
        <v>0</v>
      </c>
      <c r="AB12" s="59" t="str">
        <f t="shared" si="4"/>
        <v>ok</v>
      </c>
    </row>
    <row r="13" spans="1:28" x14ac:dyDescent="0.25">
      <c r="A13" s="69" t="s">
        <v>1288</v>
      </c>
      <c r="C13" s="61" t="s">
        <v>982</v>
      </c>
      <c r="D13" s="61" t="s">
        <v>374</v>
      </c>
      <c r="E13" s="61" t="s">
        <v>1114</v>
      </c>
      <c r="F13" s="80">
        <f>VLOOKUP(C13,'Functional Assignment'!$C$2:$AP$778,'Functional Assignment'!$L$2,)</f>
        <v>0</v>
      </c>
      <c r="G13" s="80">
        <f t="shared" si="1"/>
        <v>0</v>
      </c>
      <c r="H13" s="80">
        <f t="shared" si="1"/>
        <v>0</v>
      </c>
      <c r="I13" s="80">
        <f t="shared" si="1"/>
        <v>0</v>
      </c>
      <c r="J13" s="80">
        <f t="shared" si="1"/>
        <v>0</v>
      </c>
      <c r="K13" s="80">
        <f t="shared" si="1"/>
        <v>0</v>
      </c>
      <c r="L13" s="80">
        <f t="shared" si="1"/>
        <v>0</v>
      </c>
      <c r="M13" s="80">
        <f t="shared" si="1"/>
        <v>0</v>
      </c>
      <c r="N13" s="80">
        <f t="shared" si="1"/>
        <v>0</v>
      </c>
      <c r="O13" s="80">
        <f t="shared" si="1"/>
        <v>0</v>
      </c>
      <c r="P13" s="80">
        <f t="shared" si="1"/>
        <v>0</v>
      </c>
      <c r="Q13" s="80">
        <f t="shared" si="2"/>
        <v>0</v>
      </c>
      <c r="R13" s="80">
        <f t="shared" si="2"/>
        <v>0</v>
      </c>
      <c r="S13" s="80">
        <f t="shared" si="2"/>
        <v>0</v>
      </c>
      <c r="T13" s="80">
        <f t="shared" si="2"/>
        <v>0</v>
      </c>
      <c r="U13" s="80">
        <f t="shared" si="2"/>
        <v>0</v>
      </c>
      <c r="V13" s="80">
        <f t="shared" si="2"/>
        <v>0</v>
      </c>
      <c r="W13" s="80">
        <f t="shared" si="2"/>
        <v>0</v>
      </c>
      <c r="X13" s="64">
        <f t="shared" si="2"/>
        <v>0</v>
      </c>
      <c r="Y13" s="64">
        <f t="shared" si="2"/>
        <v>0</v>
      </c>
      <c r="Z13" s="64">
        <f t="shared" si="2"/>
        <v>0</v>
      </c>
      <c r="AA13" s="64">
        <f t="shared" si="3"/>
        <v>0</v>
      </c>
      <c r="AB13" s="59" t="str">
        <f t="shared" si="4"/>
        <v>ok</v>
      </c>
    </row>
    <row r="14" spans="1:28" x14ac:dyDescent="0.25">
      <c r="A14" s="69" t="s">
        <v>1288</v>
      </c>
      <c r="C14" s="61" t="s">
        <v>982</v>
      </c>
      <c r="D14" s="61" t="s">
        <v>375</v>
      </c>
      <c r="E14" s="61" t="s">
        <v>1114</v>
      </c>
      <c r="F14" s="80">
        <f>VLOOKUP(C14,'Functional Assignment'!$C$2:$AP$778,'Functional Assignment'!$M$2,)</f>
        <v>0</v>
      </c>
      <c r="G14" s="80">
        <f t="shared" si="1"/>
        <v>0</v>
      </c>
      <c r="H14" s="80">
        <f t="shared" si="1"/>
        <v>0</v>
      </c>
      <c r="I14" s="80">
        <f t="shared" si="1"/>
        <v>0</v>
      </c>
      <c r="J14" s="80">
        <f t="shared" si="1"/>
        <v>0</v>
      </c>
      <c r="K14" s="80">
        <f t="shared" si="1"/>
        <v>0</v>
      </c>
      <c r="L14" s="80">
        <f t="shared" si="1"/>
        <v>0</v>
      </c>
      <c r="M14" s="80">
        <f t="shared" si="1"/>
        <v>0</v>
      </c>
      <c r="N14" s="80">
        <f t="shared" si="1"/>
        <v>0</v>
      </c>
      <c r="O14" s="80">
        <f t="shared" si="1"/>
        <v>0</v>
      </c>
      <c r="P14" s="80">
        <f t="shared" si="1"/>
        <v>0</v>
      </c>
      <c r="Q14" s="80">
        <f t="shared" si="2"/>
        <v>0</v>
      </c>
      <c r="R14" s="80">
        <f t="shared" si="2"/>
        <v>0</v>
      </c>
      <c r="S14" s="80">
        <f t="shared" si="2"/>
        <v>0</v>
      </c>
      <c r="T14" s="80">
        <f t="shared" si="2"/>
        <v>0</v>
      </c>
      <c r="U14" s="80">
        <f t="shared" si="2"/>
        <v>0</v>
      </c>
      <c r="V14" s="80">
        <f t="shared" si="2"/>
        <v>0</v>
      </c>
      <c r="W14" s="80">
        <f t="shared" si="2"/>
        <v>0</v>
      </c>
      <c r="X14" s="64">
        <f t="shared" si="2"/>
        <v>0</v>
      </c>
      <c r="Y14" s="64">
        <f t="shared" si="2"/>
        <v>0</v>
      </c>
      <c r="Z14" s="64">
        <f t="shared" si="2"/>
        <v>0</v>
      </c>
      <c r="AA14" s="64">
        <f t="shared" si="3"/>
        <v>0</v>
      </c>
      <c r="AB14" s="59" t="str">
        <f t="shared" si="4"/>
        <v>ok</v>
      </c>
    </row>
    <row r="15" spans="1:28" x14ac:dyDescent="0.25">
      <c r="A15" s="61" t="s">
        <v>392</v>
      </c>
      <c r="D15" s="61" t="s">
        <v>1115</v>
      </c>
      <c r="F15" s="77">
        <f>SUM(F9:F14)</f>
        <v>2439122059.3567362</v>
      </c>
      <c r="G15" s="77">
        <f t="shared" ref="G15:P15" si="5">SUM(G9:G14)</f>
        <v>1217751919.6257653</v>
      </c>
      <c r="H15" s="77">
        <f t="shared" si="5"/>
        <v>301842408.72821271</v>
      </c>
      <c r="I15" s="77">
        <f t="shared" si="5"/>
        <v>0</v>
      </c>
      <c r="J15" s="77">
        <f t="shared" si="5"/>
        <v>27261075.668573037</v>
      </c>
      <c r="K15" s="77">
        <f t="shared" si="5"/>
        <v>346680867.09176302</v>
      </c>
      <c r="L15" s="77">
        <f t="shared" si="5"/>
        <v>0</v>
      </c>
      <c r="M15" s="77">
        <f t="shared" si="5"/>
        <v>0</v>
      </c>
      <c r="N15" s="77">
        <f t="shared" si="5"/>
        <v>281510447.31866974</v>
      </c>
      <c r="O15" s="77">
        <f>SUM(O9:O14)</f>
        <v>171794764.92594823</v>
      </c>
      <c r="P15" s="77">
        <f t="shared" si="5"/>
        <v>67922856.820113972</v>
      </c>
      <c r="Q15" s="77">
        <f t="shared" ref="Q15:Z15" si="6">SUM(Q9:Q14)</f>
        <v>14547089.200830277</v>
      </c>
      <c r="R15" s="77">
        <f t="shared" si="6"/>
        <v>9478828.5302468352</v>
      </c>
      <c r="S15" s="77">
        <f t="shared" si="6"/>
        <v>0</v>
      </c>
      <c r="T15" s="77">
        <f t="shared" si="6"/>
        <v>0</v>
      </c>
      <c r="U15" s="77">
        <f t="shared" si="6"/>
        <v>331801.44661337271</v>
      </c>
      <c r="V15" s="77">
        <f t="shared" si="6"/>
        <v>0</v>
      </c>
      <c r="W15" s="77">
        <f t="shared" si="6"/>
        <v>0</v>
      </c>
      <c r="X15" s="63">
        <f t="shared" si="6"/>
        <v>0</v>
      </c>
      <c r="Y15" s="63">
        <f t="shared" si="6"/>
        <v>0</v>
      </c>
      <c r="Z15" s="63">
        <f t="shared" si="6"/>
        <v>0</v>
      </c>
      <c r="AA15" s="65">
        <f t="shared" si="3"/>
        <v>2439122059.3567367</v>
      </c>
      <c r="AB15" s="59" t="str">
        <f t="shared" si="4"/>
        <v>ok</v>
      </c>
    </row>
    <row r="16" spans="1:28" x14ac:dyDescent="0.25">
      <c r="F16" s="80"/>
      <c r="G16" s="80"/>
    </row>
    <row r="17" spans="1:28" x14ac:dyDescent="0.25">
      <c r="A17" s="66" t="s">
        <v>1154</v>
      </c>
      <c r="F17" s="80"/>
      <c r="G17" s="80"/>
    </row>
    <row r="18" spans="1:28" x14ac:dyDescent="0.25">
      <c r="A18" s="69" t="s">
        <v>362</v>
      </c>
      <c r="C18" s="61" t="s">
        <v>982</v>
      </c>
      <c r="D18" s="61" t="s">
        <v>365</v>
      </c>
      <c r="E18" s="61" t="s">
        <v>1399</v>
      </c>
      <c r="F18" s="77">
        <f>VLOOKUP(C18,'Functional Assignment'!$C$2:$AP$778,'Functional Assignment'!$N$2,)</f>
        <v>152811150.45287725</v>
      </c>
      <c r="G18" s="77">
        <f t="shared" ref="G18:P20" si="7">IF(VLOOKUP($E18,$D$6:$AN$1141,3,)=0,0,(VLOOKUP($E18,$D$6:$AN$1141,G$2,)/VLOOKUP($E18,$D$6:$AN$1141,3,))*$F18)</f>
        <v>76292234.367840096</v>
      </c>
      <c r="H18" s="77">
        <f t="shared" si="7"/>
        <v>18910445.894368317</v>
      </c>
      <c r="I18" s="77">
        <f t="shared" si="7"/>
        <v>0</v>
      </c>
      <c r="J18" s="77">
        <f t="shared" si="7"/>
        <v>1707908.1055075291</v>
      </c>
      <c r="K18" s="77">
        <f t="shared" si="7"/>
        <v>21719578.131430112</v>
      </c>
      <c r="L18" s="77">
        <f t="shared" si="7"/>
        <v>0</v>
      </c>
      <c r="M18" s="77">
        <f t="shared" si="7"/>
        <v>0</v>
      </c>
      <c r="N18" s="77">
        <f t="shared" si="7"/>
        <v>17636647.233068377</v>
      </c>
      <c r="O18" s="77">
        <f t="shared" si="7"/>
        <v>10762952.829445187</v>
      </c>
      <c r="P18" s="77">
        <f t="shared" si="7"/>
        <v>4255371.2525009941</v>
      </c>
      <c r="Q18" s="77">
        <f t="shared" ref="Q18:Z20" si="8">IF(VLOOKUP($E18,$D$6:$AN$1141,3,)=0,0,(VLOOKUP($E18,$D$6:$AN$1141,Q$2,)/VLOOKUP($E18,$D$6:$AN$1141,3,))*$F18)</f>
        <v>911376.05352384725</v>
      </c>
      <c r="R18" s="77">
        <f t="shared" si="8"/>
        <v>593849.20369035425</v>
      </c>
      <c r="S18" s="77">
        <f t="shared" si="8"/>
        <v>0</v>
      </c>
      <c r="T18" s="77">
        <f t="shared" si="8"/>
        <v>0</v>
      </c>
      <c r="U18" s="77">
        <f t="shared" si="8"/>
        <v>20787.381502461667</v>
      </c>
      <c r="V18" s="77">
        <f t="shared" si="8"/>
        <v>0</v>
      </c>
      <c r="W18" s="77">
        <f t="shared" si="8"/>
        <v>0</v>
      </c>
      <c r="X18" s="63">
        <f t="shared" si="8"/>
        <v>0</v>
      </c>
      <c r="Y18" s="63">
        <f t="shared" si="8"/>
        <v>0</v>
      </c>
      <c r="Z18" s="63">
        <f t="shared" si="8"/>
        <v>0</v>
      </c>
      <c r="AA18" s="65">
        <f>SUM(G18:Z18)</f>
        <v>152811150.45287722</v>
      </c>
      <c r="AB18" s="59" t="str">
        <f>IF(ABS(F18-AA18)&lt;0.01,"ok","err")</f>
        <v>ok</v>
      </c>
    </row>
    <row r="19" spans="1:28" x14ac:dyDescent="0.25">
      <c r="A19" s="69" t="s">
        <v>364</v>
      </c>
      <c r="C19" s="61" t="s">
        <v>982</v>
      </c>
      <c r="D19" s="61" t="s">
        <v>366</v>
      </c>
      <c r="E19" s="61" t="s">
        <v>1399</v>
      </c>
      <c r="F19" s="80">
        <f>VLOOKUP(C19,'Functional Assignment'!$C$2:$AP$778,'Functional Assignment'!$O$2,)</f>
        <v>148908977.87662521</v>
      </c>
      <c r="G19" s="80">
        <f t="shared" si="7"/>
        <v>74344042.342265487</v>
      </c>
      <c r="H19" s="80">
        <f t="shared" si="7"/>
        <v>18427550.352027267</v>
      </c>
      <c r="I19" s="80">
        <f t="shared" si="7"/>
        <v>0</v>
      </c>
      <c r="J19" s="80">
        <f t="shared" si="7"/>
        <v>1664295.1089930814</v>
      </c>
      <c r="K19" s="80">
        <f t="shared" si="7"/>
        <v>21164948.826559026</v>
      </c>
      <c r="L19" s="80">
        <f t="shared" si="7"/>
        <v>0</v>
      </c>
      <c r="M19" s="80">
        <f t="shared" si="7"/>
        <v>0</v>
      </c>
      <c r="N19" s="80">
        <f t="shared" si="7"/>
        <v>17186279.305296421</v>
      </c>
      <c r="O19" s="80">
        <f t="shared" si="7"/>
        <v>10488110.978925211</v>
      </c>
      <c r="P19" s="80">
        <f t="shared" si="7"/>
        <v>4146706.4531452605</v>
      </c>
      <c r="Q19" s="80">
        <f t="shared" si="8"/>
        <v>888103.2319255945</v>
      </c>
      <c r="R19" s="80">
        <f t="shared" si="8"/>
        <v>578684.72079625935</v>
      </c>
      <c r="S19" s="80">
        <f t="shared" si="8"/>
        <v>0</v>
      </c>
      <c r="T19" s="80">
        <f t="shared" si="8"/>
        <v>0</v>
      </c>
      <c r="U19" s="80">
        <f t="shared" si="8"/>
        <v>20256.556691637346</v>
      </c>
      <c r="V19" s="80">
        <f t="shared" si="8"/>
        <v>0</v>
      </c>
      <c r="W19" s="80">
        <f t="shared" si="8"/>
        <v>0</v>
      </c>
      <c r="X19" s="64">
        <f t="shared" si="8"/>
        <v>0</v>
      </c>
      <c r="Y19" s="64">
        <f t="shared" si="8"/>
        <v>0</v>
      </c>
      <c r="Z19" s="64">
        <f t="shared" si="8"/>
        <v>0</v>
      </c>
      <c r="AA19" s="64">
        <f>SUM(G19:Z19)</f>
        <v>148908977.87662527</v>
      </c>
      <c r="AB19" s="59" t="str">
        <f>IF(ABS(F19-AA19)&lt;0.01,"ok","err")</f>
        <v>ok</v>
      </c>
    </row>
    <row r="20" spans="1:28" x14ac:dyDescent="0.25">
      <c r="A20" s="69" t="s">
        <v>363</v>
      </c>
      <c r="C20" s="61" t="s">
        <v>982</v>
      </c>
      <c r="D20" s="61" t="s">
        <v>367</v>
      </c>
      <c r="E20" s="61" t="s">
        <v>1399</v>
      </c>
      <c r="F20" s="80">
        <f>VLOOKUP(C20,'Functional Assignment'!$C$2:$AP$778,'Functional Assignment'!$P$2,)</f>
        <v>135008980.95163128</v>
      </c>
      <c r="G20" s="80">
        <f t="shared" si="7"/>
        <v>67404353.582832247</v>
      </c>
      <c r="H20" s="80">
        <f t="shared" si="7"/>
        <v>16707419.726722924</v>
      </c>
      <c r="I20" s="80">
        <f t="shared" si="7"/>
        <v>0</v>
      </c>
      <c r="J20" s="80">
        <f t="shared" si="7"/>
        <v>1508940.4941997873</v>
      </c>
      <c r="K20" s="80">
        <f t="shared" si="7"/>
        <v>19189294.115863409</v>
      </c>
      <c r="L20" s="80">
        <f t="shared" si="7"/>
        <v>0</v>
      </c>
      <c r="M20" s="80">
        <f t="shared" si="7"/>
        <v>0</v>
      </c>
      <c r="N20" s="80">
        <f t="shared" si="7"/>
        <v>15582015.862607069</v>
      </c>
      <c r="O20" s="80">
        <f t="shared" si="7"/>
        <v>9509092.0343667325</v>
      </c>
      <c r="P20" s="80">
        <f t="shared" si="7"/>
        <v>3759629.6779938848</v>
      </c>
      <c r="Q20" s="80">
        <f t="shared" si="8"/>
        <v>805202.70860677375</v>
      </c>
      <c r="R20" s="80">
        <f t="shared" si="8"/>
        <v>524667.05205453048</v>
      </c>
      <c r="S20" s="80">
        <f t="shared" si="8"/>
        <v>0</v>
      </c>
      <c r="T20" s="80">
        <f t="shared" si="8"/>
        <v>0</v>
      </c>
      <c r="U20" s="80">
        <f t="shared" si="8"/>
        <v>18365.696383953222</v>
      </c>
      <c r="V20" s="80">
        <f t="shared" si="8"/>
        <v>0</v>
      </c>
      <c r="W20" s="80">
        <f t="shared" si="8"/>
        <v>0</v>
      </c>
      <c r="X20" s="64">
        <f t="shared" si="8"/>
        <v>0</v>
      </c>
      <c r="Y20" s="64">
        <f t="shared" si="8"/>
        <v>0</v>
      </c>
      <c r="Z20" s="64">
        <f t="shared" si="8"/>
        <v>0</v>
      </c>
      <c r="AA20" s="64">
        <f>SUM(G20:Z20)</f>
        <v>135008980.95163128</v>
      </c>
      <c r="AB20" s="59" t="str">
        <f>IF(ABS(F20-AA20)&lt;0.01,"ok","err")</f>
        <v>ok</v>
      </c>
    </row>
    <row r="21" spans="1:28" x14ac:dyDescent="0.25">
      <c r="A21" s="61" t="s">
        <v>1156</v>
      </c>
      <c r="D21" s="61" t="s">
        <v>368</v>
      </c>
      <c r="F21" s="77">
        <f t="shared" ref="F21:Y21" si="9">SUM(F18:F20)</f>
        <v>436729109.28113377</v>
      </c>
      <c r="G21" s="77">
        <f t="shared" si="9"/>
        <v>218040630.29293784</v>
      </c>
      <c r="H21" s="77">
        <f t="shared" si="9"/>
        <v>54045415.973118514</v>
      </c>
      <c r="I21" s="77">
        <f t="shared" si="9"/>
        <v>0</v>
      </c>
      <c r="J21" s="77">
        <f t="shared" si="9"/>
        <v>4881143.708700398</v>
      </c>
      <c r="K21" s="77">
        <f t="shared" si="9"/>
        <v>62073821.073852554</v>
      </c>
      <c r="L21" s="77">
        <f t="shared" si="9"/>
        <v>0</v>
      </c>
      <c r="M21" s="77">
        <f t="shared" si="9"/>
        <v>0</v>
      </c>
      <c r="N21" s="77">
        <f t="shared" si="9"/>
        <v>50404942.400971867</v>
      </c>
      <c r="O21" s="77">
        <f>SUM(O18:O20)</f>
        <v>30760155.842737131</v>
      </c>
      <c r="P21" s="77">
        <f t="shared" si="9"/>
        <v>12161707.383640138</v>
      </c>
      <c r="Q21" s="77">
        <f t="shared" si="9"/>
        <v>2604681.9940562155</v>
      </c>
      <c r="R21" s="77">
        <f t="shared" si="9"/>
        <v>1697200.9765411441</v>
      </c>
      <c r="S21" s="77">
        <f t="shared" si="9"/>
        <v>0</v>
      </c>
      <c r="T21" s="77">
        <f t="shared" si="9"/>
        <v>0</v>
      </c>
      <c r="U21" s="77">
        <f t="shared" si="9"/>
        <v>59409.634578052239</v>
      </c>
      <c r="V21" s="77">
        <f t="shared" si="9"/>
        <v>0</v>
      </c>
      <c r="W21" s="77">
        <f t="shared" si="9"/>
        <v>0</v>
      </c>
      <c r="X21" s="63">
        <f t="shared" si="9"/>
        <v>0</v>
      </c>
      <c r="Y21" s="63">
        <f t="shared" si="9"/>
        <v>0</v>
      </c>
      <c r="Z21" s="63">
        <f>SUM(Z18:Z20)</f>
        <v>0</v>
      </c>
      <c r="AA21" s="65">
        <f>SUM(G21:Z21)</f>
        <v>436729109.28113389</v>
      </c>
      <c r="AB21" s="59" t="str">
        <f>IF(ABS(F21-AA21)&lt;0.01,"ok","err")</f>
        <v>ok</v>
      </c>
    </row>
    <row r="22" spans="1:28" x14ac:dyDescent="0.25">
      <c r="F22" s="80"/>
      <c r="G22" s="80"/>
    </row>
    <row r="23" spans="1:28" x14ac:dyDescent="0.25">
      <c r="A23" s="66" t="s">
        <v>350</v>
      </c>
      <c r="F23" s="80"/>
      <c r="G23" s="80"/>
    </row>
    <row r="24" spans="1:28" x14ac:dyDescent="0.25">
      <c r="A24" s="69" t="s">
        <v>377</v>
      </c>
      <c r="C24" s="61" t="s">
        <v>982</v>
      </c>
      <c r="D24" s="61" t="s">
        <v>380</v>
      </c>
      <c r="E24" s="61" t="s">
        <v>133</v>
      </c>
      <c r="F24" s="77">
        <f>VLOOKUP(C24,'Functional Assignment'!$C$2:$AP$778,'Functional Assignment'!$Q$2,)</f>
        <v>0</v>
      </c>
      <c r="G24" s="77">
        <f t="shared" ref="G24:Z24" si="10">IF(VLOOKUP($E24,$D$6:$AN$1141,3,)=0,0,(VLOOKUP($E24,$D$6:$AN$1141,G$2,)/VLOOKUP($E24,$D$6:$AN$1141,3,))*$F24)</f>
        <v>0</v>
      </c>
      <c r="H24" s="77">
        <f t="shared" si="10"/>
        <v>0</v>
      </c>
      <c r="I24" s="77">
        <f t="shared" si="10"/>
        <v>0</v>
      </c>
      <c r="J24" s="77">
        <f t="shared" si="10"/>
        <v>0</v>
      </c>
      <c r="K24" s="77">
        <f t="shared" si="10"/>
        <v>0</v>
      </c>
      <c r="L24" s="77">
        <f t="shared" si="10"/>
        <v>0</v>
      </c>
      <c r="M24" s="77">
        <f t="shared" si="10"/>
        <v>0</v>
      </c>
      <c r="N24" s="77">
        <f t="shared" si="10"/>
        <v>0</v>
      </c>
      <c r="O24" s="77">
        <f t="shared" si="10"/>
        <v>0</v>
      </c>
      <c r="P24" s="77">
        <f t="shared" si="10"/>
        <v>0</v>
      </c>
      <c r="Q24" s="77">
        <f t="shared" si="10"/>
        <v>0</v>
      </c>
      <c r="R24" s="77">
        <f t="shared" si="10"/>
        <v>0</v>
      </c>
      <c r="S24" s="77">
        <f t="shared" si="10"/>
        <v>0</v>
      </c>
      <c r="T24" s="77">
        <f t="shared" si="10"/>
        <v>0</v>
      </c>
      <c r="U24" s="77">
        <f t="shared" si="10"/>
        <v>0</v>
      </c>
      <c r="V24" s="77">
        <f t="shared" si="10"/>
        <v>0</v>
      </c>
      <c r="W24" s="77">
        <f t="shared" si="10"/>
        <v>0</v>
      </c>
      <c r="X24" s="63">
        <f t="shared" si="10"/>
        <v>0</v>
      </c>
      <c r="Y24" s="63">
        <f t="shared" si="10"/>
        <v>0</v>
      </c>
      <c r="Z24" s="63">
        <f t="shared" si="10"/>
        <v>0</v>
      </c>
      <c r="AA24" s="65">
        <f>SUM(G24:Z24)</f>
        <v>0</v>
      </c>
      <c r="AB24" s="59" t="str">
        <f>IF(ABS(F24-AA24)&lt;0.01,"ok","err")</f>
        <v>ok</v>
      </c>
    </row>
    <row r="25" spans="1:28" x14ac:dyDescent="0.25">
      <c r="F25" s="80"/>
    </row>
    <row r="26" spans="1:28" x14ac:dyDescent="0.25">
      <c r="A26" s="66" t="s">
        <v>351</v>
      </c>
      <c r="F26" s="80"/>
      <c r="G26" s="80"/>
    </row>
    <row r="27" spans="1:28" x14ac:dyDescent="0.25">
      <c r="A27" s="69" t="s">
        <v>379</v>
      </c>
      <c r="C27" s="61" t="s">
        <v>982</v>
      </c>
      <c r="D27" s="61" t="s">
        <v>381</v>
      </c>
      <c r="E27" s="61" t="s">
        <v>133</v>
      </c>
      <c r="F27" s="77">
        <f>VLOOKUP(C27,'Functional Assignment'!$C$2:$AP$778,'Functional Assignment'!$R$2,)</f>
        <v>155297976.98302206</v>
      </c>
      <c r="G27" s="77">
        <f t="shared" ref="G27:Z27" si="11">IF(VLOOKUP($E27,$D$6:$AN$1141,3,)=0,0,(VLOOKUP($E27,$D$6:$AN$1141,G$2,)/VLOOKUP($E27,$D$6:$AN$1141,3,))*$F27)</f>
        <v>74562531.659292981</v>
      </c>
      <c r="H27" s="77">
        <f t="shared" si="11"/>
        <v>20744409.221252427</v>
      </c>
      <c r="I27" s="77">
        <f t="shared" si="11"/>
        <v>0</v>
      </c>
      <c r="J27" s="77">
        <f t="shared" si="11"/>
        <v>1748507.6186738168</v>
      </c>
      <c r="K27" s="77">
        <f t="shared" si="11"/>
        <v>22027725.296251472</v>
      </c>
      <c r="L27" s="77">
        <f t="shared" si="11"/>
        <v>0</v>
      </c>
      <c r="M27" s="77">
        <f t="shared" si="11"/>
        <v>0</v>
      </c>
      <c r="N27" s="77">
        <f t="shared" si="11"/>
        <v>21217230.409871664</v>
      </c>
      <c r="O27" s="77">
        <f t="shared" si="11"/>
        <v>11115894.461925043</v>
      </c>
      <c r="P27" s="77">
        <f t="shared" si="11"/>
        <v>0</v>
      </c>
      <c r="Q27" s="77">
        <f t="shared" si="11"/>
        <v>1231471.0812798114</v>
      </c>
      <c r="R27" s="77">
        <f t="shared" si="11"/>
        <v>634614.9845353791</v>
      </c>
      <c r="S27" s="77">
        <f t="shared" si="11"/>
        <v>1938118.6461132274</v>
      </c>
      <c r="T27" s="77">
        <f t="shared" si="11"/>
        <v>56065.423267421327</v>
      </c>
      <c r="U27" s="77">
        <f t="shared" si="11"/>
        <v>21408.180558845692</v>
      </c>
      <c r="V27" s="77">
        <f t="shared" si="11"/>
        <v>0</v>
      </c>
      <c r="W27" s="77">
        <f t="shared" si="11"/>
        <v>0</v>
      </c>
      <c r="X27" s="63">
        <f t="shared" si="11"/>
        <v>0</v>
      </c>
      <c r="Y27" s="63">
        <f t="shared" si="11"/>
        <v>0</v>
      </c>
      <c r="Z27" s="63">
        <f t="shared" si="11"/>
        <v>0</v>
      </c>
      <c r="AA27" s="65">
        <f>SUM(G27:Z27)</f>
        <v>155297976.98302206</v>
      </c>
      <c r="AB27" s="59" t="str">
        <f>IF(ABS(F27-AA27)&lt;0.01,"ok","err")</f>
        <v>ok</v>
      </c>
    </row>
    <row r="28" spans="1:28" x14ac:dyDescent="0.25">
      <c r="F28" s="80"/>
    </row>
    <row r="29" spans="1:28" x14ac:dyDescent="0.25">
      <c r="A29" s="66" t="s">
        <v>378</v>
      </c>
      <c r="F29" s="80"/>
    </row>
    <row r="30" spans="1:28" x14ac:dyDescent="0.25">
      <c r="A30" s="69" t="s">
        <v>629</v>
      </c>
      <c r="C30" s="61" t="s">
        <v>982</v>
      </c>
      <c r="D30" s="61" t="s">
        <v>384</v>
      </c>
      <c r="E30" s="61" t="s">
        <v>133</v>
      </c>
      <c r="F30" s="77">
        <f>VLOOKUP(C30,'Functional Assignment'!$C$2:$AP$778,'Functional Assignment'!$S$2,)</f>
        <v>0</v>
      </c>
      <c r="G30" s="77">
        <f t="shared" ref="G30:P34" si="12">IF(VLOOKUP($E30,$D$6:$AN$1141,3,)=0,0,(VLOOKUP($E30,$D$6:$AN$1141,G$2,)/VLOOKUP($E30,$D$6:$AN$1141,3,))*$F30)</f>
        <v>0</v>
      </c>
      <c r="H30" s="77">
        <f t="shared" si="12"/>
        <v>0</v>
      </c>
      <c r="I30" s="77">
        <f t="shared" si="12"/>
        <v>0</v>
      </c>
      <c r="J30" s="77">
        <f t="shared" si="12"/>
        <v>0</v>
      </c>
      <c r="K30" s="77">
        <f t="shared" si="12"/>
        <v>0</v>
      </c>
      <c r="L30" s="77">
        <f t="shared" si="12"/>
        <v>0</v>
      </c>
      <c r="M30" s="77">
        <f t="shared" si="12"/>
        <v>0</v>
      </c>
      <c r="N30" s="77">
        <f t="shared" si="12"/>
        <v>0</v>
      </c>
      <c r="O30" s="77">
        <f t="shared" si="12"/>
        <v>0</v>
      </c>
      <c r="P30" s="77">
        <f t="shared" si="12"/>
        <v>0</v>
      </c>
      <c r="Q30" s="77">
        <f t="shared" ref="Q30:Z34" si="13">IF(VLOOKUP($E30,$D$6:$AN$1141,3,)=0,0,(VLOOKUP($E30,$D$6:$AN$1141,Q$2,)/VLOOKUP($E30,$D$6:$AN$1141,3,))*$F30)</f>
        <v>0</v>
      </c>
      <c r="R30" s="77">
        <f t="shared" si="13"/>
        <v>0</v>
      </c>
      <c r="S30" s="77">
        <f t="shared" si="13"/>
        <v>0</v>
      </c>
      <c r="T30" s="77">
        <f t="shared" si="13"/>
        <v>0</v>
      </c>
      <c r="U30" s="77">
        <f t="shared" si="13"/>
        <v>0</v>
      </c>
      <c r="V30" s="77">
        <f t="shared" si="13"/>
        <v>0</v>
      </c>
      <c r="W30" s="77">
        <f t="shared" si="13"/>
        <v>0</v>
      </c>
      <c r="X30" s="63">
        <f t="shared" si="13"/>
        <v>0</v>
      </c>
      <c r="Y30" s="63">
        <f t="shared" si="13"/>
        <v>0</v>
      </c>
      <c r="Z30" s="63">
        <f t="shared" si="13"/>
        <v>0</v>
      </c>
      <c r="AA30" s="65">
        <f t="shared" ref="AA30:AA35" si="14">SUM(G30:Z30)</f>
        <v>0</v>
      </c>
      <c r="AB30" s="59" t="str">
        <f t="shared" ref="AB30:AB35" si="15">IF(ABS(F30-AA30)&lt;0.01,"ok","err")</f>
        <v>ok</v>
      </c>
    </row>
    <row r="31" spans="1:28" x14ac:dyDescent="0.25">
      <c r="A31" s="69" t="s">
        <v>630</v>
      </c>
      <c r="C31" s="61" t="s">
        <v>982</v>
      </c>
      <c r="D31" s="61" t="s">
        <v>385</v>
      </c>
      <c r="E31" s="61" t="s">
        <v>133</v>
      </c>
      <c r="F31" s="80">
        <f>VLOOKUP(C31,'Functional Assignment'!$C$2:$AP$778,'Functional Assignment'!$T$2,)</f>
        <v>227907880.74099761</v>
      </c>
      <c r="G31" s="80">
        <f t="shared" si="12"/>
        <v>109424403.99600829</v>
      </c>
      <c r="H31" s="80">
        <f t="shared" si="12"/>
        <v>30443502.450495649</v>
      </c>
      <c r="I31" s="80">
        <f t="shared" si="12"/>
        <v>0</v>
      </c>
      <c r="J31" s="80">
        <f t="shared" si="12"/>
        <v>2566026.1232830081</v>
      </c>
      <c r="K31" s="80">
        <f t="shared" si="12"/>
        <v>32326835.721513487</v>
      </c>
      <c r="L31" s="80">
        <f t="shared" si="12"/>
        <v>0</v>
      </c>
      <c r="M31" s="80">
        <f t="shared" si="12"/>
        <v>0</v>
      </c>
      <c r="N31" s="80">
        <f t="shared" si="12"/>
        <v>31137392.204638619</v>
      </c>
      <c r="O31" s="80">
        <f t="shared" si="12"/>
        <v>16313154.868945215</v>
      </c>
      <c r="P31" s="80">
        <f t="shared" si="12"/>
        <v>0</v>
      </c>
      <c r="Q31" s="80">
        <f t="shared" si="13"/>
        <v>1807248.0387750962</v>
      </c>
      <c r="R31" s="80">
        <f t="shared" si="13"/>
        <v>931330.58795576775</v>
      </c>
      <c r="S31" s="80">
        <f t="shared" si="13"/>
        <v>2844290.1951553905</v>
      </c>
      <c r="T31" s="80">
        <f t="shared" si="13"/>
        <v>82278.932719915203</v>
      </c>
      <c r="U31" s="80">
        <f t="shared" si="13"/>
        <v>31417.621507204531</v>
      </c>
      <c r="V31" s="80">
        <f t="shared" si="13"/>
        <v>0</v>
      </c>
      <c r="W31" s="80">
        <f t="shared" si="13"/>
        <v>0</v>
      </c>
      <c r="X31" s="64">
        <f t="shared" si="13"/>
        <v>0</v>
      </c>
      <c r="Y31" s="64">
        <f t="shared" si="13"/>
        <v>0</v>
      </c>
      <c r="Z31" s="64">
        <f t="shared" si="13"/>
        <v>0</v>
      </c>
      <c r="AA31" s="64">
        <f t="shared" si="14"/>
        <v>227907880.74099761</v>
      </c>
      <c r="AB31" s="59" t="str">
        <f t="shared" si="15"/>
        <v>ok</v>
      </c>
    </row>
    <row r="32" spans="1:28" x14ac:dyDescent="0.25">
      <c r="A32" s="69" t="s">
        <v>631</v>
      </c>
      <c r="C32" s="61" t="s">
        <v>982</v>
      </c>
      <c r="D32" s="61" t="s">
        <v>386</v>
      </c>
      <c r="E32" s="61" t="s">
        <v>707</v>
      </c>
      <c r="F32" s="80">
        <f>VLOOKUP(C32,'Functional Assignment'!$C$2:$AP$778,'Functional Assignment'!$U$2,)</f>
        <v>370333191.72956675</v>
      </c>
      <c r="G32" s="80">
        <f t="shared" si="12"/>
        <v>318615513.2995674</v>
      </c>
      <c r="H32" s="80">
        <f t="shared" si="12"/>
        <v>39304855.564915895</v>
      </c>
      <c r="I32" s="80">
        <f t="shared" si="12"/>
        <v>0</v>
      </c>
      <c r="J32" s="80">
        <f t="shared" si="12"/>
        <v>64336.665872276695</v>
      </c>
      <c r="K32" s="80">
        <f t="shared" si="12"/>
        <v>2463741.7732321853</v>
      </c>
      <c r="L32" s="80">
        <f t="shared" si="12"/>
        <v>0</v>
      </c>
      <c r="M32" s="80">
        <f t="shared" si="12"/>
        <v>0</v>
      </c>
      <c r="N32" s="80">
        <f t="shared" si="12"/>
        <v>96651.886173420236</v>
      </c>
      <c r="O32" s="80">
        <f t="shared" si="12"/>
        <v>281289.30398495408</v>
      </c>
      <c r="P32" s="80">
        <f t="shared" si="12"/>
        <v>0</v>
      </c>
      <c r="Q32" s="80">
        <f t="shared" si="13"/>
        <v>881.32419003118753</v>
      </c>
      <c r="R32" s="80">
        <f t="shared" si="13"/>
        <v>1762.6483800623751</v>
      </c>
      <c r="S32" s="80">
        <f t="shared" si="13"/>
        <v>9400260.9337368142</v>
      </c>
      <c r="T32" s="80">
        <f t="shared" si="13"/>
        <v>15276.285960540583</v>
      </c>
      <c r="U32" s="80">
        <f t="shared" si="13"/>
        <v>88622.0435531361</v>
      </c>
      <c r="V32" s="80">
        <f t="shared" si="13"/>
        <v>0</v>
      </c>
      <c r="W32" s="80">
        <f t="shared" si="13"/>
        <v>0</v>
      </c>
      <c r="X32" s="64">
        <f t="shared" si="13"/>
        <v>0</v>
      </c>
      <c r="Y32" s="64">
        <f t="shared" si="13"/>
        <v>0</v>
      </c>
      <c r="Z32" s="64">
        <f t="shared" si="13"/>
        <v>0</v>
      </c>
      <c r="AA32" s="64">
        <f t="shared" si="14"/>
        <v>370333191.72956663</v>
      </c>
      <c r="AB32" s="59" t="str">
        <f t="shared" si="15"/>
        <v>ok</v>
      </c>
    </row>
    <row r="33" spans="1:28" x14ac:dyDescent="0.25">
      <c r="A33" s="69" t="s">
        <v>632</v>
      </c>
      <c r="C33" s="61" t="s">
        <v>982</v>
      </c>
      <c r="D33" s="61" t="s">
        <v>387</v>
      </c>
      <c r="E33" s="61" t="s">
        <v>685</v>
      </c>
      <c r="F33" s="80">
        <f>VLOOKUP(C33,'Functional Assignment'!$C$2:$AP$778,'Functional Assignment'!$V$2,)</f>
        <v>75969293.580332547</v>
      </c>
      <c r="G33" s="80">
        <f t="shared" si="12"/>
        <v>64417733.422883518</v>
      </c>
      <c r="H33" s="80">
        <f t="shared" si="12"/>
        <v>10811612.320090083</v>
      </c>
      <c r="I33" s="80">
        <f t="shared" si="12"/>
        <v>0</v>
      </c>
      <c r="J33" s="80">
        <f t="shared" si="12"/>
        <v>0</v>
      </c>
      <c r="K33" s="80">
        <f t="shared" si="12"/>
        <v>0</v>
      </c>
      <c r="L33" s="80">
        <f t="shared" si="12"/>
        <v>0</v>
      </c>
      <c r="M33" s="80">
        <f t="shared" si="12"/>
        <v>0</v>
      </c>
      <c r="N33" s="80">
        <f t="shared" si="12"/>
        <v>0</v>
      </c>
      <c r="O33" s="80">
        <f t="shared" si="12"/>
        <v>0</v>
      </c>
      <c r="P33" s="80">
        <f t="shared" si="12"/>
        <v>0</v>
      </c>
      <c r="Q33" s="80">
        <f t="shared" si="13"/>
        <v>0</v>
      </c>
      <c r="R33" s="80">
        <f t="shared" si="13"/>
        <v>0</v>
      </c>
      <c r="S33" s="80">
        <f t="shared" si="13"/>
        <v>711506.35788541276</v>
      </c>
      <c r="T33" s="80">
        <f t="shared" si="13"/>
        <v>20582.282303668915</v>
      </c>
      <c r="U33" s="80">
        <f t="shared" si="13"/>
        <v>7859.1971698556827</v>
      </c>
      <c r="V33" s="80">
        <f t="shared" si="13"/>
        <v>0</v>
      </c>
      <c r="W33" s="80">
        <f t="shared" si="13"/>
        <v>0</v>
      </c>
      <c r="X33" s="64">
        <f t="shared" si="13"/>
        <v>0</v>
      </c>
      <c r="Y33" s="64">
        <f t="shared" si="13"/>
        <v>0</v>
      </c>
      <c r="Z33" s="64">
        <f t="shared" si="13"/>
        <v>0</v>
      </c>
      <c r="AA33" s="64">
        <f t="shared" si="14"/>
        <v>75969293.580332533</v>
      </c>
      <c r="AB33" s="59" t="str">
        <f t="shared" si="15"/>
        <v>ok</v>
      </c>
    </row>
    <row r="34" spans="1:28" x14ac:dyDescent="0.25">
      <c r="A34" s="69" t="s">
        <v>633</v>
      </c>
      <c r="C34" s="61" t="s">
        <v>982</v>
      </c>
      <c r="D34" s="61" t="s">
        <v>388</v>
      </c>
      <c r="E34" s="61" t="s">
        <v>706</v>
      </c>
      <c r="F34" s="80">
        <f>VLOOKUP(C34,'Functional Assignment'!$C$2:$AP$778,'Functional Assignment'!$W$2,)</f>
        <v>123444397.24318892</v>
      </c>
      <c r="G34" s="80">
        <f t="shared" si="12"/>
        <v>107045929.11097367</v>
      </c>
      <c r="H34" s="80">
        <f t="shared" si="12"/>
        <v>13205335.606377576</v>
      </c>
      <c r="I34" s="80">
        <f t="shared" si="12"/>
        <v>0</v>
      </c>
      <c r="J34" s="80">
        <f t="shared" si="12"/>
        <v>0</v>
      </c>
      <c r="K34" s="80">
        <f t="shared" si="12"/>
        <v>0</v>
      </c>
      <c r="L34" s="80">
        <f t="shared" si="12"/>
        <v>0</v>
      </c>
      <c r="M34" s="80">
        <f t="shared" si="12"/>
        <v>0</v>
      </c>
      <c r="N34" s="80">
        <f t="shared" si="12"/>
        <v>0</v>
      </c>
      <c r="O34" s="80">
        <f t="shared" si="12"/>
        <v>0</v>
      </c>
      <c r="P34" s="80">
        <f t="shared" si="12"/>
        <v>0</v>
      </c>
      <c r="Q34" s="80">
        <f t="shared" si="13"/>
        <v>0</v>
      </c>
      <c r="R34" s="80">
        <f t="shared" si="13"/>
        <v>0</v>
      </c>
      <c r="S34" s="80">
        <f t="shared" si="13"/>
        <v>3158225.5839229799</v>
      </c>
      <c r="T34" s="80">
        <f t="shared" si="13"/>
        <v>5132.4061627642341</v>
      </c>
      <c r="U34" s="80">
        <f t="shared" si="13"/>
        <v>29774.535751933541</v>
      </c>
      <c r="V34" s="80">
        <f t="shared" si="13"/>
        <v>0</v>
      </c>
      <c r="W34" s="80">
        <f t="shared" si="13"/>
        <v>0</v>
      </c>
      <c r="X34" s="64">
        <f t="shared" si="13"/>
        <v>0</v>
      </c>
      <c r="Y34" s="64">
        <f t="shared" si="13"/>
        <v>0</v>
      </c>
      <c r="Z34" s="64">
        <f t="shared" si="13"/>
        <v>0</v>
      </c>
      <c r="AA34" s="64">
        <f t="shared" si="14"/>
        <v>123444397.24318893</v>
      </c>
      <c r="AB34" s="59" t="str">
        <f t="shared" si="15"/>
        <v>ok</v>
      </c>
    </row>
    <row r="35" spans="1:28" x14ac:dyDescent="0.25">
      <c r="A35" s="61" t="s">
        <v>383</v>
      </c>
      <c r="D35" s="61" t="s">
        <v>389</v>
      </c>
      <c r="F35" s="77">
        <f>SUM(F30:F34)</f>
        <v>797654763.29408574</v>
      </c>
      <c r="G35" s="77">
        <f t="shared" ref="G35:Z35" si="16">SUM(G30:G34)</f>
        <v>599503579.82943285</v>
      </c>
      <c r="H35" s="77">
        <f t="shared" si="16"/>
        <v>93765305.941879198</v>
      </c>
      <c r="I35" s="77">
        <f t="shared" si="16"/>
        <v>0</v>
      </c>
      <c r="J35" s="77">
        <f t="shared" si="16"/>
        <v>2630362.7891552849</v>
      </c>
      <c r="K35" s="77">
        <f t="shared" si="16"/>
        <v>34790577.494745672</v>
      </c>
      <c r="L35" s="77">
        <f t="shared" si="16"/>
        <v>0</v>
      </c>
      <c r="M35" s="77">
        <f t="shared" si="16"/>
        <v>0</v>
      </c>
      <c r="N35" s="77">
        <f t="shared" si="16"/>
        <v>31234044.090812039</v>
      </c>
      <c r="O35" s="77">
        <f>SUM(O30:O34)</f>
        <v>16594444.17293017</v>
      </c>
      <c r="P35" s="77">
        <f t="shared" si="16"/>
        <v>0</v>
      </c>
      <c r="Q35" s="77">
        <f t="shared" si="16"/>
        <v>1808129.3629651275</v>
      </c>
      <c r="R35" s="77">
        <f t="shared" si="16"/>
        <v>933093.23633583018</v>
      </c>
      <c r="S35" s="77">
        <f t="shared" si="16"/>
        <v>16114283.070700599</v>
      </c>
      <c r="T35" s="77">
        <f t="shared" si="16"/>
        <v>123269.90714688893</v>
      </c>
      <c r="U35" s="77">
        <f t="shared" si="16"/>
        <v>157673.39798212986</v>
      </c>
      <c r="V35" s="77">
        <f t="shared" si="16"/>
        <v>0</v>
      </c>
      <c r="W35" s="77">
        <f t="shared" si="16"/>
        <v>0</v>
      </c>
      <c r="X35" s="63">
        <f t="shared" si="16"/>
        <v>0</v>
      </c>
      <c r="Y35" s="63">
        <f t="shared" si="16"/>
        <v>0</v>
      </c>
      <c r="Z35" s="63">
        <f t="shared" si="16"/>
        <v>0</v>
      </c>
      <c r="AA35" s="65">
        <f t="shared" si="14"/>
        <v>797654763.29408586</v>
      </c>
      <c r="AB35" s="59" t="str">
        <f t="shared" si="15"/>
        <v>ok</v>
      </c>
    </row>
    <row r="36" spans="1:28" x14ac:dyDescent="0.25">
      <c r="F36" s="80"/>
    </row>
    <row r="37" spans="1:28" x14ac:dyDescent="0.25">
      <c r="A37" s="66" t="s">
        <v>640</v>
      </c>
      <c r="F37" s="80"/>
    </row>
    <row r="38" spans="1:28" x14ac:dyDescent="0.25">
      <c r="A38" s="69" t="s">
        <v>1113</v>
      </c>
      <c r="C38" s="61" t="s">
        <v>982</v>
      </c>
      <c r="D38" s="61" t="s">
        <v>390</v>
      </c>
      <c r="E38" s="61" t="s">
        <v>1379</v>
      </c>
      <c r="F38" s="77">
        <f>VLOOKUP(C38,'Functional Assignment'!$C$2:$AP$778,'Functional Assignment'!$X$2,)</f>
        <v>94171030.722313166</v>
      </c>
      <c r="G38" s="77">
        <f t="shared" ref="G38:P39" si="17">IF(VLOOKUP($E38,$D$6:$AN$1141,3,)=0,0,(VLOOKUP($E38,$D$6:$AN$1141,G$2,)/VLOOKUP($E38,$D$6:$AN$1141,3,))*$F38)</f>
        <v>66489426.787865564</v>
      </c>
      <c r="H38" s="77">
        <f t="shared" si="17"/>
        <v>11159316.9709391</v>
      </c>
      <c r="I38" s="77">
        <f t="shared" si="17"/>
        <v>0</v>
      </c>
      <c r="J38" s="77">
        <f t="shared" si="17"/>
        <v>0</v>
      </c>
      <c r="K38" s="77">
        <f t="shared" si="17"/>
        <v>10358148.742857182</v>
      </c>
      <c r="L38" s="77">
        <f t="shared" si="17"/>
        <v>0</v>
      </c>
      <c r="M38" s="77">
        <f t="shared" si="17"/>
        <v>0</v>
      </c>
      <c r="N38" s="77">
        <f t="shared" si="17"/>
        <v>0</v>
      </c>
      <c r="O38" s="77">
        <f t="shared" si="17"/>
        <v>5400393.441928043</v>
      </c>
      <c r="P38" s="77">
        <f t="shared" si="17"/>
        <v>0</v>
      </c>
      <c r="Q38" s="77">
        <f t="shared" ref="Q38:Z39" si="18">IF(VLOOKUP($E38,$D$6:$AN$1141,3,)=0,0,(VLOOKUP($E38,$D$6:$AN$1141,Q$2,)/VLOOKUP($E38,$D$6:$AN$1141,3,))*$F38)</f>
        <v>0</v>
      </c>
      <c r="R38" s="77">
        <f t="shared" si="18"/>
        <v>0</v>
      </c>
      <c r="S38" s="77">
        <f t="shared" si="18"/>
        <v>734388.61285544129</v>
      </c>
      <c r="T38" s="77">
        <f t="shared" si="18"/>
        <v>21244.214591860087</v>
      </c>
      <c r="U38" s="77">
        <f t="shared" si="18"/>
        <v>8111.9512759958361</v>
      </c>
      <c r="V38" s="77">
        <f t="shared" si="18"/>
        <v>0</v>
      </c>
      <c r="W38" s="77">
        <f t="shared" si="18"/>
        <v>0</v>
      </c>
      <c r="X38" s="63">
        <f t="shared" si="18"/>
        <v>0</v>
      </c>
      <c r="Y38" s="63">
        <f t="shared" si="18"/>
        <v>0</v>
      </c>
      <c r="Z38" s="63">
        <f t="shared" si="18"/>
        <v>0</v>
      </c>
      <c r="AA38" s="65">
        <f>SUM(G38:Z38)</f>
        <v>94171030.722313181</v>
      </c>
      <c r="AB38" s="59" t="str">
        <f>IF(ABS(F38-AA38)&lt;0.01,"ok","err")</f>
        <v>ok</v>
      </c>
    </row>
    <row r="39" spans="1:28" x14ac:dyDescent="0.25">
      <c r="A39" s="69" t="s">
        <v>1116</v>
      </c>
      <c r="C39" s="61" t="s">
        <v>982</v>
      </c>
      <c r="D39" s="61" t="s">
        <v>391</v>
      </c>
      <c r="E39" s="61" t="s">
        <v>1377</v>
      </c>
      <c r="F39" s="80">
        <f>VLOOKUP(C39,'Functional Assignment'!$C$2:$AP$778,'Functional Assignment'!$Y$2,)</f>
        <v>71467350.815306529</v>
      </c>
      <c r="G39" s="80">
        <f t="shared" si="17"/>
        <v>61513990.272689596</v>
      </c>
      <c r="H39" s="80">
        <f t="shared" si="17"/>
        <v>7588451.9176454926</v>
      </c>
      <c r="I39" s="80">
        <f t="shared" si="17"/>
        <v>0</v>
      </c>
      <c r="J39" s="80">
        <f t="shared" si="17"/>
        <v>0</v>
      </c>
      <c r="K39" s="80">
        <f t="shared" si="17"/>
        <v>475666.06504351087</v>
      </c>
      <c r="L39" s="80">
        <f t="shared" si="17"/>
        <v>0</v>
      </c>
      <c r="M39" s="80">
        <f t="shared" si="17"/>
        <v>0</v>
      </c>
      <c r="N39" s="80">
        <f t="shared" si="17"/>
        <v>0</v>
      </c>
      <c r="O39" s="80">
        <f t="shared" si="17"/>
        <v>54307.548712712298</v>
      </c>
      <c r="P39" s="80">
        <f t="shared" si="17"/>
        <v>0</v>
      </c>
      <c r="Q39" s="80">
        <f t="shared" si="18"/>
        <v>0</v>
      </c>
      <c r="R39" s="80">
        <f t="shared" si="18"/>
        <v>0</v>
      </c>
      <c r="S39" s="80">
        <f t="shared" si="18"/>
        <v>1814875.7216819911</v>
      </c>
      <c r="T39" s="80">
        <f t="shared" si="18"/>
        <v>2949.3394601159675</v>
      </c>
      <c r="U39" s="80">
        <f t="shared" si="18"/>
        <v>17109.950073108659</v>
      </c>
      <c r="V39" s="80">
        <f t="shared" si="18"/>
        <v>0</v>
      </c>
      <c r="W39" s="80">
        <f t="shared" si="18"/>
        <v>0</v>
      </c>
      <c r="X39" s="64">
        <f t="shared" si="18"/>
        <v>0</v>
      </c>
      <c r="Y39" s="64">
        <f t="shared" si="18"/>
        <v>0</v>
      </c>
      <c r="Z39" s="64">
        <f t="shared" si="18"/>
        <v>0</v>
      </c>
      <c r="AA39" s="64">
        <f>SUM(G39:Z39)</f>
        <v>71467350.815306544</v>
      </c>
      <c r="AB39" s="59" t="str">
        <f>IF(ABS(F39-AA39)&lt;0.01,"ok","err")</f>
        <v>ok</v>
      </c>
    </row>
    <row r="40" spans="1:28" x14ac:dyDescent="0.25">
      <c r="A40" s="61" t="s">
        <v>721</v>
      </c>
      <c r="D40" s="61" t="s">
        <v>394</v>
      </c>
      <c r="F40" s="77">
        <f t="shared" ref="F40:Q40" si="19">F38+F39</f>
        <v>165638381.53761971</v>
      </c>
      <c r="G40" s="77">
        <f t="shared" si="19"/>
        <v>128003417.06055516</v>
      </c>
      <c r="H40" s="77">
        <f t="shared" si="19"/>
        <v>18747768.888584591</v>
      </c>
      <c r="I40" s="77">
        <f t="shared" si="19"/>
        <v>0</v>
      </c>
      <c r="J40" s="77">
        <f t="shared" si="19"/>
        <v>0</v>
      </c>
      <c r="K40" s="77">
        <f t="shared" si="19"/>
        <v>10833814.807900693</v>
      </c>
      <c r="L40" s="77">
        <f t="shared" si="19"/>
        <v>0</v>
      </c>
      <c r="M40" s="77">
        <f t="shared" si="19"/>
        <v>0</v>
      </c>
      <c r="N40" s="77">
        <f t="shared" si="19"/>
        <v>0</v>
      </c>
      <c r="O40" s="77">
        <f>O38+O39</f>
        <v>5454700.9906407557</v>
      </c>
      <c r="P40" s="77">
        <f t="shared" si="19"/>
        <v>0</v>
      </c>
      <c r="Q40" s="77">
        <f t="shared" si="19"/>
        <v>0</v>
      </c>
      <c r="R40" s="77">
        <f t="shared" ref="R40:Z40" si="20">R38+R39</f>
        <v>0</v>
      </c>
      <c r="S40" s="77">
        <f t="shared" si="20"/>
        <v>2549264.3345374325</v>
      </c>
      <c r="T40" s="77">
        <f t="shared" si="20"/>
        <v>24193.554051976054</v>
      </c>
      <c r="U40" s="77">
        <f t="shared" si="20"/>
        <v>25221.901349104497</v>
      </c>
      <c r="V40" s="77">
        <f t="shared" si="20"/>
        <v>0</v>
      </c>
      <c r="W40" s="77">
        <f t="shared" si="20"/>
        <v>0</v>
      </c>
      <c r="X40" s="63">
        <f t="shared" si="20"/>
        <v>0</v>
      </c>
      <c r="Y40" s="63">
        <f t="shared" si="20"/>
        <v>0</v>
      </c>
      <c r="Z40" s="63">
        <f t="shared" si="20"/>
        <v>0</v>
      </c>
      <c r="AA40" s="65">
        <f>SUM(G40:Z40)</f>
        <v>165638381.53761971</v>
      </c>
      <c r="AB40" s="59" t="str">
        <f>IF(ABS(F40-AA40)&lt;0.01,"ok","err")</f>
        <v>ok</v>
      </c>
    </row>
    <row r="41" spans="1:28" x14ac:dyDescent="0.25">
      <c r="F41" s="80"/>
    </row>
    <row r="42" spans="1:28" x14ac:dyDescent="0.25">
      <c r="A42" s="66" t="s">
        <v>356</v>
      </c>
      <c r="F42" s="80"/>
    </row>
    <row r="43" spans="1:28" x14ac:dyDescent="0.25">
      <c r="A43" s="69" t="s">
        <v>1116</v>
      </c>
      <c r="C43" s="61" t="s">
        <v>982</v>
      </c>
      <c r="D43" s="61" t="s">
        <v>382</v>
      </c>
      <c r="E43" s="61" t="s">
        <v>1118</v>
      </c>
      <c r="F43" s="77">
        <f>VLOOKUP(C43,'Functional Assignment'!$C$2:$AP$778,'Functional Assignment'!$Z$2,)</f>
        <v>33916108.483513705</v>
      </c>
      <c r="G43" s="77">
        <f t="shared" ref="G43:Z43" si="21">IF(VLOOKUP($E43,$D$6:$AN$1141,3,)=0,0,(VLOOKUP($E43,$D$6:$AN$1141,G$2,)/VLOOKUP($E43,$D$6:$AN$1141,3,))*$F43)</f>
        <v>27381299.453546591</v>
      </c>
      <c r="H43" s="77">
        <f t="shared" si="21"/>
        <v>5846583.5763414269</v>
      </c>
      <c r="I43" s="77">
        <f t="shared" si="21"/>
        <v>0</v>
      </c>
      <c r="J43" s="77">
        <f t="shared" si="21"/>
        <v>0</v>
      </c>
      <c r="K43" s="77">
        <f t="shared" si="21"/>
        <v>584936.33682807407</v>
      </c>
      <c r="L43" s="77">
        <f t="shared" si="21"/>
        <v>0</v>
      </c>
      <c r="M43" s="77">
        <f t="shared" si="21"/>
        <v>0</v>
      </c>
      <c r="N43" s="77">
        <f t="shared" si="21"/>
        <v>0</v>
      </c>
      <c r="O43" s="77">
        <f t="shared" si="21"/>
        <v>103289.11679761506</v>
      </c>
      <c r="P43" s="77">
        <f t="shared" si="21"/>
        <v>0</v>
      </c>
      <c r="Q43" s="77">
        <f t="shared" si="21"/>
        <v>0</v>
      </c>
      <c r="R43" s="77">
        <f t="shared" si="21"/>
        <v>0</v>
      </c>
      <c r="S43" s="77">
        <f t="shared" si="21"/>
        <v>0</v>
      </c>
      <c r="T43" s="77">
        <f t="shared" si="21"/>
        <v>0</v>
      </c>
      <c r="U43" s="77">
        <f t="shared" si="21"/>
        <v>0</v>
      </c>
      <c r="V43" s="77">
        <f t="shared" si="21"/>
        <v>0</v>
      </c>
      <c r="W43" s="77">
        <f t="shared" si="21"/>
        <v>0</v>
      </c>
      <c r="X43" s="63">
        <f t="shared" si="21"/>
        <v>0</v>
      </c>
      <c r="Y43" s="63">
        <f t="shared" si="21"/>
        <v>0</v>
      </c>
      <c r="Z43" s="63">
        <f t="shared" si="21"/>
        <v>0</v>
      </c>
      <c r="AA43" s="65">
        <f>SUM(G43:Z43)</f>
        <v>33916108.483513713</v>
      </c>
      <c r="AB43" s="59" t="str">
        <f>IF(ABS(F43-AA43)&lt;0.01,"ok","err")</f>
        <v>ok</v>
      </c>
    </row>
    <row r="44" spans="1:28" x14ac:dyDescent="0.25">
      <c r="F44" s="80"/>
    </row>
    <row r="45" spans="1:28" x14ac:dyDescent="0.25">
      <c r="A45" s="66" t="s">
        <v>355</v>
      </c>
      <c r="F45" s="80"/>
    </row>
    <row r="46" spans="1:28" x14ac:dyDescent="0.25">
      <c r="A46" s="69" t="s">
        <v>1116</v>
      </c>
      <c r="C46" s="61" t="s">
        <v>982</v>
      </c>
      <c r="D46" s="61" t="s">
        <v>393</v>
      </c>
      <c r="E46" s="61" t="s">
        <v>1119</v>
      </c>
      <c r="F46" s="77">
        <f>VLOOKUP(C46,'Functional Assignment'!$C$2:$AP$778,'Functional Assignment'!$AA$2,)</f>
        <v>44791877.931702614</v>
      </c>
      <c r="G46" s="77">
        <f t="shared" ref="G46:Z46" si="22">IF(VLOOKUP($E46,$D$6:$AN$1141,3,)=0,0,(VLOOKUP($E46,$D$6:$AN$1141,G$2,)/VLOOKUP($E46,$D$6:$AN$1141,3,))*$F46)</f>
        <v>30684249.871322036</v>
      </c>
      <c r="H46" s="77">
        <f t="shared" si="22"/>
        <v>10042630.397958288</v>
      </c>
      <c r="I46" s="77">
        <f t="shared" si="22"/>
        <v>0</v>
      </c>
      <c r="J46" s="77">
        <f t="shared" si="22"/>
        <v>364493.82366777421</v>
      </c>
      <c r="K46" s="77">
        <f t="shared" si="22"/>
        <v>2363752.9926570333</v>
      </c>
      <c r="L46" s="77">
        <f t="shared" si="22"/>
        <v>0</v>
      </c>
      <c r="M46" s="77">
        <f t="shared" si="22"/>
        <v>0</v>
      </c>
      <c r="N46" s="77">
        <f t="shared" si="22"/>
        <v>523590.88072269532</v>
      </c>
      <c r="O46" s="77">
        <f t="shared" si="22"/>
        <v>296375.27794175455</v>
      </c>
      <c r="P46" s="77">
        <f t="shared" si="22"/>
        <v>412408.22532118956</v>
      </c>
      <c r="Q46" s="77">
        <f t="shared" si="22"/>
        <v>4774.3849306020848</v>
      </c>
      <c r="R46" s="77">
        <f t="shared" si="22"/>
        <v>9548.7698612041695</v>
      </c>
      <c r="S46" s="77">
        <f t="shared" si="22"/>
        <v>0</v>
      </c>
      <c r="T46" s="77">
        <f t="shared" si="22"/>
        <v>13240.637080042306</v>
      </c>
      <c r="U46" s="77">
        <f t="shared" si="22"/>
        <v>76812.67023998902</v>
      </c>
      <c r="V46" s="77">
        <f t="shared" si="22"/>
        <v>0</v>
      </c>
      <c r="W46" s="77">
        <f t="shared" si="22"/>
        <v>0</v>
      </c>
      <c r="X46" s="63">
        <f t="shared" si="22"/>
        <v>0</v>
      </c>
      <c r="Y46" s="63">
        <f t="shared" si="22"/>
        <v>0</v>
      </c>
      <c r="Z46" s="63">
        <f t="shared" si="22"/>
        <v>0</v>
      </c>
      <c r="AA46" s="65">
        <f>SUM(G46:Z46)</f>
        <v>44791877.931702614</v>
      </c>
      <c r="AB46" s="59" t="str">
        <f>IF(ABS(F46-AA46)&lt;0.01,"ok","err")</f>
        <v>ok</v>
      </c>
    </row>
    <row r="47" spans="1:28" x14ac:dyDescent="0.25">
      <c r="F47" s="80"/>
    </row>
    <row r="48" spans="1:28" x14ac:dyDescent="0.25">
      <c r="A48" s="66" t="s">
        <v>376</v>
      </c>
      <c r="F48" s="80"/>
    </row>
    <row r="49" spans="1:28" x14ac:dyDescent="0.25">
      <c r="A49" s="69" t="s">
        <v>1116</v>
      </c>
      <c r="C49" s="61" t="s">
        <v>982</v>
      </c>
      <c r="D49" s="61" t="s">
        <v>395</v>
      </c>
      <c r="E49" s="61" t="s">
        <v>1120</v>
      </c>
      <c r="F49" s="77">
        <f>VLOOKUP(C49,'Functional Assignment'!$C$2:$AP$778,'Functional Assignment'!$AB$2,)</f>
        <v>105611757.56249273</v>
      </c>
      <c r="G49" s="77">
        <f t="shared" ref="G49:Z49" si="23">IF(VLOOKUP($E49,$D$6:$AN$1141,3,)=0,0,(VLOOKUP($E49,$D$6:$AN$1141,G$2,)/VLOOKUP($E49,$D$6:$AN$1141,3,))*$F49)</f>
        <v>0</v>
      </c>
      <c r="H49" s="77">
        <f t="shared" si="23"/>
        <v>0</v>
      </c>
      <c r="I49" s="77">
        <f t="shared" si="23"/>
        <v>0</v>
      </c>
      <c r="J49" s="77">
        <f t="shared" si="23"/>
        <v>0</v>
      </c>
      <c r="K49" s="77">
        <f t="shared" si="23"/>
        <v>0</v>
      </c>
      <c r="L49" s="77">
        <f t="shared" si="23"/>
        <v>0</v>
      </c>
      <c r="M49" s="77">
        <f t="shared" si="23"/>
        <v>0</v>
      </c>
      <c r="N49" s="77">
        <f t="shared" si="23"/>
        <v>0</v>
      </c>
      <c r="O49" s="77">
        <f t="shared" si="23"/>
        <v>0</v>
      </c>
      <c r="P49" s="77">
        <f t="shared" si="23"/>
        <v>0</v>
      </c>
      <c r="Q49" s="77">
        <f t="shared" si="23"/>
        <v>0</v>
      </c>
      <c r="R49" s="77">
        <f t="shared" si="23"/>
        <v>0</v>
      </c>
      <c r="S49" s="77">
        <f t="shared" si="23"/>
        <v>105611757.56249273</v>
      </c>
      <c r="T49" s="77">
        <f t="shared" si="23"/>
        <v>0</v>
      </c>
      <c r="U49" s="77">
        <f t="shared" si="23"/>
        <v>0</v>
      </c>
      <c r="V49" s="77">
        <f t="shared" si="23"/>
        <v>0</v>
      </c>
      <c r="W49" s="77">
        <f t="shared" si="23"/>
        <v>0</v>
      </c>
      <c r="X49" s="63">
        <f t="shared" si="23"/>
        <v>0</v>
      </c>
      <c r="Y49" s="63">
        <f t="shared" si="23"/>
        <v>0</v>
      </c>
      <c r="Z49" s="63">
        <f t="shared" si="23"/>
        <v>0</v>
      </c>
      <c r="AA49" s="65">
        <f>SUM(G49:Z49)</f>
        <v>105611757.56249273</v>
      </c>
      <c r="AB49" s="59" t="str">
        <f>IF(ABS(F49-AA49)&lt;0.01,"ok","err")</f>
        <v>ok</v>
      </c>
    </row>
    <row r="50" spans="1:28" x14ac:dyDescent="0.25">
      <c r="F50" s="80"/>
    </row>
    <row r="51" spans="1:28" x14ac:dyDescent="0.25">
      <c r="A51" s="66" t="s">
        <v>1047</v>
      </c>
      <c r="F51" s="80"/>
    </row>
    <row r="52" spans="1:28" x14ac:dyDescent="0.25">
      <c r="A52" s="69" t="s">
        <v>1116</v>
      </c>
      <c r="C52" s="61" t="s">
        <v>982</v>
      </c>
      <c r="D52" s="61" t="s">
        <v>396</v>
      </c>
      <c r="E52" s="61" t="s">
        <v>1121</v>
      </c>
      <c r="F52" s="77">
        <f>VLOOKUP(C52,'Functional Assignment'!$C$2:$AP$778,'Functional Assignment'!$AC$2,)</f>
        <v>0</v>
      </c>
      <c r="G52" s="77">
        <f t="shared" ref="G52:Z52" si="24">IF(VLOOKUP($E52,$D$6:$AN$1141,3,)=0,0,(VLOOKUP($E52,$D$6:$AN$1141,G$2,)/VLOOKUP($E52,$D$6:$AN$1141,3,))*$F52)</f>
        <v>0</v>
      </c>
      <c r="H52" s="77">
        <f t="shared" si="24"/>
        <v>0</v>
      </c>
      <c r="I52" s="77">
        <f t="shared" si="24"/>
        <v>0</v>
      </c>
      <c r="J52" s="77">
        <f t="shared" si="24"/>
        <v>0</v>
      </c>
      <c r="K52" s="77">
        <f t="shared" si="24"/>
        <v>0</v>
      </c>
      <c r="L52" s="77">
        <f t="shared" si="24"/>
        <v>0</v>
      </c>
      <c r="M52" s="77">
        <f t="shared" si="24"/>
        <v>0</v>
      </c>
      <c r="N52" s="77">
        <f t="shared" si="24"/>
        <v>0</v>
      </c>
      <c r="O52" s="77">
        <f t="shared" si="24"/>
        <v>0</v>
      </c>
      <c r="P52" s="77">
        <f t="shared" si="24"/>
        <v>0</v>
      </c>
      <c r="Q52" s="77">
        <f t="shared" si="24"/>
        <v>0</v>
      </c>
      <c r="R52" s="77">
        <f t="shared" si="24"/>
        <v>0</v>
      </c>
      <c r="S52" s="77">
        <f t="shared" si="24"/>
        <v>0</v>
      </c>
      <c r="T52" s="77">
        <f t="shared" si="24"/>
        <v>0</v>
      </c>
      <c r="U52" s="77">
        <f t="shared" si="24"/>
        <v>0</v>
      </c>
      <c r="V52" s="77">
        <f t="shared" si="24"/>
        <v>0</v>
      </c>
      <c r="W52" s="77">
        <f t="shared" si="24"/>
        <v>0</v>
      </c>
      <c r="X52" s="63">
        <f t="shared" si="24"/>
        <v>0</v>
      </c>
      <c r="Y52" s="63">
        <f t="shared" si="24"/>
        <v>0</v>
      </c>
      <c r="Z52" s="63">
        <f t="shared" si="24"/>
        <v>0</v>
      </c>
      <c r="AA52" s="65">
        <f>SUM(G52:Z52)</f>
        <v>0</v>
      </c>
      <c r="AB52" s="59" t="str">
        <f>IF(ABS(F52-AA52)&lt;0.01,"ok","err")</f>
        <v>ok</v>
      </c>
    </row>
    <row r="53" spans="1:28" x14ac:dyDescent="0.25">
      <c r="F53" s="80"/>
    </row>
    <row r="54" spans="1:28" x14ac:dyDescent="0.25">
      <c r="A54" s="66" t="s">
        <v>353</v>
      </c>
      <c r="F54" s="80"/>
    </row>
    <row r="55" spans="1:28" x14ac:dyDescent="0.25">
      <c r="A55" s="69" t="s">
        <v>1116</v>
      </c>
      <c r="C55" s="61" t="s">
        <v>982</v>
      </c>
      <c r="D55" s="61" t="s">
        <v>397</v>
      </c>
      <c r="E55" s="61" t="s">
        <v>1122</v>
      </c>
      <c r="F55" s="77">
        <f>VLOOKUP(C55,'Functional Assignment'!$C$2:$AP$778,'Functional Assignment'!$AD$2,)</f>
        <v>0</v>
      </c>
      <c r="G55" s="77">
        <f t="shared" ref="G55:Z55" si="25">IF(VLOOKUP($E55,$D$6:$AN$1141,3,)=0,0,(VLOOKUP($E55,$D$6:$AN$1141,G$2,)/VLOOKUP($E55,$D$6:$AN$1141,3,))*$F55)</f>
        <v>0</v>
      </c>
      <c r="H55" s="77">
        <f t="shared" si="25"/>
        <v>0</v>
      </c>
      <c r="I55" s="77">
        <f t="shared" si="25"/>
        <v>0</v>
      </c>
      <c r="J55" s="77">
        <f t="shared" si="25"/>
        <v>0</v>
      </c>
      <c r="K55" s="77">
        <f t="shared" si="25"/>
        <v>0</v>
      </c>
      <c r="L55" s="77">
        <f t="shared" si="25"/>
        <v>0</v>
      </c>
      <c r="M55" s="77">
        <f t="shared" si="25"/>
        <v>0</v>
      </c>
      <c r="N55" s="77">
        <f t="shared" si="25"/>
        <v>0</v>
      </c>
      <c r="O55" s="77">
        <f t="shared" si="25"/>
        <v>0</v>
      </c>
      <c r="P55" s="77">
        <f t="shared" si="25"/>
        <v>0</v>
      </c>
      <c r="Q55" s="77">
        <f t="shared" si="25"/>
        <v>0</v>
      </c>
      <c r="R55" s="77">
        <f t="shared" si="25"/>
        <v>0</v>
      </c>
      <c r="S55" s="77">
        <f t="shared" si="25"/>
        <v>0</v>
      </c>
      <c r="T55" s="77">
        <f t="shared" si="25"/>
        <v>0</v>
      </c>
      <c r="U55" s="77">
        <f t="shared" si="25"/>
        <v>0</v>
      </c>
      <c r="V55" s="77">
        <f t="shared" si="25"/>
        <v>0</v>
      </c>
      <c r="W55" s="77">
        <f t="shared" si="25"/>
        <v>0</v>
      </c>
      <c r="X55" s="63">
        <f t="shared" si="25"/>
        <v>0</v>
      </c>
      <c r="Y55" s="63">
        <f t="shared" si="25"/>
        <v>0</v>
      </c>
      <c r="Z55" s="63">
        <f t="shared" si="25"/>
        <v>0</v>
      </c>
      <c r="AA55" s="65">
        <f>SUM(G55:Z55)</f>
        <v>0</v>
      </c>
      <c r="AB55" s="59" t="str">
        <f>IF(ABS(F55-AA55)&lt;0.01,"ok","err")</f>
        <v>ok</v>
      </c>
    </row>
    <row r="56" spans="1:28" x14ac:dyDescent="0.25">
      <c r="F56" s="80"/>
    </row>
    <row r="57" spans="1:28" x14ac:dyDescent="0.25">
      <c r="A57" s="66" t="s">
        <v>352</v>
      </c>
      <c r="F57" s="80"/>
    </row>
    <row r="58" spans="1:28" x14ac:dyDescent="0.25">
      <c r="A58" s="69" t="s">
        <v>1116</v>
      </c>
      <c r="C58" s="61" t="s">
        <v>982</v>
      </c>
      <c r="D58" s="61" t="s">
        <v>398</v>
      </c>
      <c r="E58" s="61" t="s">
        <v>1122</v>
      </c>
      <c r="F58" s="77">
        <f>VLOOKUP(C58,'Functional Assignment'!$C$2:$AP$778,'Functional Assignment'!$AE$2,)</f>
        <v>0</v>
      </c>
      <c r="G58" s="77">
        <f t="shared" ref="G58:Z58" si="26">IF(VLOOKUP($E58,$D$6:$AN$1141,3,)=0,0,(VLOOKUP($E58,$D$6:$AN$1141,G$2,)/VLOOKUP($E58,$D$6:$AN$1141,3,))*$F58)</f>
        <v>0</v>
      </c>
      <c r="H58" s="77">
        <f t="shared" si="26"/>
        <v>0</v>
      </c>
      <c r="I58" s="77">
        <f t="shared" si="26"/>
        <v>0</v>
      </c>
      <c r="J58" s="77">
        <f t="shared" si="26"/>
        <v>0</v>
      </c>
      <c r="K58" s="77">
        <f t="shared" si="26"/>
        <v>0</v>
      </c>
      <c r="L58" s="77">
        <f t="shared" si="26"/>
        <v>0</v>
      </c>
      <c r="M58" s="77">
        <f t="shared" si="26"/>
        <v>0</v>
      </c>
      <c r="N58" s="77">
        <f t="shared" si="26"/>
        <v>0</v>
      </c>
      <c r="O58" s="77">
        <f t="shared" si="26"/>
        <v>0</v>
      </c>
      <c r="P58" s="77">
        <f t="shared" si="26"/>
        <v>0</v>
      </c>
      <c r="Q58" s="77">
        <f t="shared" si="26"/>
        <v>0</v>
      </c>
      <c r="R58" s="77">
        <f t="shared" si="26"/>
        <v>0</v>
      </c>
      <c r="S58" s="77">
        <f t="shared" si="26"/>
        <v>0</v>
      </c>
      <c r="T58" s="77">
        <f t="shared" si="26"/>
        <v>0</v>
      </c>
      <c r="U58" s="77">
        <f t="shared" si="26"/>
        <v>0</v>
      </c>
      <c r="V58" s="77">
        <f t="shared" si="26"/>
        <v>0</v>
      </c>
      <c r="W58" s="77">
        <f t="shared" si="26"/>
        <v>0</v>
      </c>
      <c r="X58" s="63">
        <f t="shared" si="26"/>
        <v>0</v>
      </c>
      <c r="Y58" s="63">
        <f t="shared" si="26"/>
        <v>0</v>
      </c>
      <c r="Z58" s="63">
        <f t="shared" si="26"/>
        <v>0</v>
      </c>
      <c r="AA58" s="65">
        <f>SUM(G58:Z58)</f>
        <v>0</v>
      </c>
      <c r="AB58" s="59" t="str">
        <f>IF(ABS(F58-AA58)&lt;0.01,"ok","err")</f>
        <v>ok</v>
      </c>
    </row>
    <row r="59" spans="1:28" x14ac:dyDescent="0.25">
      <c r="F59" s="80"/>
    </row>
    <row r="60" spans="1:28" x14ac:dyDescent="0.25">
      <c r="A60" s="61" t="s">
        <v>944</v>
      </c>
      <c r="D60" s="61" t="s">
        <v>1123</v>
      </c>
      <c r="F60" s="77">
        <f>F15+F21+F24+F27+F35+F40+F43+F46+F49+F52+F55+F58</f>
        <v>4178762034.4303069</v>
      </c>
      <c r="G60" s="77">
        <f t="shared" ref="G60:Z60" si="27">G15+G21+G24+G27+G35+G40+G43+G46+G49+G52+G55+G58</f>
        <v>2295927627.7928524</v>
      </c>
      <c r="H60" s="77">
        <f t="shared" si="27"/>
        <v>505034522.72734725</v>
      </c>
      <c r="I60" s="77">
        <f t="shared" si="27"/>
        <v>0</v>
      </c>
      <c r="J60" s="77">
        <f t="shared" si="27"/>
        <v>36885583.608770303</v>
      </c>
      <c r="K60" s="77">
        <f t="shared" si="27"/>
        <v>479355495.09399843</v>
      </c>
      <c r="L60" s="77">
        <f t="shared" si="27"/>
        <v>0</v>
      </c>
      <c r="M60" s="77">
        <f t="shared" si="27"/>
        <v>0</v>
      </c>
      <c r="N60" s="77">
        <f t="shared" si="27"/>
        <v>384890255.10104799</v>
      </c>
      <c r="O60" s="77">
        <f>O15+O21+O24+O27+O35+O40+O43+O46+O49+O52+O55+O58</f>
        <v>236119624.78892073</v>
      </c>
      <c r="P60" s="77">
        <f t="shared" si="27"/>
        <v>80496972.429075301</v>
      </c>
      <c r="Q60" s="77">
        <f t="shared" si="27"/>
        <v>20196146.02406203</v>
      </c>
      <c r="R60" s="77">
        <f t="shared" si="27"/>
        <v>12753286.497520395</v>
      </c>
      <c r="S60" s="77">
        <f t="shared" si="27"/>
        <v>126213423.61384398</v>
      </c>
      <c r="T60" s="77">
        <f t="shared" si="27"/>
        <v>216769.52154632864</v>
      </c>
      <c r="U60" s="77">
        <f t="shared" si="27"/>
        <v>672327.2313214941</v>
      </c>
      <c r="V60" s="77">
        <f t="shared" si="27"/>
        <v>0</v>
      </c>
      <c r="W60" s="77">
        <f t="shared" si="27"/>
        <v>0</v>
      </c>
      <c r="X60" s="63">
        <f t="shared" si="27"/>
        <v>0</v>
      </c>
      <c r="Y60" s="63">
        <f t="shared" si="27"/>
        <v>0</v>
      </c>
      <c r="Z60" s="63">
        <f t="shared" si="27"/>
        <v>0</v>
      </c>
      <c r="AA60" s="65">
        <f>SUM(G60:Z60)</f>
        <v>4178762034.4303069</v>
      </c>
      <c r="AB60" s="59" t="str">
        <f>IF(ABS(F60-AA60)&lt;0.01,"ok","err")</f>
        <v>ok</v>
      </c>
    </row>
    <row r="65" spans="1:28" x14ac:dyDescent="0.25">
      <c r="A65" s="66" t="s">
        <v>994</v>
      </c>
    </row>
    <row r="67" spans="1:28" x14ac:dyDescent="0.25">
      <c r="A67" s="66" t="s">
        <v>369</v>
      </c>
    </row>
    <row r="68" spans="1:28" x14ac:dyDescent="0.25">
      <c r="A68" s="69" t="s">
        <v>361</v>
      </c>
      <c r="C68" s="61" t="s">
        <v>995</v>
      </c>
      <c r="D68" s="61" t="s">
        <v>399</v>
      </c>
      <c r="E68" s="61" t="s">
        <v>1399</v>
      </c>
      <c r="F68" s="77">
        <f>VLOOKUP(C68,'Functional Assignment'!$C$2:$AP$778,'Functional Assignment'!$H$2,)</f>
        <v>513388190.83630562</v>
      </c>
      <c r="G68" s="77">
        <f t="shared" ref="G68:P73" si="28">IF(VLOOKUP($E68,$D$6:$AN$1141,3,)=0,0,(VLOOKUP($E68,$D$6:$AN$1141,G$2,)/VLOOKUP($E68,$D$6:$AN$1141,3,))*$F68)</f>
        <v>256313312.61420634</v>
      </c>
      <c r="H68" s="77">
        <f t="shared" si="28"/>
        <v>63532010.438017063</v>
      </c>
      <c r="I68" s="77">
        <f t="shared" si="28"/>
        <v>0</v>
      </c>
      <c r="J68" s="77">
        <f t="shared" si="28"/>
        <v>5737931.0986311799</v>
      </c>
      <c r="K68" s="77">
        <f t="shared" si="28"/>
        <v>72969641.872182772</v>
      </c>
      <c r="L68" s="77">
        <f t="shared" si="28"/>
        <v>0</v>
      </c>
      <c r="M68" s="77">
        <f t="shared" si="28"/>
        <v>0</v>
      </c>
      <c r="N68" s="77">
        <f t="shared" si="28"/>
        <v>59252524.364674881</v>
      </c>
      <c r="O68" s="77">
        <f t="shared" si="28"/>
        <v>36159487.477121614</v>
      </c>
      <c r="P68" s="77">
        <f t="shared" si="28"/>
        <v>14296452.465567932</v>
      </c>
      <c r="Q68" s="77">
        <f t="shared" ref="Q68:Z73" si="29">IF(VLOOKUP($E68,$D$6:$AN$1141,3,)=0,0,(VLOOKUP($E68,$D$6:$AN$1141,Q$2,)/VLOOKUP($E68,$D$6:$AN$1141,3,))*$F68)</f>
        <v>3061881.949736543</v>
      </c>
      <c r="R68" s="77">
        <f t="shared" si="29"/>
        <v>1995110.745574727</v>
      </c>
      <c r="S68" s="77">
        <f t="shared" si="29"/>
        <v>0</v>
      </c>
      <c r="T68" s="77">
        <f t="shared" si="29"/>
        <v>0</v>
      </c>
      <c r="U68" s="77">
        <f t="shared" si="29"/>
        <v>69837.810592649315</v>
      </c>
      <c r="V68" s="77">
        <f t="shared" si="29"/>
        <v>0</v>
      </c>
      <c r="W68" s="77">
        <f t="shared" si="29"/>
        <v>0</v>
      </c>
      <c r="X68" s="63">
        <f t="shared" si="29"/>
        <v>0</v>
      </c>
      <c r="Y68" s="63">
        <f t="shared" si="29"/>
        <v>0</v>
      </c>
      <c r="Z68" s="63">
        <f t="shared" si="29"/>
        <v>0</v>
      </c>
      <c r="AA68" s="65">
        <f t="shared" ref="AA68:AA74" si="30">SUM(G68:Z68)</f>
        <v>513388190.83630568</v>
      </c>
      <c r="AB68" s="59" t="str">
        <f t="shared" ref="AB68:AB74" si="31">IF(ABS(F68-AA68)&lt;0.01,"ok","err")</f>
        <v>ok</v>
      </c>
    </row>
    <row r="69" spans="1:28" x14ac:dyDescent="0.25">
      <c r="A69" s="69" t="s">
        <v>1285</v>
      </c>
      <c r="C69" s="61" t="s">
        <v>995</v>
      </c>
      <c r="D69" s="61" t="s">
        <v>400</v>
      </c>
      <c r="E69" s="61" t="s">
        <v>1399</v>
      </c>
      <c r="F69" s="80">
        <f>VLOOKUP(C69,'Functional Assignment'!$C$2:$AP$778,'Functional Assignment'!$I$2,)</f>
        <v>500278353.54160601</v>
      </c>
      <c r="G69" s="80">
        <f t="shared" si="28"/>
        <v>249768117.60423946</v>
      </c>
      <c r="H69" s="80">
        <f t="shared" si="28"/>
        <v>61909662.408369593</v>
      </c>
      <c r="I69" s="80">
        <f t="shared" si="28"/>
        <v>0</v>
      </c>
      <c r="J69" s="80">
        <f t="shared" si="28"/>
        <v>5591407.7767980201</v>
      </c>
      <c r="K69" s="80">
        <f t="shared" si="28"/>
        <v>71106295.286749065</v>
      </c>
      <c r="L69" s="80">
        <f t="shared" si="28"/>
        <v>0</v>
      </c>
      <c r="M69" s="80">
        <f t="shared" si="28"/>
        <v>0</v>
      </c>
      <c r="N69" s="80">
        <f t="shared" si="28"/>
        <v>57739456.928402677</v>
      </c>
      <c r="O69" s="80">
        <f t="shared" si="28"/>
        <v>35236121.872017652</v>
      </c>
      <c r="P69" s="80">
        <f t="shared" si="28"/>
        <v>13931379.468057625</v>
      </c>
      <c r="Q69" s="80">
        <f t="shared" si="29"/>
        <v>2983693.9919823245</v>
      </c>
      <c r="R69" s="80">
        <f t="shared" si="29"/>
        <v>1944163.7668045603</v>
      </c>
      <c r="S69" s="80">
        <f t="shared" si="29"/>
        <v>0</v>
      </c>
      <c r="T69" s="80">
        <f t="shared" si="29"/>
        <v>0</v>
      </c>
      <c r="U69" s="80">
        <f t="shared" si="29"/>
        <v>68054.438185122301</v>
      </c>
      <c r="V69" s="80">
        <f t="shared" si="29"/>
        <v>0</v>
      </c>
      <c r="W69" s="80">
        <f t="shared" si="29"/>
        <v>0</v>
      </c>
      <c r="X69" s="64">
        <f t="shared" si="29"/>
        <v>0</v>
      </c>
      <c r="Y69" s="64">
        <f t="shared" si="29"/>
        <v>0</v>
      </c>
      <c r="Z69" s="64">
        <f t="shared" si="29"/>
        <v>0</v>
      </c>
      <c r="AA69" s="64">
        <f t="shared" si="30"/>
        <v>500278353.54160607</v>
      </c>
      <c r="AB69" s="59" t="str">
        <f t="shared" si="31"/>
        <v>ok</v>
      </c>
    </row>
    <row r="70" spans="1:28" x14ac:dyDescent="0.25">
      <c r="A70" s="69" t="s">
        <v>1286</v>
      </c>
      <c r="C70" s="61" t="s">
        <v>995</v>
      </c>
      <c r="D70" s="61" t="s">
        <v>401</v>
      </c>
      <c r="E70" s="61" t="s">
        <v>1399</v>
      </c>
      <c r="F70" s="80">
        <f>VLOOKUP(C70,'Functional Assignment'!$C$2:$AP$778,'Functional Assignment'!$J$2,)</f>
        <v>453579573.68945503</v>
      </c>
      <c r="G70" s="80">
        <f t="shared" si="28"/>
        <v>226453364.41630945</v>
      </c>
      <c r="H70" s="80">
        <f t="shared" si="28"/>
        <v>56130668.224306822</v>
      </c>
      <c r="I70" s="80">
        <f t="shared" si="28"/>
        <v>0</v>
      </c>
      <c r="J70" s="80">
        <f t="shared" si="28"/>
        <v>5069474.499086095</v>
      </c>
      <c r="K70" s="80">
        <f t="shared" si="28"/>
        <v>64468835.947981618</v>
      </c>
      <c r="L70" s="80">
        <f t="shared" si="28"/>
        <v>0</v>
      </c>
      <c r="M70" s="80">
        <f t="shared" si="28"/>
        <v>0</v>
      </c>
      <c r="N70" s="80">
        <f t="shared" si="28"/>
        <v>52349733.050097831</v>
      </c>
      <c r="O70" s="80">
        <f t="shared" si="28"/>
        <v>31946985.161432259</v>
      </c>
      <c r="P70" s="80">
        <f t="shared" si="28"/>
        <v>12630946.58262499</v>
      </c>
      <c r="Q70" s="80">
        <f t="shared" si="29"/>
        <v>2705179.3053256287</v>
      </c>
      <c r="R70" s="80">
        <f t="shared" si="29"/>
        <v>1762684.6460314803</v>
      </c>
      <c r="S70" s="80">
        <f t="shared" si="29"/>
        <v>0</v>
      </c>
      <c r="T70" s="80">
        <f t="shared" si="29"/>
        <v>0</v>
      </c>
      <c r="U70" s="80">
        <f t="shared" si="29"/>
        <v>61701.856258939602</v>
      </c>
      <c r="V70" s="80">
        <f t="shared" si="29"/>
        <v>0</v>
      </c>
      <c r="W70" s="80">
        <f t="shared" si="29"/>
        <v>0</v>
      </c>
      <c r="X70" s="64">
        <f t="shared" si="29"/>
        <v>0</v>
      </c>
      <c r="Y70" s="64">
        <f t="shared" si="29"/>
        <v>0</v>
      </c>
      <c r="Z70" s="64">
        <f t="shared" si="29"/>
        <v>0</v>
      </c>
      <c r="AA70" s="64">
        <f t="shared" si="30"/>
        <v>453579573.68945509</v>
      </c>
      <c r="AB70" s="59" t="str">
        <f t="shared" si="31"/>
        <v>ok</v>
      </c>
    </row>
    <row r="71" spans="1:28" x14ac:dyDescent="0.25">
      <c r="A71" s="69" t="s">
        <v>1287</v>
      </c>
      <c r="C71" s="61" t="s">
        <v>995</v>
      </c>
      <c r="D71" s="61" t="s">
        <v>402</v>
      </c>
      <c r="E71" s="61" t="s">
        <v>1114</v>
      </c>
      <c r="F71" s="80">
        <f>VLOOKUP(C71,'Functional Assignment'!$C$2:$AP$778,'Functional Assignment'!$K$2,)</f>
        <v>0</v>
      </c>
      <c r="G71" s="80">
        <f t="shared" si="28"/>
        <v>0</v>
      </c>
      <c r="H71" s="80">
        <f t="shared" si="28"/>
        <v>0</v>
      </c>
      <c r="I71" s="80">
        <f t="shared" si="28"/>
        <v>0</v>
      </c>
      <c r="J71" s="80">
        <f t="shared" si="28"/>
        <v>0</v>
      </c>
      <c r="K71" s="80">
        <f t="shared" si="28"/>
        <v>0</v>
      </c>
      <c r="L71" s="80">
        <f t="shared" si="28"/>
        <v>0</v>
      </c>
      <c r="M71" s="80">
        <f t="shared" si="28"/>
        <v>0</v>
      </c>
      <c r="N71" s="80">
        <f t="shared" si="28"/>
        <v>0</v>
      </c>
      <c r="O71" s="80">
        <f t="shared" si="28"/>
        <v>0</v>
      </c>
      <c r="P71" s="80">
        <f t="shared" si="28"/>
        <v>0</v>
      </c>
      <c r="Q71" s="80">
        <f t="shared" si="29"/>
        <v>0</v>
      </c>
      <c r="R71" s="80">
        <f t="shared" si="29"/>
        <v>0</v>
      </c>
      <c r="S71" s="80">
        <f t="shared" si="29"/>
        <v>0</v>
      </c>
      <c r="T71" s="80">
        <f t="shared" si="29"/>
        <v>0</v>
      </c>
      <c r="U71" s="80">
        <f t="shared" si="29"/>
        <v>0</v>
      </c>
      <c r="V71" s="80">
        <f t="shared" si="29"/>
        <v>0</v>
      </c>
      <c r="W71" s="80">
        <f t="shared" si="29"/>
        <v>0</v>
      </c>
      <c r="X71" s="64">
        <f t="shared" si="29"/>
        <v>0</v>
      </c>
      <c r="Y71" s="64">
        <f t="shared" si="29"/>
        <v>0</v>
      </c>
      <c r="Z71" s="64">
        <f t="shared" si="29"/>
        <v>0</v>
      </c>
      <c r="AA71" s="64">
        <f t="shared" si="30"/>
        <v>0</v>
      </c>
      <c r="AB71" s="59" t="str">
        <f t="shared" si="31"/>
        <v>ok</v>
      </c>
    </row>
    <row r="72" spans="1:28" x14ac:dyDescent="0.25">
      <c r="A72" s="69" t="s">
        <v>1288</v>
      </c>
      <c r="C72" s="61" t="s">
        <v>995</v>
      </c>
      <c r="D72" s="61" t="s">
        <v>403</v>
      </c>
      <c r="E72" s="61" t="s">
        <v>1114</v>
      </c>
      <c r="F72" s="80">
        <f>VLOOKUP(C72,'Functional Assignment'!$C$2:$AP$778,'Functional Assignment'!$L$2,)</f>
        <v>0</v>
      </c>
      <c r="G72" s="80">
        <f t="shared" si="28"/>
        <v>0</v>
      </c>
      <c r="H72" s="80">
        <f t="shared" si="28"/>
        <v>0</v>
      </c>
      <c r="I72" s="80">
        <f t="shared" si="28"/>
        <v>0</v>
      </c>
      <c r="J72" s="80">
        <f t="shared" si="28"/>
        <v>0</v>
      </c>
      <c r="K72" s="80">
        <f t="shared" si="28"/>
        <v>0</v>
      </c>
      <c r="L72" s="80">
        <f t="shared" si="28"/>
        <v>0</v>
      </c>
      <c r="M72" s="80">
        <f t="shared" si="28"/>
        <v>0</v>
      </c>
      <c r="N72" s="80">
        <f t="shared" si="28"/>
        <v>0</v>
      </c>
      <c r="O72" s="80">
        <f t="shared" si="28"/>
        <v>0</v>
      </c>
      <c r="P72" s="80">
        <f t="shared" si="28"/>
        <v>0</v>
      </c>
      <c r="Q72" s="80">
        <f t="shared" si="29"/>
        <v>0</v>
      </c>
      <c r="R72" s="80">
        <f t="shared" si="29"/>
        <v>0</v>
      </c>
      <c r="S72" s="80">
        <f t="shared" si="29"/>
        <v>0</v>
      </c>
      <c r="T72" s="80">
        <f t="shared" si="29"/>
        <v>0</v>
      </c>
      <c r="U72" s="80">
        <f t="shared" si="29"/>
        <v>0</v>
      </c>
      <c r="V72" s="80">
        <f t="shared" si="29"/>
        <v>0</v>
      </c>
      <c r="W72" s="80">
        <f t="shared" si="29"/>
        <v>0</v>
      </c>
      <c r="X72" s="64">
        <f t="shared" si="29"/>
        <v>0</v>
      </c>
      <c r="Y72" s="64">
        <f t="shared" si="29"/>
        <v>0</v>
      </c>
      <c r="Z72" s="64">
        <f t="shared" si="29"/>
        <v>0</v>
      </c>
      <c r="AA72" s="64">
        <f t="shared" si="30"/>
        <v>0</v>
      </c>
      <c r="AB72" s="59" t="str">
        <f t="shared" si="31"/>
        <v>ok</v>
      </c>
    </row>
    <row r="73" spans="1:28" x14ac:dyDescent="0.25">
      <c r="A73" s="69" t="s">
        <v>1288</v>
      </c>
      <c r="C73" s="61" t="s">
        <v>995</v>
      </c>
      <c r="D73" s="61" t="s">
        <v>404</v>
      </c>
      <c r="E73" s="61" t="s">
        <v>1114</v>
      </c>
      <c r="F73" s="80">
        <f>VLOOKUP(C73,'Functional Assignment'!$C$2:$AP$778,'Functional Assignment'!$M$2,)</f>
        <v>0</v>
      </c>
      <c r="G73" s="80">
        <f t="shared" si="28"/>
        <v>0</v>
      </c>
      <c r="H73" s="80">
        <f t="shared" si="28"/>
        <v>0</v>
      </c>
      <c r="I73" s="80">
        <f t="shared" si="28"/>
        <v>0</v>
      </c>
      <c r="J73" s="80">
        <f t="shared" si="28"/>
        <v>0</v>
      </c>
      <c r="K73" s="80">
        <f t="shared" si="28"/>
        <v>0</v>
      </c>
      <c r="L73" s="80">
        <f t="shared" si="28"/>
        <v>0</v>
      </c>
      <c r="M73" s="80">
        <f t="shared" si="28"/>
        <v>0</v>
      </c>
      <c r="N73" s="80">
        <f t="shared" si="28"/>
        <v>0</v>
      </c>
      <c r="O73" s="80">
        <f t="shared" si="28"/>
        <v>0</v>
      </c>
      <c r="P73" s="80">
        <f t="shared" si="28"/>
        <v>0</v>
      </c>
      <c r="Q73" s="80">
        <f t="shared" si="29"/>
        <v>0</v>
      </c>
      <c r="R73" s="80">
        <f t="shared" si="29"/>
        <v>0</v>
      </c>
      <c r="S73" s="80">
        <f t="shared" si="29"/>
        <v>0</v>
      </c>
      <c r="T73" s="80">
        <f t="shared" si="29"/>
        <v>0</v>
      </c>
      <c r="U73" s="80">
        <f t="shared" si="29"/>
        <v>0</v>
      </c>
      <c r="V73" s="80">
        <f t="shared" si="29"/>
        <v>0</v>
      </c>
      <c r="W73" s="80">
        <f t="shared" si="29"/>
        <v>0</v>
      </c>
      <c r="X73" s="64">
        <f t="shared" si="29"/>
        <v>0</v>
      </c>
      <c r="Y73" s="64">
        <f t="shared" si="29"/>
        <v>0</v>
      </c>
      <c r="Z73" s="64">
        <f t="shared" si="29"/>
        <v>0</v>
      </c>
      <c r="AA73" s="64">
        <f t="shared" si="30"/>
        <v>0</v>
      </c>
      <c r="AB73" s="59" t="str">
        <f t="shared" si="31"/>
        <v>ok</v>
      </c>
    </row>
    <row r="74" spans="1:28" x14ac:dyDescent="0.25">
      <c r="A74" s="61" t="s">
        <v>392</v>
      </c>
      <c r="D74" s="61" t="s">
        <v>405</v>
      </c>
      <c r="F74" s="77">
        <f>SUM(F68:F73)</f>
        <v>1467246118.0673666</v>
      </c>
      <c r="G74" s="77">
        <f t="shared" ref="G74:P74" si="32">SUM(G68:G73)</f>
        <v>732534794.63475525</v>
      </c>
      <c r="H74" s="77">
        <f t="shared" si="32"/>
        <v>181572341.07069349</v>
      </c>
      <c r="I74" s="77">
        <f t="shared" si="32"/>
        <v>0</v>
      </c>
      <c r="J74" s="77">
        <f t="shared" si="32"/>
        <v>16398813.374515295</v>
      </c>
      <c r="K74" s="77">
        <f t="shared" si="32"/>
        <v>208544773.10691348</v>
      </c>
      <c r="L74" s="77">
        <f t="shared" si="32"/>
        <v>0</v>
      </c>
      <c r="M74" s="77">
        <f t="shared" si="32"/>
        <v>0</v>
      </c>
      <c r="N74" s="77">
        <f t="shared" si="32"/>
        <v>169341714.34317538</v>
      </c>
      <c r="O74" s="77">
        <f>SUM(O68:O73)</f>
        <v>103342594.51057154</v>
      </c>
      <c r="P74" s="77">
        <f t="shared" si="32"/>
        <v>40858778.516250551</v>
      </c>
      <c r="Q74" s="77">
        <f t="shared" ref="Q74:W74" si="33">SUM(Q68:Q73)</f>
        <v>8750755.2470444962</v>
      </c>
      <c r="R74" s="77">
        <f t="shared" si="33"/>
        <v>5701959.1584107671</v>
      </c>
      <c r="S74" s="77">
        <f t="shared" si="33"/>
        <v>0</v>
      </c>
      <c r="T74" s="77">
        <f t="shared" si="33"/>
        <v>0</v>
      </c>
      <c r="U74" s="77">
        <f t="shared" si="33"/>
        <v>199594.1050367112</v>
      </c>
      <c r="V74" s="77">
        <f t="shared" si="33"/>
        <v>0</v>
      </c>
      <c r="W74" s="77">
        <f t="shared" si="33"/>
        <v>0</v>
      </c>
      <c r="X74" s="63">
        <f>SUM(X68:X73)</f>
        <v>0</v>
      </c>
      <c r="Y74" s="63">
        <f>SUM(Y68:Y73)</f>
        <v>0</v>
      </c>
      <c r="Z74" s="63">
        <f>SUM(Z68:Z73)</f>
        <v>0</v>
      </c>
      <c r="AA74" s="65">
        <f t="shared" si="30"/>
        <v>1467246118.0673671</v>
      </c>
      <c r="AB74" s="59" t="str">
        <f t="shared" si="31"/>
        <v>ok</v>
      </c>
    </row>
    <row r="75" spans="1:28" x14ac:dyDescent="0.25">
      <c r="F75" s="80"/>
      <c r="G75" s="80"/>
    </row>
    <row r="76" spans="1:28" x14ac:dyDescent="0.25">
      <c r="A76" s="66" t="s">
        <v>1154</v>
      </c>
      <c r="F76" s="80"/>
      <c r="G76" s="80"/>
    </row>
    <row r="77" spans="1:28" x14ac:dyDescent="0.25">
      <c r="A77" s="69" t="s">
        <v>362</v>
      </c>
      <c r="C77" s="61" t="s">
        <v>995</v>
      </c>
      <c r="D77" s="61" t="s">
        <v>406</v>
      </c>
      <c r="E77" s="61" t="s">
        <v>1399</v>
      </c>
      <c r="F77" s="77">
        <f>VLOOKUP(C77,'Functional Assignment'!$C$2:$AP$778,'Functional Assignment'!$N$2,)</f>
        <v>96317762.212306231</v>
      </c>
      <c r="G77" s="77">
        <f t="shared" ref="G77:P79" si="34">IF(VLOOKUP($E77,$D$6:$AN$1141,3,)=0,0,(VLOOKUP($E77,$D$6:$AN$1141,G$2,)/VLOOKUP($E77,$D$6:$AN$1141,3,))*$F77)</f>
        <v>48087441.699833103</v>
      </c>
      <c r="H77" s="77">
        <f t="shared" si="34"/>
        <v>11919364.690236552</v>
      </c>
      <c r="I77" s="77">
        <f t="shared" si="34"/>
        <v>0</v>
      </c>
      <c r="J77" s="77">
        <f t="shared" si="34"/>
        <v>1076504.4716908433</v>
      </c>
      <c r="K77" s="77">
        <f t="shared" si="34"/>
        <v>13689977.175191816</v>
      </c>
      <c r="L77" s="77">
        <f t="shared" si="34"/>
        <v>0</v>
      </c>
      <c r="M77" s="77">
        <f t="shared" si="34"/>
        <v>0</v>
      </c>
      <c r="N77" s="77">
        <f t="shared" si="34"/>
        <v>11116481.941158133</v>
      </c>
      <c r="O77" s="77">
        <f t="shared" si="34"/>
        <v>6783952.1412964463</v>
      </c>
      <c r="P77" s="77">
        <f t="shared" si="34"/>
        <v>2682185.3981779059</v>
      </c>
      <c r="Q77" s="77">
        <f t="shared" ref="Q77:Z79" si="35">IF(VLOOKUP($E77,$D$6:$AN$1141,3,)=0,0,(VLOOKUP($E77,$D$6:$AN$1141,Q$2,)/VLOOKUP($E77,$D$6:$AN$1141,3,))*$F77)</f>
        <v>574445.65890084999</v>
      </c>
      <c r="R77" s="77">
        <f t="shared" si="35"/>
        <v>374306.62763482897</v>
      </c>
      <c r="S77" s="77">
        <f t="shared" si="35"/>
        <v>0</v>
      </c>
      <c r="T77" s="77">
        <f t="shared" si="35"/>
        <v>0</v>
      </c>
      <c r="U77" s="77">
        <f t="shared" si="35"/>
        <v>13102.408185769253</v>
      </c>
      <c r="V77" s="77">
        <f t="shared" si="35"/>
        <v>0</v>
      </c>
      <c r="W77" s="77">
        <f t="shared" si="35"/>
        <v>0</v>
      </c>
      <c r="X77" s="63">
        <f t="shared" si="35"/>
        <v>0</v>
      </c>
      <c r="Y77" s="63">
        <f t="shared" si="35"/>
        <v>0</v>
      </c>
      <c r="Z77" s="63">
        <f t="shared" si="35"/>
        <v>0</v>
      </c>
      <c r="AA77" s="65">
        <f>SUM(G77:Z77)</f>
        <v>96317762.212306246</v>
      </c>
      <c r="AB77" s="59" t="str">
        <f>IF(ABS(F77-AA77)&lt;0.01,"ok","err")</f>
        <v>ok</v>
      </c>
    </row>
    <row r="78" spans="1:28" x14ac:dyDescent="0.25">
      <c r="A78" s="69" t="s">
        <v>364</v>
      </c>
      <c r="C78" s="61" t="s">
        <v>995</v>
      </c>
      <c r="D78" s="61" t="s">
        <v>407</v>
      </c>
      <c r="E78" s="61" t="s">
        <v>1399</v>
      </c>
      <c r="F78" s="80">
        <f>VLOOKUP(C78,'Functional Assignment'!$C$2:$AP$778,'Functional Assignment'!$O$2,)</f>
        <v>93858200.006296098</v>
      </c>
      <c r="G78" s="80">
        <f t="shared" si="34"/>
        <v>46859484.867448211</v>
      </c>
      <c r="H78" s="80">
        <f t="shared" si="34"/>
        <v>11614992.804528311</v>
      </c>
      <c r="I78" s="80">
        <f t="shared" si="34"/>
        <v>0</v>
      </c>
      <c r="J78" s="80">
        <f t="shared" si="34"/>
        <v>1049014.9448127635</v>
      </c>
      <c r="K78" s="80">
        <f t="shared" si="34"/>
        <v>13340391.079254247</v>
      </c>
      <c r="L78" s="80">
        <f t="shared" si="34"/>
        <v>0</v>
      </c>
      <c r="M78" s="80">
        <f t="shared" si="34"/>
        <v>0</v>
      </c>
      <c r="N78" s="80">
        <f t="shared" si="34"/>
        <v>10832612.40122842</v>
      </c>
      <c r="O78" s="80">
        <f t="shared" si="34"/>
        <v>6610717.7148431456</v>
      </c>
      <c r="P78" s="80">
        <f t="shared" si="34"/>
        <v>2613693.3393577547</v>
      </c>
      <c r="Q78" s="80">
        <f t="shared" si="35"/>
        <v>559776.66328065691</v>
      </c>
      <c r="R78" s="80">
        <f t="shared" si="35"/>
        <v>364748.36534089758</v>
      </c>
      <c r="S78" s="80">
        <f t="shared" si="35"/>
        <v>0</v>
      </c>
      <c r="T78" s="80">
        <f t="shared" si="35"/>
        <v>0</v>
      </c>
      <c r="U78" s="80">
        <f t="shared" si="35"/>
        <v>12767.826201706936</v>
      </c>
      <c r="V78" s="80">
        <f t="shared" si="35"/>
        <v>0</v>
      </c>
      <c r="W78" s="80">
        <f t="shared" si="35"/>
        <v>0</v>
      </c>
      <c r="X78" s="64">
        <f t="shared" si="35"/>
        <v>0</v>
      </c>
      <c r="Y78" s="64">
        <f t="shared" si="35"/>
        <v>0</v>
      </c>
      <c r="Z78" s="64">
        <f t="shared" si="35"/>
        <v>0</v>
      </c>
      <c r="AA78" s="64">
        <f>SUM(G78:Z78)</f>
        <v>93858200.006296098</v>
      </c>
      <c r="AB78" s="59" t="str">
        <f>IF(ABS(F78-AA78)&lt;0.01,"ok","err")</f>
        <v>ok</v>
      </c>
    </row>
    <row r="79" spans="1:28" x14ac:dyDescent="0.25">
      <c r="A79" s="69" t="s">
        <v>363</v>
      </c>
      <c r="C79" s="61" t="s">
        <v>995</v>
      </c>
      <c r="D79" s="61" t="s">
        <v>408</v>
      </c>
      <c r="E79" s="61" t="s">
        <v>1399</v>
      </c>
      <c r="F79" s="80">
        <f>VLOOKUP(C79,'Functional Assignment'!$C$2:$AP$778,'Functional Assignment'!$P$2,)</f>
        <v>85096950.617062509</v>
      </c>
      <c r="G79" s="80">
        <f t="shared" si="34"/>
        <v>42485358.438993461</v>
      </c>
      <c r="H79" s="80">
        <f t="shared" si="34"/>
        <v>10530784.407096868</v>
      </c>
      <c r="I79" s="80">
        <f t="shared" si="34"/>
        <v>0</v>
      </c>
      <c r="J79" s="80">
        <f t="shared" si="34"/>
        <v>951094.02214515198</v>
      </c>
      <c r="K79" s="80">
        <f t="shared" si="34"/>
        <v>12095124.35575632</v>
      </c>
      <c r="L79" s="80">
        <f t="shared" si="34"/>
        <v>0</v>
      </c>
      <c r="M79" s="80">
        <f t="shared" si="34"/>
        <v>0</v>
      </c>
      <c r="N79" s="80">
        <f t="shared" si="34"/>
        <v>9821435.7669258211</v>
      </c>
      <c r="O79" s="80">
        <f t="shared" si="34"/>
        <v>5993636.345951776</v>
      </c>
      <c r="P79" s="80">
        <f t="shared" si="34"/>
        <v>2369716.5832346249</v>
      </c>
      <c r="Q79" s="80">
        <f t="shared" si="35"/>
        <v>507523.97839062195</v>
      </c>
      <c r="R79" s="80">
        <f t="shared" si="35"/>
        <v>330700.71268132684</v>
      </c>
      <c r="S79" s="80">
        <f t="shared" si="35"/>
        <v>0</v>
      </c>
      <c r="T79" s="80">
        <f t="shared" si="35"/>
        <v>0</v>
      </c>
      <c r="U79" s="80">
        <f t="shared" si="35"/>
        <v>11576.005886550223</v>
      </c>
      <c r="V79" s="80">
        <f t="shared" si="35"/>
        <v>0</v>
      </c>
      <c r="W79" s="80">
        <f t="shared" si="35"/>
        <v>0</v>
      </c>
      <c r="X79" s="64">
        <f t="shared" si="35"/>
        <v>0</v>
      </c>
      <c r="Y79" s="64">
        <f t="shared" si="35"/>
        <v>0</v>
      </c>
      <c r="Z79" s="64">
        <f t="shared" si="35"/>
        <v>0</v>
      </c>
      <c r="AA79" s="64">
        <f>SUM(G79:Z79)</f>
        <v>85096950.617062524</v>
      </c>
      <c r="AB79" s="59" t="str">
        <f>IF(ABS(F79-AA79)&lt;0.01,"ok","err")</f>
        <v>ok</v>
      </c>
    </row>
    <row r="80" spans="1:28" x14ac:dyDescent="0.25">
      <c r="A80" s="61" t="s">
        <v>1156</v>
      </c>
      <c r="D80" s="61" t="s">
        <v>409</v>
      </c>
      <c r="F80" s="77">
        <f>SUM(F77:F79)</f>
        <v>275272912.83566487</v>
      </c>
      <c r="G80" s="77">
        <f t="shared" ref="G80:W80" si="36">SUM(G77:G79)</f>
        <v>137432285.00627476</v>
      </c>
      <c r="H80" s="77">
        <f t="shared" si="36"/>
        <v>34065141.901861735</v>
      </c>
      <c r="I80" s="77">
        <f t="shared" si="36"/>
        <v>0</v>
      </c>
      <c r="J80" s="77">
        <f t="shared" si="36"/>
        <v>3076613.4386487589</v>
      </c>
      <c r="K80" s="77">
        <f t="shared" si="36"/>
        <v>39125492.610202387</v>
      </c>
      <c r="L80" s="77">
        <f t="shared" si="36"/>
        <v>0</v>
      </c>
      <c r="M80" s="77">
        <f t="shared" si="36"/>
        <v>0</v>
      </c>
      <c r="N80" s="77">
        <f t="shared" si="36"/>
        <v>31770530.10931237</v>
      </c>
      <c r="O80" s="77">
        <f>SUM(O77:O79)</f>
        <v>19388306.20209137</v>
      </c>
      <c r="P80" s="77">
        <f t="shared" si="36"/>
        <v>7665595.320770286</v>
      </c>
      <c r="Q80" s="77">
        <f t="shared" si="36"/>
        <v>1641746.300572129</v>
      </c>
      <c r="R80" s="77">
        <f t="shared" si="36"/>
        <v>1069755.7056570533</v>
      </c>
      <c r="S80" s="77">
        <f t="shared" si="36"/>
        <v>0</v>
      </c>
      <c r="T80" s="77">
        <f t="shared" si="36"/>
        <v>0</v>
      </c>
      <c r="U80" s="77">
        <f t="shared" si="36"/>
        <v>37446.240274026408</v>
      </c>
      <c r="V80" s="77">
        <f t="shared" si="36"/>
        <v>0</v>
      </c>
      <c r="W80" s="77">
        <f t="shared" si="36"/>
        <v>0</v>
      </c>
      <c r="X80" s="63">
        <f>SUM(X77:X79)</f>
        <v>0</v>
      </c>
      <c r="Y80" s="63">
        <f>SUM(Y77:Y79)</f>
        <v>0</v>
      </c>
      <c r="Z80" s="63">
        <f>SUM(Z77:Z79)</f>
        <v>0</v>
      </c>
      <c r="AA80" s="65">
        <f>SUM(G80:Z80)</f>
        <v>275272912.83566487</v>
      </c>
      <c r="AB80" s="59" t="str">
        <f>IF(ABS(F80-AA80)&lt;0.01,"ok","err")</f>
        <v>ok</v>
      </c>
    </row>
    <row r="81" spans="1:28" x14ac:dyDescent="0.25">
      <c r="F81" s="80"/>
      <c r="G81" s="80"/>
    </row>
    <row r="82" spans="1:28" x14ac:dyDescent="0.25">
      <c r="A82" s="66" t="s">
        <v>350</v>
      </c>
      <c r="F82" s="80"/>
      <c r="G82" s="80"/>
    </row>
    <row r="83" spans="1:28" x14ac:dyDescent="0.25">
      <c r="A83" s="69" t="s">
        <v>377</v>
      </c>
      <c r="C83" s="61" t="s">
        <v>995</v>
      </c>
      <c r="D83" s="61" t="s">
        <v>410</v>
      </c>
      <c r="E83" s="61" t="s">
        <v>133</v>
      </c>
      <c r="F83" s="77">
        <f>VLOOKUP(C83,'Functional Assignment'!$C$2:$AP$778,'Functional Assignment'!$Q$2,)</f>
        <v>0</v>
      </c>
      <c r="G83" s="77">
        <f t="shared" ref="G83:Z83" si="37">IF(VLOOKUP($E83,$D$6:$AN$1141,3,)=0,0,(VLOOKUP($E83,$D$6:$AN$1141,G$2,)/VLOOKUP($E83,$D$6:$AN$1141,3,))*$F83)</f>
        <v>0</v>
      </c>
      <c r="H83" s="77">
        <f t="shared" si="37"/>
        <v>0</v>
      </c>
      <c r="I83" s="77">
        <f t="shared" si="37"/>
        <v>0</v>
      </c>
      <c r="J83" s="77">
        <f t="shared" si="37"/>
        <v>0</v>
      </c>
      <c r="K83" s="77">
        <f t="shared" si="37"/>
        <v>0</v>
      </c>
      <c r="L83" s="77">
        <f t="shared" si="37"/>
        <v>0</v>
      </c>
      <c r="M83" s="77">
        <f t="shared" si="37"/>
        <v>0</v>
      </c>
      <c r="N83" s="77">
        <f t="shared" si="37"/>
        <v>0</v>
      </c>
      <c r="O83" s="77">
        <f t="shared" si="37"/>
        <v>0</v>
      </c>
      <c r="P83" s="77">
        <f t="shared" si="37"/>
        <v>0</v>
      </c>
      <c r="Q83" s="77">
        <f t="shared" si="37"/>
        <v>0</v>
      </c>
      <c r="R83" s="77">
        <f t="shared" si="37"/>
        <v>0</v>
      </c>
      <c r="S83" s="77">
        <f t="shared" si="37"/>
        <v>0</v>
      </c>
      <c r="T83" s="77">
        <f t="shared" si="37"/>
        <v>0</v>
      </c>
      <c r="U83" s="77">
        <f t="shared" si="37"/>
        <v>0</v>
      </c>
      <c r="V83" s="77">
        <f t="shared" si="37"/>
        <v>0</v>
      </c>
      <c r="W83" s="77">
        <f t="shared" si="37"/>
        <v>0</v>
      </c>
      <c r="X83" s="63">
        <f t="shared" si="37"/>
        <v>0</v>
      </c>
      <c r="Y83" s="63">
        <f t="shared" si="37"/>
        <v>0</v>
      </c>
      <c r="Z83" s="63">
        <f t="shared" si="37"/>
        <v>0</v>
      </c>
      <c r="AA83" s="65">
        <f>SUM(G83:Z83)</f>
        <v>0</v>
      </c>
      <c r="AB83" s="59" t="str">
        <f>IF(ABS(F83-AA83)&lt;0.01,"ok","err")</f>
        <v>ok</v>
      </c>
    </row>
    <row r="84" spans="1:28" x14ac:dyDescent="0.25">
      <c r="F84" s="80"/>
    </row>
    <row r="85" spans="1:28" x14ac:dyDescent="0.25">
      <c r="A85" s="66" t="s">
        <v>351</v>
      </c>
      <c r="F85" s="80"/>
      <c r="G85" s="80"/>
    </row>
    <row r="86" spans="1:28" x14ac:dyDescent="0.25">
      <c r="A86" s="69" t="s">
        <v>379</v>
      </c>
      <c r="C86" s="61" t="s">
        <v>995</v>
      </c>
      <c r="D86" s="61" t="s">
        <v>411</v>
      </c>
      <c r="E86" s="61" t="s">
        <v>133</v>
      </c>
      <c r="F86" s="77">
        <f>VLOOKUP(C86,'Functional Assignment'!$C$2:$AP$778,'Functional Assignment'!$R$2,)</f>
        <v>95917686.428434312</v>
      </c>
      <c r="G86" s="77">
        <f t="shared" ref="G86:Z86" si="38">IF(VLOOKUP($E86,$D$6:$AN$1141,3,)=0,0,(VLOOKUP($E86,$D$6:$AN$1141,G$2,)/VLOOKUP($E86,$D$6:$AN$1141,3,))*$F86)</f>
        <v>46052535.068039857</v>
      </c>
      <c r="H86" s="77">
        <f t="shared" si="38"/>
        <v>12812502.63192251</v>
      </c>
      <c r="I86" s="77">
        <f t="shared" si="38"/>
        <v>0</v>
      </c>
      <c r="J86" s="77">
        <f t="shared" si="38"/>
        <v>1079941.9847176678</v>
      </c>
      <c r="K86" s="77">
        <f t="shared" si="38"/>
        <v>13605125.377315933</v>
      </c>
      <c r="L86" s="77">
        <f t="shared" si="38"/>
        <v>0</v>
      </c>
      <c r="M86" s="77">
        <f t="shared" si="38"/>
        <v>0</v>
      </c>
      <c r="N86" s="77">
        <f t="shared" si="38"/>
        <v>13104534.217830788</v>
      </c>
      <c r="O86" s="77">
        <f t="shared" si="38"/>
        <v>6865581.2527877241</v>
      </c>
      <c r="P86" s="77">
        <f t="shared" si="38"/>
        <v>0</v>
      </c>
      <c r="Q86" s="77">
        <f t="shared" si="38"/>
        <v>760601.38911400852</v>
      </c>
      <c r="R86" s="77">
        <f t="shared" si="38"/>
        <v>391961.32668299263</v>
      </c>
      <c r="S86" s="77">
        <f t="shared" si="38"/>
        <v>1197052.6607652698</v>
      </c>
      <c r="T86" s="77">
        <f t="shared" si="38"/>
        <v>34628.04727346755</v>
      </c>
      <c r="U86" s="77">
        <f t="shared" si="38"/>
        <v>13222.471984108042</v>
      </c>
      <c r="V86" s="77">
        <f t="shared" si="38"/>
        <v>0</v>
      </c>
      <c r="W86" s="77">
        <f t="shared" si="38"/>
        <v>0</v>
      </c>
      <c r="X86" s="63">
        <f t="shared" si="38"/>
        <v>0</v>
      </c>
      <c r="Y86" s="63">
        <f t="shared" si="38"/>
        <v>0</v>
      </c>
      <c r="Z86" s="63">
        <f t="shared" si="38"/>
        <v>0</v>
      </c>
      <c r="AA86" s="65">
        <f>SUM(G86:Z86)</f>
        <v>95917686.428434342</v>
      </c>
      <c r="AB86" s="59" t="str">
        <f>IF(ABS(F86-AA86)&lt;0.01,"ok","err")</f>
        <v>ok</v>
      </c>
    </row>
    <row r="87" spans="1:28" x14ac:dyDescent="0.25">
      <c r="F87" s="80"/>
    </row>
    <row r="88" spans="1:28" x14ac:dyDescent="0.25">
      <c r="A88" s="66" t="s">
        <v>378</v>
      </c>
      <c r="F88" s="80"/>
    </row>
    <row r="89" spans="1:28" x14ac:dyDescent="0.25">
      <c r="A89" s="69" t="s">
        <v>629</v>
      </c>
      <c r="C89" s="61" t="s">
        <v>995</v>
      </c>
      <c r="D89" s="61" t="s">
        <v>412</v>
      </c>
      <c r="E89" s="61" t="s">
        <v>133</v>
      </c>
      <c r="F89" s="77">
        <f>VLOOKUP(C89,'Functional Assignment'!$C$2:$AP$778,'Functional Assignment'!$S$2,)</f>
        <v>0</v>
      </c>
      <c r="G89" s="77">
        <f t="shared" ref="G89:P93" si="39">IF(VLOOKUP($E89,$D$6:$AN$1141,3,)=0,0,(VLOOKUP($E89,$D$6:$AN$1141,G$2,)/VLOOKUP($E89,$D$6:$AN$1141,3,))*$F89)</f>
        <v>0</v>
      </c>
      <c r="H89" s="77">
        <f t="shared" si="39"/>
        <v>0</v>
      </c>
      <c r="I89" s="77">
        <f t="shared" si="39"/>
        <v>0</v>
      </c>
      <c r="J89" s="77">
        <f t="shared" si="39"/>
        <v>0</v>
      </c>
      <c r="K89" s="77">
        <f t="shared" si="39"/>
        <v>0</v>
      </c>
      <c r="L89" s="77">
        <f t="shared" si="39"/>
        <v>0</v>
      </c>
      <c r="M89" s="77">
        <f t="shared" si="39"/>
        <v>0</v>
      </c>
      <c r="N89" s="77">
        <f t="shared" si="39"/>
        <v>0</v>
      </c>
      <c r="O89" s="77">
        <f t="shared" si="39"/>
        <v>0</v>
      </c>
      <c r="P89" s="77">
        <f t="shared" si="39"/>
        <v>0</v>
      </c>
      <c r="Q89" s="77">
        <f t="shared" ref="Q89:Z93" si="40">IF(VLOOKUP($E89,$D$6:$AN$1141,3,)=0,0,(VLOOKUP($E89,$D$6:$AN$1141,Q$2,)/VLOOKUP($E89,$D$6:$AN$1141,3,))*$F89)</f>
        <v>0</v>
      </c>
      <c r="R89" s="77">
        <f t="shared" si="40"/>
        <v>0</v>
      </c>
      <c r="S89" s="77">
        <f t="shared" si="40"/>
        <v>0</v>
      </c>
      <c r="T89" s="77">
        <f t="shared" si="40"/>
        <v>0</v>
      </c>
      <c r="U89" s="77">
        <f t="shared" si="40"/>
        <v>0</v>
      </c>
      <c r="V89" s="77">
        <f t="shared" si="40"/>
        <v>0</v>
      </c>
      <c r="W89" s="77">
        <f t="shared" si="40"/>
        <v>0</v>
      </c>
      <c r="X89" s="63">
        <f t="shared" si="40"/>
        <v>0</v>
      </c>
      <c r="Y89" s="63">
        <f t="shared" si="40"/>
        <v>0</v>
      </c>
      <c r="Z89" s="63">
        <f t="shared" si="40"/>
        <v>0</v>
      </c>
      <c r="AA89" s="65">
        <f t="shared" ref="AA89:AA94" si="41">SUM(G89:Z89)</f>
        <v>0</v>
      </c>
      <c r="AB89" s="59" t="str">
        <f t="shared" ref="AB89:AB94" si="42">IF(ABS(F89-AA89)&lt;0.01,"ok","err")</f>
        <v>ok</v>
      </c>
    </row>
    <row r="90" spans="1:28" x14ac:dyDescent="0.25">
      <c r="A90" s="69" t="s">
        <v>630</v>
      </c>
      <c r="C90" s="61" t="s">
        <v>995</v>
      </c>
      <c r="D90" s="61" t="s">
        <v>413</v>
      </c>
      <c r="E90" s="61" t="s">
        <v>133</v>
      </c>
      <c r="F90" s="80">
        <f>VLOOKUP(C90,'Functional Assignment'!$C$2:$AP$778,'Functional Assignment'!$T$2,)</f>
        <v>140764207.39127782</v>
      </c>
      <c r="G90" s="80">
        <f t="shared" si="39"/>
        <v>67584497.06820637</v>
      </c>
      <c r="H90" s="80">
        <f t="shared" si="39"/>
        <v>18803015.844495829</v>
      </c>
      <c r="I90" s="80">
        <f t="shared" si="39"/>
        <v>0</v>
      </c>
      <c r="J90" s="80">
        <f t="shared" si="39"/>
        <v>1584871.1866165409</v>
      </c>
      <c r="K90" s="80">
        <f t="shared" si="39"/>
        <v>19966231.062357139</v>
      </c>
      <c r="L90" s="80">
        <f t="shared" si="39"/>
        <v>0</v>
      </c>
      <c r="M90" s="80">
        <f t="shared" si="39"/>
        <v>0</v>
      </c>
      <c r="N90" s="80">
        <f t="shared" si="39"/>
        <v>19231587.427634127</v>
      </c>
      <c r="O90" s="80">
        <f t="shared" si="39"/>
        <v>10075598.560752895</v>
      </c>
      <c r="P90" s="80">
        <f t="shared" si="39"/>
        <v>0</v>
      </c>
      <c r="Q90" s="80">
        <f t="shared" si="40"/>
        <v>1116222.20745724</v>
      </c>
      <c r="R90" s="80">
        <f t="shared" si="40"/>
        <v>575223.68953020417</v>
      </c>
      <c r="S90" s="80">
        <f t="shared" si="40"/>
        <v>1756737.2115878281</v>
      </c>
      <c r="T90" s="80">
        <f t="shared" si="40"/>
        <v>50818.465389010584</v>
      </c>
      <c r="U90" s="80">
        <f t="shared" si="40"/>
        <v>19404.667250654067</v>
      </c>
      <c r="V90" s="80">
        <f t="shared" si="40"/>
        <v>0</v>
      </c>
      <c r="W90" s="80">
        <f t="shared" si="40"/>
        <v>0</v>
      </c>
      <c r="X90" s="64">
        <f t="shared" si="40"/>
        <v>0</v>
      </c>
      <c r="Y90" s="64">
        <f t="shared" si="40"/>
        <v>0</v>
      </c>
      <c r="Z90" s="64">
        <f t="shared" si="40"/>
        <v>0</v>
      </c>
      <c r="AA90" s="64">
        <f t="shared" si="41"/>
        <v>140764207.39127785</v>
      </c>
      <c r="AB90" s="59" t="str">
        <f t="shared" si="42"/>
        <v>ok</v>
      </c>
    </row>
    <row r="91" spans="1:28" x14ac:dyDescent="0.25">
      <c r="A91" s="69" t="s">
        <v>631</v>
      </c>
      <c r="C91" s="61" t="s">
        <v>995</v>
      </c>
      <c r="D91" s="61" t="s">
        <v>414</v>
      </c>
      <c r="E91" s="61" t="s">
        <v>707</v>
      </c>
      <c r="F91" s="80">
        <f>VLOOKUP(C91,'Functional Assignment'!$C$2:$AP$778,'Functional Assignment'!$U$2,)</f>
        <v>228731266.48804447</v>
      </c>
      <c r="G91" s="80">
        <f t="shared" si="39"/>
        <v>196788544.76799527</v>
      </c>
      <c r="H91" s="80">
        <f t="shared" si="39"/>
        <v>24276110.25224534</v>
      </c>
      <c r="I91" s="80">
        <f t="shared" si="39"/>
        <v>0</v>
      </c>
      <c r="J91" s="80">
        <f t="shared" si="39"/>
        <v>39736.667939097701</v>
      </c>
      <c r="K91" s="80">
        <f t="shared" si="39"/>
        <v>1521696.6469006524</v>
      </c>
      <c r="L91" s="80">
        <f t="shared" si="39"/>
        <v>0</v>
      </c>
      <c r="M91" s="80">
        <f t="shared" si="39"/>
        <v>0</v>
      </c>
      <c r="N91" s="80">
        <f t="shared" si="39"/>
        <v>59695.724894808875</v>
      </c>
      <c r="O91" s="80">
        <f t="shared" si="39"/>
        <v>173734.51850084955</v>
      </c>
      <c r="P91" s="80">
        <f t="shared" si="39"/>
        <v>0</v>
      </c>
      <c r="Q91" s="80">
        <f t="shared" si="40"/>
        <v>544.33791697394111</v>
      </c>
      <c r="R91" s="80">
        <f t="shared" si="40"/>
        <v>1088.6758339478822</v>
      </c>
      <c r="S91" s="80">
        <f t="shared" si="40"/>
        <v>5805943.5036053406</v>
      </c>
      <c r="T91" s="80">
        <f t="shared" si="40"/>
        <v>9435.1905608816451</v>
      </c>
      <c r="U91" s="80">
        <f t="shared" si="40"/>
        <v>54736.20165126853</v>
      </c>
      <c r="V91" s="80">
        <f t="shared" si="40"/>
        <v>0</v>
      </c>
      <c r="W91" s="80">
        <f t="shared" si="40"/>
        <v>0</v>
      </c>
      <c r="X91" s="64">
        <f t="shared" si="40"/>
        <v>0</v>
      </c>
      <c r="Y91" s="64">
        <f t="shared" si="40"/>
        <v>0</v>
      </c>
      <c r="Z91" s="64">
        <f t="shared" si="40"/>
        <v>0</v>
      </c>
      <c r="AA91" s="64">
        <f t="shared" si="41"/>
        <v>228731266.48804441</v>
      </c>
      <c r="AB91" s="59" t="str">
        <f t="shared" si="42"/>
        <v>ok</v>
      </c>
    </row>
    <row r="92" spans="1:28" x14ac:dyDescent="0.25">
      <c r="A92" s="69" t="s">
        <v>632</v>
      </c>
      <c r="C92" s="61" t="s">
        <v>995</v>
      </c>
      <c r="D92" s="61" t="s">
        <v>415</v>
      </c>
      <c r="E92" s="61" t="s">
        <v>685</v>
      </c>
      <c r="F92" s="80">
        <f>VLOOKUP(C92,'Functional Assignment'!$C$2:$AP$778,'Functional Assignment'!$V$2,)</f>
        <v>46921402.463759273</v>
      </c>
      <c r="G92" s="80">
        <f t="shared" si="39"/>
        <v>39786738.210775971</v>
      </c>
      <c r="H92" s="80">
        <f t="shared" si="39"/>
        <v>6677645.5202476345</v>
      </c>
      <c r="I92" s="80">
        <f t="shared" si="39"/>
        <v>0</v>
      </c>
      <c r="J92" s="80">
        <f t="shared" si="39"/>
        <v>0</v>
      </c>
      <c r="K92" s="80">
        <f t="shared" si="39"/>
        <v>0</v>
      </c>
      <c r="L92" s="80">
        <f t="shared" si="39"/>
        <v>0</v>
      </c>
      <c r="M92" s="80">
        <f t="shared" si="39"/>
        <v>0</v>
      </c>
      <c r="N92" s="80">
        <f t="shared" si="39"/>
        <v>0</v>
      </c>
      <c r="O92" s="80">
        <f t="shared" si="39"/>
        <v>0</v>
      </c>
      <c r="P92" s="80">
        <f t="shared" si="39"/>
        <v>0</v>
      </c>
      <c r="Q92" s="80">
        <f t="shared" si="40"/>
        <v>0</v>
      </c>
      <c r="R92" s="80">
        <f t="shared" si="40"/>
        <v>0</v>
      </c>
      <c r="S92" s="80">
        <f t="shared" si="40"/>
        <v>439452.23919401958</v>
      </c>
      <c r="T92" s="80">
        <f t="shared" si="40"/>
        <v>12712.367143073965</v>
      </c>
      <c r="U92" s="80">
        <f t="shared" si="40"/>
        <v>4854.1263985677588</v>
      </c>
      <c r="V92" s="80">
        <f t="shared" si="40"/>
        <v>0</v>
      </c>
      <c r="W92" s="80">
        <f t="shared" si="40"/>
        <v>0</v>
      </c>
      <c r="X92" s="64">
        <f t="shared" si="40"/>
        <v>0</v>
      </c>
      <c r="Y92" s="64">
        <f t="shared" si="40"/>
        <v>0</v>
      </c>
      <c r="Z92" s="64">
        <f t="shared" si="40"/>
        <v>0</v>
      </c>
      <c r="AA92" s="64">
        <f t="shared" si="41"/>
        <v>46921402.463759273</v>
      </c>
      <c r="AB92" s="59" t="str">
        <f t="shared" si="42"/>
        <v>ok</v>
      </c>
    </row>
    <row r="93" spans="1:28" x14ac:dyDescent="0.25">
      <c r="A93" s="69" t="s">
        <v>633</v>
      </c>
      <c r="C93" s="61" t="s">
        <v>995</v>
      </c>
      <c r="D93" s="61" t="s">
        <v>416</v>
      </c>
      <c r="E93" s="61" t="s">
        <v>706</v>
      </c>
      <c r="F93" s="80">
        <f>VLOOKUP(C93,'Functional Assignment'!$C$2:$AP$778,'Functional Assignment'!$W$2,)</f>
        <v>76243755.496014833</v>
      </c>
      <c r="G93" s="80">
        <f t="shared" si="39"/>
        <v>66115464.356816977</v>
      </c>
      <c r="H93" s="80">
        <f t="shared" si="39"/>
        <v>8156096.1995869149</v>
      </c>
      <c r="I93" s="80">
        <f t="shared" si="39"/>
        <v>0</v>
      </c>
      <c r="J93" s="80">
        <f t="shared" si="39"/>
        <v>0</v>
      </c>
      <c r="K93" s="80">
        <f t="shared" si="39"/>
        <v>0</v>
      </c>
      <c r="L93" s="80">
        <f t="shared" si="39"/>
        <v>0</v>
      </c>
      <c r="M93" s="80">
        <f t="shared" si="39"/>
        <v>0</v>
      </c>
      <c r="N93" s="80">
        <f t="shared" si="39"/>
        <v>0</v>
      </c>
      <c r="O93" s="80">
        <f t="shared" si="39"/>
        <v>0</v>
      </c>
      <c r="P93" s="80">
        <f t="shared" si="39"/>
        <v>0</v>
      </c>
      <c r="Q93" s="80">
        <f t="shared" si="40"/>
        <v>0</v>
      </c>
      <c r="R93" s="80">
        <f t="shared" si="40"/>
        <v>0</v>
      </c>
      <c r="S93" s="80">
        <f t="shared" si="40"/>
        <v>1950635.1409980115</v>
      </c>
      <c r="T93" s="80">
        <f t="shared" si="40"/>
        <v>3169.960964766482</v>
      </c>
      <c r="U93" s="80">
        <f t="shared" si="40"/>
        <v>18389.837648164528</v>
      </c>
      <c r="V93" s="80">
        <f t="shared" si="40"/>
        <v>0</v>
      </c>
      <c r="W93" s="80">
        <f t="shared" si="40"/>
        <v>0</v>
      </c>
      <c r="X93" s="64">
        <f t="shared" si="40"/>
        <v>0</v>
      </c>
      <c r="Y93" s="64">
        <f t="shared" si="40"/>
        <v>0</v>
      </c>
      <c r="Z93" s="64">
        <f t="shared" si="40"/>
        <v>0</v>
      </c>
      <c r="AA93" s="64">
        <f t="shared" si="41"/>
        <v>76243755.496014833</v>
      </c>
      <c r="AB93" s="59" t="str">
        <f t="shared" si="42"/>
        <v>ok</v>
      </c>
    </row>
    <row r="94" spans="1:28" x14ac:dyDescent="0.25">
      <c r="A94" s="61" t="s">
        <v>383</v>
      </c>
      <c r="D94" s="61" t="s">
        <v>417</v>
      </c>
      <c r="F94" s="77">
        <f>SUM(F89:F93)</f>
        <v>492660631.83909643</v>
      </c>
      <c r="G94" s="77">
        <f t="shared" ref="G94:W94" si="43">SUM(G89:G93)</f>
        <v>370275244.40379465</v>
      </c>
      <c r="H94" s="77">
        <f t="shared" si="43"/>
        <v>57912867.816575721</v>
      </c>
      <c r="I94" s="77">
        <f t="shared" si="43"/>
        <v>0</v>
      </c>
      <c r="J94" s="77">
        <f t="shared" si="43"/>
        <v>1624607.8545556385</v>
      </c>
      <c r="K94" s="77">
        <f t="shared" si="43"/>
        <v>21487927.709257793</v>
      </c>
      <c r="L94" s="77">
        <f t="shared" si="43"/>
        <v>0</v>
      </c>
      <c r="M94" s="77">
        <f t="shared" si="43"/>
        <v>0</v>
      </c>
      <c r="N94" s="77">
        <f t="shared" si="43"/>
        <v>19291283.152528938</v>
      </c>
      <c r="O94" s="77">
        <f>SUM(O89:O93)</f>
        <v>10249333.079253744</v>
      </c>
      <c r="P94" s="77">
        <f t="shared" si="43"/>
        <v>0</v>
      </c>
      <c r="Q94" s="77">
        <f t="shared" si="43"/>
        <v>1116766.545374214</v>
      </c>
      <c r="R94" s="77">
        <f t="shared" si="43"/>
        <v>576312.36536415201</v>
      </c>
      <c r="S94" s="77">
        <f t="shared" si="43"/>
        <v>9952768.0953852013</v>
      </c>
      <c r="T94" s="77">
        <f t="shared" si="43"/>
        <v>76135.984057732669</v>
      </c>
      <c r="U94" s="77">
        <f t="shared" si="43"/>
        <v>97384.83294865489</v>
      </c>
      <c r="V94" s="77">
        <f t="shared" si="43"/>
        <v>0</v>
      </c>
      <c r="W94" s="77">
        <f t="shared" si="43"/>
        <v>0</v>
      </c>
      <c r="X94" s="63">
        <f>SUM(X89:X93)</f>
        <v>0</v>
      </c>
      <c r="Y94" s="63">
        <f>SUM(Y89:Y93)</f>
        <v>0</v>
      </c>
      <c r="Z94" s="63">
        <f>SUM(Z89:Z93)</f>
        <v>0</v>
      </c>
      <c r="AA94" s="65">
        <f t="shared" si="41"/>
        <v>492660631.83909643</v>
      </c>
      <c r="AB94" s="59" t="str">
        <f t="shared" si="42"/>
        <v>ok</v>
      </c>
    </row>
    <row r="95" spans="1:28" x14ac:dyDescent="0.25">
      <c r="F95" s="80"/>
    </row>
    <row r="96" spans="1:28" x14ac:dyDescent="0.25">
      <c r="A96" s="66" t="s">
        <v>640</v>
      </c>
      <c r="F96" s="80"/>
    </row>
    <row r="97" spans="1:28" x14ac:dyDescent="0.25">
      <c r="A97" s="69" t="s">
        <v>1113</v>
      </c>
      <c r="C97" s="61" t="s">
        <v>995</v>
      </c>
      <c r="D97" s="61" t="s">
        <v>418</v>
      </c>
      <c r="E97" s="61" t="s">
        <v>1379</v>
      </c>
      <c r="F97" s="77">
        <f>VLOOKUP(C97,'Functional Assignment'!$C$2:$AP$778,'Functional Assignment'!$X$2,)</f>
        <v>58163458.217184521</v>
      </c>
      <c r="G97" s="77">
        <f t="shared" ref="G97:P98" si="44">IF(VLOOKUP($E97,$D$6:$AN$1141,3,)=0,0,(VLOOKUP($E97,$D$6:$AN$1141,G$2,)/VLOOKUP($E97,$D$6:$AN$1141,3,))*$F97)</f>
        <v>41066291.482612483</v>
      </c>
      <c r="H97" s="77">
        <f t="shared" si="44"/>
        <v>6892400.5757722184</v>
      </c>
      <c r="I97" s="77">
        <f t="shared" si="44"/>
        <v>0</v>
      </c>
      <c r="J97" s="77">
        <f t="shared" si="44"/>
        <v>0</v>
      </c>
      <c r="K97" s="77">
        <f t="shared" si="44"/>
        <v>6397569.9001222262</v>
      </c>
      <c r="L97" s="77">
        <f t="shared" si="44"/>
        <v>0</v>
      </c>
      <c r="M97" s="77">
        <f t="shared" si="44"/>
        <v>0</v>
      </c>
      <c r="N97" s="77">
        <f t="shared" si="44"/>
        <v>0</v>
      </c>
      <c r="O97" s="77">
        <f t="shared" si="44"/>
        <v>3335479.6682873508</v>
      </c>
      <c r="P97" s="77">
        <f t="shared" si="44"/>
        <v>0</v>
      </c>
      <c r="Q97" s="77">
        <f t="shared" ref="Q97:Z98" si="45">IF(VLOOKUP($E97,$D$6:$AN$1141,3,)=0,0,(VLOOKUP($E97,$D$6:$AN$1141,Q$2,)/VLOOKUP($E97,$D$6:$AN$1141,3,))*$F97)</f>
        <v>0</v>
      </c>
      <c r="R97" s="77">
        <f t="shared" si="45"/>
        <v>0</v>
      </c>
      <c r="S97" s="77">
        <f t="shared" si="45"/>
        <v>453585.15321923344</v>
      </c>
      <c r="T97" s="77">
        <f t="shared" si="45"/>
        <v>13121.200631371876</v>
      </c>
      <c r="U97" s="77">
        <f t="shared" si="45"/>
        <v>5010.2365396477098</v>
      </c>
      <c r="V97" s="77">
        <f t="shared" si="45"/>
        <v>0</v>
      </c>
      <c r="W97" s="77">
        <f t="shared" si="45"/>
        <v>0</v>
      </c>
      <c r="X97" s="63">
        <f t="shared" si="45"/>
        <v>0</v>
      </c>
      <c r="Y97" s="63">
        <f t="shared" si="45"/>
        <v>0</v>
      </c>
      <c r="Z97" s="63">
        <f t="shared" si="45"/>
        <v>0</v>
      </c>
      <c r="AA97" s="65">
        <f>SUM(G97:Z97)</f>
        <v>58163458.217184529</v>
      </c>
      <c r="AB97" s="59" t="str">
        <f>IF(ABS(F97-AA97)&lt;0.01,"ok","err")</f>
        <v>ok</v>
      </c>
    </row>
    <row r="98" spans="1:28" x14ac:dyDescent="0.25">
      <c r="A98" s="69" t="s">
        <v>1116</v>
      </c>
      <c r="C98" s="61" t="s">
        <v>995</v>
      </c>
      <c r="D98" s="61" t="s">
        <v>419</v>
      </c>
      <c r="E98" s="61" t="s">
        <v>1377</v>
      </c>
      <c r="F98" s="80">
        <f>VLOOKUP(C98,'Functional Assignment'!$C$2:$AP$778,'Functional Assignment'!$Y$2,)</f>
        <v>44140838.654471979</v>
      </c>
      <c r="G98" s="80">
        <f t="shared" si="44"/>
        <v>37993280.68892131</v>
      </c>
      <c r="H98" s="80">
        <f t="shared" si="44"/>
        <v>4686904.270449996</v>
      </c>
      <c r="I98" s="80">
        <f t="shared" si="44"/>
        <v>0</v>
      </c>
      <c r="J98" s="80">
        <f t="shared" si="44"/>
        <v>0</v>
      </c>
      <c r="K98" s="80">
        <f t="shared" si="44"/>
        <v>293788.68519632187</v>
      </c>
      <c r="L98" s="80">
        <f t="shared" si="44"/>
        <v>0</v>
      </c>
      <c r="M98" s="80">
        <f t="shared" si="44"/>
        <v>0</v>
      </c>
      <c r="N98" s="80">
        <f t="shared" si="44"/>
        <v>0</v>
      </c>
      <c r="O98" s="80">
        <f t="shared" si="44"/>
        <v>33542.319927917277</v>
      </c>
      <c r="P98" s="80">
        <f t="shared" si="44"/>
        <v>0</v>
      </c>
      <c r="Q98" s="80">
        <f t="shared" si="45"/>
        <v>0</v>
      </c>
      <c r="R98" s="80">
        <f t="shared" si="45"/>
        <v>0</v>
      </c>
      <c r="S98" s="80">
        <f t="shared" si="45"/>
        <v>1120933.3422154156</v>
      </c>
      <c r="T98" s="80">
        <f t="shared" si="45"/>
        <v>1821.6194634482486</v>
      </c>
      <c r="U98" s="80">
        <f t="shared" si="45"/>
        <v>10567.728297568367</v>
      </c>
      <c r="V98" s="80">
        <f t="shared" si="45"/>
        <v>0</v>
      </c>
      <c r="W98" s="80">
        <f t="shared" si="45"/>
        <v>0</v>
      </c>
      <c r="X98" s="64">
        <f t="shared" si="45"/>
        <v>0</v>
      </c>
      <c r="Y98" s="64">
        <f t="shared" si="45"/>
        <v>0</v>
      </c>
      <c r="Z98" s="64">
        <f t="shared" si="45"/>
        <v>0</v>
      </c>
      <c r="AA98" s="64">
        <f>SUM(G98:Z98)</f>
        <v>44140838.654471986</v>
      </c>
      <c r="AB98" s="59" t="str">
        <f>IF(ABS(F98-AA98)&lt;0.01,"ok","err")</f>
        <v>ok</v>
      </c>
    </row>
    <row r="99" spans="1:28" x14ac:dyDescent="0.25">
      <c r="A99" s="61" t="s">
        <v>721</v>
      </c>
      <c r="D99" s="61" t="s">
        <v>420</v>
      </c>
      <c r="F99" s="77">
        <f>F97+F98</f>
        <v>102304296.87165651</v>
      </c>
      <c r="G99" s="77">
        <f t="shared" ref="G99:W99" si="46">G97+G98</f>
        <v>79059572.171533793</v>
      </c>
      <c r="H99" s="77">
        <f t="shared" si="46"/>
        <v>11579304.846222214</v>
      </c>
      <c r="I99" s="77">
        <f t="shared" si="46"/>
        <v>0</v>
      </c>
      <c r="J99" s="77">
        <f t="shared" si="46"/>
        <v>0</v>
      </c>
      <c r="K99" s="77">
        <f t="shared" si="46"/>
        <v>6691358.5853185477</v>
      </c>
      <c r="L99" s="77">
        <f t="shared" si="46"/>
        <v>0</v>
      </c>
      <c r="M99" s="77">
        <f t="shared" si="46"/>
        <v>0</v>
      </c>
      <c r="N99" s="77">
        <f t="shared" si="46"/>
        <v>0</v>
      </c>
      <c r="O99" s="77">
        <f>O97+O98</f>
        <v>3369021.9882152681</v>
      </c>
      <c r="P99" s="77">
        <f t="shared" si="46"/>
        <v>0</v>
      </c>
      <c r="Q99" s="77">
        <f t="shared" si="46"/>
        <v>0</v>
      </c>
      <c r="R99" s="77">
        <f t="shared" si="46"/>
        <v>0</v>
      </c>
      <c r="S99" s="77">
        <f t="shared" si="46"/>
        <v>1574518.4954346491</v>
      </c>
      <c r="T99" s="77">
        <f t="shared" si="46"/>
        <v>14942.820094820125</v>
      </c>
      <c r="U99" s="77">
        <f t="shared" si="46"/>
        <v>15577.964837216077</v>
      </c>
      <c r="V99" s="77">
        <f t="shared" si="46"/>
        <v>0</v>
      </c>
      <c r="W99" s="77">
        <f t="shared" si="46"/>
        <v>0</v>
      </c>
      <c r="X99" s="63">
        <f>X97+X98</f>
        <v>0</v>
      </c>
      <c r="Y99" s="63">
        <f>Y97+Y98</f>
        <v>0</v>
      </c>
      <c r="Z99" s="63">
        <f>Z97+Z98</f>
        <v>0</v>
      </c>
      <c r="AA99" s="65">
        <f>SUM(G99:Z99)</f>
        <v>102304296.87165652</v>
      </c>
      <c r="AB99" s="59" t="str">
        <f>IF(ABS(F99-AA99)&lt;0.01,"ok","err")</f>
        <v>ok</v>
      </c>
    </row>
    <row r="100" spans="1:28" x14ac:dyDescent="0.25">
      <c r="F100" s="80"/>
    </row>
    <row r="101" spans="1:28" x14ac:dyDescent="0.25">
      <c r="A101" s="66" t="s">
        <v>356</v>
      </c>
      <c r="F101" s="80"/>
    </row>
    <row r="102" spans="1:28" x14ac:dyDescent="0.25">
      <c r="A102" s="69" t="s">
        <v>1116</v>
      </c>
      <c r="C102" s="61" t="s">
        <v>995</v>
      </c>
      <c r="D102" s="61" t="s">
        <v>421</v>
      </c>
      <c r="E102" s="61" t="s">
        <v>1118</v>
      </c>
      <c r="F102" s="77">
        <f>VLOOKUP(C102,'Functional Assignment'!$C$2:$AP$778,'Functional Assignment'!$Z$2,)</f>
        <v>20947823.800371066</v>
      </c>
      <c r="G102" s="77">
        <f t="shared" ref="G102:Z102" si="47">IF(VLOOKUP($E102,$D$6:$AN$1141,3,)=0,0,(VLOOKUP($E102,$D$6:$AN$1141,G$2,)/VLOOKUP($E102,$D$6:$AN$1141,3,))*$F102)</f>
        <v>16911687.750288378</v>
      </c>
      <c r="H102" s="77">
        <f t="shared" si="47"/>
        <v>3611062.945233725</v>
      </c>
      <c r="I102" s="77">
        <f t="shared" si="47"/>
        <v>0</v>
      </c>
      <c r="J102" s="77">
        <f t="shared" si="47"/>
        <v>0</v>
      </c>
      <c r="K102" s="77">
        <f t="shared" si="47"/>
        <v>361277.98459735233</v>
      </c>
      <c r="L102" s="77">
        <f t="shared" si="47"/>
        <v>0</v>
      </c>
      <c r="M102" s="77">
        <f t="shared" si="47"/>
        <v>0</v>
      </c>
      <c r="N102" s="77">
        <f t="shared" si="47"/>
        <v>0</v>
      </c>
      <c r="O102" s="77">
        <f t="shared" si="47"/>
        <v>63795.120251609434</v>
      </c>
      <c r="P102" s="77">
        <f t="shared" si="47"/>
        <v>0</v>
      </c>
      <c r="Q102" s="77">
        <f t="shared" si="47"/>
        <v>0</v>
      </c>
      <c r="R102" s="77">
        <f t="shared" si="47"/>
        <v>0</v>
      </c>
      <c r="S102" s="77">
        <f t="shared" si="47"/>
        <v>0</v>
      </c>
      <c r="T102" s="77">
        <f t="shared" si="47"/>
        <v>0</v>
      </c>
      <c r="U102" s="77">
        <f t="shared" si="47"/>
        <v>0</v>
      </c>
      <c r="V102" s="77">
        <f t="shared" si="47"/>
        <v>0</v>
      </c>
      <c r="W102" s="77">
        <f t="shared" si="47"/>
        <v>0</v>
      </c>
      <c r="X102" s="63">
        <f t="shared" si="47"/>
        <v>0</v>
      </c>
      <c r="Y102" s="63">
        <f t="shared" si="47"/>
        <v>0</v>
      </c>
      <c r="Z102" s="63">
        <f t="shared" si="47"/>
        <v>0</v>
      </c>
      <c r="AA102" s="65">
        <f>SUM(G102:Z102)</f>
        <v>20947823.800371066</v>
      </c>
      <c r="AB102" s="59" t="str">
        <f>IF(ABS(F102-AA102)&lt;0.01,"ok","err")</f>
        <v>ok</v>
      </c>
    </row>
    <row r="103" spans="1:28" x14ac:dyDescent="0.25">
      <c r="F103" s="80"/>
    </row>
    <row r="104" spans="1:28" x14ac:dyDescent="0.25">
      <c r="A104" s="66" t="s">
        <v>355</v>
      </c>
      <c r="F104" s="80"/>
    </row>
    <row r="105" spans="1:28" x14ac:dyDescent="0.25">
      <c r="A105" s="69" t="s">
        <v>1116</v>
      </c>
      <c r="C105" s="61" t="s">
        <v>995</v>
      </c>
      <c r="D105" s="61" t="s">
        <v>422</v>
      </c>
      <c r="E105" s="61" t="s">
        <v>1119</v>
      </c>
      <c r="F105" s="77">
        <f>VLOOKUP(C105,'Functional Assignment'!$C$2:$AP$778,'Functional Assignment'!$AA$2,)</f>
        <v>27665095.099490281</v>
      </c>
      <c r="G105" s="77">
        <f t="shared" ref="G105:Z105" si="48">IF(VLOOKUP($E105,$D$6:$AN$1141,3,)=0,0,(VLOOKUP($E105,$D$6:$AN$1141,G$2,)/VLOOKUP($E105,$D$6:$AN$1141,3,))*$F105)</f>
        <v>18951710.219450921</v>
      </c>
      <c r="H105" s="77">
        <f t="shared" si="48"/>
        <v>6202694.2793551944</v>
      </c>
      <c r="I105" s="77">
        <f t="shared" si="48"/>
        <v>0</v>
      </c>
      <c r="J105" s="77">
        <f t="shared" si="48"/>
        <v>225124.66010738022</v>
      </c>
      <c r="K105" s="77">
        <f t="shared" si="48"/>
        <v>1459939.9344959741</v>
      </c>
      <c r="L105" s="77">
        <f t="shared" si="48"/>
        <v>0</v>
      </c>
      <c r="M105" s="77">
        <f t="shared" si="48"/>
        <v>0</v>
      </c>
      <c r="N105" s="77">
        <f t="shared" si="48"/>
        <v>323388.79674805881</v>
      </c>
      <c r="O105" s="77">
        <f t="shared" si="48"/>
        <v>183052.16543719129</v>
      </c>
      <c r="P105" s="77">
        <f t="shared" si="48"/>
        <v>254718.3395775306</v>
      </c>
      <c r="Q105" s="77">
        <f t="shared" si="48"/>
        <v>2948.8340129002322</v>
      </c>
      <c r="R105" s="77">
        <f t="shared" si="48"/>
        <v>5897.6680258004644</v>
      </c>
      <c r="S105" s="77">
        <f t="shared" si="48"/>
        <v>0</v>
      </c>
      <c r="T105" s="77">
        <f t="shared" si="48"/>
        <v>8177.899675377239</v>
      </c>
      <c r="U105" s="77">
        <f t="shared" si="48"/>
        <v>47442.302603951292</v>
      </c>
      <c r="V105" s="77">
        <f t="shared" si="48"/>
        <v>0</v>
      </c>
      <c r="W105" s="77">
        <f t="shared" si="48"/>
        <v>0</v>
      </c>
      <c r="X105" s="63">
        <f t="shared" si="48"/>
        <v>0</v>
      </c>
      <c r="Y105" s="63">
        <f t="shared" si="48"/>
        <v>0</v>
      </c>
      <c r="Z105" s="63">
        <f t="shared" si="48"/>
        <v>0</v>
      </c>
      <c r="AA105" s="65">
        <f>SUM(G105:Z105)</f>
        <v>27665095.099490277</v>
      </c>
      <c r="AB105" s="59" t="str">
        <f>IF(ABS(F105-AA105)&lt;0.01,"ok","err")</f>
        <v>ok</v>
      </c>
    </row>
    <row r="106" spans="1:28" x14ac:dyDescent="0.25">
      <c r="F106" s="80"/>
    </row>
    <row r="107" spans="1:28" x14ac:dyDescent="0.25">
      <c r="A107" s="66" t="s">
        <v>376</v>
      </c>
      <c r="F107" s="80"/>
    </row>
    <row r="108" spans="1:28" x14ac:dyDescent="0.25">
      <c r="A108" s="69" t="s">
        <v>1116</v>
      </c>
      <c r="C108" s="61" t="s">
        <v>995</v>
      </c>
      <c r="D108" s="61" t="s">
        <v>423</v>
      </c>
      <c r="E108" s="61" t="s">
        <v>1120</v>
      </c>
      <c r="F108" s="77">
        <f>VLOOKUP(C108,'Functional Assignment'!$C$2:$AP$778,'Functional Assignment'!$AB$2,)</f>
        <v>65229667.776950285</v>
      </c>
      <c r="G108" s="77">
        <f t="shared" ref="G108:Z108" si="49">IF(VLOOKUP($E108,$D$6:$AN$1141,3,)=0,0,(VLOOKUP($E108,$D$6:$AN$1141,G$2,)/VLOOKUP($E108,$D$6:$AN$1141,3,))*$F108)</f>
        <v>0</v>
      </c>
      <c r="H108" s="77">
        <f t="shared" si="49"/>
        <v>0</v>
      </c>
      <c r="I108" s="77">
        <f t="shared" si="49"/>
        <v>0</v>
      </c>
      <c r="J108" s="77">
        <f t="shared" si="49"/>
        <v>0</v>
      </c>
      <c r="K108" s="77">
        <f t="shared" si="49"/>
        <v>0</v>
      </c>
      <c r="L108" s="77">
        <f t="shared" si="49"/>
        <v>0</v>
      </c>
      <c r="M108" s="77">
        <f t="shared" si="49"/>
        <v>0</v>
      </c>
      <c r="N108" s="77">
        <f t="shared" si="49"/>
        <v>0</v>
      </c>
      <c r="O108" s="77">
        <f t="shared" si="49"/>
        <v>0</v>
      </c>
      <c r="P108" s="77">
        <f t="shared" si="49"/>
        <v>0</v>
      </c>
      <c r="Q108" s="77">
        <f t="shared" si="49"/>
        <v>0</v>
      </c>
      <c r="R108" s="77">
        <f t="shared" si="49"/>
        <v>0</v>
      </c>
      <c r="S108" s="77">
        <f t="shared" si="49"/>
        <v>65229667.776950285</v>
      </c>
      <c r="T108" s="77">
        <f t="shared" si="49"/>
        <v>0</v>
      </c>
      <c r="U108" s="77">
        <f t="shared" si="49"/>
        <v>0</v>
      </c>
      <c r="V108" s="77">
        <f t="shared" si="49"/>
        <v>0</v>
      </c>
      <c r="W108" s="77">
        <f t="shared" si="49"/>
        <v>0</v>
      </c>
      <c r="X108" s="63">
        <f t="shared" si="49"/>
        <v>0</v>
      </c>
      <c r="Y108" s="63">
        <f t="shared" si="49"/>
        <v>0</v>
      </c>
      <c r="Z108" s="63">
        <f t="shared" si="49"/>
        <v>0</v>
      </c>
      <c r="AA108" s="65">
        <f>SUM(G108:Z108)</f>
        <v>65229667.776950285</v>
      </c>
      <c r="AB108" s="59" t="str">
        <f>IF(ABS(F108-AA108)&lt;0.01,"ok","err")</f>
        <v>ok</v>
      </c>
    </row>
    <row r="109" spans="1:28" x14ac:dyDescent="0.25">
      <c r="F109" s="80"/>
    </row>
    <row r="110" spans="1:28" x14ac:dyDescent="0.25">
      <c r="A110" s="66" t="s">
        <v>1047</v>
      </c>
      <c r="F110" s="80"/>
    </row>
    <row r="111" spans="1:28" x14ac:dyDescent="0.25">
      <c r="A111" s="69" t="s">
        <v>1116</v>
      </c>
      <c r="C111" s="61" t="s">
        <v>995</v>
      </c>
      <c r="D111" s="61" t="s">
        <v>424</v>
      </c>
      <c r="E111" s="61" t="s">
        <v>1121</v>
      </c>
      <c r="F111" s="77">
        <f>VLOOKUP(C111,'Functional Assignment'!$C$2:$AP$778,'Functional Assignment'!$AC$2,)</f>
        <v>0</v>
      </c>
      <c r="G111" s="77">
        <f t="shared" ref="G111:Z111" si="50">IF(VLOOKUP($E111,$D$6:$AN$1141,3,)=0,0,(VLOOKUP($E111,$D$6:$AN$1141,G$2,)/VLOOKUP($E111,$D$6:$AN$1141,3,))*$F111)</f>
        <v>0</v>
      </c>
      <c r="H111" s="77">
        <f t="shared" si="50"/>
        <v>0</v>
      </c>
      <c r="I111" s="77">
        <f t="shared" si="50"/>
        <v>0</v>
      </c>
      <c r="J111" s="77">
        <f t="shared" si="50"/>
        <v>0</v>
      </c>
      <c r="K111" s="77">
        <f t="shared" si="50"/>
        <v>0</v>
      </c>
      <c r="L111" s="77">
        <f t="shared" si="50"/>
        <v>0</v>
      </c>
      <c r="M111" s="77">
        <f t="shared" si="50"/>
        <v>0</v>
      </c>
      <c r="N111" s="77">
        <f t="shared" si="50"/>
        <v>0</v>
      </c>
      <c r="O111" s="77">
        <f t="shared" si="50"/>
        <v>0</v>
      </c>
      <c r="P111" s="77">
        <f t="shared" si="50"/>
        <v>0</v>
      </c>
      <c r="Q111" s="77">
        <f t="shared" si="50"/>
        <v>0</v>
      </c>
      <c r="R111" s="77">
        <f t="shared" si="50"/>
        <v>0</v>
      </c>
      <c r="S111" s="77">
        <f t="shared" si="50"/>
        <v>0</v>
      </c>
      <c r="T111" s="77">
        <f t="shared" si="50"/>
        <v>0</v>
      </c>
      <c r="U111" s="77">
        <f t="shared" si="50"/>
        <v>0</v>
      </c>
      <c r="V111" s="77">
        <f t="shared" si="50"/>
        <v>0</v>
      </c>
      <c r="W111" s="77">
        <f t="shared" si="50"/>
        <v>0</v>
      </c>
      <c r="X111" s="63">
        <f t="shared" si="50"/>
        <v>0</v>
      </c>
      <c r="Y111" s="63">
        <f t="shared" si="50"/>
        <v>0</v>
      </c>
      <c r="Z111" s="63">
        <f t="shared" si="50"/>
        <v>0</v>
      </c>
      <c r="AA111" s="65">
        <f>SUM(G111:Z111)</f>
        <v>0</v>
      </c>
      <c r="AB111" s="59" t="str">
        <f>IF(ABS(F111-AA111)&lt;0.01,"ok","err")</f>
        <v>ok</v>
      </c>
    </row>
    <row r="112" spans="1:28" x14ac:dyDescent="0.25">
      <c r="F112" s="80"/>
    </row>
    <row r="113" spans="1:28" x14ac:dyDescent="0.25">
      <c r="A113" s="66" t="s">
        <v>353</v>
      </c>
      <c r="F113" s="80"/>
    </row>
    <row r="114" spans="1:28" x14ac:dyDescent="0.25">
      <c r="A114" s="69" t="s">
        <v>1116</v>
      </c>
      <c r="C114" s="61" t="s">
        <v>995</v>
      </c>
      <c r="D114" s="61" t="s">
        <v>425</v>
      </c>
      <c r="E114" s="61" t="s">
        <v>1122</v>
      </c>
      <c r="F114" s="77">
        <f>VLOOKUP(C114,'Functional Assignment'!$C$2:$AP$778,'Functional Assignment'!$AD$2,)</f>
        <v>0</v>
      </c>
      <c r="G114" s="77">
        <f t="shared" ref="G114:Z114" si="51">IF(VLOOKUP($E114,$D$6:$AN$1141,3,)=0,0,(VLOOKUP($E114,$D$6:$AN$1141,G$2,)/VLOOKUP($E114,$D$6:$AN$1141,3,))*$F114)</f>
        <v>0</v>
      </c>
      <c r="H114" s="77">
        <f t="shared" si="51"/>
        <v>0</v>
      </c>
      <c r="I114" s="77">
        <f t="shared" si="51"/>
        <v>0</v>
      </c>
      <c r="J114" s="77">
        <f t="shared" si="51"/>
        <v>0</v>
      </c>
      <c r="K114" s="77">
        <f t="shared" si="51"/>
        <v>0</v>
      </c>
      <c r="L114" s="77">
        <f t="shared" si="51"/>
        <v>0</v>
      </c>
      <c r="M114" s="77">
        <f t="shared" si="51"/>
        <v>0</v>
      </c>
      <c r="N114" s="77">
        <f t="shared" si="51"/>
        <v>0</v>
      </c>
      <c r="O114" s="77">
        <f t="shared" si="51"/>
        <v>0</v>
      </c>
      <c r="P114" s="77">
        <f t="shared" si="51"/>
        <v>0</v>
      </c>
      <c r="Q114" s="77">
        <f t="shared" si="51"/>
        <v>0</v>
      </c>
      <c r="R114" s="77">
        <f t="shared" si="51"/>
        <v>0</v>
      </c>
      <c r="S114" s="77">
        <f t="shared" si="51"/>
        <v>0</v>
      </c>
      <c r="T114" s="77">
        <f t="shared" si="51"/>
        <v>0</v>
      </c>
      <c r="U114" s="77">
        <f t="shared" si="51"/>
        <v>0</v>
      </c>
      <c r="V114" s="77">
        <f t="shared" si="51"/>
        <v>0</v>
      </c>
      <c r="W114" s="77">
        <f t="shared" si="51"/>
        <v>0</v>
      </c>
      <c r="X114" s="63">
        <f t="shared" si="51"/>
        <v>0</v>
      </c>
      <c r="Y114" s="63">
        <f t="shared" si="51"/>
        <v>0</v>
      </c>
      <c r="Z114" s="63">
        <f t="shared" si="51"/>
        <v>0</v>
      </c>
      <c r="AA114" s="65">
        <f>SUM(G114:Z114)</f>
        <v>0</v>
      </c>
      <c r="AB114" s="59" t="str">
        <f>IF(ABS(F114-AA114)&lt;0.01,"ok","err")</f>
        <v>ok</v>
      </c>
    </row>
    <row r="115" spans="1:28" x14ac:dyDescent="0.25">
      <c r="F115" s="80"/>
    </row>
    <row r="116" spans="1:28" x14ac:dyDescent="0.25">
      <c r="A116" s="66" t="s">
        <v>352</v>
      </c>
      <c r="F116" s="80"/>
    </row>
    <row r="117" spans="1:28" x14ac:dyDescent="0.25">
      <c r="A117" s="69" t="s">
        <v>1116</v>
      </c>
      <c r="C117" s="61" t="s">
        <v>995</v>
      </c>
      <c r="D117" s="61" t="s">
        <v>426</v>
      </c>
      <c r="E117" s="61" t="s">
        <v>1122</v>
      </c>
      <c r="F117" s="77">
        <f>VLOOKUP(C117,'Functional Assignment'!$C$2:$AP$778,'Functional Assignment'!$AE$2,)</f>
        <v>0</v>
      </c>
      <c r="G117" s="77">
        <f t="shared" ref="G117:Z117" si="52">IF(VLOOKUP($E117,$D$6:$AN$1141,3,)=0,0,(VLOOKUP($E117,$D$6:$AN$1141,G$2,)/VLOOKUP($E117,$D$6:$AN$1141,3,))*$F117)</f>
        <v>0</v>
      </c>
      <c r="H117" s="77">
        <f t="shared" si="52"/>
        <v>0</v>
      </c>
      <c r="I117" s="77">
        <f t="shared" si="52"/>
        <v>0</v>
      </c>
      <c r="J117" s="77">
        <f t="shared" si="52"/>
        <v>0</v>
      </c>
      <c r="K117" s="77">
        <f t="shared" si="52"/>
        <v>0</v>
      </c>
      <c r="L117" s="77">
        <f t="shared" si="52"/>
        <v>0</v>
      </c>
      <c r="M117" s="77">
        <f t="shared" si="52"/>
        <v>0</v>
      </c>
      <c r="N117" s="77">
        <f t="shared" si="52"/>
        <v>0</v>
      </c>
      <c r="O117" s="77">
        <f t="shared" si="52"/>
        <v>0</v>
      </c>
      <c r="P117" s="77">
        <f t="shared" si="52"/>
        <v>0</v>
      </c>
      <c r="Q117" s="77">
        <f t="shared" si="52"/>
        <v>0</v>
      </c>
      <c r="R117" s="77">
        <f t="shared" si="52"/>
        <v>0</v>
      </c>
      <c r="S117" s="77">
        <f t="shared" si="52"/>
        <v>0</v>
      </c>
      <c r="T117" s="77">
        <f t="shared" si="52"/>
        <v>0</v>
      </c>
      <c r="U117" s="77">
        <f t="shared" si="52"/>
        <v>0</v>
      </c>
      <c r="V117" s="77">
        <f t="shared" si="52"/>
        <v>0</v>
      </c>
      <c r="W117" s="77">
        <f t="shared" si="52"/>
        <v>0</v>
      </c>
      <c r="X117" s="63">
        <f t="shared" si="52"/>
        <v>0</v>
      </c>
      <c r="Y117" s="63">
        <f t="shared" si="52"/>
        <v>0</v>
      </c>
      <c r="Z117" s="63">
        <f t="shared" si="52"/>
        <v>0</v>
      </c>
      <c r="AA117" s="65">
        <f>SUM(G117:Z117)</f>
        <v>0</v>
      </c>
      <c r="AB117" s="59" t="str">
        <f>IF(ABS(F117-AA117)&lt;0.01,"ok","err")</f>
        <v>ok</v>
      </c>
    </row>
    <row r="118" spans="1:28" x14ac:dyDescent="0.25">
      <c r="F118" s="80"/>
    </row>
    <row r="119" spans="1:28" x14ac:dyDescent="0.25">
      <c r="A119" s="61" t="s">
        <v>944</v>
      </c>
      <c r="D119" s="61" t="s">
        <v>427</v>
      </c>
      <c r="F119" s="77">
        <f>F74+F80+F83+F86+F94+F99+F102+F105+F108+F111+F114+F117</f>
        <v>2547244232.7190304</v>
      </c>
      <c r="G119" s="77">
        <f t="shared" ref="G119:Y119" si="53">G74+G80+G83+G86+G94+G99+G102+G105+G108+G111+G114+G117</f>
        <v>1401217829.2541378</v>
      </c>
      <c r="H119" s="77">
        <f t="shared" si="53"/>
        <v>307755915.49186456</v>
      </c>
      <c r="I119" s="77">
        <f t="shared" si="53"/>
        <v>0</v>
      </c>
      <c r="J119" s="77">
        <f t="shared" si="53"/>
        <v>22405101.312544741</v>
      </c>
      <c r="K119" s="77">
        <f t="shared" si="53"/>
        <v>291275895.30810148</v>
      </c>
      <c r="L119" s="77">
        <f t="shared" si="53"/>
        <v>0</v>
      </c>
      <c r="M119" s="77">
        <f t="shared" si="53"/>
        <v>0</v>
      </c>
      <c r="N119" s="77">
        <f t="shared" si="53"/>
        <v>233831450.61959556</v>
      </c>
      <c r="O119" s="77">
        <f>O74+O80+O83+O86+O94+O99+O102+O105+O108+O111+O114+O117</f>
        <v>143461684.31860843</v>
      </c>
      <c r="P119" s="77">
        <f t="shared" si="53"/>
        <v>48779092.17659837</v>
      </c>
      <c r="Q119" s="77">
        <f t="shared" si="53"/>
        <v>12272818.316117749</v>
      </c>
      <c r="R119" s="77">
        <f t="shared" si="53"/>
        <v>7745886.2241407651</v>
      </c>
      <c r="S119" s="77">
        <f t="shared" si="53"/>
        <v>77954007.028535411</v>
      </c>
      <c r="T119" s="77">
        <f t="shared" si="53"/>
        <v>133884.75110139759</v>
      </c>
      <c r="U119" s="77">
        <f t="shared" si="53"/>
        <v>410667.91768466792</v>
      </c>
      <c r="V119" s="77">
        <f t="shared" si="53"/>
        <v>0</v>
      </c>
      <c r="W119" s="77">
        <f t="shared" si="53"/>
        <v>0</v>
      </c>
      <c r="X119" s="63">
        <f t="shared" si="53"/>
        <v>0</v>
      </c>
      <c r="Y119" s="63">
        <f t="shared" si="53"/>
        <v>0</v>
      </c>
      <c r="Z119" s="63">
        <f>Z74+Z80+Z83+Z86+Z94+Z99+Z102+Z105+Z108+Z111+Z114+Z117</f>
        <v>0</v>
      </c>
      <c r="AA119" s="65">
        <f>SUM(G119:Z119)</f>
        <v>2547244232.7190309</v>
      </c>
      <c r="AB119" s="59" t="str">
        <f>IF(ABS(F119-AA119)&lt;0.01,"ok","err")</f>
        <v>ok</v>
      </c>
    </row>
    <row r="122" spans="1:28" x14ac:dyDescent="0.25">
      <c r="A122" s="66" t="s">
        <v>1125</v>
      </c>
    </row>
    <row r="124" spans="1:28" x14ac:dyDescent="0.25">
      <c r="A124" s="66" t="s">
        <v>369</v>
      </c>
    </row>
    <row r="125" spans="1:28" x14ac:dyDescent="0.25">
      <c r="A125" s="69" t="s">
        <v>361</v>
      </c>
      <c r="C125" s="61" t="s">
        <v>1006</v>
      </c>
      <c r="D125" s="61" t="s">
        <v>428</v>
      </c>
      <c r="E125" s="61" t="s">
        <v>1399</v>
      </c>
      <c r="F125" s="77">
        <f>VLOOKUP(C125,'Functional Assignment'!$C$2:$AP$778,'Functional Assignment'!$H$2,)</f>
        <v>447825895.62847161</v>
      </c>
      <c r="G125" s="77">
        <f t="shared" ref="G125:P130" si="54">IF(VLOOKUP($E125,$D$6:$AN$1141,3,)=0,0,(VLOOKUP($E125,$D$6:$AN$1141,G$2,)/VLOOKUP($E125,$D$6:$AN$1141,3,))*$F125)</f>
        <v>223580792.9200232</v>
      </c>
      <c r="H125" s="77">
        <f t="shared" si="54"/>
        <v>55418648.078241676</v>
      </c>
      <c r="I125" s="77">
        <f t="shared" si="54"/>
        <v>0</v>
      </c>
      <c r="J125" s="77">
        <f t="shared" si="54"/>
        <v>5005167.9784708684</v>
      </c>
      <c r="K125" s="77">
        <f t="shared" si="54"/>
        <v>63651045.755196169</v>
      </c>
      <c r="L125" s="77">
        <f t="shared" si="54"/>
        <v>0</v>
      </c>
      <c r="M125" s="77">
        <f t="shared" si="54"/>
        <v>0</v>
      </c>
      <c r="N125" s="77">
        <f t="shared" si="54"/>
        <v>51685674.243175216</v>
      </c>
      <c r="O125" s="77">
        <f t="shared" si="54"/>
        <v>31541736.16368144</v>
      </c>
      <c r="P125" s="77">
        <f t="shared" si="54"/>
        <v>12470722.43573327</v>
      </c>
      <c r="Q125" s="77">
        <f t="shared" ref="Q125:Z130" si="55">IF(VLOOKUP($E125,$D$6:$AN$1141,3,)=0,0,(VLOOKUP($E125,$D$6:$AN$1141,Q$2,)/VLOOKUP($E125,$D$6:$AN$1141,3,))*$F125)</f>
        <v>2670863.9795858171</v>
      </c>
      <c r="R125" s="77">
        <f t="shared" si="55"/>
        <v>1740324.9090314026</v>
      </c>
      <c r="S125" s="77">
        <f t="shared" si="55"/>
        <v>0</v>
      </c>
      <c r="T125" s="77">
        <f t="shared" si="55"/>
        <v>0</v>
      </c>
      <c r="U125" s="77">
        <f t="shared" si="55"/>
        <v>60919.165332645658</v>
      </c>
      <c r="V125" s="77">
        <f t="shared" si="55"/>
        <v>0</v>
      </c>
      <c r="W125" s="77">
        <f t="shared" si="55"/>
        <v>0</v>
      </c>
      <c r="X125" s="63">
        <f t="shared" si="55"/>
        <v>0</v>
      </c>
      <c r="Y125" s="63">
        <f t="shared" si="55"/>
        <v>0</v>
      </c>
      <c r="Z125" s="63">
        <f t="shared" si="55"/>
        <v>0</v>
      </c>
      <c r="AA125" s="65">
        <f t="shared" ref="AA125:AA131" si="56">SUM(G125:Z125)</f>
        <v>447825895.62847173</v>
      </c>
      <c r="AB125" s="59" t="str">
        <f t="shared" ref="AB125:AB131" si="57">IF(ABS(F125-AA125)&lt;0.01,"ok","err")</f>
        <v>ok</v>
      </c>
    </row>
    <row r="126" spans="1:28" x14ac:dyDescent="0.25">
      <c r="A126" s="69" t="s">
        <v>1285</v>
      </c>
      <c r="C126" s="61" t="s">
        <v>1006</v>
      </c>
      <c r="D126" s="61" t="s">
        <v>429</v>
      </c>
      <c r="E126" s="61" t="s">
        <v>1399</v>
      </c>
      <c r="F126" s="80">
        <f>VLOOKUP(C126,'Functional Assignment'!$C$2:$AP$778,'Functional Assignment'!$I$2,)</f>
        <v>436390251.54308927</v>
      </c>
      <c r="G126" s="80">
        <f t="shared" si="54"/>
        <v>217871452.75653666</v>
      </c>
      <c r="H126" s="80">
        <f t="shared" si="54"/>
        <v>54003482.181623667</v>
      </c>
      <c r="I126" s="80">
        <f t="shared" si="54"/>
        <v>0</v>
      </c>
      <c r="J126" s="80">
        <f t="shared" si="54"/>
        <v>4877356.433519857</v>
      </c>
      <c r="K126" s="80">
        <f t="shared" si="54"/>
        <v>62025658.049786016</v>
      </c>
      <c r="L126" s="80">
        <f t="shared" si="54"/>
        <v>0</v>
      </c>
      <c r="M126" s="80">
        <f t="shared" si="54"/>
        <v>0</v>
      </c>
      <c r="N126" s="80">
        <f t="shared" si="54"/>
        <v>50365833.249772005</v>
      </c>
      <c r="O126" s="80">
        <f t="shared" si="54"/>
        <v>30736289.064431645</v>
      </c>
      <c r="P126" s="80">
        <f t="shared" si="54"/>
        <v>12152271.125403168</v>
      </c>
      <c r="Q126" s="80">
        <f t="shared" si="55"/>
        <v>2602661.0235505309</v>
      </c>
      <c r="R126" s="80">
        <f t="shared" si="55"/>
        <v>1695884.1197718203</v>
      </c>
      <c r="S126" s="80">
        <f t="shared" si="55"/>
        <v>0</v>
      </c>
      <c r="T126" s="80">
        <f t="shared" si="55"/>
        <v>0</v>
      </c>
      <c r="U126" s="80">
        <f t="shared" si="55"/>
        <v>59363.538693982809</v>
      </c>
      <c r="V126" s="80">
        <f t="shared" si="55"/>
        <v>0</v>
      </c>
      <c r="W126" s="80">
        <f t="shared" si="55"/>
        <v>0</v>
      </c>
      <c r="X126" s="64">
        <f t="shared" si="55"/>
        <v>0</v>
      </c>
      <c r="Y126" s="64">
        <f t="shared" si="55"/>
        <v>0</v>
      </c>
      <c r="Z126" s="64">
        <f t="shared" si="55"/>
        <v>0</v>
      </c>
      <c r="AA126" s="64">
        <f t="shared" si="56"/>
        <v>436390251.54308933</v>
      </c>
      <c r="AB126" s="59" t="str">
        <f t="shared" si="57"/>
        <v>ok</v>
      </c>
    </row>
    <row r="127" spans="1:28" x14ac:dyDescent="0.25">
      <c r="A127" s="69" t="s">
        <v>1286</v>
      </c>
      <c r="C127" s="61" t="s">
        <v>1006</v>
      </c>
      <c r="D127" s="61" t="s">
        <v>430</v>
      </c>
      <c r="E127" s="61" t="s">
        <v>1399</v>
      </c>
      <c r="F127" s="80">
        <f>VLOOKUP(C127,'Functional Assignment'!$C$2:$AP$778,'Functional Assignment'!$J$2,)</f>
        <v>395655144.4928484</v>
      </c>
      <c r="G127" s="80">
        <f t="shared" si="54"/>
        <v>197534112.68111864</v>
      </c>
      <c r="H127" s="80">
        <f t="shared" si="54"/>
        <v>48962495.083549127</v>
      </c>
      <c r="I127" s="80">
        <f t="shared" si="54"/>
        <v>0</v>
      </c>
      <c r="J127" s="80">
        <f t="shared" si="54"/>
        <v>4422076.7022722522</v>
      </c>
      <c r="K127" s="80">
        <f t="shared" si="54"/>
        <v>56235836.183725864</v>
      </c>
      <c r="L127" s="80">
        <f t="shared" si="54"/>
        <v>0</v>
      </c>
      <c r="M127" s="80">
        <f t="shared" si="54"/>
        <v>0</v>
      </c>
      <c r="N127" s="80">
        <f t="shared" si="54"/>
        <v>45664404.650371999</v>
      </c>
      <c r="O127" s="80">
        <f t="shared" si="54"/>
        <v>27867191.918151457</v>
      </c>
      <c r="P127" s="80">
        <f t="shared" si="54"/>
        <v>11017910.164207475</v>
      </c>
      <c r="Q127" s="80">
        <f t="shared" si="55"/>
        <v>2359714.0854946706</v>
      </c>
      <c r="R127" s="80">
        <f t="shared" si="55"/>
        <v>1537580.8100176898</v>
      </c>
      <c r="S127" s="80">
        <f t="shared" si="55"/>
        <v>0</v>
      </c>
      <c r="T127" s="80">
        <f t="shared" si="55"/>
        <v>0</v>
      </c>
      <c r="U127" s="80">
        <f t="shared" si="55"/>
        <v>53822.213939294204</v>
      </c>
      <c r="V127" s="80">
        <f t="shared" si="55"/>
        <v>0</v>
      </c>
      <c r="W127" s="80">
        <f t="shared" si="55"/>
        <v>0</v>
      </c>
      <c r="X127" s="64">
        <f t="shared" si="55"/>
        <v>0</v>
      </c>
      <c r="Y127" s="64">
        <f t="shared" si="55"/>
        <v>0</v>
      </c>
      <c r="Z127" s="64">
        <f t="shared" si="55"/>
        <v>0</v>
      </c>
      <c r="AA127" s="64">
        <f t="shared" si="56"/>
        <v>395655144.49284852</v>
      </c>
      <c r="AB127" s="59" t="str">
        <f t="shared" si="57"/>
        <v>ok</v>
      </c>
    </row>
    <row r="128" spans="1:28" x14ac:dyDescent="0.25">
      <c r="A128" s="69" t="s">
        <v>1287</v>
      </c>
      <c r="C128" s="61" t="s">
        <v>1006</v>
      </c>
      <c r="D128" s="61" t="s">
        <v>431</v>
      </c>
      <c r="E128" s="61" t="s">
        <v>1114</v>
      </c>
      <c r="F128" s="80">
        <f>VLOOKUP(C128,'Functional Assignment'!$C$2:$AP$778,'Functional Assignment'!$K$2,)</f>
        <v>54582124.401785523</v>
      </c>
      <c r="G128" s="80">
        <f t="shared" si="54"/>
        <v>19485352.335027497</v>
      </c>
      <c r="H128" s="80">
        <f t="shared" si="54"/>
        <v>6323848.2682743678</v>
      </c>
      <c r="I128" s="80">
        <f t="shared" si="54"/>
        <v>0</v>
      </c>
      <c r="J128" s="80">
        <f t="shared" si="54"/>
        <v>728288.56909196812</v>
      </c>
      <c r="K128" s="80">
        <f t="shared" si="54"/>
        <v>8977304.6717738248</v>
      </c>
      <c r="L128" s="80">
        <f t="shared" si="54"/>
        <v>0</v>
      </c>
      <c r="M128" s="80">
        <f t="shared" si="54"/>
        <v>0</v>
      </c>
      <c r="N128" s="80">
        <f t="shared" si="54"/>
        <v>9131497.1080714576</v>
      </c>
      <c r="O128" s="80">
        <f t="shared" si="54"/>
        <v>4750991.0704411957</v>
      </c>
      <c r="P128" s="80">
        <f t="shared" si="54"/>
        <v>3844201.9333236148</v>
      </c>
      <c r="Q128" s="80">
        <f t="shared" si="55"/>
        <v>491079.67583820404</v>
      </c>
      <c r="R128" s="80">
        <f t="shared" si="55"/>
        <v>257315.25767326905</v>
      </c>
      <c r="S128" s="80">
        <f t="shared" si="55"/>
        <v>562351.26807263051</v>
      </c>
      <c r="T128" s="80">
        <f t="shared" si="55"/>
        <v>15721.173696748478</v>
      </c>
      <c r="U128" s="80">
        <f t="shared" si="55"/>
        <v>14173.070500744838</v>
      </c>
      <c r="V128" s="80">
        <f t="shared" si="55"/>
        <v>0</v>
      </c>
      <c r="W128" s="80">
        <f t="shared" si="55"/>
        <v>0</v>
      </c>
      <c r="X128" s="64">
        <f t="shared" si="55"/>
        <v>0</v>
      </c>
      <c r="Y128" s="64">
        <f t="shared" si="55"/>
        <v>0</v>
      </c>
      <c r="Z128" s="64">
        <f t="shared" si="55"/>
        <v>0</v>
      </c>
      <c r="AA128" s="64">
        <f t="shared" si="56"/>
        <v>54582124.401785515</v>
      </c>
      <c r="AB128" s="59" t="str">
        <f t="shared" si="57"/>
        <v>ok</v>
      </c>
    </row>
    <row r="129" spans="1:28" x14ac:dyDescent="0.25">
      <c r="A129" s="69" t="s">
        <v>1288</v>
      </c>
      <c r="C129" s="61" t="s">
        <v>1006</v>
      </c>
      <c r="D129" s="61" t="s">
        <v>432</v>
      </c>
      <c r="E129" s="61" t="s">
        <v>1114</v>
      </c>
      <c r="F129" s="80">
        <f>VLOOKUP(C129,'Functional Assignment'!$C$2:$AP$778,'Functional Assignment'!$L$2,)</f>
        <v>0</v>
      </c>
      <c r="G129" s="80">
        <f t="shared" si="54"/>
        <v>0</v>
      </c>
      <c r="H129" s="80">
        <f t="shared" si="54"/>
        <v>0</v>
      </c>
      <c r="I129" s="80">
        <f t="shared" si="54"/>
        <v>0</v>
      </c>
      <c r="J129" s="80">
        <f t="shared" si="54"/>
        <v>0</v>
      </c>
      <c r="K129" s="80">
        <f t="shared" si="54"/>
        <v>0</v>
      </c>
      <c r="L129" s="80">
        <f t="shared" si="54"/>
        <v>0</v>
      </c>
      <c r="M129" s="80">
        <f t="shared" si="54"/>
        <v>0</v>
      </c>
      <c r="N129" s="80">
        <f t="shared" si="54"/>
        <v>0</v>
      </c>
      <c r="O129" s="80">
        <f t="shared" si="54"/>
        <v>0</v>
      </c>
      <c r="P129" s="80">
        <f t="shared" si="54"/>
        <v>0</v>
      </c>
      <c r="Q129" s="80">
        <f t="shared" si="55"/>
        <v>0</v>
      </c>
      <c r="R129" s="80">
        <f t="shared" si="55"/>
        <v>0</v>
      </c>
      <c r="S129" s="80">
        <f t="shared" si="55"/>
        <v>0</v>
      </c>
      <c r="T129" s="80">
        <f t="shared" si="55"/>
        <v>0</v>
      </c>
      <c r="U129" s="80">
        <f t="shared" si="55"/>
        <v>0</v>
      </c>
      <c r="V129" s="80">
        <f t="shared" si="55"/>
        <v>0</v>
      </c>
      <c r="W129" s="80">
        <f t="shared" si="55"/>
        <v>0</v>
      </c>
      <c r="X129" s="64">
        <f t="shared" si="55"/>
        <v>0</v>
      </c>
      <c r="Y129" s="64">
        <f t="shared" si="55"/>
        <v>0</v>
      </c>
      <c r="Z129" s="64">
        <f t="shared" si="55"/>
        <v>0</v>
      </c>
      <c r="AA129" s="64">
        <f t="shared" si="56"/>
        <v>0</v>
      </c>
      <c r="AB129" s="59" t="str">
        <f t="shared" si="57"/>
        <v>ok</v>
      </c>
    </row>
    <row r="130" spans="1:28" x14ac:dyDescent="0.25">
      <c r="A130" s="69" t="s">
        <v>1288</v>
      </c>
      <c r="C130" s="61" t="s">
        <v>1006</v>
      </c>
      <c r="D130" s="61" t="s">
        <v>433</v>
      </c>
      <c r="E130" s="61" t="s">
        <v>1114</v>
      </c>
      <c r="F130" s="80">
        <f>VLOOKUP(C130,'Functional Assignment'!$C$2:$AP$778,'Functional Assignment'!$M$2,)</f>
        <v>0</v>
      </c>
      <c r="G130" s="80">
        <f t="shared" si="54"/>
        <v>0</v>
      </c>
      <c r="H130" s="80">
        <f t="shared" si="54"/>
        <v>0</v>
      </c>
      <c r="I130" s="80">
        <f t="shared" si="54"/>
        <v>0</v>
      </c>
      <c r="J130" s="80">
        <f t="shared" si="54"/>
        <v>0</v>
      </c>
      <c r="K130" s="80">
        <f t="shared" si="54"/>
        <v>0</v>
      </c>
      <c r="L130" s="80">
        <f t="shared" si="54"/>
        <v>0</v>
      </c>
      <c r="M130" s="80">
        <f t="shared" si="54"/>
        <v>0</v>
      </c>
      <c r="N130" s="80">
        <f t="shared" si="54"/>
        <v>0</v>
      </c>
      <c r="O130" s="80">
        <f t="shared" si="54"/>
        <v>0</v>
      </c>
      <c r="P130" s="80">
        <f t="shared" si="54"/>
        <v>0</v>
      </c>
      <c r="Q130" s="80">
        <f t="shared" si="55"/>
        <v>0</v>
      </c>
      <c r="R130" s="80">
        <f t="shared" si="55"/>
        <v>0</v>
      </c>
      <c r="S130" s="80">
        <f t="shared" si="55"/>
        <v>0</v>
      </c>
      <c r="T130" s="80">
        <f t="shared" si="55"/>
        <v>0</v>
      </c>
      <c r="U130" s="80">
        <f t="shared" si="55"/>
        <v>0</v>
      </c>
      <c r="V130" s="80">
        <f t="shared" si="55"/>
        <v>0</v>
      </c>
      <c r="W130" s="80">
        <f t="shared" si="55"/>
        <v>0</v>
      </c>
      <c r="X130" s="64">
        <f t="shared" si="55"/>
        <v>0</v>
      </c>
      <c r="Y130" s="64">
        <f t="shared" si="55"/>
        <v>0</v>
      </c>
      <c r="Z130" s="64">
        <f t="shared" si="55"/>
        <v>0</v>
      </c>
      <c r="AA130" s="64">
        <f t="shared" si="56"/>
        <v>0</v>
      </c>
      <c r="AB130" s="59" t="str">
        <f t="shared" si="57"/>
        <v>ok</v>
      </c>
    </row>
    <row r="131" spans="1:28" x14ac:dyDescent="0.25">
      <c r="A131" s="61" t="s">
        <v>392</v>
      </c>
      <c r="D131" s="61" t="s">
        <v>1126</v>
      </c>
      <c r="F131" s="77">
        <f>SUM(F125:F130)</f>
        <v>1334453416.0661948</v>
      </c>
      <c r="G131" s="77">
        <f t="shared" ref="G131:P131" si="58">SUM(G125:G130)</f>
        <v>658471710.69270599</v>
      </c>
      <c r="H131" s="77">
        <f t="shared" si="58"/>
        <v>164708473.61168885</v>
      </c>
      <c r="I131" s="77">
        <f t="shared" si="58"/>
        <v>0</v>
      </c>
      <c r="J131" s="77">
        <f t="shared" si="58"/>
        <v>15032889.683354944</v>
      </c>
      <c r="K131" s="77">
        <f t="shared" si="58"/>
        <v>190889844.66048187</v>
      </c>
      <c r="L131" s="77">
        <f t="shared" si="58"/>
        <v>0</v>
      </c>
      <c r="M131" s="77">
        <f t="shared" si="58"/>
        <v>0</v>
      </c>
      <c r="N131" s="77">
        <f t="shared" si="58"/>
        <v>156847409.25139067</v>
      </c>
      <c r="O131" s="77">
        <f>SUM(O125:O130)</f>
        <v>94896208.216705739</v>
      </c>
      <c r="P131" s="77">
        <f t="shared" si="58"/>
        <v>39485105.658667527</v>
      </c>
      <c r="Q131" s="77">
        <f t="shared" ref="Q131:W131" si="59">SUM(Q125:Q130)</f>
        <v>8124318.7644692231</v>
      </c>
      <c r="R131" s="77">
        <f t="shared" si="59"/>
        <v>5231105.096494182</v>
      </c>
      <c r="S131" s="77">
        <f t="shared" si="59"/>
        <v>562351.26807263051</v>
      </c>
      <c r="T131" s="77">
        <f t="shared" si="59"/>
        <v>15721.173696748478</v>
      </c>
      <c r="U131" s="77">
        <f t="shared" si="59"/>
        <v>188277.98846666751</v>
      </c>
      <c r="V131" s="77">
        <f t="shared" si="59"/>
        <v>0</v>
      </c>
      <c r="W131" s="77">
        <f t="shared" si="59"/>
        <v>0</v>
      </c>
      <c r="X131" s="63">
        <f>SUM(X125:X130)</f>
        <v>0</v>
      </c>
      <c r="Y131" s="63">
        <f>SUM(Y125:Y130)</f>
        <v>0</v>
      </c>
      <c r="Z131" s="63">
        <f>SUM(Z125:Z130)</f>
        <v>0</v>
      </c>
      <c r="AA131" s="65">
        <f t="shared" si="56"/>
        <v>1334453416.0661952</v>
      </c>
      <c r="AB131" s="59" t="str">
        <f t="shared" si="57"/>
        <v>ok</v>
      </c>
    </row>
    <row r="132" spans="1:28" x14ac:dyDescent="0.25">
      <c r="F132" s="80"/>
      <c r="G132" s="80"/>
    </row>
    <row r="133" spans="1:28" x14ac:dyDescent="0.25">
      <c r="A133" s="66" t="s">
        <v>1154</v>
      </c>
      <c r="F133" s="80"/>
      <c r="G133" s="80"/>
    </row>
    <row r="134" spans="1:28" x14ac:dyDescent="0.25">
      <c r="A134" s="69" t="s">
        <v>362</v>
      </c>
      <c r="C134" s="61" t="s">
        <v>1006</v>
      </c>
      <c r="D134" s="61" t="s">
        <v>434</v>
      </c>
      <c r="E134" s="61" t="s">
        <v>1399</v>
      </c>
      <c r="F134" s="77">
        <f>VLOOKUP(C134,'Functional Assignment'!$C$2:$AP$778,'Functional Assignment'!$N$2,)</f>
        <v>81706634.282610521</v>
      </c>
      <c r="G134" s="77">
        <f t="shared" ref="G134:P136" si="60">IF(VLOOKUP($E134,$D$6:$AN$1141,3,)=0,0,(VLOOKUP($E134,$D$6:$AN$1141,G$2,)/VLOOKUP($E134,$D$6:$AN$1141,3,))*$F134)</f>
        <v>40792714.887769826</v>
      </c>
      <c r="H134" s="77">
        <f t="shared" si="60"/>
        <v>10111231.295838682</v>
      </c>
      <c r="I134" s="77">
        <f t="shared" si="60"/>
        <v>0</v>
      </c>
      <c r="J134" s="77">
        <f t="shared" si="60"/>
        <v>913201.83475774853</v>
      </c>
      <c r="K134" s="77">
        <f t="shared" si="60"/>
        <v>11613246.951534428</v>
      </c>
      <c r="L134" s="77">
        <f t="shared" si="60"/>
        <v>0</v>
      </c>
      <c r="M134" s="77">
        <f t="shared" si="60"/>
        <v>0</v>
      </c>
      <c r="N134" s="77">
        <f t="shared" si="60"/>
        <v>9430143.5541387852</v>
      </c>
      <c r="O134" s="77">
        <f t="shared" si="60"/>
        <v>5754846.0830916278</v>
      </c>
      <c r="P134" s="77">
        <f t="shared" si="60"/>
        <v>2275305.5757672056</v>
      </c>
      <c r="Q134" s="77">
        <f t="shared" ref="Q134:Z136" si="61">IF(VLOOKUP($E134,$D$6:$AN$1141,3,)=0,0,(VLOOKUP($E134,$D$6:$AN$1141,Q$2,)/VLOOKUP($E134,$D$6:$AN$1141,3,))*$F134)</f>
        <v>487303.90209427133</v>
      </c>
      <c r="R134" s="77">
        <f t="shared" si="61"/>
        <v>317525.38712749188</v>
      </c>
      <c r="S134" s="77">
        <f t="shared" si="61"/>
        <v>0</v>
      </c>
      <c r="T134" s="77">
        <f t="shared" si="61"/>
        <v>0</v>
      </c>
      <c r="U134" s="77">
        <f t="shared" si="61"/>
        <v>11114.810490472019</v>
      </c>
      <c r="V134" s="77">
        <f t="shared" si="61"/>
        <v>0</v>
      </c>
      <c r="W134" s="77">
        <f t="shared" si="61"/>
        <v>0</v>
      </c>
      <c r="X134" s="63">
        <f t="shared" si="61"/>
        <v>0</v>
      </c>
      <c r="Y134" s="63">
        <f t="shared" si="61"/>
        <v>0</v>
      </c>
      <c r="Z134" s="63">
        <f t="shared" si="61"/>
        <v>0</v>
      </c>
      <c r="AA134" s="65">
        <f>SUM(G134:Z134)</f>
        <v>81706634.282610536</v>
      </c>
      <c r="AB134" s="59" t="str">
        <f>IF(ABS(F134-AA134)&lt;0.01,"ok","err")</f>
        <v>ok</v>
      </c>
    </row>
    <row r="135" spans="1:28" x14ac:dyDescent="0.25">
      <c r="A135" s="69" t="s">
        <v>364</v>
      </c>
      <c r="C135" s="61" t="s">
        <v>1006</v>
      </c>
      <c r="D135" s="61" t="s">
        <v>435</v>
      </c>
      <c r="E135" s="61" t="s">
        <v>1399</v>
      </c>
      <c r="F135" s="80">
        <f>VLOOKUP(C135,'Functional Assignment'!$C$2:$AP$778,'Functional Assignment'!$O$2,)</f>
        <v>79620180.600071326</v>
      </c>
      <c r="G135" s="80">
        <f t="shared" si="60"/>
        <v>39751035.580506116</v>
      </c>
      <c r="H135" s="80">
        <f t="shared" si="60"/>
        <v>9853031.7511207052</v>
      </c>
      <c r="I135" s="80">
        <f t="shared" si="60"/>
        <v>0</v>
      </c>
      <c r="J135" s="80">
        <f t="shared" si="60"/>
        <v>889882.39016477298</v>
      </c>
      <c r="K135" s="80">
        <f t="shared" si="60"/>
        <v>11316692.062436234</v>
      </c>
      <c r="L135" s="80">
        <f t="shared" si="60"/>
        <v>0</v>
      </c>
      <c r="M135" s="80">
        <f t="shared" si="60"/>
        <v>0</v>
      </c>
      <c r="N135" s="80">
        <f t="shared" si="60"/>
        <v>9189336.2082217876</v>
      </c>
      <c r="O135" s="80">
        <f t="shared" si="60"/>
        <v>5607890.821650045</v>
      </c>
      <c r="P135" s="80">
        <f t="shared" si="60"/>
        <v>2217203.5655798665</v>
      </c>
      <c r="Q135" s="80">
        <f t="shared" si="61"/>
        <v>474860.15098437277</v>
      </c>
      <c r="R135" s="80">
        <f t="shared" si="61"/>
        <v>309417.08577487041</v>
      </c>
      <c r="S135" s="80">
        <f t="shared" si="61"/>
        <v>0</v>
      </c>
      <c r="T135" s="80">
        <f t="shared" si="61"/>
        <v>0</v>
      </c>
      <c r="U135" s="80">
        <f t="shared" si="61"/>
        <v>10830.983632565252</v>
      </c>
      <c r="V135" s="80">
        <f t="shared" si="61"/>
        <v>0</v>
      </c>
      <c r="W135" s="80">
        <f t="shared" si="61"/>
        <v>0</v>
      </c>
      <c r="X135" s="64">
        <f t="shared" si="61"/>
        <v>0</v>
      </c>
      <c r="Y135" s="64">
        <f t="shared" si="61"/>
        <v>0</v>
      </c>
      <c r="Z135" s="64">
        <f t="shared" si="61"/>
        <v>0</v>
      </c>
      <c r="AA135" s="64">
        <f>SUM(G135:Z135)</f>
        <v>79620180.600071326</v>
      </c>
      <c r="AB135" s="59" t="str">
        <f>IF(ABS(F135-AA135)&lt;0.01,"ok","err")</f>
        <v>ok</v>
      </c>
    </row>
    <row r="136" spans="1:28" x14ac:dyDescent="0.25">
      <c r="A136" s="69" t="s">
        <v>363</v>
      </c>
      <c r="C136" s="61" t="s">
        <v>1006</v>
      </c>
      <c r="D136" s="61" t="s">
        <v>436</v>
      </c>
      <c r="E136" s="61" t="s">
        <v>1399</v>
      </c>
      <c r="F136" s="80">
        <f>VLOOKUP(C136,'Functional Assignment'!$C$2:$AP$778,'Functional Assignment'!$P$2,)</f>
        <v>72187987.583305091</v>
      </c>
      <c r="G136" s="80">
        <f t="shared" si="60"/>
        <v>36040451.569969483</v>
      </c>
      <c r="H136" s="80">
        <f t="shared" si="60"/>
        <v>8933294.6540336683</v>
      </c>
      <c r="I136" s="80">
        <f t="shared" si="60"/>
        <v>0</v>
      </c>
      <c r="J136" s="80">
        <f t="shared" si="60"/>
        <v>806815.79026409471</v>
      </c>
      <c r="K136" s="80">
        <f t="shared" si="60"/>
        <v>10260328.724832136</v>
      </c>
      <c r="L136" s="80">
        <f t="shared" si="60"/>
        <v>0</v>
      </c>
      <c r="M136" s="80">
        <f t="shared" si="60"/>
        <v>0</v>
      </c>
      <c r="N136" s="80">
        <f t="shared" si="60"/>
        <v>8331552.1655239258</v>
      </c>
      <c r="O136" s="80">
        <f t="shared" si="60"/>
        <v>5084418.9243328767</v>
      </c>
      <c r="P136" s="80">
        <f t="shared" si="60"/>
        <v>2010237.382727009</v>
      </c>
      <c r="Q136" s="80">
        <f t="shared" si="61"/>
        <v>430534.04833693098</v>
      </c>
      <c r="R136" s="80">
        <f t="shared" si="61"/>
        <v>280534.36424833711</v>
      </c>
      <c r="S136" s="80">
        <f t="shared" si="61"/>
        <v>0</v>
      </c>
      <c r="T136" s="80">
        <f t="shared" si="61"/>
        <v>0</v>
      </c>
      <c r="U136" s="80">
        <f t="shared" si="61"/>
        <v>9819.9590366402754</v>
      </c>
      <c r="V136" s="80">
        <f t="shared" si="61"/>
        <v>0</v>
      </c>
      <c r="W136" s="80">
        <f t="shared" si="61"/>
        <v>0</v>
      </c>
      <c r="X136" s="64">
        <f t="shared" si="61"/>
        <v>0</v>
      </c>
      <c r="Y136" s="64">
        <f t="shared" si="61"/>
        <v>0</v>
      </c>
      <c r="Z136" s="64">
        <f t="shared" si="61"/>
        <v>0</v>
      </c>
      <c r="AA136" s="64">
        <f>SUM(G136:Z136)</f>
        <v>72187987.583305106</v>
      </c>
      <c r="AB136" s="59" t="str">
        <f>IF(ABS(F136-AA136)&lt;0.01,"ok","err")</f>
        <v>ok</v>
      </c>
    </row>
    <row r="137" spans="1:28" x14ac:dyDescent="0.25">
      <c r="A137" s="61" t="s">
        <v>1156</v>
      </c>
      <c r="D137" s="61" t="s">
        <v>437</v>
      </c>
      <c r="F137" s="77">
        <f>SUM(F134:F136)</f>
        <v>233514802.46598694</v>
      </c>
      <c r="G137" s="77">
        <f t="shared" ref="G137:W137" si="62">SUM(G134:G136)</f>
        <v>116584202.03824541</v>
      </c>
      <c r="H137" s="77">
        <f t="shared" si="62"/>
        <v>28897557.700993054</v>
      </c>
      <c r="I137" s="77">
        <f t="shared" si="62"/>
        <v>0</v>
      </c>
      <c r="J137" s="77">
        <f t="shared" si="62"/>
        <v>2609900.0151866162</v>
      </c>
      <c r="K137" s="77">
        <f t="shared" si="62"/>
        <v>33190267.738802798</v>
      </c>
      <c r="L137" s="77">
        <f t="shared" si="62"/>
        <v>0</v>
      </c>
      <c r="M137" s="77">
        <f t="shared" si="62"/>
        <v>0</v>
      </c>
      <c r="N137" s="77">
        <f t="shared" si="62"/>
        <v>26951031.927884497</v>
      </c>
      <c r="O137" s="77">
        <f>SUM(O134:O136)</f>
        <v>16447155.82907455</v>
      </c>
      <c r="P137" s="77">
        <f t="shared" si="62"/>
        <v>6502746.5240740813</v>
      </c>
      <c r="Q137" s="77">
        <f t="shared" si="62"/>
        <v>1392698.101415575</v>
      </c>
      <c r="R137" s="77">
        <f t="shared" si="62"/>
        <v>907476.83715069934</v>
      </c>
      <c r="S137" s="77">
        <f t="shared" si="62"/>
        <v>0</v>
      </c>
      <c r="T137" s="77">
        <f t="shared" si="62"/>
        <v>0</v>
      </c>
      <c r="U137" s="77">
        <f t="shared" si="62"/>
        <v>31765.753159677544</v>
      </c>
      <c r="V137" s="77">
        <f t="shared" si="62"/>
        <v>0</v>
      </c>
      <c r="W137" s="77">
        <f t="shared" si="62"/>
        <v>0</v>
      </c>
      <c r="X137" s="63">
        <f>SUM(X134:X136)</f>
        <v>0</v>
      </c>
      <c r="Y137" s="63">
        <f>SUM(Y134:Y136)</f>
        <v>0</v>
      </c>
      <c r="Z137" s="63">
        <f>SUM(Z134:Z136)</f>
        <v>0</v>
      </c>
      <c r="AA137" s="65">
        <f>SUM(G137:Z137)</f>
        <v>233514802.46598694</v>
      </c>
      <c r="AB137" s="59" t="str">
        <f>IF(ABS(F137-AA137)&lt;0.01,"ok","err")</f>
        <v>ok</v>
      </c>
    </row>
    <row r="138" spans="1:28" x14ac:dyDescent="0.25">
      <c r="F138" s="80"/>
      <c r="G138" s="80"/>
    </row>
    <row r="139" spans="1:28" x14ac:dyDescent="0.25">
      <c r="A139" s="66" t="s">
        <v>350</v>
      </c>
      <c r="F139" s="80"/>
      <c r="G139" s="80"/>
    </row>
    <row r="140" spans="1:28" x14ac:dyDescent="0.25">
      <c r="A140" s="69" t="s">
        <v>377</v>
      </c>
      <c r="C140" s="61" t="s">
        <v>1006</v>
      </c>
      <c r="D140" s="61" t="s">
        <v>438</v>
      </c>
      <c r="E140" s="61" t="s">
        <v>133</v>
      </c>
      <c r="F140" s="77">
        <f>VLOOKUP(C140,'Functional Assignment'!$C$2:$AP$778,'Functional Assignment'!$Q$2,)</f>
        <v>0</v>
      </c>
      <c r="G140" s="77">
        <f t="shared" ref="G140:Z140" si="63">IF(VLOOKUP($E140,$D$6:$AN$1141,3,)=0,0,(VLOOKUP($E140,$D$6:$AN$1141,G$2,)/VLOOKUP($E140,$D$6:$AN$1141,3,))*$F140)</f>
        <v>0</v>
      </c>
      <c r="H140" s="77">
        <f t="shared" si="63"/>
        <v>0</v>
      </c>
      <c r="I140" s="77">
        <f t="shared" si="63"/>
        <v>0</v>
      </c>
      <c r="J140" s="77">
        <f t="shared" si="63"/>
        <v>0</v>
      </c>
      <c r="K140" s="77">
        <f t="shared" si="63"/>
        <v>0</v>
      </c>
      <c r="L140" s="77">
        <f t="shared" si="63"/>
        <v>0</v>
      </c>
      <c r="M140" s="77">
        <f t="shared" si="63"/>
        <v>0</v>
      </c>
      <c r="N140" s="77">
        <f t="shared" si="63"/>
        <v>0</v>
      </c>
      <c r="O140" s="77">
        <f t="shared" si="63"/>
        <v>0</v>
      </c>
      <c r="P140" s="77">
        <f t="shared" si="63"/>
        <v>0</v>
      </c>
      <c r="Q140" s="77">
        <f t="shared" si="63"/>
        <v>0</v>
      </c>
      <c r="R140" s="77">
        <f t="shared" si="63"/>
        <v>0</v>
      </c>
      <c r="S140" s="77">
        <f t="shared" si="63"/>
        <v>0</v>
      </c>
      <c r="T140" s="77">
        <f t="shared" si="63"/>
        <v>0</v>
      </c>
      <c r="U140" s="77">
        <f t="shared" si="63"/>
        <v>0</v>
      </c>
      <c r="V140" s="77">
        <f t="shared" si="63"/>
        <v>0</v>
      </c>
      <c r="W140" s="77">
        <f t="shared" si="63"/>
        <v>0</v>
      </c>
      <c r="X140" s="63">
        <f t="shared" si="63"/>
        <v>0</v>
      </c>
      <c r="Y140" s="63">
        <f t="shared" si="63"/>
        <v>0</v>
      </c>
      <c r="Z140" s="63">
        <f t="shared" si="63"/>
        <v>0</v>
      </c>
      <c r="AA140" s="65">
        <f>SUM(G140:Z140)</f>
        <v>0</v>
      </c>
      <c r="AB140" s="59" t="str">
        <f>IF(ABS(F140-AA140)&lt;0.01,"ok","err")</f>
        <v>ok</v>
      </c>
    </row>
    <row r="141" spans="1:28" x14ac:dyDescent="0.25">
      <c r="F141" s="80"/>
    </row>
    <row r="142" spans="1:28" x14ac:dyDescent="0.25">
      <c r="A142" s="66" t="s">
        <v>351</v>
      </c>
      <c r="F142" s="80"/>
      <c r="G142" s="80"/>
    </row>
    <row r="143" spans="1:28" x14ac:dyDescent="0.25">
      <c r="A143" s="69" t="s">
        <v>379</v>
      </c>
      <c r="C143" s="61" t="s">
        <v>1006</v>
      </c>
      <c r="D143" s="61" t="s">
        <v>439</v>
      </c>
      <c r="E143" s="61" t="s">
        <v>133</v>
      </c>
      <c r="F143" s="77">
        <f>VLOOKUP(C143,'Functional Assignment'!$C$2:$AP$778,'Functional Assignment'!$R$2,)</f>
        <v>80980286.080496192</v>
      </c>
      <c r="G143" s="77">
        <f t="shared" ref="G143:Z143" si="64">IF(VLOOKUP($E143,$D$6:$AN$1141,3,)=0,0,(VLOOKUP($E143,$D$6:$AN$1141,G$2,)/VLOOKUP($E143,$D$6:$AN$1141,3,))*$F143)</f>
        <v>38880707.0250227</v>
      </c>
      <c r="H143" s="77">
        <f t="shared" si="64"/>
        <v>10817193.024295213</v>
      </c>
      <c r="I143" s="77">
        <f t="shared" si="64"/>
        <v>0</v>
      </c>
      <c r="J143" s="77">
        <f t="shared" si="64"/>
        <v>911761.0539744033</v>
      </c>
      <c r="K143" s="77">
        <f t="shared" si="64"/>
        <v>11486379.480577793</v>
      </c>
      <c r="L143" s="77">
        <f t="shared" si="64"/>
        <v>0</v>
      </c>
      <c r="M143" s="77">
        <f t="shared" si="64"/>
        <v>0</v>
      </c>
      <c r="N143" s="77">
        <f t="shared" si="64"/>
        <v>11063746.108006611</v>
      </c>
      <c r="O143" s="77">
        <f t="shared" si="64"/>
        <v>5796394.3320762254</v>
      </c>
      <c r="P143" s="77">
        <f t="shared" si="64"/>
        <v>0</v>
      </c>
      <c r="Q143" s="77">
        <f t="shared" si="64"/>
        <v>642151.83223410253</v>
      </c>
      <c r="R143" s="77">
        <f t="shared" si="64"/>
        <v>330920.62109903089</v>
      </c>
      <c r="S143" s="77">
        <f t="shared" si="64"/>
        <v>1010633.914679723</v>
      </c>
      <c r="T143" s="77">
        <f t="shared" si="64"/>
        <v>29235.37127541747</v>
      </c>
      <c r="U143" s="77">
        <f t="shared" si="64"/>
        <v>11163.317254981184</v>
      </c>
      <c r="V143" s="77">
        <f t="shared" si="64"/>
        <v>0</v>
      </c>
      <c r="W143" s="77">
        <f t="shared" si="64"/>
        <v>0</v>
      </c>
      <c r="X143" s="63">
        <f t="shared" si="64"/>
        <v>0</v>
      </c>
      <c r="Y143" s="63">
        <f t="shared" si="64"/>
        <v>0</v>
      </c>
      <c r="Z143" s="63">
        <f t="shared" si="64"/>
        <v>0</v>
      </c>
      <c r="AA143" s="65">
        <f>SUM(G143:Z143)</f>
        <v>80980286.080496177</v>
      </c>
      <c r="AB143" s="59" t="str">
        <f>IF(ABS(F143-AA143)&lt;0.01,"ok","err")</f>
        <v>ok</v>
      </c>
    </row>
    <row r="144" spans="1:28" x14ac:dyDescent="0.25">
      <c r="F144" s="80"/>
    </row>
    <row r="145" spans="1:28" x14ac:dyDescent="0.25">
      <c r="A145" s="66" t="s">
        <v>378</v>
      </c>
      <c r="F145" s="80"/>
    </row>
    <row r="146" spans="1:28" x14ac:dyDescent="0.25">
      <c r="A146" s="69" t="s">
        <v>629</v>
      </c>
      <c r="C146" s="61" t="s">
        <v>1006</v>
      </c>
      <c r="D146" s="61" t="s">
        <v>440</v>
      </c>
      <c r="E146" s="61" t="s">
        <v>133</v>
      </c>
      <c r="F146" s="77">
        <f>VLOOKUP(C146,'Functional Assignment'!$C$2:$AP$778,'Functional Assignment'!$S$2,)</f>
        <v>0</v>
      </c>
      <c r="G146" s="77">
        <f t="shared" ref="G146:P150" si="65">IF(VLOOKUP($E146,$D$6:$AN$1141,3,)=0,0,(VLOOKUP($E146,$D$6:$AN$1141,G$2,)/VLOOKUP($E146,$D$6:$AN$1141,3,))*$F146)</f>
        <v>0</v>
      </c>
      <c r="H146" s="77">
        <f t="shared" si="65"/>
        <v>0</v>
      </c>
      <c r="I146" s="77">
        <f t="shared" si="65"/>
        <v>0</v>
      </c>
      <c r="J146" s="77">
        <f t="shared" si="65"/>
        <v>0</v>
      </c>
      <c r="K146" s="77">
        <f t="shared" si="65"/>
        <v>0</v>
      </c>
      <c r="L146" s="77">
        <f t="shared" si="65"/>
        <v>0</v>
      </c>
      <c r="M146" s="77">
        <f t="shared" si="65"/>
        <v>0</v>
      </c>
      <c r="N146" s="77">
        <f t="shared" si="65"/>
        <v>0</v>
      </c>
      <c r="O146" s="77">
        <f t="shared" si="65"/>
        <v>0</v>
      </c>
      <c r="P146" s="77">
        <f t="shared" si="65"/>
        <v>0</v>
      </c>
      <c r="Q146" s="77">
        <f t="shared" ref="Q146:Z150" si="66">IF(VLOOKUP($E146,$D$6:$AN$1141,3,)=0,0,(VLOOKUP($E146,$D$6:$AN$1141,Q$2,)/VLOOKUP($E146,$D$6:$AN$1141,3,))*$F146)</f>
        <v>0</v>
      </c>
      <c r="R146" s="77">
        <f t="shared" si="66"/>
        <v>0</v>
      </c>
      <c r="S146" s="77">
        <f t="shared" si="66"/>
        <v>0</v>
      </c>
      <c r="T146" s="77">
        <f t="shared" si="66"/>
        <v>0</v>
      </c>
      <c r="U146" s="77">
        <f t="shared" si="66"/>
        <v>0</v>
      </c>
      <c r="V146" s="77">
        <f t="shared" si="66"/>
        <v>0</v>
      </c>
      <c r="W146" s="77">
        <f t="shared" si="66"/>
        <v>0</v>
      </c>
      <c r="X146" s="63">
        <f t="shared" si="66"/>
        <v>0</v>
      </c>
      <c r="Y146" s="63">
        <f t="shared" si="66"/>
        <v>0</v>
      </c>
      <c r="Z146" s="63">
        <f t="shared" si="66"/>
        <v>0</v>
      </c>
      <c r="AA146" s="65">
        <f t="shared" ref="AA146:AA151" si="67">SUM(G146:Z146)</f>
        <v>0</v>
      </c>
      <c r="AB146" s="59" t="str">
        <f t="shared" ref="AB146:AB151" si="68">IF(ABS(F146-AA146)&lt;0.01,"ok","err")</f>
        <v>ok</v>
      </c>
    </row>
    <row r="147" spans="1:28" x14ac:dyDescent="0.25">
      <c r="A147" s="69" t="s">
        <v>630</v>
      </c>
      <c r="C147" s="61" t="s">
        <v>1006</v>
      </c>
      <c r="D147" s="61" t="s">
        <v>441</v>
      </c>
      <c r="E147" s="61" t="s">
        <v>133</v>
      </c>
      <c r="F147" s="80">
        <f>VLOOKUP(C147,'Functional Assignment'!$C$2:$AP$778,'Functional Assignment'!$T$2,)</f>
        <v>118884603.24097745</v>
      </c>
      <c r="G147" s="80">
        <f t="shared" si="65"/>
        <v>57079539.380779952</v>
      </c>
      <c r="H147" s="80">
        <f t="shared" si="65"/>
        <v>15880379.819800774</v>
      </c>
      <c r="I147" s="80">
        <f t="shared" si="65"/>
        <v>0</v>
      </c>
      <c r="J147" s="80">
        <f t="shared" si="65"/>
        <v>1338527.6392401971</v>
      </c>
      <c r="K147" s="80">
        <f t="shared" si="65"/>
        <v>16862791.344876271</v>
      </c>
      <c r="L147" s="80">
        <f t="shared" si="65"/>
        <v>0</v>
      </c>
      <c r="M147" s="80">
        <f t="shared" si="65"/>
        <v>0</v>
      </c>
      <c r="N147" s="80">
        <f t="shared" si="65"/>
        <v>16242336.62377814</v>
      </c>
      <c r="O147" s="80">
        <f t="shared" si="65"/>
        <v>8509503.6551507115</v>
      </c>
      <c r="P147" s="80">
        <f t="shared" si="65"/>
        <v>0</v>
      </c>
      <c r="Q147" s="80">
        <f t="shared" si="66"/>
        <v>942722.84639415075</v>
      </c>
      <c r="R147" s="80">
        <f t="shared" si="66"/>
        <v>485814.12400185806</v>
      </c>
      <c r="S147" s="80">
        <f t="shared" si="66"/>
        <v>1483679.766815644</v>
      </c>
      <c r="T147" s="80">
        <f t="shared" si="66"/>
        <v>42919.526256375735</v>
      </c>
      <c r="U147" s="80">
        <f t="shared" si="66"/>
        <v>16388.513883396048</v>
      </c>
      <c r="V147" s="80">
        <f t="shared" si="66"/>
        <v>0</v>
      </c>
      <c r="W147" s="80">
        <f t="shared" si="66"/>
        <v>0</v>
      </c>
      <c r="X147" s="64">
        <f t="shared" si="66"/>
        <v>0</v>
      </c>
      <c r="Y147" s="64">
        <f t="shared" si="66"/>
        <v>0</v>
      </c>
      <c r="Z147" s="64">
        <f t="shared" si="66"/>
        <v>0</v>
      </c>
      <c r="AA147" s="64">
        <f t="shared" si="67"/>
        <v>118884603.24097748</v>
      </c>
      <c r="AB147" s="59" t="str">
        <f t="shared" si="68"/>
        <v>ok</v>
      </c>
    </row>
    <row r="148" spans="1:28" x14ac:dyDescent="0.25">
      <c r="A148" s="69" t="s">
        <v>631</v>
      </c>
      <c r="C148" s="61" t="s">
        <v>1006</v>
      </c>
      <c r="D148" s="61" t="s">
        <v>442</v>
      </c>
      <c r="E148" s="61" t="s">
        <v>707</v>
      </c>
      <c r="F148" s="80">
        <f>VLOOKUP(C148,'Functional Assignment'!$C$2:$AP$778,'Functional Assignment'!$U$2,)</f>
        <v>192829125.17413414</v>
      </c>
      <c r="G148" s="80">
        <f t="shared" si="65"/>
        <v>165900200.32913554</v>
      </c>
      <c r="H148" s="80">
        <f t="shared" si="65"/>
        <v>20465680.859664962</v>
      </c>
      <c r="I148" s="80">
        <f t="shared" si="65"/>
        <v>0</v>
      </c>
      <c r="J148" s="80">
        <f t="shared" si="65"/>
        <v>33499.5168508446</v>
      </c>
      <c r="K148" s="80">
        <f t="shared" si="65"/>
        <v>1282847.9363909054</v>
      </c>
      <c r="L148" s="80">
        <f t="shared" si="65"/>
        <v>0</v>
      </c>
      <c r="M148" s="80">
        <f t="shared" si="65"/>
        <v>0</v>
      </c>
      <c r="N148" s="80">
        <f t="shared" si="65"/>
        <v>50325.758191451481</v>
      </c>
      <c r="O148" s="80">
        <f t="shared" si="65"/>
        <v>146464.78257846442</v>
      </c>
      <c r="P148" s="80">
        <f t="shared" si="65"/>
        <v>0</v>
      </c>
      <c r="Q148" s="80">
        <f t="shared" si="66"/>
        <v>458.89749110746027</v>
      </c>
      <c r="R148" s="80">
        <f t="shared" si="66"/>
        <v>917.79498221492054</v>
      </c>
      <c r="S148" s="80">
        <f t="shared" si="66"/>
        <v>4894630.3835080769</v>
      </c>
      <c r="T148" s="80">
        <f t="shared" si="66"/>
        <v>7954.2231791959775</v>
      </c>
      <c r="U148" s="80">
        <f t="shared" si="66"/>
        <v>46144.692161361294</v>
      </c>
      <c r="V148" s="80">
        <f t="shared" si="66"/>
        <v>0</v>
      </c>
      <c r="W148" s="80">
        <f t="shared" si="66"/>
        <v>0</v>
      </c>
      <c r="X148" s="64">
        <f t="shared" si="66"/>
        <v>0</v>
      </c>
      <c r="Y148" s="64">
        <f t="shared" si="66"/>
        <v>0</v>
      </c>
      <c r="Z148" s="64">
        <f t="shared" si="66"/>
        <v>0</v>
      </c>
      <c r="AA148" s="64">
        <f t="shared" si="67"/>
        <v>192829125.17413417</v>
      </c>
      <c r="AB148" s="59" t="str">
        <f t="shared" si="68"/>
        <v>ok</v>
      </c>
    </row>
    <row r="149" spans="1:28" x14ac:dyDescent="0.25">
      <c r="A149" s="69" t="s">
        <v>632</v>
      </c>
      <c r="C149" s="61" t="s">
        <v>1006</v>
      </c>
      <c r="D149" s="61" t="s">
        <v>443</v>
      </c>
      <c r="E149" s="61" t="s">
        <v>685</v>
      </c>
      <c r="F149" s="80">
        <f>VLOOKUP(C149,'Functional Assignment'!$C$2:$AP$778,'Functional Assignment'!$V$2,)</f>
        <v>39628201.08032582</v>
      </c>
      <c r="G149" s="80">
        <f t="shared" si="65"/>
        <v>33602509.289117955</v>
      </c>
      <c r="H149" s="80">
        <f t="shared" si="65"/>
        <v>5639709.5040775333</v>
      </c>
      <c r="I149" s="80">
        <f t="shared" si="65"/>
        <v>0</v>
      </c>
      <c r="J149" s="80">
        <f t="shared" si="65"/>
        <v>0</v>
      </c>
      <c r="K149" s="80">
        <f t="shared" si="65"/>
        <v>0</v>
      </c>
      <c r="L149" s="80">
        <f t="shared" si="65"/>
        <v>0</v>
      </c>
      <c r="M149" s="80">
        <f t="shared" si="65"/>
        <v>0</v>
      </c>
      <c r="N149" s="80">
        <f t="shared" si="65"/>
        <v>0</v>
      </c>
      <c r="O149" s="80">
        <f t="shared" si="65"/>
        <v>0</v>
      </c>
      <c r="P149" s="80">
        <f t="shared" si="65"/>
        <v>0</v>
      </c>
      <c r="Q149" s="80">
        <f t="shared" si="66"/>
        <v>0</v>
      </c>
      <c r="R149" s="80">
        <f t="shared" si="66"/>
        <v>0</v>
      </c>
      <c r="S149" s="80">
        <f t="shared" si="66"/>
        <v>371146.2314757249</v>
      </c>
      <c r="T149" s="80">
        <f t="shared" si="66"/>
        <v>10736.427619395181</v>
      </c>
      <c r="U149" s="80">
        <f t="shared" si="66"/>
        <v>4099.6280352091871</v>
      </c>
      <c r="V149" s="80">
        <f t="shared" si="66"/>
        <v>0</v>
      </c>
      <c r="W149" s="80">
        <f t="shared" si="66"/>
        <v>0</v>
      </c>
      <c r="X149" s="64">
        <f t="shared" si="66"/>
        <v>0</v>
      </c>
      <c r="Y149" s="64">
        <f t="shared" si="66"/>
        <v>0</v>
      </c>
      <c r="Z149" s="64">
        <f t="shared" si="66"/>
        <v>0</v>
      </c>
      <c r="AA149" s="64">
        <f t="shared" si="67"/>
        <v>39628201.08032582</v>
      </c>
      <c r="AB149" s="59" t="str">
        <f t="shared" si="68"/>
        <v>ok</v>
      </c>
    </row>
    <row r="150" spans="1:28" x14ac:dyDescent="0.25">
      <c r="A150" s="69" t="s">
        <v>633</v>
      </c>
      <c r="C150" s="61" t="s">
        <v>1006</v>
      </c>
      <c r="D150" s="61" t="s">
        <v>444</v>
      </c>
      <c r="E150" s="61" t="s">
        <v>706</v>
      </c>
      <c r="F150" s="80">
        <f>VLOOKUP(C150,'Functional Assignment'!$C$2:$AP$778,'Functional Assignment'!$W$2,)</f>
        <v>64276375.058044709</v>
      </c>
      <c r="G150" s="80">
        <f t="shared" si="65"/>
        <v>55737841.827029094</v>
      </c>
      <c r="H150" s="80">
        <f t="shared" si="65"/>
        <v>6875898.1627228903</v>
      </c>
      <c r="I150" s="80">
        <f t="shared" si="65"/>
        <v>0</v>
      </c>
      <c r="J150" s="80">
        <f t="shared" si="65"/>
        <v>0</v>
      </c>
      <c r="K150" s="80">
        <f t="shared" si="65"/>
        <v>0</v>
      </c>
      <c r="L150" s="80">
        <f t="shared" si="65"/>
        <v>0</v>
      </c>
      <c r="M150" s="80">
        <f t="shared" si="65"/>
        <v>0</v>
      </c>
      <c r="N150" s="80">
        <f t="shared" si="65"/>
        <v>0</v>
      </c>
      <c r="O150" s="80">
        <f t="shared" si="65"/>
        <v>0</v>
      </c>
      <c r="P150" s="80">
        <f t="shared" si="65"/>
        <v>0</v>
      </c>
      <c r="Q150" s="80">
        <f t="shared" si="66"/>
        <v>0</v>
      </c>
      <c r="R150" s="80">
        <f t="shared" si="66"/>
        <v>0</v>
      </c>
      <c r="S150" s="80">
        <f t="shared" si="66"/>
        <v>1644459.341076707</v>
      </c>
      <c r="T150" s="80">
        <f t="shared" si="66"/>
        <v>2672.3972155508732</v>
      </c>
      <c r="U150" s="80">
        <f t="shared" si="66"/>
        <v>15503.330000471415</v>
      </c>
      <c r="V150" s="80">
        <f t="shared" si="66"/>
        <v>0</v>
      </c>
      <c r="W150" s="80">
        <f t="shared" si="66"/>
        <v>0</v>
      </c>
      <c r="X150" s="64">
        <f t="shared" si="66"/>
        <v>0</v>
      </c>
      <c r="Y150" s="64">
        <f t="shared" si="66"/>
        <v>0</v>
      </c>
      <c r="Z150" s="64">
        <f t="shared" si="66"/>
        <v>0</v>
      </c>
      <c r="AA150" s="64">
        <f t="shared" si="67"/>
        <v>64276375.058044724</v>
      </c>
      <c r="AB150" s="59" t="str">
        <f t="shared" si="68"/>
        <v>ok</v>
      </c>
    </row>
    <row r="151" spans="1:28" x14ac:dyDescent="0.25">
      <c r="A151" s="61" t="s">
        <v>383</v>
      </c>
      <c r="D151" s="61" t="s">
        <v>445</v>
      </c>
      <c r="F151" s="77">
        <f>SUM(F146:F150)</f>
        <v>415618304.55348217</v>
      </c>
      <c r="G151" s="77">
        <f t="shared" ref="G151:W151" si="69">SUM(G146:G150)</f>
        <v>312320090.82606256</v>
      </c>
      <c r="H151" s="77">
        <f t="shared" si="69"/>
        <v>48861668.346266158</v>
      </c>
      <c r="I151" s="77">
        <f t="shared" si="69"/>
        <v>0</v>
      </c>
      <c r="J151" s="77">
        <f t="shared" si="69"/>
        <v>1372027.1560910416</v>
      </c>
      <c r="K151" s="77">
        <f t="shared" si="69"/>
        <v>18145639.281267177</v>
      </c>
      <c r="L151" s="77">
        <f t="shared" si="69"/>
        <v>0</v>
      </c>
      <c r="M151" s="77">
        <f t="shared" si="69"/>
        <v>0</v>
      </c>
      <c r="N151" s="77">
        <f t="shared" si="69"/>
        <v>16292662.381969592</v>
      </c>
      <c r="O151" s="77">
        <f>SUM(O146:O150)</f>
        <v>8655968.4377291761</v>
      </c>
      <c r="P151" s="77">
        <f t="shared" si="69"/>
        <v>0</v>
      </c>
      <c r="Q151" s="77">
        <f t="shared" si="69"/>
        <v>943181.74388525821</v>
      </c>
      <c r="R151" s="77">
        <f t="shared" si="69"/>
        <v>486731.91898407298</v>
      </c>
      <c r="S151" s="77">
        <f t="shared" si="69"/>
        <v>8393915.722876152</v>
      </c>
      <c r="T151" s="77">
        <f t="shared" si="69"/>
        <v>64282.574270517769</v>
      </c>
      <c r="U151" s="77">
        <f t="shared" si="69"/>
        <v>82136.164080437942</v>
      </c>
      <c r="V151" s="77">
        <f t="shared" si="69"/>
        <v>0</v>
      </c>
      <c r="W151" s="77">
        <f t="shared" si="69"/>
        <v>0</v>
      </c>
      <c r="X151" s="63">
        <f>SUM(X146:X150)</f>
        <v>0</v>
      </c>
      <c r="Y151" s="63">
        <f>SUM(Y146:Y150)</f>
        <v>0</v>
      </c>
      <c r="Z151" s="63">
        <f>SUM(Z146:Z150)</f>
        <v>0</v>
      </c>
      <c r="AA151" s="65">
        <f t="shared" si="67"/>
        <v>415618304.55348212</v>
      </c>
      <c r="AB151" s="59" t="str">
        <f t="shared" si="68"/>
        <v>ok</v>
      </c>
    </row>
    <row r="152" spans="1:28" x14ac:dyDescent="0.25">
      <c r="F152" s="80"/>
    </row>
    <row r="153" spans="1:28" x14ac:dyDescent="0.25">
      <c r="A153" s="66" t="s">
        <v>640</v>
      </c>
      <c r="F153" s="80"/>
    </row>
    <row r="154" spans="1:28" x14ac:dyDescent="0.25">
      <c r="A154" s="69" t="s">
        <v>1113</v>
      </c>
      <c r="C154" s="61" t="s">
        <v>1006</v>
      </c>
      <c r="D154" s="61" t="s">
        <v>446</v>
      </c>
      <c r="E154" s="61" t="s">
        <v>1379</v>
      </c>
      <c r="F154" s="77">
        <f>VLOOKUP(C154,'Functional Assignment'!$C$2:$AP$778,'Functional Assignment'!$X$2,)</f>
        <v>48714249.784050815</v>
      </c>
      <c r="G154" s="77">
        <f t="shared" ref="G154:P155" si="70">IF(VLOOKUP($E154,$D$6:$AN$1141,3,)=0,0,(VLOOKUP($E154,$D$6:$AN$1141,G$2,)/VLOOKUP($E154,$D$6:$AN$1141,3,))*$F154)</f>
        <v>34394680.823802307</v>
      </c>
      <c r="H154" s="77">
        <f t="shared" si="70"/>
        <v>5772664.37642291</v>
      </c>
      <c r="I154" s="77">
        <f t="shared" si="70"/>
        <v>0</v>
      </c>
      <c r="J154" s="77">
        <f t="shared" si="70"/>
        <v>0</v>
      </c>
      <c r="K154" s="77">
        <f t="shared" si="70"/>
        <v>5358223.6627291981</v>
      </c>
      <c r="L154" s="77">
        <f t="shared" si="70"/>
        <v>0</v>
      </c>
      <c r="M154" s="77">
        <f t="shared" si="70"/>
        <v>0</v>
      </c>
      <c r="N154" s="77">
        <f t="shared" si="70"/>
        <v>0</v>
      </c>
      <c r="O154" s="77">
        <f t="shared" si="70"/>
        <v>2793599.1890964676</v>
      </c>
      <c r="P154" s="77">
        <f t="shared" si="70"/>
        <v>0</v>
      </c>
      <c r="Q154" s="77">
        <f t="shared" ref="Q154:Z155" si="71">IF(VLOOKUP($E154,$D$6:$AN$1141,3,)=0,0,(VLOOKUP($E154,$D$6:$AN$1141,Q$2,)/VLOOKUP($E154,$D$6:$AN$1141,3,))*$F154)</f>
        <v>0</v>
      </c>
      <c r="R154" s="77">
        <f t="shared" si="71"/>
        <v>0</v>
      </c>
      <c r="S154" s="77">
        <f t="shared" si="71"/>
        <v>379895.91969843308</v>
      </c>
      <c r="T154" s="77">
        <f t="shared" si="71"/>
        <v>10989.53646525861</v>
      </c>
      <c r="U154" s="77">
        <f t="shared" si="71"/>
        <v>4196.2758362511868</v>
      </c>
      <c r="V154" s="77">
        <f t="shared" si="71"/>
        <v>0</v>
      </c>
      <c r="W154" s="77">
        <f t="shared" si="71"/>
        <v>0</v>
      </c>
      <c r="X154" s="63">
        <f t="shared" si="71"/>
        <v>0</v>
      </c>
      <c r="Y154" s="63">
        <f t="shared" si="71"/>
        <v>0</v>
      </c>
      <c r="Z154" s="63">
        <f t="shared" si="71"/>
        <v>0</v>
      </c>
      <c r="AA154" s="65">
        <f>SUM(G154:Z154)</f>
        <v>48714249.784050822</v>
      </c>
      <c r="AB154" s="59" t="str">
        <f>IF(ABS(F154-AA154)&lt;0.01,"ok","err")</f>
        <v>ok</v>
      </c>
    </row>
    <row r="155" spans="1:28" x14ac:dyDescent="0.25">
      <c r="A155" s="69" t="s">
        <v>1116</v>
      </c>
      <c r="C155" s="61" t="s">
        <v>1006</v>
      </c>
      <c r="D155" s="61" t="s">
        <v>447</v>
      </c>
      <c r="E155" s="61" t="s">
        <v>1377</v>
      </c>
      <c r="F155" s="80">
        <f>VLOOKUP(C155,'Functional Assignment'!$C$2:$AP$778,'Functional Assignment'!$Y$2,)</f>
        <v>36969738.488763481</v>
      </c>
      <c r="G155" s="80">
        <f t="shared" si="70"/>
        <v>31820909.937725119</v>
      </c>
      <c r="H155" s="80">
        <f t="shared" si="70"/>
        <v>3925471.9774756823</v>
      </c>
      <c r="I155" s="80">
        <f t="shared" si="70"/>
        <v>0</v>
      </c>
      <c r="J155" s="80">
        <f t="shared" si="70"/>
        <v>0</v>
      </c>
      <c r="K155" s="80">
        <f t="shared" si="70"/>
        <v>246059.91172225506</v>
      </c>
      <c r="L155" s="80">
        <f t="shared" si="70"/>
        <v>0</v>
      </c>
      <c r="M155" s="80">
        <f t="shared" si="70"/>
        <v>0</v>
      </c>
      <c r="N155" s="80">
        <f t="shared" si="70"/>
        <v>0</v>
      </c>
      <c r="O155" s="80">
        <f t="shared" si="70"/>
        <v>28093.050196632594</v>
      </c>
      <c r="P155" s="80">
        <f t="shared" si="70"/>
        <v>0</v>
      </c>
      <c r="Q155" s="80">
        <f t="shared" si="71"/>
        <v>0</v>
      </c>
      <c r="R155" s="80">
        <f t="shared" si="71"/>
        <v>0</v>
      </c>
      <c r="S155" s="80">
        <f t="shared" si="71"/>
        <v>938827.03157116217</v>
      </c>
      <c r="T155" s="80">
        <f t="shared" si="71"/>
        <v>1525.6800106787412</v>
      </c>
      <c r="U155" s="80">
        <f t="shared" si="71"/>
        <v>8850.9000619503895</v>
      </c>
      <c r="V155" s="80">
        <f t="shared" si="71"/>
        <v>0</v>
      </c>
      <c r="W155" s="80">
        <f t="shared" si="71"/>
        <v>0</v>
      </c>
      <c r="X155" s="64">
        <f t="shared" si="71"/>
        <v>0</v>
      </c>
      <c r="Y155" s="64">
        <f t="shared" si="71"/>
        <v>0</v>
      </c>
      <c r="Z155" s="64">
        <f t="shared" si="71"/>
        <v>0</v>
      </c>
      <c r="AA155" s="64">
        <f>SUM(G155:Z155)</f>
        <v>36969738.488763481</v>
      </c>
      <c r="AB155" s="59" t="str">
        <f>IF(ABS(F155-AA155)&lt;0.01,"ok","err")</f>
        <v>ok</v>
      </c>
    </row>
    <row r="156" spans="1:28" x14ac:dyDescent="0.25">
      <c r="A156" s="61" t="s">
        <v>721</v>
      </c>
      <c r="D156" s="61" t="s">
        <v>448</v>
      </c>
      <c r="F156" s="77">
        <f>F154+F155</f>
        <v>85683988.272814304</v>
      </c>
      <c r="G156" s="77">
        <f t="shared" ref="G156:W156" si="72">G154+G155</f>
        <v>66215590.761527427</v>
      </c>
      <c r="H156" s="77">
        <f t="shared" si="72"/>
        <v>9698136.3538985923</v>
      </c>
      <c r="I156" s="77">
        <f t="shared" si="72"/>
        <v>0</v>
      </c>
      <c r="J156" s="77">
        <f t="shared" si="72"/>
        <v>0</v>
      </c>
      <c r="K156" s="77">
        <f t="shared" si="72"/>
        <v>5604283.5744514531</v>
      </c>
      <c r="L156" s="77">
        <f t="shared" si="72"/>
        <v>0</v>
      </c>
      <c r="M156" s="77">
        <f t="shared" si="72"/>
        <v>0</v>
      </c>
      <c r="N156" s="77">
        <f t="shared" si="72"/>
        <v>0</v>
      </c>
      <c r="O156" s="77">
        <f>O154+O155</f>
        <v>2821692.2392931003</v>
      </c>
      <c r="P156" s="77">
        <f t="shared" si="72"/>
        <v>0</v>
      </c>
      <c r="Q156" s="77">
        <f t="shared" si="72"/>
        <v>0</v>
      </c>
      <c r="R156" s="77">
        <f t="shared" si="72"/>
        <v>0</v>
      </c>
      <c r="S156" s="77">
        <f t="shared" si="72"/>
        <v>1318722.9512695952</v>
      </c>
      <c r="T156" s="77">
        <f t="shared" si="72"/>
        <v>12515.216475937352</v>
      </c>
      <c r="U156" s="77">
        <f t="shared" si="72"/>
        <v>13047.175898201576</v>
      </c>
      <c r="V156" s="77">
        <f t="shared" si="72"/>
        <v>0</v>
      </c>
      <c r="W156" s="77">
        <f t="shared" si="72"/>
        <v>0</v>
      </c>
      <c r="X156" s="63">
        <f>X154+X155</f>
        <v>0</v>
      </c>
      <c r="Y156" s="63">
        <f>Y154+Y155</f>
        <v>0</v>
      </c>
      <c r="Z156" s="63">
        <f>Z154+Z155</f>
        <v>0</v>
      </c>
      <c r="AA156" s="65">
        <f>SUM(G156:Z156)</f>
        <v>85683988.272814289</v>
      </c>
      <c r="AB156" s="59" t="str">
        <f>IF(ABS(F156-AA156)&lt;0.01,"ok","err")</f>
        <v>ok</v>
      </c>
    </row>
    <row r="157" spans="1:28" x14ac:dyDescent="0.25">
      <c r="F157" s="80"/>
    </row>
    <row r="158" spans="1:28" x14ac:dyDescent="0.25">
      <c r="A158" s="66" t="s">
        <v>356</v>
      </c>
      <c r="F158" s="80"/>
    </row>
    <row r="159" spans="1:28" x14ac:dyDescent="0.25">
      <c r="A159" s="69" t="s">
        <v>1116</v>
      </c>
      <c r="C159" s="61" t="s">
        <v>1006</v>
      </c>
      <c r="D159" s="61" t="s">
        <v>449</v>
      </c>
      <c r="E159" s="61" t="s">
        <v>1118</v>
      </c>
      <c r="F159" s="77">
        <f>VLOOKUP(C159,'Functional Assignment'!$C$2:$AP$778,'Functional Assignment'!$Z$2,)</f>
        <v>17529237.699996628</v>
      </c>
      <c r="G159" s="77">
        <f t="shared" ref="G159:Z159" si="73">IF(VLOOKUP($E159,$D$6:$AN$1141,3,)=0,0,(VLOOKUP($E159,$D$6:$AN$1141,G$2,)/VLOOKUP($E159,$D$6:$AN$1141,3,))*$F159)</f>
        <v>14151780.027750423</v>
      </c>
      <c r="H159" s="77">
        <f t="shared" si="73"/>
        <v>3021754.494399108</v>
      </c>
      <c r="I159" s="77">
        <f t="shared" si="73"/>
        <v>0</v>
      </c>
      <c r="J159" s="77">
        <f t="shared" si="73"/>
        <v>0</v>
      </c>
      <c r="K159" s="77">
        <f t="shared" si="73"/>
        <v>302319.12050312973</v>
      </c>
      <c r="L159" s="77">
        <f t="shared" si="73"/>
        <v>0</v>
      </c>
      <c r="M159" s="77">
        <f t="shared" si="73"/>
        <v>0</v>
      </c>
      <c r="N159" s="77">
        <f t="shared" si="73"/>
        <v>0</v>
      </c>
      <c r="O159" s="77">
        <f t="shared" si="73"/>
        <v>53384.057343967223</v>
      </c>
      <c r="P159" s="77">
        <f t="shared" si="73"/>
        <v>0</v>
      </c>
      <c r="Q159" s="77">
        <f t="shared" si="73"/>
        <v>0</v>
      </c>
      <c r="R159" s="77">
        <f t="shared" si="73"/>
        <v>0</v>
      </c>
      <c r="S159" s="77">
        <f t="shared" si="73"/>
        <v>0</v>
      </c>
      <c r="T159" s="77">
        <f t="shared" si="73"/>
        <v>0</v>
      </c>
      <c r="U159" s="77">
        <f t="shared" si="73"/>
        <v>0</v>
      </c>
      <c r="V159" s="77">
        <f t="shared" si="73"/>
        <v>0</v>
      </c>
      <c r="W159" s="77">
        <f t="shared" si="73"/>
        <v>0</v>
      </c>
      <c r="X159" s="63">
        <f t="shared" si="73"/>
        <v>0</v>
      </c>
      <c r="Y159" s="63">
        <f t="shared" si="73"/>
        <v>0</v>
      </c>
      <c r="Z159" s="63">
        <f t="shared" si="73"/>
        <v>0</v>
      </c>
      <c r="AA159" s="65">
        <f>SUM(G159:Z159)</f>
        <v>17529237.699996632</v>
      </c>
      <c r="AB159" s="59" t="str">
        <f>IF(ABS(F159-AA159)&lt;0.01,"ok","err")</f>
        <v>ok</v>
      </c>
    </row>
    <row r="160" spans="1:28" x14ac:dyDescent="0.25">
      <c r="F160" s="80"/>
    </row>
    <row r="161" spans="1:28" x14ac:dyDescent="0.25">
      <c r="A161" s="66" t="s">
        <v>355</v>
      </c>
      <c r="F161" s="80"/>
    </row>
    <row r="162" spans="1:28" x14ac:dyDescent="0.25">
      <c r="A162" s="69" t="s">
        <v>1116</v>
      </c>
      <c r="C162" s="61" t="s">
        <v>1006</v>
      </c>
      <c r="D162" s="61" t="s">
        <v>450</v>
      </c>
      <c r="E162" s="61" t="s">
        <v>1119</v>
      </c>
      <c r="F162" s="77">
        <f>VLOOKUP(C162,'Functional Assignment'!$C$2:$AP$778,'Functional Assignment'!$AA$2,)</f>
        <v>24765775.151720833</v>
      </c>
      <c r="G162" s="77">
        <f t="shared" ref="G162:Z162" si="74">IF(VLOOKUP($E162,$D$6:$AN$1141,3,)=0,0,(VLOOKUP($E162,$D$6:$AN$1141,G$2,)/VLOOKUP($E162,$D$6:$AN$1141,3,))*$F162)</f>
        <v>16965558.670504589</v>
      </c>
      <c r="H162" s="77">
        <f t="shared" si="74"/>
        <v>5552647.8873447329</v>
      </c>
      <c r="I162" s="77">
        <f t="shared" si="74"/>
        <v>0</v>
      </c>
      <c r="J162" s="77">
        <f t="shared" si="74"/>
        <v>201531.4494049825</v>
      </c>
      <c r="K162" s="77">
        <f t="shared" si="74"/>
        <v>1306937.2804509718</v>
      </c>
      <c r="L162" s="77">
        <f t="shared" si="74"/>
        <v>0</v>
      </c>
      <c r="M162" s="77">
        <f t="shared" si="74"/>
        <v>0</v>
      </c>
      <c r="N162" s="77">
        <f t="shared" si="74"/>
        <v>289497.44065747084</v>
      </c>
      <c r="O162" s="77">
        <f t="shared" si="74"/>
        <v>163868.17952187738</v>
      </c>
      <c r="P162" s="77">
        <f t="shared" si="74"/>
        <v>228023.69203180599</v>
      </c>
      <c r="Q162" s="77">
        <f t="shared" si="74"/>
        <v>2639.7942917094601</v>
      </c>
      <c r="R162" s="77">
        <f t="shared" si="74"/>
        <v>5279.5885834189203</v>
      </c>
      <c r="S162" s="77">
        <f t="shared" si="74"/>
        <v>0</v>
      </c>
      <c r="T162" s="77">
        <f t="shared" si="74"/>
        <v>7320.850474049339</v>
      </c>
      <c r="U162" s="77">
        <f t="shared" si="74"/>
        <v>42470.318455222136</v>
      </c>
      <c r="V162" s="77">
        <f t="shared" si="74"/>
        <v>0</v>
      </c>
      <c r="W162" s="77">
        <f t="shared" si="74"/>
        <v>0</v>
      </c>
      <c r="X162" s="63">
        <f t="shared" si="74"/>
        <v>0</v>
      </c>
      <c r="Y162" s="63">
        <f t="shared" si="74"/>
        <v>0</v>
      </c>
      <c r="Z162" s="63">
        <f t="shared" si="74"/>
        <v>0</v>
      </c>
      <c r="AA162" s="65">
        <f>SUM(G162:Z162)</f>
        <v>24765775.151720822</v>
      </c>
      <c r="AB162" s="59" t="str">
        <f>IF(ABS(F162-AA162)&lt;0.01,"ok","err")</f>
        <v>ok</v>
      </c>
    </row>
    <row r="163" spans="1:28" x14ac:dyDescent="0.25">
      <c r="F163" s="80"/>
    </row>
    <row r="164" spans="1:28" x14ac:dyDescent="0.25">
      <c r="A164" s="66" t="s">
        <v>376</v>
      </c>
      <c r="F164" s="80"/>
    </row>
    <row r="165" spans="1:28" x14ac:dyDescent="0.25">
      <c r="A165" s="69" t="s">
        <v>1116</v>
      </c>
      <c r="C165" s="61" t="s">
        <v>1006</v>
      </c>
      <c r="D165" s="61" t="s">
        <v>451</v>
      </c>
      <c r="E165" s="61" t="s">
        <v>1120</v>
      </c>
      <c r="F165" s="77">
        <f>VLOOKUP(C165,'Functional Assignment'!$C$2:$AP$778,'Functional Assignment'!$AB$2,)</f>
        <v>54643059.163137861</v>
      </c>
      <c r="G165" s="77">
        <f t="shared" ref="G165:Z165" si="75">IF(VLOOKUP($E165,$D$6:$AN$1141,3,)=0,0,(VLOOKUP($E165,$D$6:$AN$1141,G$2,)/VLOOKUP($E165,$D$6:$AN$1141,3,))*$F165)</f>
        <v>0</v>
      </c>
      <c r="H165" s="77">
        <f t="shared" si="75"/>
        <v>0</v>
      </c>
      <c r="I165" s="77">
        <f t="shared" si="75"/>
        <v>0</v>
      </c>
      <c r="J165" s="77">
        <f t="shared" si="75"/>
        <v>0</v>
      </c>
      <c r="K165" s="77">
        <f t="shared" si="75"/>
        <v>0</v>
      </c>
      <c r="L165" s="77">
        <f t="shared" si="75"/>
        <v>0</v>
      </c>
      <c r="M165" s="77">
        <f t="shared" si="75"/>
        <v>0</v>
      </c>
      <c r="N165" s="77">
        <f t="shared" si="75"/>
        <v>0</v>
      </c>
      <c r="O165" s="77">
        <f t="shared" si="75"/>
        <v>0</v>
      </c>
      <c r="P165" s="77">
        <f t="shared" si="75"/>
        <v>0</v>
      </c>
      <c r="Q165" s="77">
        <f t="shared" si="75"/>
        <v>0</v>
      </c>
      <c r="R165" s="77">
        <f t="shared" si="75"/>
        <v>0</v>
      </c>
      <c r="S165" s="77">
        <f t="shared" si="75"/>
        <v>54643059.163137861</v>
      </c>
      <c r="T165" s="77">
        <f t="shared" si="75"/>
        <v>0</v>
      </c>
      <c r="U165" s="77">
        <f t="shared" si="75"/>
        <v>0</v>
      </c>
      <c r="V165" s="77">
        <f t="shared" si="75"/>
        <v>0</v>
      </c>
      <c r="W165" s="77">
        <f t="shared" si="75"/>
        <v>0</v>
      </c>
      <c r="X165" s="63">
        <f t="shared" si="75"/>
        <v>0</v>
      </c>
      <c r="Y165" s="63">
        <f t="shared" si="75"/>
        <v>0</v>
      </c>
      <c r="Z165" s="63">
        <f t="shared" si="75"/>
        <v>0</v>
      </c>
      <c r="AA165" s="65">
        <f>SUM(G165:Z165)</f>
        <v>54643059.163137861</v>
      </c>
      <c r="AB165" s="59" t="str">
        <f>IF(ABS(F165-AA165)&lt;0.01,"ok","err")</f>
        <v>ok</v>
      </c>
    </row>
    <row r="166" spans="1:28" x14ac:dyDescent="0.25">
      <c r="F166" s="80"/>
    </row>
    <row r="167" spans="1:28" x14ac:dyDescent="0.25">
      <c r="A167" s="66" t="s">
        <v>1047</v>
      </c>
      <c r="F167" s="80"/>
    </row>
    <row r="168" spans="1:28" x14ac:dyDescent="0.25">
      <c r="A168" s="69" t="s">
        <v>1116</v>
      </c>
      <c r="C168" s="61" t="s">
        <v>1006</v>
      </c>
      <c r="D168" s="61" t="s">
        <v>452</v>
      </c>
      <c r="E168" s="61" t="s">
        <v>1121</v>
      </c>
      <c r="F168" s="77">
        <f>VLOOKUP(C168,'Functional Assignment'!$C$2:$AP$778,'Functional Assignment'!$AC$2,)</f>
        <v>2493400.3566691312</v>
      </c>
      <c r="G168" s="77">
        <f t="shared" ref="G168:Z168" si="76">IF(VLOOKUP($E168,$D$6:$AN$1141,3,)=0,0,(VLOOKUP($E168,$D$6:$AN$1141,G$2,)/VLOOKUP($E168,$D$6:$AN$1141,3,))*$F168)</f>
        <v>1851418.2781972354</v>
      </c>
      <c r="H168" s="77">
        <f t="shared" si="76"/>
        <v>456787.09904102091</v>
      </c>
      <c r="I168" s="77">
        <f t="shared" si="76"/>
        <v>0</v>
      </c>
      <c r="J168" s="77">
        <f t="shared" si="76"/>
        <v>1869.2448136103217</v>
      </c>
      <c r="K168" s="77">
        <f t="shared" si="76"/>
        <v>71581.833923940459</v>
      </c>
      <c r="L168" s="77">
        <f t="shared" si="76"/>
        <v>0</v>
      </c>
      <c r="M168" s="77">
        <f t="shared" si="76"/>
        <v>0</v>
      </c>
      <c r="N168" s="77">
        <f t="shared" si="76"/>
        <v>14040.674513191687</v>
      </c>
      <c r="O168" s="77">
        <f t="shared" si="76"/>
        <v>40863.057283832946</v>
      </c>
      <c r="P168" s="77">
        <f t="shared" si="76"/>
        <v>1536.3656002276616</v>
      </c>
      <c r="Q168" s="77">
        <f t="shared" si="76"/>
        <v>25.606093337127692</v>
      </c>
      <c r="R168" s="77">
        <f t="shared" si="76"/>
        <v>51.212186674255385</v>
      </c>
      <c r="S168" s="77">
        <f t="shared" si="76"/>
        <v>54623.250237600347</v>
      </c>
      <c r="T168" s="77">
        <f t="shared" si="76"/>
        <v>88.767790235375998</v>
      </c>
      <c r="U168" s="77">
        <f t="shared" si="76"/>
        <v>514.96698822445694</v>
      </c>
      <c r="V168" s="77">
        <f t="shared" si="76"/>
        <v>0</v>
      </c>
      <c r="W168" s="77">
        <f t="shared" si="76"/>
        <v>0</v>
      </c>
      <c r="X168" s="63">
        <f t="shared" si="76"/>
        <v>0</v>
      </c>
      <c r="Y168" s="63">
        <f t="shared" si="76"/>
        <v>0</v>
      </c>
      <c r="Z168" s="63">
        <f t="shared" si="76"/>
        <v>0</v>
      </c>
      <c r="AA168" s="65">
        <f>SUM(G168:Z168)</f>
        <v>2493400.3566691321</v>
      </c>
      <c r="AB168" s="59" t="str">
        <f>IF(ABS(F168-AA168)&lt;0.01,"ok","err")</f>
        <v>ok</v>
      </c>
    </row>
    <row r="169" spans="1:28" x14ac:dyDescent="0.25">
      <c r="F169" s="80"/>
    </row>
    <row r="170" spans="1:28" x14ac:dyDescent="0.25">
      <c r="A170" s="66" t="s">
        <v>353</v>
      </c>
      <c r="F170" s="80"/>
    </row>
    <row r="171" spans="1:28" x14ac:dyDescent="0.25">
      <c r="A171" s="69" t="s">
        <v>1116</v>
      </c>
      <c r="C171" s="61" t="s">
        <v>1006</v>
      </c>
      <c r="D171" s="61" t="s">
        <v>453</v>
      </c>
      <c r="E171" s="61" t="s">
        <v>1122</v>
      </c>
      <c r="F171" s="77">
        <f>VLOOKUP(C171,'Functional Assignment'!$C$2:$AP$778,'Functional Assignment'!$AD$2,)</f>
        <v>349419.71840870695</v>
      </c>
      <c r="G171" s="77">
        <f t="shared" ref="G171:Z171" si="77">IF(VLOOKUP($E171,$D$6:$AN$1141,3,)=0,0,(VLOOKUP($E171,$D$6:$AN$1141,G$2,)/VLOOKUP($E171,$D$6:$AN$1141,3,))*$F171)</f>
        <v>300614.058266156</v>
      </c>
      <c r="H171" s="77">
        <f t="shared" si="77"/>
        <v>37084.170882242201</v>
      </c>
      <c r="I171" s="77">
        <f t="shared" si="77"/>
        <v>0</v>
      </c>
      <c r="J171" s="77">
        <f t="shared" si="77"/>
        <v>60.701709163152216</v>
      </c>
      <c r="K171" s="77">
        <f t="shared" si="77"/>
        <v>2324.5428488437265</v>
      </c>
      <c r="L171" s="77">
        <f t="shared" si="77"/>
        <v>0</v>
      </c>
      <c r="M171" s="77">
        <f t="shared" si="77"/>
        <v>0</v>
      </c>
      <c r="N171" s="77">
        <f t="shared" si="77"/>
        <v>91.191152121813147</v>
      </c>
      <c r="O171" s="77">
        <f t="shared" si="77"/>
        <v>265.39674211743494</v>
      </c>
      <c r="P171" s="77">
        <f t="shared" si="77"/>
        <v>9.9783631501072136</v>
      </c>
      <c r="Q171" s="77">
        <f t="shared" si="77"/>
        <v>0.83153026250893447</v>
      </c>
      <c r="R171" s="77">
        <f t="shared" si="77"/>
        <v>1.6630605250178689</v>
      </c>
      <c r="S171" s="77">
        <f t="shared" si="77"/>
        <v>8869.1556754002722</v>
      </c>
      <c r="T171" s="77">
        <f t="shared" si="77"/>
        <v>14.413191216821529</v>
      </c>
      <c r="U171" s="77">
        <f t="shared" si="77"/>
        <v>83.614987507842855</v>
      </c>
      <c r="V171" s="77">
        <f t="shared" si="77"/>
        <v>0</v>
      </c>
      <c r="W171" s="77">
        <f t="shared" si="77"/>
        <v>0</v>
      </c>
      <c r="X171" s="63">
        <f t="shared" si="77"/>
        <v>0</v>
      </c>
      <c r="Y171" s="63">
        <f t="shared" si="77"/>
        <v>0</v>
      </c>
      <c r="Z171" s="63">
        <f t="shared" si="77"/>
        <v>0</v>
      </c>
      <c r="AA171" s="65">
        <f>SUM(G171:Z171)</f>
        <v>349419.71840870689</v>
      </c>
      <c r="AB171" s="59" t="str">
        <f>IF(ABS(F171-AA171)&lt;0.01,"ok","err")</f>
        <v>ok</v>
      </c>
    </row>
    <row r="172" spans="1:28" x14ac:dyDescent="0.25">
      <c r="F172" s="80"/>
    </row>
    <row r="173" spans="1:28" x14ac:dyDescent="0.25">
      <c r="A173" s="66" t="s">
        <v>352</v>
      </c>
      <c r="F173" s="80"/>
    </row>
    <row r="174" spans="1:28" x14ac:dyDescent="0.25">
      <c r="A174" s="69" t="s">
        <v>1116</v>
      </c>
      <c r="C174" s="61" t="s">
        <v>1006</v>
      </c>
      <c r="D174" s="61" t="s">
        <v>454</v>
      </c>
      <c r="E174" s="61" t="s">
        <v>1122</v>
      </c>
      <c r="F174" s="77">
        <f>VLOOKUP(C174,'Functional Assignment'!$C$2:$AP$778,'Functional Assignment'!$AE$2,)</f>
        <v>0</v>
      </c>
      <c r="G174" s="77">
        <f t="shared" ref="G174:Z174" si="78">IF(VLOOKUP($E174,$D$6:$AN$1141,3,)=0,0,(VLOOKUP($E174,$D$6:$AN$1141,G$2,)/VLOOKUP($E174,$D$6:$AN$1141,3,))*$F174)</f>
        <v>0</v>
      </c>
      <c r="H174" s="77">
        <f t="shared" si="78"/>
        <v>0</v>
      </c>
      <c r="I174" s="77">
        <f t="shared" si="78"/>
        <v>0</v>
      </c>
      <c r="J174" s="77">
        <f t="shared" si="78"/>
        <v>0</v>
      </c>
      <c r="K174" s="77">
        <f t="shared" si="78"/>
        <v>0</v>
      </c>
      <c r="L174" s="77">
        <f t="shared" si="78"/>
        <v>0</v>
      </c>
      <c r="M174" s="77">
        <f t="shared" si="78"/>
        <v>0</v>
      </c>
      <c r="N174" s="77">
        <f t="shared" si="78"/>
        <v>0</v>
      </c>
      <c r="O174" s="77">
        <f t="shared" si="78"/>
        <v>0</v>
      </c>
      <c r="P174" s="77">
        <f t="shared" si="78"/>
        <v>0</v>
      </c>
      <c r="Q174" s="77">
        <f t="shared" si="78"/>
        <v>0</v>
      </c>
      <c r="R174" s="77">
        <f t="shared" si="78"/>
        <v>0</v>
      </c>
      <c r="S174" s="77">
        <f t="shared" si="78"/>
        <v>0</v>
      </c>
      <c r="T174" s="77">
        <f t="shared" si="78"/>
        <v>0</v>
      </c>
      <c r="U174" s="77">
        <f t="shared" si="78"/>
        <v>0</v>
      </c>
      <c r="V174" s="77">
        <f t="shared" si="78"/>
        <v>0</v>
      </c>
      <c r="W174" s="77">
        <f t="shared" si="78"/>
        <v>0</v>
      </c>
      <c r="X174" s="63">
        <f t="shared" si="78"/>
        <v>0</v>
      </c>
      <c r="Y174" s="63">
        <f t="shared" si="78"/>
        <v>0</v>
      </c>
      <c r="Z174" s="63">
        <f t="shared" si="78"/>
        <v>0</v>
      </c>
      <c r="AA174" s="65">
        <f>SUM(G174:Z174)</f>
        <v>0</v>
      </c>
      <c r="AB174" s="59" t="str">
        <f>IF(ABS(F174-AA174)&lt;0.01,"ok","err")</f>
        <v>ok</v>
      </c>
    </row>
    <row r="175" spans="1:28" x14ac:dyDescent="0.25">
      <c r="F175" s="80"/>
    </row>
    <row r="176" spans="1:28" x14ac:dyDescent="0.25">
      <c r="A176" s="61" t="s">
        <v>944</v>
      </c>
      <c r="D176" s="61" t="s">
        <v>1127</v>
      </c>
      <c r="F176" s="77">
        <f>F131+F137+F140+F143+F151+F156+F159+F162+F165+F168+F171+F174</f>
        <v>2250031689.5289073</v>
      </c>
      <c r="G176" s="77">
        <f t="shared" ref="G176:Z176" si="79">G131+G137+G140+G143+G151+G156+G159+G162+G165+G168+G171+G174</f>
        <v>1225741672.3782828</v>
      </c>
      <c r="H176" s="77">
        <f t="shared" si="79"/>
        <v>272051302.68880898</v>
      </c>
      <c r="I176" s="77">
        <f t="shared" si="79"/>
        <v>0</v>
      </c>
      <c r="J176" s="77">
        <f t="shared" si="79"/>
        <v>20130039.304534759</v>
      </c>
      <c r="K176" s="77">
        <f t="shared" si="79"/>
        <v>260999577.51330796</v>
      </c>
      <c r="L176" s="77">
        <f t="shared" si="79"/>
        <v>0</v>
      </c>
      <c r="M176" s="77">
        <f t="shared" si="79"/>
        <v>0</v>
      </c>
      <c r="N176" s="77">
        <f t="shared" si="79"/>
        <v>211458478.97557414</v>
      </c>
      <c r="O176" s="77">
        <f>O131+O137+O140+O143+O151+O156+O159+O162+O165+O168+O171+O174</f>
        <v>128875799.74577057</v>
      </c>
      <c r="P176" s="77">
        <f t="shared" si="79"/>
        <v>46217422.218736798</v>
      </c>
      <c r="Q176" s="77">
        <f t="shared" si="79"/>
        <v>11105016.673919467</v>
      </c>
      <c r="R176" s="77">
        <f t="shared" si="79"/>
        <v>6961566.9375586044</v>
      </c>
      <c r="S176" s="77">
        <f t="shared" si="79"/>
        <v>65992175.425948963</v>
      </c>
      <c r="T176" s="77">
        <f t="shared" si="79"/>
        <v>129178.36717412261</v>
      </c>
      <c r="U176" s="77">
        <f t="shared" si="79"/>
        <v>369459.29929092026</v>
      </c>
      <c r="V176" s="77">
        <f t="shared" si="79"/>
        <v>0</v>
      </c>
      <c r="W176" s="77">
        <f t="shared" si="79"/>
        <v>0</v>
      </c>
      <c r="X176" s="63">
        <f t="shared" si="79"/>
        <v>0</v>
      </c>
      <c r="Y176" s="63">
        <f t="shared" si="79"/>
        <v>0</v>
      </c>
      <c r="Z176" s="63">
        <f t="shared" si="79"/>
        <v>0</v>
      </c>
      <c r="AA176" s="65">
        <f>SUM(G176:Z176)</f>
        <v>2250031689.5289083</v>
      </c>
      <c r="AB176" s="59" t="str">
        <f>IF(ABS(F176-AA176)&lt;0.01,"ok","err")</f>
        <v>ok</v>
      </c>
    </row>
    <row r="179" spans="1:28" x14ac:dyDescent="0.25">
      <c r="A179" s="66" t="s">
        <v>997</v>
      </c>
    </row>
    <row r="181" spans="1:28" x14ac:dyDescent="0.25">
      <c r="A181" s="66" t="s">
        <v>369</v>
      </c>
    </row>
    <row r="182" spans="1:28" x14ac:dyDescent="0.25">
      <c r="A182" s="69" t="s">
        <v>361</v>
      </c>
      <c r="C182" s="61" t="s">
        <v>1091</v>
      </c>
      <c r="D182" s="61" t="s">
        <v>455</v>
      </c>
      <c r="E182" s="61" t="s">
        <v>1399</v>
      </c>
      <c r="F182" s="77">
        <f>VLOOKUP(C182,'Functional Assignment'!$C$2:$AP$778,'Functional Assignment'!$H$2,)</f>
        <v>38923063.964036517</v>
      </c>
      <c r="G182" s="77">
        <f t="shared" ref="G182:P187" si="80">IF(VLOOKUP($E182,$D$6:$AN$1141,3,)=0,0,(VLOOKUP($E182,$D$6:$AN$1141,G$2,)/VLOOKUP($E182,$D$6:$AN$1141,3,))*$F182)</f>
        <v>19432662.534494992</v>
      </c>
      <c r="H182" s="77">
        <f t="shared" si="80"/>
        <v>4816745.9832188627</v>
      </c>
      <c r="I182" s="77">
        <f t="shared" si="80"/>
        <v>0</v>
      </c>
      <c r="J182" s="77">
        <f t="shared" si="80"/>
        <v>435027.26233231038</v>
      </c>
      <c r="K182" s="77">
        <f t="shared" si="80"/>
        <v>5532269.9055409497</v>
      </c>
      <c r="L182" s="77">
        <f t="shared" si="80"/>
        <v>0</v>
      </c>
      <c r="M182" s="77">
        <f t="shared" si="80"/>
        <v>0</v>
      </c>
      <c r="N182" s="77">
        <f t="shared" si="80"/>
        <v>4492292.2596251061</v>
      </c>
      <c r="O182" s="77">
        <f t="shared" si="80"/>
        <v>2741469.4554739865</v>
      </c>
      <c r="P182" s="77">
        <f t="shared" si="80"/>
        <v>1083900.5331806249</v>
      </c>
      <c r="Q182" s="77">
        <f t="shared" ref="Q182:Z187" si="81">IF(VLOOKUP($E182,$D$6:$AN$1141,3,)=0,0,(VLOOKUP($E182,$D$6:$AN$1141,Q$2,)/VLOOKUP($E182,$D$6:$AN$1141,3,))*$F182)</f>
        <v>232139.79033250548</v>
      </c>
      <c r="R182" s="77">
        <f t="shared" si="81"/>
        <v>151261.41300375632</v>
      </c>
      <c r="S182" s="77">
        <f t="shared" si="81"/>
        <v>0</v>
      </c>
      <c r="T182" s="77">
        <f t="shared" si="81"/>
        <v>0</v>
      </c>
      <c r="U182" s="77">
        <f t="shared" si="81"/>
        <v>5294.8268334296172</v>
      </c>
      <c r="V182" s="77">
        <f t="shared" si="81"/>
        <v>0</v>
      </c>
      <c r="W182" s="77">
        <f t="shared" si="81"/>
        <v>0</v>
      </c>
      <c r="X182" s="63">
        <f t="shared" si="81"/>
        <v>0</v>
      </c>
      <c r="Y182" s="63">
        <f t="shared" si="81"/>
        <v>0</v>
      </c>
      <c r="Z182" s="63">
        <f t="shared" si="81"/>
        <v>0</v>
      </c>
      <c r="AA182" s="65">
        <f t="shared" ref="AA182:AA188" si="82">SUM(G182:Z182)</f>
        <v>38923063.964036524</v>
      </c>
      <c r="AB182" s="59" t="str">
        <f t="shared" ref="AB182:AB188" si="83">IF(ABS(F182-AA182)&lt;0.01,"ok","err")</f>
        <v>ok</v>
      </c>
    </row>
    <row r="183" spans="1:28" x14ac:dyDescent="0.25">
      <c r="A183" s="69" t="s">
        <v>1285</v>
      </c>
      <c r="C183" s="61" t="s">
        <v>1091</v>
      </c>
      <c r="D183" s="61" t="s">
        <v>456</v>
      </c>
      <c r="E183" s="61" t="s">
        <v>1399</v>
      </c>
      <c r="F183" s="80">
        <f>VLOOKUP(C183,'Functional Assignment'!$C$2:$AP$778,'Functional Assignment'!$I$2,)</f>
        <v>37929127.904174156</v>
      </c>
      <c r="G183" s="80">
        <f t="shared" si="80"/>
        <v>18936431.712327011</v>
      </c>
      <c r="H183" s="80">
        <f t="shared" si="80"/>
        <v>4693745.9663563175</v>
      </c>
      <c r="I183" s="80">
        <f t="shared" si="80"/>
        <v>0</v>
      </c>
      <c r="J183" s="80">
        <f t="shared" si="80"/>
        <v>423918.44306117599</v>
      </c>
      <c r="K183" s="80">
        <f t="shared" si="80"/>
        <v>5390998.330489995</v>
      </c>
      <c r="L183" s="80">
        <f t="shared" si="80"/>
        <v>0</v>
      </c>
      <c r="M183" s="80">
        <f t="shared" si="80"/>
        <v>0</v>
      </c>
      <c r="N183" s="80">
        <f t="shared" si="80"/>
        <v>4377577.4655275112</v>
      </c>
      <c r="O183" s="80">
        <f t="shared" si="80"/>
        <v>2671463.5239953012</v>
      </c>
      <c r="P183" s="80">
        <f t="shared" si="80"/>
        <v>1056222.1411036891</v>
      </c>
      <c r="Q183" s="80">
        <f t="shared" si="81"/>
        <v>226211.8883370831</v>
      </c>
      <c r="R183" s="80">
        <f t="shared" si="81"/>
        <v>147398.81439155355</v>
      </c>
      <c r="S183" s="80">
        <f t="shared" si="81"/>
        <v>0</v>
      </c>
      <c r="T183" s="80">
        <f t="shared" si="81"/>
        <v>0</v>
      </c>
      <c r="U183" s="80">
        <f t="shared" si="81"/>
        <v>5159.618584527756</v>
      </c>
      <c r="V183" s="80">
        <f t="shared" si="81"/>
        <v>0</v>
      </c>
      <c r="W183" s="80">
        <f t="shared" si="81"/>
        <v>0</v>
      </c>
      <c r="X183" s="64">
        <f t="shared" si="81"/>
        <v>0</v>
      </c>
      <c r="Y183" s="64">
        <f t="shared" si="81"/>
        <v>0</v>
      </c>
      <c r="Z183" s="64">
        <f t="shared" si="81"/>
        <v>0</v>
      </c>
      <c r="AA183" s="64">
        <f t="shared" si="82"/>
        <v>37929127.904174171</v>
      </c>
      <c r="AB183" s="59" t="str">
        <f t="shared" si="83"/>
        <v>ok</v>
      </c>
    </row>
    <row r="184" spans="1:28" x14ac:dyDescent="0.25">
      <c r="A184" s="69" t="s">
        <v>1286</v>
      </c>
      <c r="C184" s="61" t="s">
        <v>1091</v>
      </c>
      <c r="D184" s="61" t="s">
        <v>457</v>
      </c>
      <c r="E184" s="61" t="s">
        <v>1399</v>
      </c>
      <c r="F184" s="80">
        <f>VLOOKUP(C184,'Functional Assignment'!$C$2:$AP$778,'Functional Assignment'!$J$2,)</f>
        <v>34388610.947080187</v>
      </c>
      <c r="G184" s="80">
        <f t="shared" si="80"/>
        <v>17168799.254398353</v>
      </c>
      <c r="H184" s="80">
        <f t="shared" si="80"/>
        <v>4255605.4631483043</v>
      </c>
      <c r="I184" s="80">
        <f t="shared" si="80"/>
        <v>0</v>
      </c>
      <c r="J184" s="80">
        <f t="shared" si="80"/>
        <v>384347.52437633608</v>
      </c>
      <c r="K184" s="80">
        <f t="shared" si="80"/>
        <v>4887772.3914969563</v>
      </c>
      <c r="L184" s="80">
        <f t="shared" si="80"/>
        <v>0</v>
      </c>
      <c r="M184" s="80">
        <f t="shared" si="80"/>
        <v>0</v>
      </c>
      <c r="N184" s="80">
        <f t="shared" si="80"/>
        <v>3968949.8986915518</v>
      </c>
      <c r="O184" s="80">
        <f t="shared" si="80"/>
        <v>2422094.1756976182</v>
      </c>
      <c r="P184" s="80">
        <f t="shared" si="80"/>
        <v>957628.45842046116</v>
      </c>
      <c r="Q184" s="80">
        <f t="shared" si="81"/>
        <v>205096.00535192358</v>
      </c>
      <c r="R184" s="80">
        <f t="shared" si="81"/>
        <v>133639.78457343296</v>
      </c>
      <c r="S184" s="80">
        <f t="shared" si="81"/>
        <v>0</v>
      </c>
      <c r="T184" s="80">
        <f t="shared" si="81"/>
        <v>0</v>
      </c>
      <c r="U184" s="80">
        <f t="shared" si="81"/>
        <v>4677.9909252572852</v>
      </c>
      <c r="V184" s="80">
        <f t="shared" si="81"/>
        <v>0</v>
      </c>
      <c r="W184" s="80">
        <f t="shared" si="81"/>
        <v>0</v>
      </c>
      <c r="X184" s="64">
        <f t="shared" si="81"/>
        <v>0</v>
      </c>
      <c r="Y184" s="64">
        <f t="shared" si="81"/>
        <v>0</v>
      </c>
      <c r="Z184" s="64">
        <f t="shared" si="81"/>
        <v>0</v>
      </c>
      <c r="AA184" s="64">
        <f t="shared" si="82"/>
        <v>34388610.947080202</v>
      </c>
      <c r="AB184" s="59" t="str">
        <f t="shared" si="83"/>
        <v>ok</v>
      </c>
    </row>
    <row r="185" spans="1:28" x14ac:dyDescent="0.25">
      <c r="A185" s="69" t="s">
        <v>1287</v>
      </c>
      <c r="C185" s="61" t="s">
        <v>1091</v>
      </c>
      <c r="D185" s="61" t="s">
        <v>458</v>
      </c>
      <c r="E185" s="61" t="s">
        <v>1114</v>
      </c>
      <c r="F185" s="80">
        <f>VLOOKUP(C185,'Functional Assignment'!$C$2:$AP$778,'Functional Assignment'!$K$2,)</f>
        <v>476121957.27249932</v>
      </c>
      <c r="G185" s="80">
        <f t="shared" si="80"/>
        <v>169971473.14394507</v>
      </c>
      <c r="H185" s="80">
        <f t="shared" si="80"/>
        <v>55163170.140123792</v>
      </c>
      <c r="I185" s="80">
        <f t="shared" si="80"/>
        <v>0</v>
      </c>
      <c r="J185" s="80">
        <f t="shared" si="80"/>
        <v>6352889.0232039504</v>
      </c>
      <c r="K185" s="80">
        <f t="shared" si="80"/>
        <v>78309371.762317881</v>
      </c>
      <c r="L185" s="80">
        <f t="shared" si="80"/>
        <v>0</v>
      </c>
      <c r="M185" s="80">
        <f t="shared" si="80"/>
        <v>0</v>
      </c>
      <c r="N185" s="80">
        <f t="shared" si="80"/>
        <v>79654398.277340144</v>
      </c>
      <c r="O185" s="80">
        <f t="shared" si="80"/>
        <v>41443076.689199574</v>
      </c>
      <c r="P185" s="80">
        <f t="shared" si="80"/>
        <v>33533120.388859238</v>
      </c>
      <c r="Q185" s="80">
        <f t="shared" si="81"/>
        <v>4283706.7812842689</v>
      </c>
      <c r="R185" s="80">
        <f t="shared" si="81"/>
        <v>2244570.8272114564</v>
      </c>
      <c r="S185" s="80">
        <f t="shared" si="81"/>
        <v>4905411.6043283595</v>
      </c>
      <c r="T185" s="80">
        <f t="shared" si="81"/>
        <v>137136.39901623101</v>
      </c>
      <c r="U185" s="80">
        <f t="shared" si="81"/>
        <v>123632.23566935783</v>
      </c>
      <c r="V185" s="80">
        <f t="shared" si="81"/>
        <v>0</v>
      </c>
      <c r="W185" s="80">
        <f t="shared" si="81"/>
        <v>0</v>
      </c>
      <c r="X185" s="64">
        <f t="shared" si="81"/>
        <v>0</v>
      </c>
      <c r="Y185" s="64">
        <f t="shared" si="81"/>
        <v>0</v>
      </c>
      <c r="Z185" s="64">
        <f t="shared" si="81"/>
        <v>0</v>
      </c>
      <c r="AA185" s="64">
        <f t="shared" si="82"/>
        <v>476121957.27249926</v>
      </c>
      <c r="AB185" s="59" t="str">
        <f t="shared" si="83"/>
        <v>ok</v>
      </c>
    </row>
    <row r="186" spans="1:28" x14ac:dyDescent="0.25">
      <c r="A186" s="69" t="s">
        <v>1288</v>
      </c>
      <c r="C186" s="61" t="s">
        <v>1091</v>
      </c>
      <c r="D186" s="61" t="s">
        <v>459</v>
      </c>
      <c r="E186" s="61" t="s">
        <v>1114</v>
      </c>
      <c r="F186" s="80">
        <f>VLOOKUP(C186,'Functional Assignment'!$C$2:$AP$778,'Functional Assignment'!$L$2,)</f>
        <v>0</v>
      </c>
      <c r="G186" s="80">
        <f t="shared" si="80"/>
        <v>0</v>
      </c>
      <c r="H186" s="80">
        <f t="shared" si="80"/>
        <v>0</v>
      </c>
      <c r="I186" s="80">
        <f t="shared" si="80"/>
        <v>0</v>
      </c>
      <c r="J186" s="80">
        <f t="shared" si="80"/>
        <v>0</v>
      </c>
      <c r="K186" s="80">
        <f t="shared" si="80"/>
        <v>0</v>
      </c>
      <c r="L186" s="80">
        <f t="shared" si="80"/>
        <v>0</v>
      </c>
      <c r="M186" s="80">
        <f t="shared" si="80"/>
        <v>0</v>
      </c>
      <c r="N186" s="80">
        <f t="shared" si="80"/>
        <v>0</v>
      </c>
      <c r="O186" s="80">
        <f t="shared" si="80"/>
        <v>0</v>
      </c>
      <c r="P186" s="80">
        <f t="shared" si="80"/>
        <v>0</v>
      </c>
      <c r="Q186" s="80">
        <f t="shared" si="81"/>
        <v>0</v>
      </c>
      <c r="R186" s="80">
        <f t="shared" si="81"/>
        <v>0</v>
      </c>
      <c r="S186" s="80">
        <f t="shared" si="81"/>
        <v>0</v>
      </c>
      <c r="T186" s="80">
        <f t="shared" si="81"/>
        <v>0</v>
      </c>
      <c r="U186" s="80">
        <f t="shared" si="81"/>
        <v>0</v>
      </c>
      <c r="V186" s="80">
        <f t="shared" si="81"/>
        <v>0</v>
      </c>
      <c r="W186" s="80">
        <f t="shared" si="81"/>
        <v>0</v>
      </c>
      <c r="X186" s="64">
        <f t="shared" si="81"/>
        <v>0</v>
      </c>
      <c r="Y186" s="64">
        <f t="shared" si="81"/>
        <v>0</v>
      </c>
      <c r="Z186" s="64">
        <f t="shared" si="81"/>
        <v>0</v>
      </c>
      <c r="AA186" s="64">
        <f t="shared" si="82"/>
        <v>0</v>
      </c>
      <c r="AB186" s="59" t="str">
        <f t="shared" si="83"/>
        <v>ok</v>
      </c>
    </row>
    <row r="187" spans="1:28" x14ac:dyDescent="0.25">
      <c r="A187" s="69" t="s">
        <v>1288</v>
      </c>
      <c r="C187" s="61" t="s">
        <v>1091</v>
      </c>
      <c r="D187" s="61" t="s">
        <v>460</v>
      </c>
      <c r="E187" s="61" t="s">
        <v>1114</v>
      </c>
      <c r="F187" s="80">
        <f>VLOOKUP(C187,'Functional Assignment'!$C$2:$AP$778,'Functional Assignment'!$M$2,)</f>
        <v>0</v>
      </c>
      <c r="G187" s="80">
        <f t="shared" si="80"/>
        <v>0</v>
      </c>
      <c r="H187" s="80">
        <f t="shared" si="80"/>
        <v>0</v>
      </c>
      <c r="I187" s="80">
        <f t="shared" si="80"/>
        <v>0</v>
      </c>
      <c r="J187" s="80">
        <f t="shared" si="80"/>
        <v>0</v>
      </c>
      <c r="K187" s="80">
        <f t="shared" si="80"/>
        <v>0</v>
      </c>
      <c r="L187" s="80">
        <f t="shared" si="80"/>
        <v>0</v>
      </c>
      <c r="M187" s="80">
        <f t="shared" si="80"/>
        <v>0</v>
      </c>
      <c r="N187" s="80">
        <f t="shared" si="80"/>
        <v>0</v>
      </c>
      <c r="O187" s="80">
        <f t="shared" si="80"/>
        <v>0</v>
      </c>
      <c r="P187" s="80">
        <f t="shared" si="80"/>
        <v>0</v>
      </c>
      <c r="Q187" s="80">
        <f t="shared" si="81"/>
        <v>0</v>
      </c>
      <c r="R187" s="80">
        <f t="shared" si="81"/>
        <v>0</v>
      </c>
      <c r="S187" s="80">
        <f t="shared" si="81"/>
        <v>0</v>
      </c>
      <c r="T187" s="80">
        <f t="shared" si="81"/>
        <v>0</v>
      </c>
      <c r="U187" s="80">
        <f t="shared" si="81"/>
        <v>0</v>
      </c>
      <c r="V187" s="80">
        <f t="shared" si="81"/>
        <v>0</v>
      </c>
      <c r="W187" s="80">
        <f t="shared" si="81"/>
        <v>0</v>
      </c>
      <c r="X187" s="64">
        <f t="shared" si="81"/>
        <v>0</v>
      </c>
      <c r="Y187" s="64">
        <f t="shared" si="81"/>
        <v>0</v>
      </c>
      <c r="Z187" s="64">
        <f t="shared" si="81"/>
        <v>0</v>
      </c>
      <c r="AA187" s="64">
        <f t="shared" si="82"/>
        <v>0</v>
      </c>
      <c r="AB187" s="59" t="str">
        <f t="shared" si="83"/>
        <v>ok</v>
      </c>
    </row>
    <row r="188" spans="1:28" x14ac:dyDescent="0.25">
      <c r="A188" s="61" t="s">
        <v>392</v>
      </c>
      <c r="D188" s="61" t="s">
        <v>1128</v>
      </c>
      <c r="F188" s="77">
        <f>SUM(F182:F187)</f>
        <v>587362760.08779025</v>
      </c>
      <c r="G188" s="77">
        <f t="shared" ref="G188:P188" si="84">SUM(G182:G187)</f>
        <v>225509366.64516541</v>
      </c>
      <c r="H188" s="77">
        <f t="shared" si="84"/>
        <v>68929267.552847281</v>
      </c>
      <c r="I188" s="77">
        <f t="shared" si="84"/>
        <v>0</v>
      </c>
      <c r="J188" s="77">
        <f t="shared" si="84"/>
        <v>7596182.2529737726</v>
      </c>
      <c r="K188" s="77">
        <f t="shared" si="84"/>
        <v>94120412.389845788</v>
      </c>
      <c r="L188" s="77">
        <f t="shared" si="84"/>
        <v>0</v>
      </c>
      <c r="M188" s="77">
        <f t="shared" si="84"/>
        <v>0</v>
      </c>
      <c r="N188" s="77">
        <f t="shared" si="84"/>
        <v>92493217.90118432</v>
      </c>
      <c r="O188" s="77">
        <f>SUM(O182:O187)</f>
        <v>49278103.844366483</v>
      </c>
      <c r="P188" s="77">
        <f t="shared" si="84"/>
        <v>36630871.521564014</v>
      </c>
      <c r="Q188" s="77">
        <f t="shared" ref="Q188:W188" si="85">SUM(Q182:Q187)</f>
        <v>4947154.465305781</v>
      </c>
      <c r="R188" s="77">
        <f t="shared" si="85"/>
        <v>2676870.8391801994</v>
      </c>
      <c r="S188" s="77">
        <f t="shared" si="85"/>
        <v>4905411.6043283595</v>
      </c>
      <c r="T188" s="77">
        <f t="shared" si="85"/>
        <v>137136.39901623101</v>
      </c>
      <c r="U188" s="77">
        <f t="shared" si="85"/>
        <v>138764.6720125725</v>
      </c>
      <c r="V188" s="77">
        <f t="shared" si="85"/>
        <v>0</v>
      </c>
      <c r="W188" s="77">
        <f t="shared" si="85"/>
        <v>0</v>
      </c>
      <c r="X188" s="63">
        <f>SUM(X182:X187)</f>
        <v>0</v>
      </c>
      <c r="Y188" s="63">
        <f>SUM(Y182:Y187)</f>
        <v>0</v>
      </c>
      <c r="Z188" s="63">
        <f>SUM(Z182:Z187)</f>
        <v>0</v>
      </c>
      <c r="AA188" s="65">
        <f t="shared" si="82"/>
        <v>587362760.08779037</v>
      </c>
      <c r="AB188" s="59" t="str">
        <f t="shared" si="83"/>
        <v>ok</v>
      </c>
    </row>
    <row r="189" spans="1:28" x14ac:dyDescent="0.25">
      <c r="F189" s="80"/>
      <c r="G189" s="80"/>
    </row>
    <row r="190" spans="1:28" x14ac:dyDescent="0.25">
      <c r="A190" s="66" t="s">
        <v>1154</v>
      </c>
      <c r="F190" s="80"/>
      <c r="G190" s="80"/>
    </row>
    <row r="191" spans="1:28" x14ac:dyDescent="0.25">
      <c r="A191" s="69" t="s">
        <v>362</v>
      </c>
      <c r="C191" s="61" t="s">
        <v>1091</v>
      </c>
      <c r="D191" s="61" t="s">
        <v>461</v>
      </c>
      <c r="E191" s="61" t="s">
        <v>1399</v>
      </c>
      <c r="F191" s="77">
        <f>VLOOKUP(C191,'Functional Assignment'!$C$2:$AP$778,'Functional Assignment'!$N$2,)</f>
        <v>7323885.2915523779</v>
      </c>
      <c r="G191" s="77">
        <f t="shared" ref="G191:P193" si="86">IF(VLOOKUP($E191,$D$6:$AN$1141,3,)=0,0,(VLOOKUP($E191,$D$6:$AN$1141,G$2,)/VLOOKUP($E191,$D$6:$AN$1141,3,))*$F191)</f>
        <v>3656510.4803565745</v>
      </c>
      <c r="H191" s="77">
        <f t="shared" si="86"/>
        <v>906333.96929480042</v>
      </c>
      <c r="I191" s="77">
        <f t="shared" si="86"/>
        <v>0</v>
      </c>
      <c r="J191" s="77">
        <f t="shared" si="86"/>
        <v>81856.088486860535</v>
      </c>
      <c r="K191" s="77">
        <f t="shared" si="86"/>
        <v>1040969.1854558546</v>
      </c>
      <c r="L191" s="77">
        <f t="shared" si="86"/>
        <v>0</v>
      </c>
      <c r="M191" s="77">
        <f t="shared" si="86"/>
        <v>0</v>
      </c>
      <c r="N191" s="77">
        <f t="shared" si="86"/>
        <v>845283.74323311902</v>
      </c>
      <c r="O191" s="77">
        <f t="shared" si="86"/>
        <v>515843.45571400964</v>
      </c>
      <c r="P191" s="77">
        <f t="shared" si="86"/>
        <v>203950.10988349008</v>
      </c>
      <c r="Q191" s="77">
        <f t="shared" ref="Q191:Z193" si="87">IF(VLOOKUP($E191,$D$6:$AN$1141,3,)=0,0,(VLOOKUP($E191,$D$6:$AN$1141,Q$2,)/VLOOKUP($E191,$D$6:$AN$1141,3,))*$F191)</f>
        <v>43680.148036937178</v>
      </c>
      <c r="R191" s="77">
        <f t="shared" si="87"/>
        <v>28461.819935378844</v>
      </c>
      <c r="S191" s="77">
        <f t="shared" si="87"/>
        <v>0</v>
      </c>
      <c r="T191" s="77">
        <f t="shared" si="87"/>
        <v>0</v>
      </c>
      <c r="U191" s="77">
        <f t="shared" si="87"/>
        <v>996.29115535462802</v>
      </c>
      <c r="V191" s="77">
        <f t="shared" si="87"/>
        <v>0</v>
      </c>
      <c r="W191" s="77">
        <f t="shared" si="87"/>
        <v>0</v>
      </c>
      <c r="X191" s="63">
        <f t="shared" si="87"/>
        <v>0</v>
      </c>
      <c r="Y191" s="63">
        <f t="shared" si="87"/>
        <v>0</v>
      </c>
      <c r="Z191" s="63">
        <f t="shared" si="87"/>
        <v>0</v>
      </c>
      <c r="AA191" s="65">
        <f>SUM(G191:Z191)</f>
        <v>7323885.2915523807</v>
      </c>
      <c r="AB191" s="59" t="str">
        <f>IF(ABS(F191-AA191)&lt;0.01,"ok","err")</f>
        <v>ok</v>
      </c>
    </row>
    <row r="192" spans="1:28" x14ac:dyDescent="0.25">
      <c r="A192" s="69" t="s">
        <v>364</v>
      </c>
      <c r="C192" s="61" t="s">
        <v>1091</v>
      </c>
      <c r="D192" s="61" t="s">
        <v>462</v>
      </c>
      <c r="E192" s="61" t="s">
        <v>1399</v>
      </c>
      <c r="F192" s="80">
        <f>VLOOKUP(C192,'Functional Assignment'!$C$2:$AP$778,'Functional Assignment'!$O$2,)</f>
        <v>7136863.1779722273</v>
      </c>
      <c r="G192" s="80">
        <f t="shared" si="86"/>
        <v>3563138.1388818882</v>
      </c>
      <c r="H192" s="80">
        <f t="shared" si="86"/>
        <v>883189.90193174197</v>
      </c>
      <c r="I192" s="80">
        <f t="shared" si="86"/>
        <v>0</v>
      </c>
      <c r="J192" s="80">
        <f t="shared" si="86"/>
        <v>79765.818354438568</v>
      </c>
      <c r="K192" s="80">
        <f t="shared" si="86"/>
        <v>1014387.0846329052</v>
      </c>
      <c r="L192" s="80">
        <f t="shared" si="86"/>
        <v>0</v>
      </c>
      <c r="M192" s="80">
        <f t="shared" si="86"/>
        <v>0</v>
      </c>
      <c r="N192" s="80">
        <f t="shared" si="86"/>
        <v>823698.64926438336</v>
      </c>
      <c r="O192" s="80">
        <f t="shared" si="86"/>
        <v>502670.92098365288</v>
      </c>
      <c r="P192" s="80">
        <f t="shared" si="86"/>
        <v>198742.05717691506</v>
      </c>
      <c r="Q192" s="80">
        <f t="shared" si="87"/>
        <v>42564.735481693526</v>
      </c>
      <c r="R192" s="80">
        <f t="shared" si="87"/>
        <v>27735.021315691021</v>
      </c>
      <c r="S192" s="80">
        <f t="shared" si="87"/>
        <v>0</v>
      </c>
      <c r="T192" s="80">
        <f t="shared" si="87"/>
        <v>0</v>
      </c>
      <c r="U192" s="80">
        <f t="shared" si="87"/>
        <v>970.84994891867382</v>
      </c>
      <c r="V192" s="80">
        <f t="shared" si="87"/>
        <v>0</v>
      </c>
      <c r="W192" s="80">
        <f t="shared" si="87"/>
        <v>0</v>
      </c>
      <c r="X192" s="64">
        <f t="shared" si="87"/>
        <v>0</v>
      </c>
      <c r="Y192" s="64">
        <f t="shared" si="87"/>
        <v>0</v>
      </c>
      <c r="Z192" s="64">
        <f t="shared" si="87"/>
        <v>0</v>
      </c>
      <c r="AA192" s="64">
        <f>SUM(G192:Z192)</f>
        <v>7136863.1779722283</v>
      </c>
      <c r="AB192" s="59" t="str">
        <f>IF(ABS(F192-AA192)&lt;0.01,"ok","err")</f>
        <v>ok</v>
      </c>
    </row>
    <row r="193" spans="1:28" x14ac:dyDescent="0.25">
      <c r="A193" s="69" t="s">
        <v>363</v>
      </c>
      <c r="C193" s="61" t="s">
        <v>1091</v>
      </c>
      <c r="D193" s="61" t="s">
        <v>463</v>
      </c>
      <c r="E193" s="61" t="s">
        <v>1399</v>
      </c>
      <c r="F193" s="80">
        <f>VLOOKUP(C193,'Functional Assignment'!$C$2:$AP$778,'Functional Assignment'!$P$2,)</f>
        <v>6470668.4485308118</v>
      </c>
      <c r="G193" s="80">
        <f t="shared" si="86"/>
        <v>3230534.894403093</v>
      </c>
      <c r="H193" s="80">
        <f t="shared" si="86"/>
        <v>800748.01631751051</v>
      </c>
      <c r="I193" s="80">
        <f t="shared" si="86"/>
        <v>0</v>
      </c>
      <c r="J193" s="80">
        <f t="shared" si="86"/>
        <v>72320.030695047477</v>
      </c>
      <c r="K193" s="80">
        <f t="shared" si="86"/>
        <v>919698.52012719028</v>
      </c>
      <c r="L193" s="80">
        <f t="shared" si="86"/>
        <v>0</v>
      </c>
      <c r="M193" s="80">
        <f t="shared" si="86"/>
        <v>0</v>
      </c>
      <c r="N193" s="80">
        <f t="shared" si="86"/>
        <v>746810.0099414899</v>
      </c>
      <c r="O193" s="80">
        <f t="shared" si="86"/>
        <v>455748.80550351291</v>
      </c>
      <c r="P193" s="80">
        <f t="shared" si="86"/>
        <v>180190.36188615233</v>
      </c>
      <c r="Q193" s="80">
        <f t="shared" si="87"/>
        <v>38591.504983805644</v>
      </c>
      <c r="R193" s="80">
        <f t="shared" si="87"/>
        <v>25146.079288823068</v>
      </c>
      <c r="S193" s="80">
        <f t="shared" si="87"/>
        <v>0</v>
      </c>
      <c r="T193" s="80">
        <f t="shared" si="87"/>
        <v>0</v>
      </c>
      <c r="U193" s="80">
        <f t="shared" si="87"/>
        <v>880.2253841877224</v>
      </c>
      <c r="V193" s="80">
        <f t="shared" si="87"/>
        <v>0</v>
      </c>
      <c r="W193" s="80">
        <f t="shared" si="87"/>
        <v>0</v>
      </c>
      <c r="X193" s="64">
        <f t="shared" si="87"/>
        <v>0</v>
      </c>
      <c r="Y193" s="64">
        <f t="shared" si="87"/>
        <v>0</v>
      </c>
      <c r="Z193" s="64">
        <f t="shared" si="87"/>
        <v>0</v>
      </c>
      <c r="AA193" s="64">
        <f>SUM(G193:Z193)</f>
        <v>6470668.4485308137</v>
      </c>
      <c r="AB193" s="59" t="str">
        <f>IF(ABS(F193-AA193)&lt;0.01,"ok","err")</f>
        <v>ok</v>
      </c>
    </row>
    <row r="194" spans="1:28" x14ac:dyDescent="0.25">
      <c r="A194" s="61" t="s">
        <v>1156</v>
      </c>
      <c r="D194" s="61" t="s">
        <v>464</v>
      </c>
      <c r="F194" s="77">
        <f>SUM(F191:F193)</f>
        <v>20931416.918055415</v>
      </c>
      <c r="G194" s="77">
        <f t="shared" ref="G194:W194" si="88">SUM(G191:G193)</f>
        <v>10450183.513641555</v>
      </c>
      <c r="H194" s="77">
        <f t="shared" si="88"/>
        <v>2590271.8875440527</v>
      </c>
      <c r="I194" s="77">
        <f t="shared" si="88"/>
        <v>0</v>
      </c>
      <c r="J194" s="77">
        <f t="shared" si="88"/>
        <v>233941.93753634655</v>
      </c>
      <c r="K194" s="77">
        <f t="shared" si="88"/>
        <v>2975054.79021595</v>
      </c>
      <c r="L194" s="77">
        <f t="shared" si="88"/>
        <v>0</v>
      </c>
      <c r="M194" s="77">
        <f t="shared" si="88"/>
        <v>0</v>
      </c>
      <c r="N194" s="77">
        <f t="shared" si="88"/>
        <v>2415792.4024389922</v>
      </c>
      <c r="O194" s="77">
        <f>SUM(O191:O193)</f>
        <v>1474263.1822011755</v>
      </c>
      <c r="P194" s="77">
        <f t="shared" si="88"/>
        <v>582882.52894655743</v>
      </c>
      <c r="Q194" s="77">
        <f t="shared" si="88"/>
        <v>124836.38850243634</v>
      </c>
      <c r="R194" s="77">
        <f t="shared" si="88"/>
        <v>81342.920539892933</v>
      </c>
      <c r="S194" s="77">
        <f t="shared" si="88"/>
        <v>0</v>
      </c>
      <c r="T194" s="77">
        <f t="shared" si="88"/>
        <v>0</v>
      </c>
      <c r="U194" s="77">
        <f t="shared" si="88"/>
        <v>2847.3664884610243</v>
      </c>
      <c r="V194" s="77">
        <f t="shared" si="88"/>
        <v>0</v>
      </c>
      <c r="W194" s="77">
        <f t="shared" si="88"/>
        <v>0</v>
      </c>
      <c r="X194" s="63">
        <f>SUM(X191:X193)</f>
        <v>0</v>
      </c>
      <c r="Y194" s="63">
        <f>SUM(Y191:Y193)</f>
        <v>0</v>
      </c>
      <c r="Z194" s="63">
        <f>SUM(Z191:Z193)</f>
        <v>0</v>
      </c>
      <c r="AA194" s="65">
        <f>SUM(G194:Z194)</f>
        <v>20931416.918055419</v>
      </c>
      <c r="AB194" s="59" t="str">
        <f>IF(ABS(F194-AA194)&lt;0.01,"ok","err")</f>
        <v>ok</v>
      </c>
    </row>
    <row r="195" spans="1:28" x14ac:dyDescent="0.25">
      <c r="F195" s="80"/>
      <c r="G195" s="80"/>
    </row>
    <row r="196" spans="1:28" x14ac:dyDescent="0.25">
      <c r="A196" s="66" t="s">
        <v>350</v>
      </c>
      <c r="F196" s="80"/>
      <c r="G196" s="80"/>
    </row>
    <row r="197" spans="1:28" x14ac:dyDescent="0.25">
      <c r="A197" s="69" t="s">
        <v>377</v>
      </c>
      <c r="C197" s="61" t="s">
        <v>1091</v>
      </c>
      <c r="D197" s="61" t="s">
        <v>465</v>
      </c>
      <c r="E197" s="61" t="s">
        <v>133</v>
      </c>
      <c r="F197" s="77">
        <f>VLOOKUP(C197,'Functional Assignment'!$C$2:$AP$778,'Functional Assignment'!$Q$2,)</f>
        <v>0</v>
      </c>
      <c r="G197" s="77">
        <f t="shared" ref="G197:Z197" si="89">IF(VLOOKUP($E197,$D$6:$AN$1141,3,)=0,0,(VLOOKUP($E197,$D$6:$AN$1141,G$2,)/VLOOKUP($E197,$D$6:$AN$1141,3,))*$F197)</f>
        <v>0</v>
      </c>
      <c r="H197" s="77">
        <f t="shared" si="89"/>
        <v>0</v>
      </c>
      <c r="I197" s="77">
        <f t="shared" si="89"/>
        <v>0</v>
      </c>
      <c r="J197" s="77">
        <f t="shared" si="89"/>
        <v>0</v>
      </c>
      <c r="K197" s="77">
        <f t="shared" si="89"/>
        <v>0</v>
      </c>
      <c r="L197" s="77">
        <f t="shared" si="89"/>
        <v>0</v>
      </c>
      <c r="M197" s="77">
        <f t="shared" si="89"/>
        <v>0</v>
      </c>
      <c r="N197" s="77">
        <f t="shared" si="89"/>
        <v>0</v>
      </c>
      <c r="O197" s="77">
        <f t="shared" si="89"/>
        <v>0</v>
      </c>
      <c r="P197" s="77">
        <f t="shared" si="89"/>
        <v>0</v>
      </c>
      <c r="Q197" s="77">
        <f t="shared" si="89"/>
        <v>0</v>
      </c>
      <c r="R197" s="77">
        <f t="shared" si="89"/>
        <v>0</v>
      </c>
      <c r="S197" s="77">
        <f t="shared" si="89"/>
        <v>0</v>
      </c>
      <c r="T197" s="77">
        <f t="shared" si="89"/>
        <v>0</v>
      </c>
      <c r="U197" s="77">
        <f t="shared" si="89"/>
        <v>0</v>
      </c>
      <c r="V197" s="77">
        <f t="shared" si="89"/>
        <v>0</v>
      </c>
      <c r="W197" s="77">
        <f t="shared" si="89"/>
        <v>0</v>
      </c>
      <c r="X197" s="63">
        <f t="shared" si="89"/>
        <v>0</v>
      </c>
      <c r="Y197" s="63">
        <f t="shared" si="89"/>
        <v>0</v>
      </c>
      <c r="Z197" s="63">
        <f t="shared" si="89"/>
        <v>0</v>
      </c>
      <c r="AA197" s="65">
        <f>SUM(G197:Z197)</f>
        <v>0</v>
      </c>
      <c r="AB197" s="59" t="str">
        <f>IF(ABS(F197-AA197)&lt;0.01,"ok","err")</f>
        <v>ok</v>
      </c>
    </row>
    <row r="198" spans="1:28" x14ac:dyDescent="0.25">
      <c r="F198" s="80"/>
    </row>
    <row r="199" spans="1:28" x14ac:dyDescent="0.25">
      <c r="A199" s="66" t="s">
        <v>351</v>
      </c>
      <c r="F199" s="80"/>
      <c r="G199" s="80"/>
    </row>
    <row r="200" spans="1:28" x14ac:dyDescent="0.25">
      <c r="A200" s="69" t="s">
        <v>379</v>
      </c>
      <c r="C200" s="61" t="s">
        <v>1091</v>
      </c>
      <c r="D200" s="61" t="s">
        <v>466</v>
      </c>
      <c r="E200" s="61" t="s">
        <v>133</v>
      </c>
      <c r="F200" s="77">
        <f>VLOOKUP(C200,'Functional Assignment'!$C$2:$AP$778,'Functional Assignment'!$R$2,)</f>
        <v>6748452.083022939</v>
      </c>
      <c r="G200" s="77">
        <f t="shared" ref="G200:Z200" si="90">IF(VLOOKUP($E200,$D$6:$AN$1141,3,)=0,0,(VLOOKUP($E200,$D$6:$AN$1141,G$2,)/VLOOKUP($E200,$D$6:$AN$1141,3,))*$F200)</f>
        <v>3240104.4873020453</v>
      </c>
      <c r="H200" s="77">
        <f t="shared" si="90"/>
        <v>901445.42987540574</v>
      </c>
      <c r="I200" s="77">
        <f t="shared" si="90"/>
        <v>0</v>
      </c>
      <c r="J200" s="77">
        <f t="shared" si="90"/>
        <v>75981.156423633263</v>
      </c>
      <c r="K200" s="77">
        <f t="shared" si="90"/>
        <v>957211.75219170318</v>
      </c>
      <c r="L200" s="77">
        <f t="shared" si="90"/>
        <v>0</v>
      </c>
      <c r="M200" s="77">
        <f t="shared" si="90"/>
        <v>0</v>
      </c>
      <c r="N200" s="77">
        <f t="shared" si="90"/>
        <v>921991.80914719566</v>
      </c>
      <c r="O200" s="77">
        <f t="shared" si="90"/>
        <v>483039.65443440527</v>
      </c>
      <c r="P200" s="77">
        <f t="shared" si="90"/>
        <v>0</v>
      </c>
      <c r="Q200" s="77">
        <f t="shared" si="90"/>
        <v>53513.405294093442</v>
      </c>
      <c r="R200" s="77">
        <f t="shared" si="90"/>
        <v>27577.106266964132</v>
      </c>
      <c r="S200" s="77">
        <f t="shared" si="90"/>
        <v>84220.677362321978</v>
      </c>
      <c r="T200" s="77">
        <f t="shared" si="90"/>
        <v>2436.3152037450932</v>
      </c>
      <c r="U200" s="77">
        <f t="shared" si="90"/>
        <v>930.28952142672017</v>
      </c>
      <c r="V200" s="77">
        <f t="shared" si="90"/>
        <v>0</v>
      </c>
      <c r="W200" s="77">
        <f t="shared" si="90"/>
        <v>0</v>
      </c>
      <c r="X200" s="63">
        <f t="shared" si="90"/>
        <v>0</v>
      </c>
      <c r="Y200" s="63">
        <f t="shared" si="90"/>
        <v>0</v>
      </c>
      <c r="Z200" s="63">
        <f t="shared" si="90"/>
        <v>0</v>
      </c>
      <c r="AA200" s="65">
        <f>SUM(G200:Z200)</f>
        <v>6748452.083022939</v>
      </c>
      <c r="AB200" s="59" t="str">
        <f>IF(ABS(F200-AA200)&lt;0.01,"ok","err")</f>
        <v>ok</v>
      </c>
    </row>
    <row r="201" spans="1:28" x14ac:dyDescent="0.25">
      <c r="F201" s="80"/>
    </row>
    <row r="202" spans="1:28" x14ac:dyDescent="0.25">
      <c r="A202" s="66" t="s">
        <v>378</v>
      </c>
      <c r="F202" s="80"/>
    </row>
    <row r="203" spans="1:28" x14ac:dyDescent="0.25">
      <c r="A203" s="69" t="s">
        <v>629</v>
      </c>
      <c r="C203" s="61" t="s">
        <v>1091</v>
      </c>
      <c r="D203" s="61" t="s">
        <v>467</v>
      </c>
      <c r="E203" s="61" t="s">
        <v>133</v>
      </c>
      <c r="F203" s="77">
        <f>VLOOKUP(C203,'Functional Assignment'!$C$2:$AP$778,'Functional Assignment'!$S$2,)</f>
        <v>0</v>
      </c>
      <c r="G203" s="77">
        <f t="shared" ref="G203:P207" si="91">IF(VLOOKUP($E203,$D$6:$AN$1141,3,)=0,0,(VLOOKUP($E203,$D$6:$AN$1141,G$2,)/VLOOKUP($E203,$D$6:$AN$1141,3,))*$F203)</f>
        <v>0</v>
      </c>
      <c r="H203" s="77">
        <f t="shared" si="91"/>
        <v>0</v>
      </c>
      <c r="I203" s="77">
        <f t="shared" si="91"/>
        <v>0</v>
      </c>
      <c r="J203" s="77">
        <f t="shared" si="91"/>
        <v>0</v>
      </c>
      <c r="K203" s="77">
        <f t="shared" si="91"/>
        <v>0</v>
      </c>
      <c r="L203" s="77">
        <f t="shared" si="91"/>
        <v>0</v>
      </c>
      <c r="M203" s="77">
        <f t="shared" si="91"/>
        <v>0</v>
      </c>
      <c r="N203" s="77">
        <f t="shared" si="91"/>
        <v>0</v>
      </c>
      <c r="O203" s="77">
        <f t="shared" si="91"/>
        <v>0</v>
      </c>
      <c r="P203" s="77">
        <f t="shared" si="91"/>
        <v>0</v>
      </c>
      <c r="Q203" s="77">
        <f t="shared" ref="Q203:Z207" si="92">IF(VLOOKUP($E203,$D$6:$AN$1141,3,)=0,0,(VLOOKUP($E203,$D$6:$AN$1141,Q$2,)/VLOOKUP($E203,$D$6:$AN$1141,3,))*$F203)</f>
        <v>0</v>
      </c>
      <c r="R203" s="77">
        <f t="shared" si="92"/>
        <v>0</v>
      </c>
      <c r="S203" s="77">
        <f t="shared" si="92"/>
        <v>0</v>
      </c>
      <c r="T203" s="77">
        <f t="shared" si="92"/>
        <v>0</v>
      </c>
      <c r="U203" s="77">
        <f t="shared" si="92"/>
        <v>0</v>
      </c>
      <c r="V203" s="77">
        <f t="shared" si="92"/>
        <v>0</v>
      </c>
      <c r="W203" s="77">
        <f t="shared" si="92"/>
        <v>0</v>
      </c>
      <c r="X203" s="63">
        <f t="shared" si="92"/>
        <v>0</v>
      </c>
      <c r="Y203" s="63">
        <f t="shared" si="92"/>
        <v>0</v>
      </c>
      <c r="Z203" s="63">
        <f t="shared" si="92"/>
        <v>0</v>
      </c>
      <c r="AA203" s="65">
        <f t="shared" ref="AA203:AA208" si="93">SUM(G203:Z203)</f>
        <v>0</v>
      </c>
      <c r="AB203" s="59" t="str">
        <f t="shared" ref="AB203:AB208" si="94">IF(ABS(F203-AA203)&lt;0.01,"ok","err")</f>
        <v>ok</v>
      </c>
    </row>
    <row r="204" spans="1:28" x14ac:dyDescent="0.25">
      <c r="A204" s="69" t="s">
        <v>630</v>
      </c>
      <c r="C204" s="61" t="s">
        <v>1091</v>
      </c>
      <c r="D204" s="61" t="s">
        <v>468</v>
      </c>
      <c r="E204" s="61" t="s">
        <v>133</v>
      </c>
      <c r="F204" s="80">
        <f>VLOOKUP(C204,'Functional Assignment'!$C$2:$AP$778,'Functional Assignment'!$T$2,)</f>
        <v>13891053.942398299</v>
      </c>
      <c r="G204" s="80">
        <f t="shared" si="91"/>
        <v>6669450.3655656325</v>
      </c>
      <c r="H204" s="80">
        <f t="shared" si="91"/>
        <v>1855540.6393162827</v>
      </c>
      <c r="I204" s="80">
        <f t="shared" si="91"/>
        <v>0</v>
      </c>
      <c r="J204" s="80">
        <f t="shared" si="91"/>
        <v>156400.06471138855</v>
      </c>
      <c r="K204" s="80">
        <f t="shared" si="91"/>
        <v>1970330.3691587232</v>
      </c>
      <c r="L204" s="80">
        <f t="shared" si="91"/>
        <v>0</v>
      </c>
      <c r="M204" s="80">
        <f t="shared" si="91"/>
        <v>0</v>
      </c>
      <c r="N204" s="80">
        <f t="shared" si="91"/>
        <v>1897833.4287254889</v>
      </c>
      <c r="O204" s="80">
        <f t="shared" si="91"/>
        <v>994291.70030649076</v>
      </c>
      <c r="P204" s="80">
        <f t="shared" si="91"/>
        <v>0</v>
      </c>
      <c r="Q204" s="80">
        <f t="shared" si="92"/>
        <v>110152.31203193059</v>
      </c>
      <c r="R204" s="80">
        <f t="shared" si="92"/>
        <v>56764.879711208108</v>
      </c>
      <c r="S204" s="80">
        <f t="shared" si="92"/>
        <v>173360.34366288042</v>
      </c>
      <c r="T204" s="80">
        <f t="shared" si="92"/>
        <v>5014.9257191952047</v>
      </c>
      <c r="U204" s="80">
        <f t="shared" si="92"/>
        <v>1914.9134890793803</v>
      </c>
      <c r="V204" s="80">
        <f t="shared" si="92"/>
        <v>0</v>
      </c>
      <c r="W204" s="80">
        <f t="shared" si="92"/>
        <v>0</v>
      </c>
      <c r="X204" s="64">
        <f t="shared" si="92"/>
        <v>0</v>
      </c>
      <c r="Y204" s="64">
        <f t="shared" si="92"/>
        <v>0</v>
      </c>
      <c r="Z204" s="64">
        <f t="shared" si="92"/>
        <v>0</v>
      </c>
      <c r="AA204" s="64">
        <f t="shared" si="93"/>
        <v>13891053.942398299</v>
      </c>
      <c r="AB204" s="59" t="str">
        <f t="shared" si="94"/>
        <v>ok</v>
      </c>
    </row>
    <row r="205" spans="1:28" x14ac:dyDescent="0.25">
      <c r="A205" s="69" t="s">
        <v>631</v>
      </c>
      <c r="C205" s="61" t="s">
        <v>1091</v>
      </c>
      <c r="D205" s="61" t="s">
        <v>469</v>
      </c>
      <c r="E205" s="61" t="s">
        <v>707</v>
      </c>
      <c r="F205" s="80">
        <f>VLOOKUP(C205,'Functional Assignment'!$C$2:$AP$778,'Functional Assignment'!$U$2,)</f>
        <v>19829107.569811746</v>
      </c>
      <c r="G205" s="80">
        <f t="shared" si="91"/>
        <v>17059937.990223359</v>
      </c>
      <c r="H205" s="80">
        <f t="shared" si="91"/>
        <v>2104537.8227446815</v>
      </c>
      <c r="I205" s="80">
        <f t="shared" si="91"/>
        <v>0</v>
      </c>
      <c r="J205" s="80">
        <f t="shared" si="91"/>
        <v>3444.8402054007902</v>
      </c>
      <c r="K205" s="80">
        <f t="shared" si="91"/>
        <v>131918.50403010834</v>
      </c>
      <c r="L205" s="80">
        <f t="shared" si="91"/>
        <v>0</v>
      </c>
      <c r="M205" s="80">
        <f t="shared" si="91"/>
        <v>0</v>
      </c>
      <c r="N205" s="80">
        <f t="shared" si="91"/>
        <v>5175.1252400769863</v>
      </c>
      <c r="O205" s="80">
        <f t="shared" si="91"/>
        <v>15061.344733658707</v>
      </c>
      <c r="P205" s="80">
        <f t="shared" si="91"/>
        <v>0</v>
      </c>
      <c r="Q205" s="80">
        <f t="shared" si="92"/>
        <v>47.189591854805336</v>
      </c>
      <c r="R205" s="80">
        <f t="shared" si="92"/>
        <v>94.379183709610672</v>
      </c>
      <c r="S205" s="80">
        <f t="shared" si="92"/>
        <v>503327.24530801101</v>
      </c>
      <c r="T205" s="80">
        <f t="shared" si="92"/>
        <v>817.95292548329246</v>
      </c>
      <c r="U205" s="80">
        <f t="shared" si="92"/>
        <v>4745.175625399871</v>
      </c>
      <c r="V205" s="80">
        <f t="shared" si="92"/>
        <v>0</v>
      </c>
      <c r="W205" s="80">
        <f t="shared" si="92"/>
        <v>0</v>
      </c>
      <c r="X205" s="64">
        <f t="shared" si="92"/>
        <v>0</v>
      </c>
      <c r="Y205" s="64">
        <f t="shared" si="92"/>
        <v>0</v>
      </c>
      <c r="Z205" s="64">
        <f t="shared" si="92"/>
        <v>0</v>
      </c>
      <c r="AA205" s="64">
        <f t="shared" si="93"/>
        <v>19829107.569811746</v>
      </c>
      <c r="AB205" s="59" t="str">
        <f t="shared" si="94"/>
        <v>ok</v>
      </c>
    </row>
    <row r="206" spans="1:28" x14ac:dyDescent="0.25">
      <c r="A206" s="69" t="s">
        <v>632</v>
      </c>
      <c r="C206" s="61" t="s">
        <v>1091</v>
      </c>
      <c r="D206" s="61" t="s">
        <v>470</v>
      </c>
      <c r="E206" s="61" t="s">
        <v>685</v>
      </c>
      <c r="F206" s="80">
        <f>VLOOKUP(C206,'Functional Assignment'!$C$2:$AP$778,'Functional Assignment'!$V$2,)</f>
        <v>4630351.3141327659</v>
      </c>
      <c r="G206" s="80">
        <f t="shared" si="91"/>
        <v>3926280.2449610089</v>
      </c>
      <c r="H206" s="80">
        <f t="shared" si="91"/>
        <v>658971.02572483849</v>
      </c>
      <c r="I206" s="80">
        <f t="shared" si="91"/>
        <v>0</v>
      </c>
      <c r="J206" s="80">
        <f t="shared" si="91"/>
        <v>0</v>
      </c>
      <c r="K206" s="80">
        <f t="shared" si="91"/>
        <v>0</v>
      </c>
      <c r="L206" s="80">
        <f t="shared" si="91"/>
        <v>0</v>
      </c>
      <c r="M206" s="80">
        <f t="shared" si="91"/>
        <v>0</v>
      </c>
      <c r="N206" s="80">
        <f t="shared" si="91"/>
        <v>0</v>
      </c>
      <c r="O206" s="80">
        <f t="shared" si="91"/>
        <v>0</v>
      </c>
      <c r="P206" s="80">
        <f t="shared" si="91"/>
        <v>0</v>
      </c>
      <c r="Q206" s="80">
        <f t="shared" si="92"/>
        <v>0</v>
      </c>
      <c r="R206" s="80">
        <f t="shared" si="92"/>
        <v>0</v>
      </c>
      <c r="S206" s="80">
        <f t="shared" si="92"/>
        <v>43366.526710753147</v>
      </c>
      <c r="T206" s="80">
        <f t="shared" si="92"/>
        <v>1254.4963026656033</v>
      </c>
      <c r="U206" s="80">
        <f t="shared" si="92"/>
        <v>479.02043349908007</v>
      </c>
      <c r="V206" s="80">
        <f t="shared" si="92"/>
        <v>0</v>
      </c>
      <c r="W206" s="80">
        <f t="shared" si="92"/>
        <v>0</v>
      </c>
      <c r="X206" s="64">
        <f t="shared" si="92"/>
        <v>0</v>
      </c>
      <c r="Y206" s="64">
        <f t="shared" si="92"/>
        <v>0</v>
      </c>
      <c r="Z206" s="64">
        <f t="shared" si="92"/>
        <v>0</v>
      </c>
      <c r="AA206" s="64">
        <f t="shared" si="93"/>
        <v>4630351.3141327659</v>
      </c>
      <c r="AB206" s="59" t="str">
        <f t="shared" si="94"/>
        <v>ok</v>
      </c>
    </row>
    <row r="207" spans="1:28" x14ac:dyDescent="0.25">
      <c r="A207" s="69" t="s">
        <v>633</v>
      </c>
      <c r="C207" s="61" t="s">
        <v>1091</v>
      </c>
      <c r="D207" s="61" t="s">
        <v>471</v>
      </c>
      <c r="E207" s="61" t="s">
        <v>706</v>
      </c>
      <c r="F207" s="80">
        <f>VLOOKUP(C207,'Functional Assignment'!$C$2:$AP$778,'Functional Assignment'!$W$2,)</f>
        <v>6609702.5232705818</v>
      </c>
      <c r="G207" s="80">
        <f t="shared" si="91"/>
        <v>5731663.5145195732</v>
      </c>
      <c r="H207" s="80">
        <f t="shared" si="91"/>
        <v>707066.03156851337</v>
      </c>
      <c r="I207" s="80">
        <f t="shared" si="91"/>
        <v>0</v>
      </c>
      <c r="J207" s="80">
        <f t="shared" si="91"/>
        <v>0</v>
      </c>
      <c r="K207" s="80">
        <f t="shared" si="91"/>
        <v>0</v>
      </c>
      <c r="L207" s="80">
        <f t="shared" si="91"/>
        <v>0</v>
      </c>
      <c r="M207" s="80">
        <f t="shared" si="91"/>
        <v>0</v>
      </c>
      <c r="N207" s="80">
        <f t="shared" si="91"/>
        <v>0</v>
      </c>
      <c r="O207" s="80">
        <f t="shared" si="91"/>
        <v>0</v>
      </c>
      <c r="P207" s="80">
        <f t="shared" si="91"/>
        <v>0</v>
      </c>
      <c r="Q207" s="80">
        <f t="shared" si="92"/>
        <v>0</v>
      </c>
      <c r="R207" s="80">
        <f t="shared" si="92"/>
        <v>0</v>
      </c>
      <c r="S207" s="80">
        <f t="shared" si="92"/>
        <v>169103.92109565917</v>
      </c>
      <c r="T207" s="80">
        <f t="shared" si="92"/>
        <v>274.80937751789293</v>
      </c>
      <c r="U207" s="80">
        <f t="shared" si="92"/>
        <v>1594.2467093185458</v>
      </c>
      <c r="V207" s="80">
        <f t="shared" si="92"/>
        <v>0</v>
      </c>
      <c r="W207" s="80">
        <f t="shared" si="92"/>
        <v>0</v>
      </c>
      <c r="X207" s="64">
        <f t="shared" si="92"/>
        <v>0</v>
      </c>
      <c r="Y207" s="64">
        <f t="shared" si="92"/>
        <v>0</v>
      </c>
      <c r="Z207" s="64">
        <f t="shared" si="92"/>
        <v>0</v>
      </c>
      <c r="AA207" s="64">
        <f t="shared" si="93"/>
        <v>6609702.5232705818</v>
      </c>
      <c r="AB207" s="59" t="str">
        <f t="shared" si="94"/>
        <v>ok</v>
      </c>
    </row>
    <row r="208" spans="1:28" x14ac:dyDescent="0.25">
      <c r="A208" s="61" t="s">
        <v>383</v>
      </c>
      <c r="D208" s="61" t="s">
        <v>472</v>
      </c>
      <c r="F208" s="77">
        <f>SUM(F203:F207)</f>
        <v>44960215.349613391</v>
      </c>
      <c r="G208" s="77">
        <f t="shared" ref="G208:W208" si="95">SUM(G203:G207)</f>
        <v>33387332.115269572</v>
      </c>
      <c r="H208" s="77">
        <f t="shared" si="95"/>
        <v>5326115.5193543164</v>
      </c>
      <c r="I208" s="77">
        <f t="shared" si="95"/>
        <v>0</v>
      </c>
      <c r="J208" s="77">
        <f t="shared" si="95"/>
        <v>159844.90491678935</v>
      </c>
      <c r="K208" s="77">
        <f t="shared" si="95"/>
        <v>2102248.8731888314</v>
      </c>
      <c r="L208" s="77">
        <f t="shared" si="95"/>
        <v>0</v>
      </c>
      <c r="M208" s="77">
        <f t="shared" si="95"/>
        <v>0</v>
      </c>
      <c r="N208" s="77">
        <f t="shared" si="95"/>
        <v>1903008.553965566</v>
      </c>
      <c r="O208" s="77">
        <f>SUM(O203:O207)</f>
        <v>1009353.0450401495</v>
      </c>
      <c r="P208" s="77">
        <f t="shared" si="95"/>
        <v>0</v>
      </c>
      <c r="Q208" s="77">
        <f t="shared" si="95"/>
        <v>110199.5016237854</v>
      </c>
      <c r="R208" s="77">
        <f t="shared" si="95"/>
        <v>56859.258894917723</v>
      </c>
      <c r="S208" s="77">
        <f t="shared" si="95"/>
        <v>889158.03677730367</v>
      </c>
      <c r="T208" s="77">
        <f t="shared" si="95"/>
        <v>7362.1843248619934</v>
      </c>
      <c r="U208" s="77">
        <f t="shared" si="95"/>
        <v>8733.3562572968767</v>
      </c>
      <c r="V208" s="77">
        <f t="shared" si="95"/>
        <v>0</v>
      </c>
      <c r="W208" s="77">
        <f t="shared" si="95"/>
        <v>0</v>
      </c>
      <c r="X208" s="63">
        <f>SUM(X203:X207)</f>
        <v>0</v>
      </c>
      <c r="Y208" s="63">
        <f>SUM(Y203:Y207)</f>
        <v>0</v>
      </c>
      <c r="Z208" s="63">
        <f>SUM(Z203:Z207)</f>
        <v>0</v>
      </c>
      <c r="AA208" s="65">
        <f t="shared" si="93"/>
        <v>44960215.349613391</v>
      </c>
      <c r="AB208" s="59" t="str">
        <f t="shared" si="94"/>
        <v>ok</v>
      </c>
    </row>
    <row r="209" spans="1:28" x14ac:dyDescent="0.25">
      <c r="F209" s="80"/>
    </row>
    <row r="210" spans="1:28" x14ac:dyDescent="0.25">
      <c r="A210" s="66" t="s">
        <v>640</v>
      </c>
      <c r="F210" s="80"/>
    </row>
    <row r="211" spans="1:28" x14ac:dyDescent="0.25">
      <c r="A211" s="69" t="s">
        <v>1113</v>
      </c>
      <c r="C211" s="61" t="s">
        <v>1091</v>
      </c>
      <c r="D211" s="61" t="s">
        <v>473</v>
      </c>
      <c r="E211" s="61" t="s">
        <v>1379</v>
      </c>
      <c r="F211" s="77">
        <f>VLOOKUP(C211,'Functional Assignment'!$C$2:$AP$778,'Functional Assignment'!$X$2,)</f>
        <v>1020476.2264665442</v>
      </c>
      <c r="G211" s="77">
        <f t="shared" ref="G211:P212" si="96">IF(VLOOKUP($E211,$D$6:$AN$1141,3,)=0,0,(VLOOKUP($E211,$D$6:$AN$1141,G$2,)/VLOOKUP($E211,$D$6:$AN$1141,3,))*$F211)</f>
        <v>720506.92052505934</v>
      </c>
      <c r="H211" s="77">
        <f t="shared" si="96"/>
        <v>120926.97281850751</v>
      </c>
      <c r="I211" s="77">
        <f t="shared" si="96"/>
        <v>0</v>
      </c>
      <c r="J211" s="77">
        <f t="shared" si="96"/>
        <v>0</v>
      </c>
      <c r="K211" s="77">
        <f t="shared" si="96"/>
        <v>112245.18263433992</v>
      </c>
      <c r="L211" s="77">
        <f t="shared" si="96"/>
        <v>0</v>
      </c>
      <c r="M211" s="77">
        <f t="shared" si="96"/>
        <v>0</v>
      </c>
      <c r="N211" s="77">
        <f t="shared" si="96"/>
        <v>0</v>
      </c>
      <c r="O211" s="77">
        <f t="shared" si="96"/>
        <v>58520.89627545741</v>
      </c>
      <c r="P211" s="77">
        <f t="shared" si="96"/>
        <v>0</v>
      </c>
      <c r="Q211" s="77">
        <f t="shared" ref="Q211:Z212" si="97">IF(VLOOKUP($E211,$D$6:$AN$1141,3,)=0,0,(VLOOKUP($E211,$D$6:$AN$1141,Q$2,)/VLOOKUP($E211,$D$6:$AN$1141,3,))*$F211)</f>
        <v>0</v>
      </c>
      <c r="R211" s="77">
        <f t="shared" si="97"/>
        <v>0</v>
      </c>
      <c r="S211" s="77">
        <f t="shared" si="97"/>
        <v>7958.1386617354856</v>
      </c>
      <c r="T211" s="77">
        <f t="shared" si="97"/>
        <v>230.21109331248022</v>
      </c>
      <c r="U211" s="77">
        <f t="shared" si="97"/>
        <v>87.904458132338064</v>
      </c>
      <c r="V211" s="77">
        <f t="shared" si="97"/>
        <v>0</v>
      </c>
      <c r="W211" s="77">
        <f t="shared" si="97"/>
        <v>0</v>
      </c>
      <c r="X211" s="63">
        <f t="shared" si="97"/>
        <v>0</v>
      </c>
      <c r="Y211" s="63">
        <f t="shared" si="97"/>
        <v>0</v>
      </c>
      <c r="Z211" s="63">
        <f t="shared" si="97"/>
        <v>0</v>
      </c>
      <c r="AA211" s="65">
        <f>SUM(G211:Z211)</f>
        <v>1020476.2264665444</v>
      </c>
      <c r="AB211" s="59" t="str">
        <f>IF(ABS(F211-AA211)&lt;0.01,"ok","err")</f>
        <v>ok</v>
      </c>
    </row>
    <row r="212" spans="1:28" x14ac:dyDescent="0.25">
      <c r="A212" s="69" t="s">
        <v>1116</v>
      </c>
      <c r="C212" s="61" t="s">
        <v>1091</v>
      </c>
      <c r="D212" s="61" t="s">
        <v>474</v>
      </c>
      <c r="E212" s="61" t="s">
        <v>1377</v>
      </c>
      <c r="F212" s="80">
        <f>VLOOKUP(C212,'Functional Assignment'!$C$2:$AP$778,'Functional Assignment'!$Y$2,)</f>
        <v>774449.76354372944</v>
      </c>
      <c r="G212" s="80">
        <f t="shared" si="96"/>
        <v>666591.03321782197</v>
      </c>
      <c r="H212" s="80">
        <f t="shared" si="96"/>
        <v>82231.602630285721</v>
      </c>
      <c r="I212" s="80">
        <f t="shared" si="96"/>
        <v>0</v>
      </c>
      <c r="J212" s="80">
        <f t="shared" si="96"/>
        <v>0</v>
      </c>
      <c r="K212" s="80">
        <f t="shared" si="96"/>
        <v>5154.5141578107232</v>
      </c>
      <c r="L212" s="80">
        <f t="shared" si="96"/>
        <v>0</v>
      </c>
      <c r="M212" s="80">
        <f t="shared" si="96"/>
        <v>0</v>
      </c>
      <c r="N212" s="80">
        <f t="shared" si="96"/>
        <v>0</v>
      </c>
      <c r="O212" s="80">
        <f t="shared" si="96"/>
        <v>588.49905277574294</v>
      </c>
      <c r="P212" s="80">
        <f t="shared" si="96"/>
        <v>0</v>
      </c>
      <c r="Q212" s="80">
        <f t="shared" si="97"/>
        <v>0</v>
      </c>
      <c r="R212" s="80">
        <f t="shared" si="97"/>
        <v>0</v>
      </c>
      <c r="S212" s="80">
        <f t="shared" si="97"/>
        <v>19666.743729597485</v>
      </c>
      <c r="T212" s="80">
        <f t="shared" si="97"/>
        <v>31.960261873982898</v>
      </c>
      <c r="U212" s="80">
        <f t="shared" si="97"/>
        <v>185.41049356381106</v>
      </c>
      <c r="V212" s="80">
        <f t="shared" si="97"/>
        <v>0</v>
      </c>
      <c r="W212" s="80">
        <f t="shared" si="97"/>
        <v>0</v>
      </c>
      <c r="X212" s="64">
        <f t="shared" si="97"/>
        <v>0</v>
      </c>
      <c r="Y212" s="64">
        <f t="shared" si="97"/>
        <v>0</v>
      </c>
      <c r="Z212" s="64">
        <f t="shared" si="97"/>
        <v>0</v>
      </c>
      <c r="AA212" s="64">
        <f>SUM(G212:Z212)</f>
        <v>774449.76354372967</v>
      </c>
      <c r="AB212" s="59" t="str">
        <f>IF(ABS(F212-AA212)&lt;0.01,"ok","err")</f>
        <v>ok</v>
      </c>
    </row>
    <row r="213" spans="1:28" x14ac:dyDescent="0.25">
      <c r="A213" s="61" t="s">
        <v>721</v>
      </c>
      <c r="D213" s="61" t="s">
        <v>475</v>
      </c>
      <c r="F213" s="77">
        <f>F211+F212</f>
        <v>1794925.9900102736</v>
      </c>
      <c r="G213" s="77">
        <f t="shared" ref="G213:W213" si="98">G211+G212</f>
        <v>1387097.9537428813</v>
      </c>
      <c r="H213" s="77">
        <f t="shared" si="98"/>
        <v>203158.57544879324</v>
      </c>
      <c r="I213" s="77">
        <f t="shared" si="98"/>
        <v>0</v>
      </c>
      <c r="J213" s="77">
        <f t="shared" si="98"/>
        <v>0</v>
      </c>
      <c r="K213" s="77">
        <f t="shared" si="98"/>
        <v>117399.69679215064</v>
      </c>
      <c r="L213" s="77">
        <f t="shared" si="98"/>
        <v>0</v>
      </c>
      <c r="M213" s="77">
        <f t="shared" si="98"/>
        <v>0</v>
      </c>
      <c r="N213" s="77">
        <f t="shared" si="98"/>
        <v>0</v>
      </c>
      <c r="O213" s="77">
        <f>O211+O212</f>
        <v>59109.395328233149</v>
      </c>
      <c r="P213" s="77">
        <f t="shared" si="98"/>
        <v>0</v>
      </c>
      <c r="Q213" s="77">
        <f t="shared" si="98"/>
        <v>0</v>
      </c>
      <c r="R213" s="77">
        <f t="shared" si="98"/>
        <v>0</v>
      </c>
      <c r="S213" s="77">
        <f t="shared" si="98"/>
        <v>27624.882391332969</v>
      </c>
      <c r="T213" s="77">
        <f t="shared" si="98"/>
        <v>262.17135518646313</v>
      </c>
      <c r="U213" s="77">
        <f t="shared" si="98"/>
        <v>273.31495169614914</v>
      </c>
      <c r="V213" s="77">
        <f t="shared" si="98"/>
        <v>0</v>
      </c>
      <c r="W213" s="77">
        <f t="shared" si="98"/>
        <v>0</v>
      </c>
      <c r="X213" s="63">
        <f>X211+X212</f>
        <v>0</v>
      </c>
      <c r="Y213" s="63">
        <f>Y211+Y212</f>
        <v>0</v>
      </c>
      <c r="Z213" s="63">
        <f>Z211+Z212</f>
        <v>0</v>
      </c>
      <c r="AA213" s="65">
        <f>SUM(G213:Z213)</f>
        <v>1794925.9900102741</v>
      </c>
      <c r="AB213" s="59" t="str">
        <f>IF(ABS(F213-AA213)&lt;0.01,"ok","err")</f>
        <v>ok</v>
      </c>
    </row>
    <row r="214" spans="1:28" x14ac:dyDescent="0.25">
      <c r="F214" s="80"/>
    </row>
    <row r="215" spans="1:28" x14ac:dyDescent="0.25">
      <c r="A215" s="66" t="s">
        <v>356</v>
      </c>
      <c r="F215" s="80"/>
    </row>
    <row r="216" spans="1:28" x14ac:dyDescent="0.25">
      <c r="A216" s="69" t="s">
        <v>1116</v>
      </c>
      <c r="C216" s="61" t="s">
        <v>1091</v>
      </c>
      <c r="D216" s="61" t="s">
        <v>476</v>
      </c>
      <c r="E216" s="61" t="s">
        <v>1118</v>
      </c>
      <c r="F216" s="77">
        <f>VLOOKUP(C216,'Functional Assignment'!$C$2:$AP$778,'Functional Assignment'!$Z$2,)</f>
        <v>246550.4881563962</v>
      </c>
      <c r="G216" s="77">
        <f t="shared" ref="G216:Z216" si="99">IF(VLOOKUP($E216,$D$6:$AN$1141,3,)=0,0,(VLOOKUP($E216,$D$6:$AN$1141,G$2,)/VLOOKUP($E216,$D$6:$AN$1141,3,))*$F216)</f>
        <v>199046.20690519109</v>
      </c>
      <c r="H216" s="77">
        <f t="shared" si="99"/>
        <v>42501.280342785678</v>
      </c>
      <c r="I216" s="77">
        <f t="shared" si="99"/>
        <v>0</v>
      </c>
      <c r="J216" s="77">
        <f t="shared" si="99"/>
        <v>0</v>
      </c>
      <c r="K216" s="77">
        <f t="shared" si="99"/>
        <v>4252.1487822070749</v>
      </c>
      <c r="L216" s="77">
        <f t="shared" si="99"/>
        <v>0</v>
      </c>
      <c r="M216" s="77">
        <f t="shared" si="99"/>
        <v>0</v>
      </c>
      <c r="N216" s="77">
        <f t="shared" si="99"/>
        <v>0</v>
      </c>
      <c r="O216" s="77">
        <f t="shared" si="99"/>
        <v>750.85212621235087</v>
      </c>
      <c r="P216" s="77">
        <f t="shared" si="99"/>
        <v>0</v>
      </c>
      <c r="Q216" s="77">
        <f t="shared" si="99"/>
        <v>0</v>
      </c>
      <c r="R216" s="77">
        <f t="shared" si="99"/>
        <v>0</v>
      </c>
      <c r="S216" s="77">
        <f t="shared" si="99"/>
        <v>0</v>
      </c>
      <c r="T216" s="77">
        <f t="shared" si="99"/>
        <v>0</v>
      </c>
      <c r="U216" s="77">
        <f t="shared" si="99"/>
        <v>0</v>
      </c>
      <c r="V216" s="77">
        <f t="shared" si="99"/>
        <v>0</v>
      </c>
      <c r="W216" s="77">
        <f t="shared" si="99"/>
        <v>0</v>
      </c>
      <c r="X216" s="63">
        <f t="shared" si="99"/>
        <v>0</v>
      </c>
      <c r="Y216" s="63">
        <f t="shared" si="99"/>
        <v>0</v>
      </c>
      <c r="Z216" s="63">
        <f t="shared" si="99"/>
        <v>0</v>
      </c>
      <c r="AA216" s="65">
        <f>SUM(G216:Z216)</f>
        <v>246550.4881563962</v>
      </c>
      <c r="AB216" s="59" t="str">
        <f>IF(ABS(F216-AA216)&lt;0.01,"ok","err")</f>
        <v>ok</v>
      </c>
    </row>
    <row r="217" spans="1:28" x14ac:dyDescent="0.25">
      <c r="F217" s="80"/>
    </row>
    <row r="218" spans="1:28" x14ac:dyDescent="0.25">
      <c r="A218" s="66" t="s">
        <v>355</v>
      </c>
      <c r="F218" s="80"/>
    </row>
    <row r="219" spans="1:28" x14ac:dyDescent="0.25">
      <c r="A219" s="69" t="s">
        <v>1116</v>
      </c>
      <c r="C219" s="61" t="s">
        <v>1091</v>
      </c>
      <c r="D219" s="61" t="s">
        <v>477</v>
      </c>
      <c r="E219" s="61" t="s">
        <v>1119</v>
      </c>
      <c r="F219" s="77">
        <f>VLOOKUP(C219,'Functional Assignment'!$C$2:$AP$778,'Functional Assignment'!$AA$2,)</f>
        <v>13006332.468795851</v>
      </c>
      <c r="G219" s="77">
        <f t="shared" ref="G219:Z219" si="100">IF(VLOOKUP($E219,$D$6:$AN$1141,3,)=0,0,(VLOOKUP($E219,$D$6:$AN$1141,G$2,)/VLOOKUP($E219,$D$6:$AN$1141,3,))*$F219)</f>
        <v>8909864.3283173162</v>
      </c>
      <c r="H219" s="77">
        <f t="shared" si="100"/>
        <v>2916104.3441010308</v>
      </c>
      <c r="I219" s="77">
        <f t="shared" si="100"/>
        <v>0</v>
      </c>
      <c r="J219" s="77">
        <f t="shared" si="100"/>
        <v>105839.00636348064</v>
      </c>
      <c r="K219" s="77">
        <f t="shared" si="100"/>
        <v>686369.01858604234</v>
      </c>
      <c r="L219" s="77">
        <f t="shared" si="100"/>
        <v>0</v>
      </c>
      <c r="M219" s="77">
        <f t="shared" si="100"/>
        <v>0</v>
      </c>
      <c r="N219" s="77">
        <f t="shared" si="100"/>
        <v>152036.42684266772</v>
      </c>
      <c r="O219" s="77">
        <f t="shared" si="100"/>
        <v>86059.249543407379</v>
      </c>
      <c r="P219" s="77">
        <f t="shared" si="100"/>
        <v>119752.03405341062</v>
      </c>
      <c r="Q219" s="77">
        <f t="shared" si="100"/>
        <v>1386.3503967416509</v>
      </c>
      <c r="R219" s="77">
        <f t="shared" si="100"/>
        <v>2772.7007934833018</v>
      </c>
      <c r="S219" s="77">
        <f t="shared" si="100"/>
        <v>0</v>
      </c>
      <c r="T219" s="77">
        <f t="shared" si="100"/>
        <v>3844.7177460226317</v>
      </c>
      <c r="U219" s="77">
        <f t="shared" si="100"/>
        <v>22304.292052246677</v>
      </c>
      <c r="V219" s="77">
        <f t="shared" si="100"/>
        <v>0</v>
      </c>
      <c r="W219" s="77">
        <f t="shared" si="100"/>
        <v>0</v>
      </c>
      <c r="X219" s="63">
        <f t="shared" si="100"/>
        <v>0</v>
      </c>
      <c r="Y219" s="63">
        <f t="shared" si="100"/>
        <v>0</v>
      </c>
      <c r="Z219" s="63">
        <f t="shared" si="100"/>
        <v>0</v>
      </c>
      <c r="AA219" s="65">
        <f>SUM(G219:Z219)</f>
        <v>13006332.468795851</v>
      </c>
      <c r="AB219" s="59" t="str">
        <f>IF(ABS(F219-AA219)&lt;0.01,"ok","err")</f>
        <v>ok</v>
      </c>
    </row>
    <row r="220" spans="1:28" x14ac:dyDescent="0.25">
      <c r="F220" s="80"/>
    </row>
    <row r="221" spans="1:28" x14ac:dyDescent="0.25">
      <c r="A221" s="66" t="s">
        <v>376</v>
      </c>
      <c r="F221" s="80"/>
    </row>
    <row r="222" spans="1:28" x14ac:dyDescent="0.25">
      <c r="A222" s="69" t="s">
        <v>1116</v>
      </c>
      <c r="C222" s="61" t="s">
        <v>1091</v>
      </c>
      <c r="D222" s="61" t="s">
        <v>478</v>
      </c>
      <c r="E222" s="61" t="s">
        <v>1120</v>
      </c>
      <c r="F222" s="77">
        <f>VLOOKUP(C222,'Functional Assignment'!$C$2:$AP$778,'Functional Assignment'!$AB$2,)</f>
        <v>1227444.4059414135</v>
      </c>
      <c r="G222" s="77">
        <f t="shared" ref="G222:Z222" si="101">IF(VLOOKUP($E222,$D$6:$AN$1141,3,)=0,0,(VLOOKUP($E222,$D$6:$AN$1141,G$2,)/VLOOKUP($E222,$D$6:$AN$1141,3,))*$F222)</f>
        <v>0</v>
      </c>
      <c r="H222" s="77">
        <f t="shared" si="101"/>
        <v>0</v>
      </c>
      <c r="I222" s="77">
        <f t="shared" si="101"/>
        <v>0</v>
      </c>
      <c r="J222" s="77">
        <f t="shared" si="101"/>
        <v>0</v>
      </c>
      <c r="K222" s="77">
        <f t="shared" si="101"/>
        <v>0</v>
      </c>
      <c r="L222" s="77">
        <f t="shared" si="101"/>
        <v>0</v>
      </c>
      <c r="M222" s="77">
        <f t="shared" si="101"/>
        <v>0</v>
      </c>
      <c r="N222" s="77">
        <f t="shared" si="101"/>
        <v>0</v>
      </c>
      <c r="O222" s="77">
        <f t="shared" si="101"/>
        <v>0</v>
      </c>
      <c r="P222" s="77">
        <f t="shared" si="101"/>
        <v>0</v>
      </c>
      <c r="Q222" s="77">
        <f t="shared" si="101"/>
        <v>0</v>
      </c>
      <c r="R222" s="77">
        <f t="shared" si="101"/>
        <v>0</v>
      </c>
      <c r="S222" s="77">
        <f t="shared" si="101"/>
        <v>1227444.4059414135</v>
      </c>
      <c r="T222" s="77">
        <f t="shared" si="101"/>
        <v>0</v>
      </c>
      <c r="U222" s="77">
        <f t="shared" si="101"/>
        <v>0</v>
      </c>
      <c r="V222" s="77">
        <f t="shared" si="101"/>
        <v>0</v>
      </c>
      <c r="W222" s="77">
        <f t="shared" si="101"/>
        <v>0</v>
      </c>
      <c r="X222" s="63">
        <f t="shared" si="101"/>
        <v>0</v>
      </c>
      <c r="Y222" s="63">
        <f t="shared" si="101"/>
        <v>0</v>
      </c>
      <c r="Z222" s="63">
        <f t="shared" si="101"/>
        <v>0</v>
      </c>
      <c r="AA222" s="65">
        <f>SUM(G222:Z222)</f>
        <v>1227444.4059414135</v>
      </c>
      <c r="AB222" s="59" t="str">
        <f>IF(ABS(F222-AA222)&lt;0.01,"ok","err")</f>
        <v>ok</v>
      </c>
    </row>
    <row r="223" spans="1:28" x14ac:dyDescent="0.25">
      <c r="F223" s="80"/>
    </row>
    <row r="224" spans="1:28" x14ac:dyDescent="0.25">
      <c r="A224" s="66" t="s">
        <v>1047</v>
      </c>
      <c r="F224" s="80"/>
    </row>
    <row r="225" spans="1:28" x14ac:dyDescent="0.25">
      <c r="A225" s="69" t="s">
        <v>1116</v>
      </c>
      <c r="C225" s="61" t="s">
        <v>1091</v>
      </c>
      <c r="D225" s="61" t="s">
        <v>479</v>
      </c>
      <c r="E225" s="61" t="s">
        <v>1121</v>
      </c>
      <c r="F225" s="77">
        <f>VLOOKUP(C225,'Functional Assignment'!$C$2:$AP$778,'Functional Assignment'!$AC$2,)</f>
        <v>19571803.844366148</v>
      </c>
      <c r="G225" s="77">
        <f t="shared" ref="G225:Z225" si="102">IF(VLOOKUP($E225,$D$6:$AN$1141,3,)=0,0,(VLOOKUP($E225,$D$6:$AN$1141,G$2,)/VLOOKUP($E225,$D$6:$AN$1141,3,))*$F225)</f>
        <v>14532602.146233989</v>
      </c>
      <c r="H225" s="77">
        <f t="shared" si="102"/>
        <v>3585524.2729694741</v>
      </c>
      <c r="I225" s="77">
        <f t="shared" si="102"/>
        <v>0</v>
      </c>
      <c r="J225" s="77">
        <f t="shared" si="102"/>
        <v>14672.530518906418</v>
      </c>
      <c r="K225" s="77">
        <f t="shared" si="102"/>
        <v>561877.52144661499</v>
      </c>
      <c r="L225" s="77">
        <f t="shared" si="102"/>
        <v>0</v>
      </c>
      <c r="M225" s="77">
        <f t="shared" si="102"/>
        <v>0</v>
      </c>
      <c r="N225" s="77">
        <f t="shared" si="102"/>
        <v>110211.47353242493</v>
      </c>
      <c r="O225" s="77">
        <f t="shared" si="102"/>
        <v>320752.23680029443</v>
      </c>
      <c r="P225" s="77">
        <f t="shared" si="102"/>
        <v>12059.614125128563</v>
      </c>
      <c r="Q225" s="77">
        <f t="shared" si="102"/>
        <v>200.99356875214269</v>
      </c>
      <c r="R225" s="77">
        <f t="shared" si="102"/>
        <v>401.98713750428539</v>
      </c>
      <c r="S225" s="77">
        <f t="shared" si="102"/>
        <v>428762.08633425832</v>
      </c>
      <c r="T225" s="77">
        <f t="shared" si="102"/>
        <v>696.77770500742804</v>
      </c>
      <c r="U225" s="77">
        <f t="shared" si="102"/>
        <v>4042.2039937930922</v>
      </c>
      <c r="V225" s="77">
        <f t="shared" si="102"/>
        <v>0</v>
      </c>
      <c r="W225" s="77">
        <f t="shared" si="102"/>
        <v>0</v>
      </c>
      <c r="X225" s="63">
        <f t="shared" si="102"/>
        <v>0</v>
      </c>
      <c r="Y225" s="63">
        <f t="shared" si="102"/>
        <v>0</v>
      </c>
      <c r="Z225" s="63">
        <f t="shared" si="102"/>
        <v>0</v>
      </c>
      <c r="AA225" s="65">
        <f>SUM(G225:Z225)</f>
        <v>19571803.844366148</v>
      </c>
      <c r="AB225" s="59" t="str">
        <f>IF(ABS(F225-AA225)&lt;0.01,"ok","err")</f>
        <v>ok</v>
      </c>
    </row>
    <row r="226" spans="1:28" x14ac:dyDescent="0.25">
      <c r="F226" s="80"/>
    </row>
    <row r="227" spans="1:28" x14ac:dyDescent="0.25">
      <c r="A227" s="66" t="s">
        <v>353</v>
      </c>
      <c r="F227" s="80"/>
    </row>
    <row r="228" spans="1:28" x14ac:dyDescent="0.25">
      <c r="A228" s="69" t="s">
        <v>1116</v>
      </c>
      <c r="C228" s="61" t="s">
        <v>1091</v>
      </c>
      <c r="D228" s="61" t="s">
        <v>480</v>
      </c>
      <c r="E228" s="61" t="s">
        <v>1121</v>
      </c>
      <c r="F228" s="77">
        <f>VLOOKUP(C228,'Functional Assignment'!$C$2:$AP$778,'Functional Assignment'!$AD$2,)</f>
        <v>2742750.1442987714</v>
      </c>
      <c r="G228" s="77">
        <f t="shared" ref="G228:Z228" si="103">IF(VLOOKUP($E228,$D$6:$AN$1141,3,)=0,0,(VLOOKUP($E228,$D$6:$AN$1141,G$2,)/VLOOKUP($E228,$D$6:$AN$1141,3,))*$F228)</f>
        <v>2036567.3471172473</v>
      </c>
      <c r="H228" s="77">
        <f t="shared" si="103"/>
        <v>502467.59548965131</v>
      </c>
      <c r="I228" s="77">
        <f t="shared" si="103"/>
        <v>0</v>
      </c>
      <c r="J228" s="77">
        <f t="shared" si="103"/>
        <v>2056.1766057931804</v>
      </c>
      <c r="K228" s="77">
        <f t="shared" si="103"/>
        <v>78740.297280751169</v>
      </c>
      <c r="L228" s="77">
        <f t="shared" si="103"/>
        <v>0</v>
      </c>
      <c r="M228" s="77">
        <f t="shared" si="103"/>
        <v>0</v>
      </c>
      <c r="N228" s="77">
        <f t="shared" si="103"/>
        <v>15444.796879131425</v>
      </c>
      <c r="O228" s="77">
        <f t="shared" si="103"/>
        <v>44949.52283212261</v>
      </c>
      <c r="P228" s="77">
        <f t="shared" si="103"/>
        <v>1690.0081691450798</v>
      </c>
      <c r="Q228" s="77">
        <f t="shared" si="103"/>
        <v>28.166802819084662</v>
      </c>
      <c r="R228" s="77">
        <f t="shared" si="103"/>
        <v>56.333605638169324</v>
      </c>
      <c r="S228" s="77">
        <f t="shared" si="103"/>
        <v>60085.788898893123</v>
      </c>
      <c r="T228" s="77">
        <f t="shared" si="103"/>
        <v>97.644916439493485</v>
      </c>
      <c r="U228" s="77">
        <f t="shared" si="103"/>
        <v>566.46570113936923</v>
      </c>
      <c r="V228" s="77">
        <f t="shared" si="103"/>
        <v>0</v>
      </c>
      <c r="W228" s="77">
        <f t="shared" si="103"/>
        <v>0</v>
      </c>
      <c r="X228" s="63">
        <f t="shared" si="103"/>
        <v>0</v>
      </c>
      <c r="Y228" s="63">
        <f t="shared" si="103"/>
        <v>0</v>
      </c>
      <c r="Z228" s="63">
        <f t="shared" si="103"/>
        <v>0</v>
      </c>
      <c r="AA228" s="65">
        <f>SUM(G228:Z228)</f>
        <v>2742750.1442987709</v>
      </c>
      <c r="AB228" s="59" t="str">
        <f>IF(ABS(F228-AA228)&lt;0.01,"ok","err")</f>
        <v>ok</v>
      </c>
    </row>
    <row r="229" spans="1:28" x14ac:dyDescent="0.25">
      <c r="F229" s="80"/>
    </row>
    <row r="230" spans="1:28" x14ac:dyDescent="0.25">
      <c r="A230" s="66" t="s">
        <v>352</v>
      </c>
      <c r="F230" s="80"/>
    </row>
    <row r="231" spans="1:28" x14ac:dyDescent="0.25">
      <c r="A231" s="69" t="s">
        <v>1116</v>
      </c>
      <c r="C231" s="61" t="s">
        <v>1091</v>
      </c>
      <c r="D231" s="61" t="s">
        <v>481</v>
      </c>
      <c r="E231" s="61" t="s">
        <v>1122</v>
      </c>
      <c r="F231" s="77">
        <f>VLOOKUP(C231,'Functional Assignment'!$C$2:$AP$778,'Functional Assignment'!$AE$2,)</f>
        <v>0</v>
      </c>
      <c r="G231" s="77">
        <f t="shared" ref="G231:Z231" si="104">IF(VLOOKUP($E231,$D$6:$AN$1141,3,)=0,0,(VLOOKUP($E231,$D$6:$AN$1141,G$2,)/VLOOKUP($E231,$D$6:$AN$1141,3,))*$F231)</f>
        <v>0</v>
      </c>
      <c r="H231" s="77">
        <f t="shared" si="104"/>
        <v>0</v>
      </c>
      <c r="I231" s="77">
        <f t="shared" si="104"/>
        <v>0</v>
      </c>
      <c r="J231" s="77">
        <f t="shared" si="104"/>
        <v>0</v>
      </c>
      <c r="K231" s="77">
        <f t="shared" si="104"/>
        <v>0</v>
      </c>
      <c r="L231" s="77">
        <f t="shared" si="104"/>
        <v>0</v>
      </c>
      <c r="M231" s="77">
        <f t="shared" si="104"/>
        <v>0</v>
      </c>
      <c r="N231" s="77">
        <f t="shared" si="104"/>
        <v>0</v>
      </c>
      <c r="O231" s="77">
        <f t="shared" si="104"/>
        <v>0</v>
      </c>
      <c r="P231" s="77">
        <f t="shared" si="104"/>
        <v>0</v>
      </c>
      <c r="Q231" s="77">
        <f t="shared" si="104"/>
        <v>0</v>
      </c>
      <c r="R231" s="77">
        <f t="shared" si="104"/>
        <v>0</v>
      </c>
      <c r="S231" s="77">
        <f t="shared" si="104"/>
        <v>0</v>
      </c>
      <c r="T231" s="77">
        <f t="shared" si="104"/>
        <v>0</v>
      </c>
      <c r="U231" s="77">
        <f t="shared" si="104"/>
        <v>0</v>
      </c>
      <c r="V231" s="77">
        <f t="shared" si="104"/>
        <v>0</v>
      </c>
      <c r="W231" s="77">
        <f t="shared" si="104"/>
        <v>0</v>
      </c>
      <c r="X231" s="63">
        <f t="shared" si="104"/>
        <v>0</v>
      </c>
      <c r="Y231" s="63">
        <f t="shared" si="104"/>
        <v>0</v>
      </c>
      <c r="Z231" s="63">
        <f t="shared" si="104"/>
        <v>0</v>
      </c>
      <c r="AA231" s="65">
        <f>SUM(G231:Z231)</f>
        <v>0</v>
      </c>
      <c r="AB231" s="59" t="str">
        <f>IF(ABS(F231-AA231)&lt;0.01,"ok","err")</f>
        <v>ok</v>
      </c>
    </row>
    <row r="232" spans="1:28" x14ac:dyDescent="0.25">
      <c r="F232" s="80"/>
    </row>
    <row r="233" spans="1:28" x14ac:dyDescent="0.25">
      <c r="A233" s="61" t="s">
        <v>944</v>
      </c>
      <c r="D233" s="61" t="s">
        <v>1129</v>
      </c>
      <c r="F233" s="77">
        <f>F188+F194+F197+F200+F208+F213+F216+F219+F222+F225+F228+F231</f>
        <v>698592651.78005099</v>
      </c>
      <c r="G233" s="77">
        <f t="shared" ref="G233:Z233" si="105">G188+G194+G197+G200+G208+G213+G216+G219+G222+G225+G228+G231</f>
        <v>299652164.7436952</v>
      </c>
      <c r="H233" s="77">
        <f t="shared" si="105"/>
        <v>84996856.45797278</v>
      </c>
      <c r="I233" s="77">
        <f t="shared" si="105"/>
        <v>0</v>
      </c>
      <c r="J233" s="77">
        <f t="shared" si="105"/>
        <v>8188517.9653387209</v>
      </c>
      <c r="K233" s="77">
        <f t="shared" si="105"/>
        <v>101603566.48833007</v>
      </c>
      <c r="L233" s="77">
        <f t="shared" si="105"/>
        <v>0</v>
      </c>
      <c r="M233" s="77">
        <f t="shared" si="105"/>
        <v>0</v>
      </c>
      <c r="N233" s="77">
        <f t="shared" si="105"/>
        <v>98011703.363990307</v>
      </c>
      <c r="O233" s="77">
        <f>O188+O194+O197+O200+O208+O213+O216+O219+O222+O225+O228+O231</f>
        <v>52756380.98267249</v>
      </c>
      <c r="P233" s="77">
        <f t="shared" si="105"/>
        <v>37347255.706858248</v>
      </c>
      <c r="Q233" s="77">
        <f t="shared" si="105"/>
        <v>5237319.2714944091</v>
      </c>
      <c r="R233" s="77">
        <f t="shared" si="105"/>
        <v>2845881.1464185999</v>
      </c>
      <c r="S233" s="77">
        <f t="shared" si="105"/>
        <v>7622707.4820338823</v>
      </c>
      <c r="T233" s="77">
        <f t="shared" si="105"/>
        <v>151836.21026749411</v>
      </c>
      <c r="U233" s="77">
        <f t="shared" si="105"/>
        <v>178461.96097863239</v>
      </c>
      <c r="V233" s="77">
        <f t="shared" si="105"/>
        <v>0</v>
      </c>
      <c r="W233" s="77">
        <f t="shared" si="105"/>
        <v>0</v>
      </c>
      <c r="X233" s="63">
        <f t="shared" si="105"/>
        <v>0</v>
      </c>
      <c r="Y233" s="63">
        <f t="shared" si="105"/>
        <v>0</v>
      </c>
      <c r="Z233" s="63">
        <f t="shared" si="105"/>
        <v>0</v>
      </c>
      <c r="AA233" s="65">
        <f>SUM(G233:Z233)</f>
        <v>698592651.78005075</v>
      </c>
      <c r="AB233" s="59" t="str">
        <f>IF(ABS(F233-AA233)&lt;0.01,"ok","err")</f>
        <v>ok</v>
      </c>
    </row>
    <row r="236" spans="1:28" x14ac:dyDescent="0.25">
      <c r="A236" s="66" t="s">
        <v>1092</v>
      </c>
    </row>
    <row r="238" spans="1:28" x14ac:dyDescent="0.25">
      <c r="A238" s="66" t="s">
        <v>369</v>
      </c>
    </row>
    <row r="239" spans="1:28" x14ac:dyDescent="0.25">
      <c r="A239" s="69" t="s">
        <v>361</v>
      </c>
      <c r="C239" s="61" t="s">
        <v>99</v>
      </c>
      <c r="D239" s="61" t="s">
        <v>482</v>
      </c>
      <c r="E239" s="61" t="s">
        <v>1399</v>
      </c>
      <c r="F239" s="77">
        <f>VLOOKUP(C239,'Functional Assignment'!$C$2:$AP$778,'Functional Assignment'!$H$2,)</f>
        <v>9910422.0570097808</v>
      </c>
      <c r="G239" s="77">
        <f t="shared" ref="G239:P244" si="106">IF(VLOOKUP($E239,$D$6:$AN$1141,3,)=0,0,(VLOOKUP($E239,$D$6:$AN$1141,G$2,)/VLOOKUP($E239,$D$6:$AN$1141,3,))*$F239)</f>
        <v>4947860.4147461019</v>
      </c>
      <c r="H239" s="77">
        <f t="shared" si="106"/>
        <v>1226419.0115971286</v>
      </c>
      <c r="I239" s="77">
        <f t="shared" si="106"/>
        <v>0</v>
      </c>
      <c r="J239" s="77">
        <f t="shared" si="106"/>
        <v>110764.75839626078</v>
      </c>
      <c r="K239" s="77">
        <f t="shared" si="106"/>
        <v>1408602.6153507004</v>
      </c>
      <c r="L239" s="77">
        <f t="shared" si="106"/>
        <v>0</v>
      </c>
      <c r="M239" s="77">
        <f t="shared" si="106"/>
        <v>0</v>
      </c>
      <c r="N239" s="77">
        <f t="shared" si="106"/>
        <v>1143808.0089855792</v>
      </c>
      <c r="O239" s="77">
        <f t="shared" si="106"/>
        <v>698021.08552531374</v>
      </c>
      <c r="P239" s="77">
        <f t="shared" si="106"/>
        <v>275978.06178781454</v>
      </c>
      <c r="Q239" s="77">
        <f t="shared" ref="Q239:Z244" si="107">IF(VLOOKUP($E239,$D$6:$AN$1141,3,)=0,0,(VLOOKUP($E239,$D$6:$AN$1141,Q$2,)/VLOOKUP($E239,$D$6:$AN$1141,3,))*$F239)</f>
        <v>59106.428531591482</v>
      </c>
      <c r="R239" s="77">
        <f t="shared" si="107"/>
        <v>38513.526201122637</v>
      </c>
      <c r="S239" s="77">
        <f t="shared" si="107"/>
        <v>0</v>
      </c>
      <c r="T239" s="77">
        <f t="shared" si="107"/>
        <v>0</v>
      </c>
      <c r="U239" s="77">
        <f t="shared" si="107"/>
        <v>1348.1458881693425</v>
      </c>
      <c r="V239" s="77">
        <f t="shared" si="107"/>
        <v>0</v>
      </c>
      <c r="W239" s="77">
        <f t="shared" si="107"/>
        <v>0</v>
      </c>
      <c r="X239" s="63">
        <f t="shared" si="107"/>
        <v>0</v>
      </c>
      <c r="Y239" s="63">
        <f t="shared" si="107"/>
        <v>0</v>
      </c>
      <c r="Z239" s="63">
        <f t="shared" si="107"/>
        <v>0</v>
      </c>
      <c r="AA239" s="65">
        <f t="shared" ref="AA239:AA245" si="108">SUM(G239:Z239)</f>
        <v>9910422.0570097826</v>
      </c>
      <c r="AB239" s="59" t="str">
        <f t="shared" ref="AB239:AB245" si="109">IF(ABS(F239-AA239)&lt;0.01,"ok","err")</f>
        <v>ok</v>
      </c>
    </row>
    <row r="240" spans="1:28" x14ac:dyDescent="0.25">
      <c r="A240" s="69" t="s">
        <v>1285</v>
      </c>
      <c r="C240" s="61" t="s">
        <v>99</v>
      </c>
      <c r="D240" s="61" t="s">
        <v>483</v>
      </c>
      <c r="E240" s="61" t="s">
        <v>1399</v>
      </c>
      <c r="F240" s="80">
        <f>VLOOKUP(C240,'Functional Assignment'!$C$2:$AP$778,'Functional Assignment'!$I$2,)</f>
        <v>9657350.3599815443</v>
      </c>
      <c r="G240" s="80">
        <f t="shared" si="106"/>
        <v>4821512.2708814358</v>
      </c>
      <c r="H240" s="80">
        <f t="shared" si="106"/>
        <v>1195101.2797440188</v>
      </c>
      <c r="I240" s="80">
        <f t="shared" si="106"/>
        <v>0</v>
      </c>
      <c r="J240" s="80">
        <f t="shared" si="106"/>
        <v>107936.278921117</v>
      </c>
      <c r="K240" s="80">
        <f t="shared" si="106"/>
        <v>1372632.6584452756</v>
      </c>
      <c r="L240" s="80">
        <f t="shared" si="106"/>
        <v>0</v>
      </c>
      <c r="M240" s="80">
        <f t="shared" si="106"/>
        <v>0</v>
      </c>
      <c r="N240" s="80">
        <f t="shared" si="106"/>
        <v>1114599.8246879464</v>
      </c>
      <c r="O240" s="80">
        <f t="shared" si="106"/>
        <v>680196.47829272505</v>
      </c>
      <c r="P240" s="80">
        <f t="shared" si="106"/>
        <v>268930.70941094932</v>
      </c>
      <c r="Q240" s="80">
        <f t="shared" si="107"/>
        <v>57597.0917861208</v>
      </c>
      <c r="R240" s="80">
        <f t="shared" si="107"/>
        <v>37530.048062836322</v>
      </c>
      <c r="S240" s="80">
        <f t="shared" si="107"/>
        <v>0</v>
      </c>
      <c r="T240" s="80">
        <f t="shared" si="107"/>
        <v>0</v>
      </c>
      <c r="U240" s="80">
        <f t="shared" si="107"/>
        <v>1313.7197491211739</v>
      </c>
      <c r="V240" s="80">
        <f t="shared" si="107"/>
        <v>0</v>
      </c>
      <c r="W240" s="80">
        <f t="shared" si="107"/>
        <v>0</v>
      </c>
      <c r="X240" s="64">
        <f t="shared" si="107"/>
        <v>0</v>
      </c>
      <c r="Y240" s="64">
        <f t="shared" si="107"/>
        <v>0</v>
      </c>
      <c r="Z240" s="64">
        <f t="shared" si="107"/>
        <v>0</v>
      </c>
      <c r="AA240" s="64">
        <f t="shared" si="108"/>
        <v>9657350.3599815462</v>
      </c>
      <c r="AB240" s="59" t="str">
        <f t="shared" si="109"/>
        <v>ok</v>
      </c>
    </row>
    <row r="241" spans="1:28" x14ac:dyDescent="0.25">
      <c r="A241" s="69" t="s">
        <v>1286</v>
      </c>
      <c r="C241" s="61" t="s">
        <v>99</v>
      </c>
      <c r="D241" s="61" t="s">
        <v>484</v>
      </c>
      <c r="E241" s="61" t="s">
        <v>1399</v>
      </c>
      <c r="F241" s="80">
        <f>VLOOKUP(C241,'Functional Assignment'!$C$2:$AP$778,'Functional Assignment'!$J$2,)</f>
        <v>8755879.2584973108</v>
      </c>
      <c r="G241" s="80">
        <f t="shared" si="106"/>
        <v>4371445.3461416829</v>
      </c>
      <c r="H241" s="80">
        <f t="shared" si="106"/>
        <v>1083543.8414325318</v>
      </c>
      <c r="I241" s="80">
        <f t="shared" si="106"/>
        <v>0</v>
      </c>
      <c r="J241" s="80">
        <f t="shared" si="106"/>
        <v>97860.902899519002</v>
      </c>
      <c r="K241" s="80">
        <f t="shared" si="106"/>
        <v>1244503.4482149594</v>
      </c>
      <c r="L241" s="80">
        <f t="shared" si="106"/>
        <v>0</v>
      </c>
      <c r="M241" s="80">
        <f t="shared" si="106"/>
        <v>0</v>
      </c>
      <c r="N241" s="80">
        <f t="shared" si="106"/>
        <v>1010556.8424804026</v>
      </c>
      <c r="O241" s="80">
        <f t="shared" si="106"/>
        <v>616703.13429506449</v>
      </c>
      <c r="P241" s="80">
        <f t="shared" si="106"/>
        <v>243827.21271684283</v>
      </c>
      <c r="Q241" s="80">
        <f t="shared" si="107"/>
        <v>52220.657066523236</v>
      </c>
      <c r="R241" s="80">
        <f t="shared" si="107"/>
        <v>34026.783450406343</v>
      </c>
      <c r="S241" s="80">
        <f t="shared" si="107"/>
        <v>0</v>
      </c>
      <c r="T241" s="80">
        <f t="shared" si="107"/>
        <v>0</v>
      </c>
      <c r="U241" s="80">
        <f t="shared" si="107"/>
        <v>1191.0897993795431</v>
      </c>
      <c r="V241" s="80">
        <f t="shared" si="107"/>
        <v>0</v>
      </c>
      <c r="W241" s="80">
        <f t="shared" si="107"/>
        <v>0</v>
      </c>
      <c r="X241" s="64">
        <f t="shared" si="107"/>
        <v>0</v>
      </c>
      <c r="Y241" s="64">
        <f t="shared" si="107"/>
        <v>0</v>
      </c>
      <c r="Z241" s="64">
        <f t="shared" si="107"/>
        <v>0</v>
      </c>
      <c r="AA241" s="64">
        <f t="shared" si="108"/>
        <v>8755879.2584973127</v>
      </c>
      <c r="AB241" s="59" t="str">
        <f t="shared" si="109"/>
        <v>ok</v>
      </c>
    </row>
    <row r="242" spans="1:28" x14ac:dyDescent="0.25">
      <c r="A242" s="69" t="s">
        <v>1287</v>
      </c>
      <c r="C242" s="61" t="s">
        <v>99</v>
      </c>
      <c r="D242" s="61" t="s">
        <v>485</v>
      </c>
      <c r="E242" s="61" t="s">
        <v>1114</v>
      </c>
      <c r="F242" s="80">
        <f>VLOOKUP(C242,'Functional Assignment'!$C$2:$AP$778,'Functional Assignment'!$K$2,)</f>
        <v>16435756.251113247</v>
      </c>
      <c r="G242" s="80">
        <f t="shared" si="106"/>
        <v>5867424.6368302926</v>
      </c>
      <c r="H242" s="80">
        <f t="shared" si="106"/>
        <v>1904235.6787230887</v>
      </c>
      <c r="I242" s="80">
        <f t="shared" si="106"/>
        <v>0</v>
      </c>
      <c r="J242" s="80">
        <f t="shared" si="106"/>
        <v>219302.07981564139</v>
      </c>
      <c r="K242" s="80">
        <f t="shared" si="106"/>
        <v>2703243.8365925546</v>
      </c>
      <c r="L242" s="80">
        <f t="shared" si="106"/>
        <v>0</v>
      </c>
      <c r="M242" s="80">
        <f t="shared" si="106"/>
        <v>0</v>
      </c>
      <c r="N242" s="80">
        <f t="shared" si="106"/>
        <v>2749674.2261482663</v>
      </c>
      <c r="O242" s="80">
        <f t="shared" si="106"/>
        <v>1430617.2953288842</v>
      </c>
      <c r="P242" s="80">
        <f t="shared" si="106"/>
        <v>1157565.1671428599</v>
      </c>
      <c r="Q242" s="80">
        <f t="shared" si="107"/>
        <v>147873.79458774597</v>
      </c>
      <c r="R242" s="80">
        <f t="shared" si="107"/>
        <v>77482.708875140452</v>
      </c>
      <c r="S242" s="80">
        <f t="shared" si="107"/>
        <v>169335.07940273295</v>
      </c>
      <c r="T242" s="80">
        <f t="shared" si="107"/>
        <v>4733.9560651603797</v>
      </c>
      <c r="U242" s="80">
        <f t="shared" si="107"/>
        <v>4267.7916008792336</v>
      </c>
      <c r="V242" s="80">
        <f t="shared" si="107"/>
        <v>0</v>
      </c>
      <c r="W242" s="80">
        <f t="shared" si="107"/>
        <v>0</v>
      </c>
      <c r="X242" s="64">
        <f t="shared" si="107"/>
        <v>0</v>
      </c>
      <c r="Y242" s="64">
        <f t="shared" si="107"/>
        <v>0</v>
      </c>
      <c r="Z242" s="64">
        <f t="shared" si="107"/>
        <v>0</v>
      </c>
      <c r="AA242" s="64">
        <f t="shared" si="108"/>
        <v>16435756.251113247</v>
      </c>
      <c r="AB242" s="59" t="str">
        <f t="shared" si="109"/>
        <v>ok</v>
      </c>
    </row>
    <row r="243" spans="1:28" x14ac:dyDescent="0.25">
      <c r="A243" s="69" t="s">
        <v>1288</v>
      </c>
      <c r="C243" s="61" t="s">
        <v>99</v>
      </c>
      <c r="D243" s="61" t="s">
        <v>486</v>
      </c>
      <c r="E243" s="61" t="s">
        <v>1114</v>
      </c>
      <c r="F243" s="80">
        <f>VLOOKUP(C243,'Functional Assignment'!$C$2:$AP$778,'Functional Assignment'!$L$2,)</f>
        <v>0</v>
      </c>
      <c r="G243" s="80">
        <f t="shared" si="106"/>
        <v>0</v>
      </c>
      <c r="H243" s="80">
        <f t="shared" si="106"/>
        <v>0</v>
      </c>
      <c r="I243" s="80">
        <f t="shared" si="106"/>
        <v>0</v>
      </c>
      <c r="J243" s="80">
        <f t="shared" si="106"/>
        <v>0</v>
      </c>
      <c r="K243" s="80">
        <f t="shared" si="106"/>
        <v>0</v>
      </c>
      <c r="L243" s="80">
        <f t="shared" si="106"/>
        <v>0</v>
      </c>
      <c r="M243" s="80">
        <f t="shared" si="106"/>
        <v>0</v>
      </c>
      <c r="N243" s="80">
        <f t="shared" si="106"/>
        <v>0</v>
      </c>
      <c r="O243" s="80">
        <f t="shared" si="106"/>
        <v>0</v>
      </c>
      <c r="P243" s="80">
        <f t="shared" si="106"/>
        <v>0</v>
      </c>
      <c r="Q243" s="80">
        <f t="shared" si="107"/>
        <v>0</v>
      </c>
      <c r="R243" s="80">
        <f t="shared" si="107"/>
        <v>0</v>
      </c>
      <c r="S243" s="80">
        <f t="shared" si="107"/>
        <v>0</v>
      </c>
      <c r="T243" s="80">
        <f t="shared" si="107"/>
        <v>0</v>
      </c>
      <c r="U243" s="80">
        <f t="shared" si="107"/>
        <v>0</v>
      </c>
      <c r="V243" s="80">
        <f t="shared" si="107"/>
        <v>0</v>
      </c>
      <c r="W243" s="80">
        <f t="shared" si="107"/>
        <v>0</v>
      </c>
      <c r="X243" s="64">
        <f t="shared" si="107"/>
        <v>0</v>
      </c>
      <c r="Y243" s="64">
        <f t="shared" si="107"/>
        <v>0</v>
      </c>
      <c r="Z243" s="64">
        <f t="shared" si="107"/>
        <v>0</v>
      </c>
      <c r="AA243" s="64">
        <f t="shared" si="108"/>
        <v>0</v>
      </c>
      <c r="AB243" s="59" t="str">
        <f t="shared" si="109"/>
        <v>ok</v>
      </c>
    </row>
    <row r="244" spans="1:28" x14ac:dyDescent="0.25">
      <c r="A244" s="69" t="s">
        <v>1288</v>
      </c>
      <c r="C244" s="61" t="s">
        <v>99</v>
      </c>
      <c r="D244" s="61" t="s">
        <v>487</v>
      </c>
      <c r="E244" s="61" t="s">
        <v>1114</v>
      </c>
      <c r="F244" s="80">
        <f>VLOOKUP(C244,'Functional Assignment'!$C$2:$AP$778,'Functional Assignment'!$M$2,)</f>
        <v>0</v>
      </c>
      <c r="G244" s="80">
        <f t="shared" si="106"/>
        <v>0</v>
      </c>
      <c r="H244" s="80">
        <f t="shared" si="106"/>
        <v>0</v>
      </c>
      <c r="I244" s="80">
        <f t="shared" si="106"/>
        <v>0</v>
      </c>
      <c r="J244" s="80">
        <f t="shared" si="106"/>
        <v>0</v>
      </c>
      <c r="K244" s="80">
        <f t="shared" si="106"/>
        <v>0</v>
      </c>
      <c r="L244" s="80">
        <f t="shared" si="106"/>
        <v>0</v>
      </c>
      <c r="M244" s="80">
        <f t="shared" si="106"/>
        <v>0</v>
      </c>
      <c r="N244" s="80">
        <f t="shared" si="106"/>
        <v>0</v>
      </c>
      <c r="O244" s="80">
        <f t="shared" si="106"/>
        <v>0</v>
      </c>
      <c r="P244" s="80">
        <f t="shared" si="106"/>
        <v>0</v>
      </c>
      <c r="Q244" s="80">
        <f t="shared" si="107"/>
        <v>0</v>
      </c>
      <c r="R244" s="80">
        <f t="shared" si="107"/>
        <v>0</v>
      </c>
      <c r="S244" s="80">
        <f t="shared" si="107"/>
        <v>0</v>
      </c>
      <c r="T244" s="80">
        <f t="shared" si="107"/>
        <v>0</v>
      </c>
      <c r="U244" s="80">
        <f t="shared" si="107"/>
        <v>0</v>
      </c>
      <c r="V244" s="80">
        <f t="shared" si="107"/>
        <v>0</v>
      </c>
      <c r="W244" s="80">
        <f t="shared" si="107"/>
        <v>0</v>
      </c>
      <c r="X244" s="64">
        <f t="shared" si="107"/>
        <v>0</v>
      </c>
      <c r="Y244" s="64">
        <f t="shared" si="107"/>
        <v>0</v>
      </c>
      <c r="Z244" s="64">
        <f t="shared" si="107"/>
        <v>0</v>
      </c>
      <c r="AA244" s="64">
        <f t="shared" si="108"/>
        <v>0</v>
      </c>
      <c r="AB244" s="59" t="str">
        <f t="shared" si="109"/>
        <v>ok</v>
      </c>
    </row>
    <row r="245" spans="1:28" x14ac:dyDescent="0.25">
      <c r="A245" s="61" t="s">
        <v>392</v>
      </c>
      <c r="D245" s="61" t="s">
        <v>1130</v>
      </c>
      <c r="F245" s="77">
        <f>SUM(F239:F244)</f>
        <v>44759407.926601887</v>
      </c>
      <c r="G245" s="77">
        <f t="shared" ref="G245:P245" si="110">SUM(G239:G244)</f>
        <v>20008242.668599516</v>
      </c>
      <c r="H245" s="77">
        <f t="shared" si="110"/>
        <v>5409299.8114967681</v>
      </c>
      <c r="I245" s="77">
        <f t="shared" si="110"/>
        <v>0</v>
      </c>
      <c r="J245" s="77">
        <f t="shared" si="110"/>
        <v>535864.0200325381</v>
      </c>
      <c r="K245" s="77">
        <f t="shared" si="110"/>
        <v>6728982.5586034898</v>
      </c>
      <c r="L245" s="77">
        <f t="shared" si="110"/>
        <v>0</v>
      </c>
      <c r="M245" s="77">
        <f t="shared" si="110"/>
        <v>0</v>
      </c>
      <c r="N245" s="77">
        <f t="shared" si="110"/>
        <v>6018638.9023021944</v>
      </c>
      <c r="O245" s="77">
        <f>SUM(O239:O244)</f>
        <v>3425537.9934419878</v>
      </c>
      <c r="P245" s="77">
        <f t="shared" si="110"/>
        <v>1946301.1510584666</v>
      </c>
      <c r="Q245" s="77">
        <f t="shared" ref="Q245:W245" si="111">SUM(Q239:Q244)</f>
        <v>316797.97197198146</v>
      </c>
      <c r="R245" s="77">
        <f t="shared" si="111"/>
        <v>187553.06658950576</v>
      </c>
      <c r="S245" s="77">
        <f t="shared" si="111"/>
        <v>169335.07940273295</v>
      </c>
      <c r="T245" s="77">
        <f t="shared" si="111"/>
        <v>4733.9560651603797</v>
      </c>
      <c r="U245" s="77">
        <f t="shared" si="111"/>
        <v>8120.7470375492931</v>
      </c>
      <c r="V245" s="77">
        <f t="shared" si="111"/>
        <v>0</v>
      </c>
      <c r="W245" s="77">
        <f t="shared" si="111"/>
        <v>0</v>
      </c>
      <c r="X245" s="63">
        <f>SUM(X239:X244)</f>
        <v>0</v>
      </c>
      <c r="Y245" s="63">
        <f>SUM(Y239:Y244)</f>
        <v>0</v>
      </c>
      <c r="Z245" s="63">
        <f>SUM(Z239:Z244)</f>
        <v>0</v>
      </c>
      <c r="AA245" s="65">
        <f t="shared" si="108"/>
        <v>44759407.926601887</v>
      </c>
      <c r="AB245" s="59" t="str">
        <f t="shared" si="109"/>
        <v>ok</v>
      </c>
    </row>
    <row r="246" spans="1:28" x14ac:dyDescent="0.25">
      <c r="F246" s="80"/>
      <c r="G246" s="80"/>
    </row>
    <row r="247" spans="1:28" x14ac:dyDescent="0.25">
      <c r="A247" s="66" t="s">
        <v>1154</v>
      </c>
      <c r="F247" s="80"/>
      <c r="G247" s="80"/>
    </row>
    <row r="248" spans="1:28" x14ac:dyDescent="0.25">
      <c r="A248" s="69" t="s">
        <v>362</v>
      </c>
      <c r="C248" s="61" t="s">
        <v>99</v>
      </c>
      <c r="D248" s="61" t="s">
        <v>488</v>
      </c>
      <c r="E248" s="61" t="s">
        <v>1399</v>
      </c>
      <c r="F248" s="77">
        <f>VLOOKUP(C248,'Functional Assignment'!$C$2:$AP$778,'Functional Assignment'!$N$2,)</f>
        <v>1520828.7802882479</v>
      </c>
      <c r="G248" s="77">
        <f t="shared" ref="G248:P250" si="112">IF(VLOOKUP($E248,$D$6:$AN$1141,3,)=0,0,(VLOOKUP($E248,$D$6:$AN$1141,G$2,)/VLOOKUP($E248,$D$6:$AN$1141,3,))*$F248)</f>
        <v>759286.3831941837</v>
      </c>
      <c r="H248" s="77">
        <f t="shared" si="112"/>
        <v>188203.21867223771</v>
      </c>
      <c r="I248" s="77">
        <f t="shared" si="112"/>
        <v>0</v>
      </c>
      <c r="J248" s="77">
        <f t="shared" si="112"/>
        <v>16997.685006922351</v>
      </c>
      <c r="K248" s="77">
        <f t="shared" si="112"/>
        <v>216160.66249160428</v>
      </c>
      <c r="L248" s="77">
        <f t="shared" si="112"/>
        <v>0</v>
      </c>
      <c r="M248" s="77">
        <f t="shared" si="112"/>
        <v>0</v>
      </c>
      <c r="N248" s="77">
        <f t="shared" si="112"/>
        <v>175525.93917623008</v>
      </c>
      <c r="O248" s="77">
        <f t="shared" si="112"/>
        <v>107116.58393641045</v>
      </c>
      <c r="P248" s="77">
        <f t="shared" si="112"/>
        <v>42350.908637458699</v>
      </c>
      <c r="Q248" s="77">
        <f t="shared" ref="Q248:Z250" si="113">IF(VLOOKUP($E248,$D$6:$AN$1141,3,)=0,0,(VLOOKUP($E248,$D$6:$AN$1141,Q$2,)/VLOOKUP($E248,$D$6:$AN$1141,3,))*$F248)</f>
        <v>9070.3258744983286</v>
      </c>
      <c r="R248" s="77">
        <f t="shared" si="113"/>
        <v>5910.1901755661029</v>
      </c>
      <c r="S248" s="77">
        <f t="shared" si="113"/>
        <v>0</v>
      </c>
      <c r="T248" s="77">
        <f t="shared" si="113"/>
        <v>0</v>
      </c>
      <c r="U248" s="77">
        <f t="shared" si="113"/>
        <v>206.88312313651588</v>
      </c>
      <c r="V248" s="77">
        <f t="shared" si="113"/>
        <v>0</v>
      </c>
      <c r="W248" s="77">
        <f t="shared" si="113"/>
        <v>0</v>
      </c>
      <c r="X248" s="63">
        <f t="shared" si="113"/>
        <v>0</v>
      </c>
      <c r="Y248" s="63">
        <f t="shared" si="113"/>
        <v>0</v>
      </c>
      <c r="Z248" s="63">
        <f t="shared" si="113"/>
        <v>0</v>
      </c>
      <c r="AA248" s="65">
        <f>SUM(G248:Z248)</f>
        <v>1520828.7802882483</v>
      </c>
      <c r="AB248" s="59" t="str">
        <f>IF(ABS(F248-AA248)&lt;0.01,"ok","err")</f>
        <v>ok</v>
      </c>
    </row>
    <row r="249" spans="1:28" x14ac:dyDescent="0.25">
      <c r="A249" s="69" t="s">
        <v>364</v>
      </c>
      <c r="C249" s="61" t="s">
        <v>99</v>
      </c>
      <c r="D249" s="61" t="s">
        <v>489</v>
      </c>
      <c r="E249" s="61" t="s">
        <v>1399</v>
      </c>
      <c r="F249" s="80">
        <f>VLOOKUP(C249,'Functional Assignment'!$C$2:$AP$778,'Functional Assignment'!$O$2,)</f>
        <v>1481993.0255541997</v>
      </c>
      <c r="G249" s="80">
        <f t="shared" si="112"/>
        <v>739897.3105169537</v>
      </c>
      <c r="H249" s="80">
        <f t="shared" si="112"/>
        <v>183397.27724395401</v>
      </c>
      <c r="I249" s="80">
        <f t="shared" si="112"/>
        <v>0</v>
      </c>
      <c r="J249" s="80">
        <f t="shared" si="112"/>
        <v>16563.633564359352</v>
      </c>
      <c r="K249" s="80">
        <f t="shared" si="112"/>
        <v>210640.80214934915</v>
      </c>
      <c r="L249" s="80">
        <f t="shared" si="112"/>
        <v>0</v>
      </c>
      <c r="M249" s="80">
        <f t="shared" si="112"/>
        <v>0</v>
      </c>
      <c r="N249" s="80">
        <f t="shared" si="112"/>
        <v>171043.72368184713</v>
      </c>
      <c r="O249" s="80">
        <f t="shared" si="112"/>
        <v>104381.26393482876</v>
      </c>
      <c r="P249" s="80">
        <f t="shared" si="112"/>
        <v>41269.439426771685</v>
      </c>
      <c r="Q249" s="80">
        <f t="shared" si="113"/>
        <v>8838.7068023282554</v>
      </c>
      <c r="R249" s="80">
        <f t="shared" si="113"/>
        <v>5759.2680605556516</v>
      </c>
      <c r="S249" s="80">
        <f t="shared" si="113"/>
        <v>0</v>
      </c>
      <c r="T249" s="80">
        <f t="shared" si="113"/>
        <v>0</v>
      </c>
      <c r="U249" s="80">
        <f t="shared" si="113"/>
        <v>201.60017325229498</v>
      </c>
      <c r="V249" s="80">
        <f t="shared" si="113"/>
        <v>0</v>
      </c>
      <c r="W249" s="80">
        <f t="shared" si="113"/>
        <v>0</v>
      </c>
      <c r="X249" s="64">
        <f t="shared" si="113"/>
        <v>0</v>
      </c>
      <c r="Y249" s="64">
        <f t="shared" si="113"/>
        <v>0</v>
      </c>
      <c r="Z249" s="64">
        <f t="shared" si="113"/>
        <v>0</v>
      </c>
      <c r="AA249" s="64">
        <f>SUM(G249:Z249)</f>
        <v>1481993.0255542002</v>
      </c>
      <c r="AB249" s="59" t="str">
        <f>IF(ABS(F249-AA249)&lt;0.01,"ok","err")</f>
        <v>ok</v>
      </c>
    </row>
    <row r="250" spans="1:28" x14ac:dyDescent="0.25">
      <c r="A250" s="69" t="s">
        <v>363</v>
      </c>
      <c r="C250" s="61" t="s">
        <v>99</v>
      </c>
      <c r="D250" s="61" t="s">
        <v>490</v>
      </c>
      <c r="E250" s="61" t="s">
        <v>1399</v>
      </c>
      <c r="F250" s="80">
        <f>VLOOKUP(C250,'Functional Assignment'!$C$2:$AP$778,'Functional Assignment'!$P$2,)</f>
        <v>1343655.5069451258</v>
      </c>
      <c r="G250" s="80">
        <f t="shared" si="112"/>
        <v>670831.15689982288</v>
      </c>
      <c r="H250" s="80">
        <f t="shared" si="112"/>
        <v>166277.94954394581</v>
      </c>
      <c r="I250" s="80">
        <f t="shared" si="112"/>
        <v>0</v>
      </c>
      <c r="J250" s="80">
        <f t="shared" si="112"/>
        <v>15017.49135792989</v>
      </c>
      <c r="K250" s="80">
        <f t="shared" si="112"/>
        <v>190978.41144662033</v>
      </c>
      <c r="L250" s="80">
        <f t="shared" si="112"/>
        <v>0</v>
      </c>
      <c r="M250" s="80">
        <f t="shared" si="112"/>
        <v>0</v>
      </c>
      <c r="N250" s="80">
        <f t="shared" si="112"/>
        <v>155077.54577156014</v>
      </c>
      <c r="O250" s="80">
        <f t="shared" si="112"/>
        <v>94637.732897209222</v>
      </c>
      <c r="P250" s="80">
        <f t="shared" si="112"/>
        <v>37417.119107954983</v>
      </c>
      <c r="Q250" s="80">
        <f t="shared" si="113"/>
        <v>8013.6524696400247</v>
      </c>
      <c r="R250" s="80">
        <f t="shared" si="113"/>
        <v>5221.6657650226998</v>
      </c>
      <c r="S250" s="80">
        <f t="shared" si="113"/>
        <v>0</v>
      </c>
      <c r="T250" s="80">
        <f t="shared" si="113"/>
        <v>0</v>
      </c>
      <c r="U250" s="80">
        <f t="shared" si="113"/>
        <v>182.78168542003769</v>
      </c>
      <c r="V250" s="80">
        <f t="shared" si="113"/>
        <v>0</v>
      </c>
      <c r="W250" s="80">
        <f t="shared" si="113"/>
        <v>0</v>
      </c>
      <c r="X250" s="64">
        <f t="shared" si="113"/>
        <v>0</v>
      </c>
      <c r="Y250" s="64">
        <f t="shared" si="113"/>
        <v>0</v>
      </c>
      <c r="Z250" s="64">
        <f t="shared" si="113"/>
        <v>0</v>
      </c>
      <c r="AA250" s="64">
        <f>SUM(G250:Z250)</f>
        <v>1343655.506945126</v>
      </c>
      <c r="AB250" s="59" t="str">
        <f>IF(ABS(F250-AA250)&lt;0.01,"ok","err")</f>
        <v>ok</v>
      </c>
    </row>
    <row r="251" spans="1:28" x14ac:dyDescent="0.25">
      <c r="A251" s="61" t="s">
        <v>1156</v>
      </c>
      <c r="D251" s="61" t="s">
        <v>491</v>
      </c>
      <c r="F251" s="77">
        <f>SUM(F248:F250)</f>
        <v>4346477.3127875738</v>
      </c>
      <c r="G251" s="77">
        <f t="shared" ref="G251:W251" si="114">SUM(G248:G250)</f>
        <v>2170014.8506109603</v>
      </c>
      <c r="H251" s="77">
        <f t="shared" si="114"/>
        <v>537878.44546013756</v>
      </c>
      <c r="I251" s="77">
        <f t="shared" si="114"/>
        <v>0</v>
      </c>
      <c r="J251" s="77">
        <f t="shared" si="114"/>
        <v>48578.809929211595</v>
      </c>
      <c r="K251" s="77">
        <f t="shared" si="114"/>
        <v>617779.87608757382</v>
      </c>
      <c r="L251" s="77">
        <f t="shared" si="114"/>
        <v>0</v>
      </c>
      <c r="M251" s="77">
        <f t="shared" si="114"/>
        <v>0</v>
      </c>
      <c r="N251" s="77">
        <f t="shared" si="114"/>
        <v>501647.20862963737</v>
      </c>
      <c r="O251" s="77">
        <f>SUM(O248:O250)</f>
        <v>306135.58076844842</v>
      </c>
      <c r="P251" s="77">
        <f t="shared" si="114"/>
        <v>121037.46717218537</v>
      </c>
      <c r="Q251" s="77">
        <f t="shared" si="114"/>
        <v>25922.685146466611</v>
      </c>
      <c r="R251" s="77">
        <f t="shared" si="114"/>
        <v>16891.124001144453</v>
      </c>
      <c r="S251" s="77">
        <f t="shared" si="114"/>
        <v>0</v>
      </c>
      <c r="T251" s="77">
        <f t="shared" si="114"/>
        <v>0</v>
      </c>
      <c r="U251" s="77">
        <f t="shared" si="114"/>
        <v>591.26498180884857</v>
      </c>
      <c r="V251" s="77">
        <f t="shared" si="114"/>
        <v>0</v>
      </c>
      <c r="W251" s="77">
        <f t="shared" si="114"/>
        <v>0</v>
      </c>
      <c r="X251" s="63">
        <f>SUM(X248:X250)</f>
        <v>0</v>
      </c>
      <c r="Y251" s="63">
        <f>SUM(Y248:Y250)</f>
        <v>0</v>
      </c>
      <c r="Z251" s="63">
        <f>SUM(Z248:Z250)</f>
        <v>0</v>
      </c>
      <c r="AA251" s="65">
        <f>SUM(G251:Z251)</f>
        <v>4346477.3127875747</v>
      </c>
      <c r="AB251" s="59" t="str">
        <f>IF(ABS(F251-AA251)&lt;0.01,"ok","err")</f>
        <v>ok</v>
      </c>
    </row>
    <row r="252" spans="1:28" x14ac:dyDescent="0.25">
      <c r="F252" s="80"/>
      <c r="G252" s="80"/>
    </row>
    <row r="253" spans="1:28" x14ac:dyDescent="0.25">
      <c r="A253" s="66" t="s">
        <v>350</v>
      </c>
      <c r="F253" s="80"/>
      <c r="G253" s="80"/>
    </row>
    <row r="254" spans="1:28" x14ac:dyDescent="0.25">
      <c r="A254" s="69" t="s">
        <v>377</v>
      </c>
      <c r="C254" s="61" t="s">
        <v>99</v>
      </c>
      <c r="D254" s="61" t="s">
        <v>492</v>
      </c>
      <c r="E254" s="61" t="s">
        <v>133</v>
      </c>
      <c r="F254" s="77">
        <f>VLOOKUP(C254,'Functional Assignment'!$C$2:$AP$778,'Functional Assignment'!$Q$2,)</f>
        <v>0</v>
      </c>
      <c r="G254" s="77">
        <f t="shared" ref="G254:Z254" si="115">IF(VLOOKUP($E254,$D$6:$AN$1141,3,)=0,0,(VLOOKUP($E254,$D$6:$AN$1141,G$2,)/VLOOKUP($E254,$D$6:$AN$1141,3,))*$F254)</f>
        <v>0</v>
      </c>
      <c r="H254" s="77">
        <f t="shared" si="115"/>
        <v>0</v>
      </c>
      <c r="I254" s="77">
        <f t="shared" si="115"/>
        <v>0</v>
      </c>
      <c r="J254" s="77">
        <f t="shared" si="115"/>
        <v>0</v>
      </c>
      <c r="K254" s="77">
        <f t="shared" si="115"/>
        <v>0</v>
      </c>
      <c r="L254" s="77">
        <f t="shared" si="115"/>
        <v>0</v>
      </c>
      <c r="M254" s="77">
        <f t="shared" si="115"/>
        <v>0</v>
      </c>
      <c r="N254" s="77">
        <f t="shared" si="115"/>
        <v>0</v>
      </c>
      <c r="O254" s="77">
        <f t="shared" si="115"/>
        <v>0</v>
      </c>
      <c r="P254" s="77">
        <f t="shared" si="115"/>
        <v>0</v>
      </c>
      <c r="Q254" s="77">
        <f t="shared" si="115"/>
        <v>0</v>
      </c>
      <c r="R254" s="77">
        <f t="shared" si="115"/>
        <v>0</v>
      </c>
      <c r="S254" s="77">
        <f t="shared" si="115"/>
        <v>0</v>
      </c>
      <c r="T254" s="77">
        <f t="shared" si="115"/>
        <v>0</v>
      </c>
      <c r="U254" s="77">
        <f t="shared" si="115"/>
        <v>0</v>
      </c>
      <c r="V254" s="77">
        <f t="shared" si="115"/>
        <v>0</v>
      </c>
      <c r="W254" s="77">
        <f t="shared" si="115"/>
        <v>0</v>
      </c>
      <c r="X254" s="63">
        <f t="shared" si="115"/>
        <v>0</v>
      </c>
      <c r="Y254" s="63">
        <f t="shared" si="115"/>
        <v>0</v>
      </c>
      <c r="Z254" s="63">
        <f t="shared" si="115"/>
        <v>0</v>
      </c>
      <c r="AA254" s="65">
        <f>SUM(G254:Z254)</f>
        <v>0</v>
      </c>
      <c r="AB254" s="59" t="str">
        <f>IF(ABS(F254-AA254)&lt;0.01,"ok","err")</f>
        <v>ok</v>
      </c>
    </row>
    <row r="255" spans="1:28" x14ac:dyDescent="0.25">
      <c r="F255" s="80"/>
    </row>
    <row r="256" spans="1:28" x14ac:dyDescent="0.25">
      <c r="A256" s="66" t="s">
        <v>351</v>
      </c>
      <c r="F256" s="80"/>
      <c r="G256" s="80"/>
    </row>
    <row r="257" spans="1:28" x14ac:dyDescent="0.25">
      <c r="A257" s="69" t="s">
        <v>379</v>
      </c>
      <c r="C257" s="61" t="s">
        <v>99</v>
      </c>
      <c r="D257" s="61" t="s">
        <v>493</v>
      </c>
      <c r="E257" s="61" t="s">
        <v>133</v>
      </c>
      <c r="F257" s="77">
        <f>VLOOKUP(C257,'Functional Assignment'!$C$2:$AP$778,'Functional Assignment'!$R$2,)</f>
        <v>2350322.1174450452</v>
      </c>
      <c r="G257" s="77">
        <f t="shared" ref="G257:Z257" si="116">IF(VLOOKUP($E257,$D$6:$AN$1141,3,)=0,0,(VLOOKUP($E257,$D$6:$AN$1141,G$2,)/VLOOKUP($E257,$D$6:$AN$1141,3,))*$F257)</f>
        <v>1128449.7756895535</v>
      </c>
      <c r="H257" s="77">
        <f t="shared" si="116"/>
        <v>313951.57073662826</v>
      </c>
      <c r="I257" s="77">
        <f t="shared" si="116"/>
        <v>0</v>
      </c>
      <c r="J257" s="77">
        <f t="shared" si="116"/>
        <v>26462.393190991246</v>
      </c>
      <c r="K257" s="77">
        <f t="shared" si="116"/>
        <v>333373.62769666692</v>
      </c>
      <c r="L257" s="77">
        <f t="shared" si="116"/>
        <v>0</v>
      </c>
      <c r="M257" s="77">
        <f t="shared" si="116"/>
        <v>0</v>
      </c>
      <c r="N257" s="77">
        <f t="shared" si="116"/>
        <v>321107.37610381562</v>
      </c>
      <c r="O257" s="77">
        <f t="shared" si="116"/>
        <v>168230.99126335388</v>
      </c>
      <c r="P257" s="77">
        <f t="shared" si="116"/>
        <v>0</v>
      </c>
      <c r="Q257" s="77">
        <f t="shared" si="116"/>
        <v>18637.42062552644</v>
      </c>
      <c r="R257" s="77">
        <f t="shared" si="116"/>
        <v>9604.4369874735094</v>
      </c>
      <c r="S257" s="77">
        <f t="shared" si="116"/>
        <v>29332.018411872563</v>
      </c>
      <c r="T257" s="77">
        <f t="shared" si="116"/>
        <v>848.50947120672629</v>
      </c>
      <c r="U257" s="77">
        <f t="shared" si="116"/>
        <v>323.99726795676719</v>
      </c>
      <c r="V257" s="77">
        <f t="shared" si="116"/>
        <v>0</v>
      </c>
      <c r="W257" s="77">
        <f t="shared" si="116"/>
        <v>0</v>
      </c>
      <c r="X257" s="63">
        <f t="shared" si="116"/>
        <v>0</v>
      </c>
      <c r="Y257" s="63">
        <f t="shared" si="116"/>
        <v>0</v>
      </c>
      <c r="Z257" s="63">
        <f t="shared" si="116"/>
        <v>0</v>
      </c>
      <c r="AA257" s="65">
        <f>SUM(G257:Z257)</f>
        <v>2350322.1174450452</v>
      </c>
      <c r="AB257" s="59" t="str">
        <f>IF(ABS(F257-AA257)&lt;0.01,"ok","err")</f>
        <v>ok</v>
      </c>
    </row>
    <row r="258" spans="1:28" x14ac:dyDescent="0.25">
      <c r="F258" s="80"/>
    </row>
    <row r="259" spans="1:28" x14ac:dyDescent="0.25">
      <c r="A259" s="66" t="s">
        <v>378</v>
      </c>
      <c r="F259" s="80"/>
    </row>
    <row r="260" spans="1:28" x14ac:dyDescent="0.25">
      <c r="A260" s="69" t="s">
        <v>629</v>
      </c>
      <c r="C260" s="61" t="s">
        <v>99</v>
      </c>
      <c r="D260" s="61" t="s">
        <v>494</v>
      </c>
      <c r="E260" s="61" t="s">
        <v>133</v>
      </c>
      <c r="F260" s="77">
        <f>VLOOKUP(C260,'Functional Assignment'!$C$2:$AP$778,'Functional Assignment'!$S$2,)</f>
        <v>0</v>
      </c>
      <c r="G260" s="77">
        <f t="shared" ref="G260:P264" si="117">IF(VLOOKUP($E260,$D$6:$AN$1141,3,)=0,0,(VLOOKUP($E260,$D$6:$AN$1141,G$2,)/VLOOKUP($E260,$D$6:$AN$1141,3,))*$F260)</f>
        <v>0</v>
      </c>
      <c r="H260" s="77">
        <f t="shared" si="117"/>
        <v>0</v>
      </c>
      <c r="I260" s="77">
        <f t="shared" si="117"/>
        <v>0</v>
      </c>
      <c r="J260" s="77">
        <f t="shared" si="117"/>
        <v>0</v>
      </c>
      <c r="K260" s="77">
        <f t="shared" si="117"/>
        <v>0</v>
      </c>
      <c r="L260" s="77">
        <f t="shared" si="117"/>
        <v>0</v>
      </c>
      <c r="M260" s="77">
        <f t="shared" si="117"/>
        <v>0</v>
      </c>
      <c r="N260" s="77">
        <f t="shared" si="117"/>
        <v>0</v>
      </c>
      <c r="O260" s="77">
        <f t="shared" si="117"/>
        <v>0</v>
      </c>
      <c r="P260" s="77">
        <f t="shared" si="117"/>
        <v>0</v>
      </c>
      <c r="Q260" s="77">
        <f t="shared" ref="Q260:Z264" si="118">IF(VLOOKUP($E260,$D$6:$AN$1141,3,)=0,0,(VLOOKUP($E260,$D$6:$AN$1141,Q$2,)/VLOOKUP($E260,$D$6:$AN$1141,3,))*$F260)</f>
        <v>0</v>
      </c>
      <c r="R260" s="77">
        <f t="shared" si="118"/>
        <v>0</v>
      </c>
      <c r="S260" s="77">
        <f t="shared" si="118"/>
        <v>0</v>
      </c>
      <c r="T260" s="77">
        <f t="shared" si="118"/>
        <v>0</v>
      </c>
      <c r="U260" s="77">
        <f t="shared" si="118"/>
        <v>0</v>
      </c>
      <c r="V260" s="77">
        <f t="shared" si="118"/>
        <v>0</v>
      </c>
      <c r="W260" s="77">
        <f t="shared" si="118"/>
        <v>0</v>
      </c>
      <c r="X260" s="63">
        <f t="shared" si="118"/>
        <v>0</v>
      </c>
      <c r="Y260" s="63">
        <f t="shared" si="118"/>
        <v>0</v>
      </c>
      <c r="Z260" s="63">
        <f t="shared" si="118"/>
        <v>0</v>
      </c>
      <c r="AA260" s="65">
        <f t="shared" ref="AA260:AA265" si="119">SUM(G260:Z260)</f>
        <v>0</v>
      </c>
      <c r="AB260" s="59" t="str">
        <f t="shared" ref="AB260:AB265" si="120">IF(ABS(F260-AA260)&lt;0.01,"ok","err")</f>
        <v>ok</v>
      </c>
    </row>
    <row r="261" spans="1:28" x14ac:dyDescent="0.25">
      <c r="A261" s="69" t="s">
        <v>630</v>
      </c>
      <c r="C261" s="61" t="s">
        <v>99</v>
      </c>
      <c r="D261" s="61" t="s">
        <v>495</v>
      </c>
      <c r="E261" s="61" t="s">
        <v>133</v>
      </c>
      <c r="F261" s="80">
        <f>VLOOKUP(C261,'Functional Assignment'!$C$2:$AP$778,'Functional Assignment'!$T$2,)</f>
        <v>2563904.8298627287</v>
      </c>
      <c r="G261" s="80">
        <f t="shared" si="117"/>
        <v>1230996.2998999895</v>
      </c>
      <c r="H261" s="80">
        <f t="shared" si="117"/>
        <v>342481.54437216301</v>
      </c>
      <c r="I261" s="80">
        <f t="shared" si="117"/>
        <v>0</v>
      </c>
      <c r="J261" s="80">
        <f t="shared" si="117"/>
        <v>28867.131534235512</v>
      </c>
      <c r="K261" s="80">
        <f t="shared" si="117"/>
        <v>363668.55753776431</v>
      </c>
      <c r="L261" s="80">
        <f t="shared" si="117"/>
        <v>0</v>
      </c>
      <c r="M261" s="80">
        <f t="shared" si="117"/>
        <v>0</v>
      </c>
      <c r="N261" s="80">
        <f t="shared" si="117"/>
        <v>350287.62499673438</v>
      </c>
      <c r="O261" s="80">
        <f t="shared" si="117"/>
        <v>183518.78146030032</v>
      </c>
      <c r="P261" s="80">
        <f t="shared" si="117"/>
        <v>0</v>
      </c>
      <c r="Q261" s="80">
        <f t="shared" si="118"/>
        <v>20331.073942288156</v>
      </c>
      <c r="R261" s="80">
        <f t="shared" si="118"/>
        <v>10477.228715808713</v>
      </c>
      <c r="S261" s="80">
        <f t="shared" si="118"/>
        <v>31997.530516189327</v>
      </c>
      <c r="T261" s="80">
        <f t="shared" si="118"/>
        <v>925.61675493915038</v>
      </c>
      <c r="U261" s="80">
        <f t="shared" si="118"/>
        <v>353.44013231671738</v>
      </c>
      <c r="V261" s="80">
        <f t="shared" si="118"/>
        <v>0</v>
      </c>
      <c r="W261" s="80">
        <f t="shared" si="118"/>
        <v>0</v>
      </c>
      <c r="X261" s="64">
        <f t="shared" si="118"/>
        <v>0</v>
      </c>
      <c r="Y261" s="64">
        <f t="shared" si="118"/>
        <v>0</v>
      </c>
      <c r="Z261" s="64">
        <f t="shared" si="118"/>
        <v>0</v>
      </c>
      <c r="AA261" s="64">
        <f t="shared" si="119"/>
        <v>2563904.8298627296</v>
      </c>
      <c r="AB261" s="59" t="str">
        <f t="shared" si="120"/>
        <v>ok</v>
      </c>
    </row>
    <row r="262" spans="1:28" x14ac:dyDescent="0.25">
      <c r="A262" s="69" t="s">
        <v>631</v>
      </c>
      <c r="C262" s="61" t="s">
        <v>99</v>
      </c>
      <c r="D262" s="61" t="s">
        <v>496</v>
      </c>
      <c r="E262" s="61" t="s">
        <v>707</v>
      </c>
      <c r="F262" s="80">
        <f>VLOOKUP(C262,'Functional Assignment'!$C$2:$AP$778,'Functional Assignment'!$U$2,)</f>
        <v>3764695.0718248351</v>
      </c>
      <c r="G262" s="80">
        <f t="shared" si="117"/>
        <v>3238948.8155891276</v>
      </c>
      <c r="H262" s="80">
        <f t="shared" si="117"/>
        <v>399561.25820901425</v>
      </c>
      <c r="I262" s="80">
        <f t="shared" si="117"/>
        <v>0</v>
      </c>
      <c r="J262" s="80">
        <f t="shared" si="117"/>
        <v>654.02706091727202</v>
      </c>
      <c r="K262" s="80">
        <f t="shared" si="117"/>
        <v>25045.652723208685</v>
      </c>
      <c r="L262" s="80">
        <f t="shared" si="117"/>
        <v>0</v>
      </c>
      <c r="M262" s="80">
        <f t="shared" si="117"/>
        <v>0</v>
      </c>
      <c r="N262" s="80">
        <f t="shared" si="117"/>
        <v>982.53380384375566</v>
      </c>
      <c r="O262" s="80">
        <f t="shared" si="117"/>
        <v>2859.5018759282557</v>
      </c>
      <c r="P262" s="80">
        <f t="shared" si="117"/>
        <v>0</v>
      </c>
      <c r="Q262" s="80">
        <f t="shared" si="118"/>
        <v>8.9592748070859169</v>
      </c>
      <c r="R262" s="80">
        <f t="shared" si="118"/>
        <v>17.918549614171834</v>
      </c>
      <c r="S262" s="80">
        <f t="shared" si="118"/>
        <v>95560.205786115897</v>
      </c>
      <c r="T262" s="80">
        <f t="shared" si="118"/>
        <v>155.29409665615589</v>
      </c>
      <c r="U262" s="80">
        <f t="shared" si="118"/>
        <v>900.90485560141735</v>
      </c>
      <c r="V262" s="80">
        <f t="shared" si="118"/>
        <v>0</v>
      </c>
      <c r="W262" s="80">
        <f t="shared" si="118"/>
        <v>0</v>
      </c>
      <c r="X262" s="64">
        <f t="shared" si="118"/>
        <v>0</v>
      </c>
      <c r="Y262" s="64">
        <f t="shared" si="118"/>
        <v>0</v>
      </c>
      <c r="Z262" s="64">
        <f t="shared" si="118"/>
        <v>0</v>
      </c>
      <c r="AA262" s="64">
        <f t="shared" si="119"/>
        <v>3764695.0718248342</v>
      </c>
      <c r="AB262" s="59" t="str">
        <f t="shared" si="120"/>
        <v>ok</v>
      </c>
    </row>
    <row r="263" spans="1:28" x14ac:dyDescent="0.25">
      <c r="A263" s="69" t="s">
        <v>632</v>
      </c>
      <c r="C263" s="61" t="s">
        <v>99</v>
      </c>
      <c r="D263" s="61" t="s">
        <v>497</v>
      </c>
      <c r="E263" s="61" t="s">
        <v>685</v>
      </c>
      <c r="F263" s="80">
        <f>VLOOKUP(C263,'Functional Assignment'!$C$2:$AP$778,'Functional Assignment'!$V$2,)</f>
        <v>854634.94328757632</v>
      </c>
      <c r="G263" s="80">
        <f t="shared" si="117"/>
        <v>724682.8732501592</v>
      </c>
      <c r="H263" s="80">
        <f t="shared" si="117"/>
        <v>121627.84786535859</v>
      </c>
      <c r="I263" s="80">
        <f t="shared" si="117"/>
        <v>0</v>
      </c>
      <c r="J263" s="80">
        <f t="shared" si="117"/>
        <v>0</v>
      </c>
      <c r="K263" s="80">
        <f t="shared" si="117"/>
        <v>0</v>
      </c>
      <c r="L263" s="80">
        <f t="shared" si="117"/>
        <v>0</v>
      </c>
      <c r="M263" s="80">
        <f t="shared" si="117"/>
        <v>0</v>
      </c>
      <c r="N263" s="80">
        <f t="shared" si="117"/>
        <v>0</v>
      </c>
      <c r="O263" s="80">
        <f t="shared" si="117"/>
        <v>0</v>
      </c>
      <c r="P263" s="80">
        <f t="shared" si="117"/>
        <v>0</v>
      </c>
      <c r="Q263" s="80">
        <f t="shared" si="118"/>
        <v>0</v>
      </c>
      <c r="R263" s="80">
        <f t="shared" si="118"/>
        <v>0</v>
      </c>
      <c r="S263" s="80">
        <f t="shared" si="118"/>
        <v>8004.2628694071891</v>
      </c>
      <c r="T263" s="80">
        <f t="shared" si="118"/>
        <v>231.54536313707246</v>
      </c>
      <c r="U263" s="80">
        <f t="shared" si="118"/>
        <v>88.413939514166671</v>
      </c>
      <c r="V263" s="80">
        <f t="shared" si="118"/>
        <v>0</v>
      </c>
      <c r="W263" s="80">
        <f t="shared" si="118"/>
        <v>0</v>
      </c>
      <c r="X263" s="64">
        <f t="shared" si="118"/>
        <v>0</v>
      </c>
      <c r="Y263" s="64">
        <f t="shared" si="118"/>
        <v>0</v>
      </c>
      <c r="Z263" s="64">
        <f t="shared" si="118"/>
        <v>0</v>
      </c>
      <c r="AA263" s="64">
        <f t="shared" si="119"/>
        <v>854634.9432875762</v>
      </c>
      <c r="AB263" s="59" t="str">
        <f t="shared" si="120"/>
        <v>ok</v>
      </c>
    </row>
    <row r="264" spans="1:28" x14ac:dyDescent="0.25">
      <c r="A264" s="69" t="s">
        <v>633</v>
      </c>
      <c r="C264" s="61" t="s">
        <v>99</v>
      </c>
      <c r="D264" s="61" t="s">
        <v>498</v>
      </c>
      <c r="E264" s="61" t="s">
        <v>706</v>
      </c>
      <c r="F264" s="80">
        <f>VLOOKUP(C264,'Functional Assignment'!$C$2:$AP$778,'Functional Assignment'!$W$2,)</f>
        <v>1254898.3572749449</v>
      </c>
      <c r="G264" s="80">
        <f t="shared" si="117"/>
        <v>1088196.4965140843</v>
      </c>
      <c r="H264" s="80">
        <f t="shared" si="117"/>
        <v>134241.44254243898</v>
      </c>
      <c r="I264" s="80">
        <f t="shared" si="117"/>
        <v>0</v>
      </c>
      <c r="J264" s="80">
        <f t="shared" si="117"/>
        <v>0</v>
      </c>
      <c r="K264" s="80">
        <f t="shared" si="117"/>
        <v>0</v>
      </c>
      <c r="L264" s="80">
        <f t="shared" si="117"/>
        <v>0</v>
      </c>
      <c r="M264" s="80">
        <f t="shared" si="117"/>
        <v>0</v>
      </c>
      <c r="N264" s="80">
        <f t="shared" si="117"/>
        <v>0</v>
      </c>
      <c r="O264" s="80">
        <f t="shared" si="117"/>
        <v>0</v>
      </c>
      <c r="P264" s="80">
        <f t="shared" si="117"/>
        <v>0</v>
      </c>
      <c r="Q264" s="80">
        <f t="shared" si="118"/>
        <v>0</v>
      </c>
      <c r="R264" s="80">
        <f t="shared" si="118"/>
        <v>0</v>
      </c>
      <c r="S264" s="80">
        <f t="shared" si="118"/>
        <v>32105.564818473969</v>
      </c>
      <c r="T264" s="80">
        <f t="shared" si="118"/>
        <v>52.174486702967847</v>
      </c>
      <c r="U264" s="80">
        <f t="shared" si="118"/>
        <v>302.67891324478148</v>
      </c>
      <c r="V264" s="80">
        <f t="shared" si="118"/>
        <v>0</v>
      </c>
      <c r="W264" s="80">
        <f t="shared" si="118"/>
        <v>0</v>
      </c>
      <c r="X264" s="64">
        <f t="shared" si="118"/>
        <v>0</v>
      </c>
      <c r="Y264" s="64">
        <f t="shared" si="118"/>
        <v>0</v>
      </c>
      <c r="Z264" s="64">
        <f t="shared" si="118"/>
        <v>0</v>
      </c>
      <c r="AA264" s="64">
        <f t="shared" si="119"/>
        <v>1254898.3572749449</v>
      </c>
      <c r="AB264" s="59" t="str">
        <f t="shared" si="120"/>
        <v>ok</v>
      </c>
    </row>
    <row r="265" spans="1:28" x14ac:dyDescent="0.25">
      <c r="A265" s="61" t="s">
        <v>383</v>
      </c>
      <c r="D265" s="61" t="s">
        <v>499</v>
      </c>
      <c r="F265" s="77">
        <f>SUM(F260:F264)</f>
        <v>8438133.2022500858</v>
      </c>
      <c r="G265" s="77">
        <f t="shared" ref="G265:W265" si="121">SUM(G260:G264)</f>
        <v>6282824.4852533601</v>
      </c>
      <c r="H265" s="77">
        <f t="shared" si="121"/>
        <v>997912.09298897488</v>
      </c>
      <c r="I265" s="77">
        <f t="shared" si="121"/>
        <v>0</v>
      </c>
      <c r="J265" s="77">
        <f t="shared" si="121"/>
        <v>29521.158595152785</v>
      </c>
      <c r="K265" s="77">
        <f t="shared" si="121"/>
        <v>388714.21026097302</v>
      </c>
      <c r="L265" s="77">
        <f t="shared" si="121"/>
        <v>0</v>
      </c>
      <c r="M265" s="77">
        <f t="shared" si="121"/>
        <v>0</v>
      </c>
      <c r="N265" s="77">
        <f t="shared" si="121"/>
        <v>351270.15880057815</v>
      </c>
      <c r="O265" s="77">
        <f>SUM(O260:O264)</f>
        <v>186378.28333622857</v>
      </c>
      <c r="P265" s="77">
        <f t="shared" si="121"/>
        <v>0</v>
      </c>
      <c r="Q265" s="77">
        <f t="shared" si="121"/>
        <v>20340.033217095242</v>
      </c>
      <c r="R265" s="77">
        <f t="shared" si="121"/>
        <v>10495.147265422886</v>
      </c>
      <c r="S265" s="77">
        <f t="shared" si="121"/>
        <v>167667.56399018638</v>
      </c>
      <c r="T265" s="77">
        <f t="shared" si="121"/>
        <v>1364.6307014353465</v>
      </c>
      <c r="U265" s="77">
        <f t="shared" si="121"/>
        <v>1645.4378406770829</v>
      </c>
      <c r="V265" s="77">
        <f t="shared" si="121"/>
        <v>0</v>
      </c>
      <c r="W265" s="77">
        <f t="shared" si="121"/>
        <v>0</v>
      </c>
      <c r="X265" s="63">
        <f>SUM(X260:X264)</f>
        <v>0</v>
      </c>
      <c r="Y265" s="63">
        <f>SUM(Y260:Y264)</f>
        <v>0</v>
      </c>
      <c r="Z265" s="63">
        <f>SUM(Z260:Z264)</f>
        <v>0</v>
      </c>
      <c r="AA265" s="65">
        <f t="shared" si="119"/>
        <v>8438133.2022500858</v>
      </c>
      <c r="AB265" s="59" t="str">
        <f t="shared" si="120"/>
        <v>ok</v>
      </c>
    </row>
    <row r="266" spans="1:28" x14ac:dyDescent="0.25">
      <c r="F266" s="80"/>
    </row>
    <row r="267" spans="1:28" x14ac:dyDescent="0.25">
      <c r="A267" s="66" t="s">
        <v>640</v>
      </c>
      <c r="F267" s="80"/>
    </row>
    <row r="268" spans="1:28" x14ac:dyDescent="0.25">
      <c r="A268" s="69" t="s">
        <v>1113</v>
      </c>
      <c r="C268" s="61" t="s">
        <v>99</v>
      </c>
      <c r="D268" s="61" t="s">
        <v>500</v>
      </c>
      <c r="E268" s="61" t="s">
        <v>1379</v>
      </c>
      <c r="F268" s="77">
        <f>VLOOKUP(C268,'Functional Assignment'!$C$2:$AP$778,'Functional Assignment'!$X$2,)</f>
        <v>248175.86824320036</v>
      </c>
      <c r="G268" s="77">
        <f t="shared" ref="G268:P269" si="122">IF(VLOOKUP($E268,$D$6:$AN$1141,3,)=0,0,(VLOOKUP($E268,$D$6:$AN$1141,G$2,)/VLOOKUP($E268,$D$6:$AN$1141,3,))*$F268)</f>
        <v>175224.49415180317</v>
      </c>
      <c r="H268" s="77">
        <f t="shared" si="122"/>
        <v>29408.971708405486</v>
      </c>
      <c r="I268" s="77">
        <f t="shared" si="122"/>
        <v>0</v>
      </c>
      <c r="J268" s="77">
        <f t="shared" si="122"/>
        <v>0</v>
      </c>
      <c r="K268" s="77">
        <f t="shared" si="122"/>
        <v>27297.593940868905</v>
      </c>
      <c r="L268" s="77">
        <f t="shared" si="122"/>
        <v>0</v>
      </c>
      <c r="M268" s="77">
        <f t="shared" si="122"/>
        <v>0</v>
      </c>
      <c r="N268" s="77">
        <f t="shared" si="122"/>
        <v>0</v>
      </c>
      <c r="O268" s="77">
        <f t="shared" si="122"/>
        <v>14232.055452992032</v>
      </c>
      <c r="P268" s="77">
        <f t="shared" si="122"/>
        <v>0</v>
      </c>
      <c r="Q268" s="77">
        <f t="shared" ref="Q268:Z269" si="123">IF(VLOOKUP($E268,$D$6:$AN$1141,3,)=0,0,(VLOOKUP($E268,$D$6:$AN$1141,Q$2,)/VLOOKUP($E268,$D$6:$AN$1141,3,))*$F268)</f>
        <v>0</v>
      </c>
      <c r="R268" s="77">
        <f t="shared" si="123"/>
        <v>0</v>
      </c>
      <c r="S268" s="77">
        <f t="shared" si="123"/>
        <v>1935.388518373029</v>
      </c>
      <c r="T268" s="77">
        <f t="shared" si="123"/>
        <v>55.986446798341227</v>
      </c>
      <c r="U268" s="77">
        <f t="shared" si="123"/>
        <v>21.378023959440345</v>
      </c>
      <c r="V268" s="77">
        <f t="shared" si="123"/>
        <v>0</v>
      </c>
      <c r="W268" s="77">
        <f t="shared" si="123"/>
        <v>0</v>
      </c>
      <c r="X268" s="63">
        <f t="shared" si="123"/>
        <v>0</v>
      </c>
      <c r="Y268" s="63">
        <f t="shared" si="123"/>
        <v>0</v>
      </c>
      <c r="Z268" s="63">
        <f t="shared" si="123"/>
        <v>0</v>
      </c>
      <c r="AA268" s="65">
        <f>SUM(G268:Z268)</f>
        <v>248175.86824320041</v>
      </c>
      <c r="AB268" s="59" t="str">
        <f>IF(ABS(F268-AA268)&lt;0.01,"ok","err")</f>
        <v>ok</v>
      </c>
    </row>
    <row r="269" spans="1:28" x14ac:dyDescent="0.25">
      <c r="A269" s="69" t="s">
        <v>1116</v>
      </c>
      <c r="C269" s="61" t="s">
        <v>99</v>
      </c>
      <c r="D269" s="61" t="s">
        <v>501</v>
      </c>
      <c r="E269" s="61" t="s">
        <v>1377</v>
      </c>
      <c r="F269" s="80">
        <f>VLOOKUP(C269,'Functional Assignment'!$C$2:$AP$778,'Functional Assignment'!$Y$2,)</f>
        <v>188343.18477335686</v>
      </c>
      <c r="G269" s="80">
        <f t="shared" si="122"/>
        <v>162112.35905493051</v>
      </c>
      <c r="H269" s="80">
        <f t="shared" si="122"/>
        <v>19998.407459686234</v>
      </c>
      <c r="I269" s="80">
        <f t="shared" si="122"/>
        <v>0</v>
      </c>
      <c r="J269" s="80">
        <f t="shared" si="122"/>
        <v>0</v>
      </c>
      <c r="K269" s="80">
        <f t="shared" si="122"/>
        <v>1253.5578912170608</v>
      </c>
      <c r="L269" s="80">
        <f t="shared" si="122"/>
        <v>0</v>
      </c>
      <c r="M269" s="80">
        <f t="shared" si="122"/>
        <v>0</v>
      </c>
      <c r="N269" s="80">
        <f t="shared" si="122"/>
        <v>0</v>
      </c>
      <c r="O269" s="80">
        <f t="shared" si="122"/>
        <v>143.1206916878717</v>
      </c>
      <c r="P269" s="80">
        <f t="shared" si="122"/>
        <v>0</v>
      </c>
      <c r="Q269" s="80">
        <f t="shared" si="123"/>
        <v>0</v>
      </c>
      <c r="R269" s="80">
        <f t="shared" si="123"/>
        <v>0</v>
      </c>
      <c r="S269" s="80">
        <f t="shared" si="123"/>
        <v>4782.8759495059021</v>
      </c>
      <c r="T269" s="80">
        <f t="shared" si="123"/>
        <v>7.7726119767825868</v>
      </c>
      <c r="U269" s="80">
        <f t="shared" si="123"/>
        <v>45.091114352488724</v>
      </c>
      <c r="V269" s="80">
        <f t="shared" si="123"/>
        <v>0</v>
      </c>
      <c r="W269" s="80">
        <f t="shared" si="123"/>
        <v>0</v>
      </c>
      <c r="X269" s="64">
        <f t="shared" si="123"/>
        <v>0</v>
      </c>
      <c r="Y269" s="64">
        <f t="shared" si="123"/>
        <v>0</v>
      </c>
      <c r="Z269" s="64">
        <f t="shared" si="123"/>
        <v>0</v>
      </c>
      <c r="AA269" s="64">
        <f>SUM(G269:Z269)</f>
        <v>188343.1847733568</v>
      </c>
      <c r="AB269" s="59" t="str">
        <f>IF(ABS(F269-AA269)&lt;0.01,"ok","err")</f>
        <v>ok</v>
      </c>
    </row>
    <row r="270" spans="1:28" x14ac:dyDescent="0.25">
      <c r="A270" s="61" t="s">
        <v>721</v>
      </c>
      <c r="D270" s="61" t="s">
        <v>502</v>
      </c>
      <c r="F270" s="77">
        <f>F268+F269</f>
        <v>436519.05301655724</v>
      </c>
      <c r="G270" s="77">
        <f t="shared" ref="G270:W270" si="124">G268+G269</f>
        <v>337336.85320673371</v>
      </c>
      <c r="H270" s="77">
        <f t="shared" si="124"/>
        <v>49407.37916809172</v>
      </c>
      <c r="I270" s="77">
        <f t="shared" si="124"/>
        <v>0</v>
      </c>
      <c r="J270" s="77">
        <f t="shared" si="124"/>
        <v>0</v>
      </c>
      <c r="K270" s="77">
        <f t="shared" si="124"/>
        <v>28551.151832085965</v>
      </c>
      <c r="L270" s="77">
        <f t="shared" si="124"/>
        <v>0</v>
      </c>
      <c r="M270" s="77">
        <f t="shared" si="124"/>
        <v>0</v>
      </c>
      <c r="N270" s="77">
        <f t="shared" si="124"/>
        <v>0</v>
      </c>
      <c r="O270" s="77">
        <f>O268+O269</f>
        <v>14375.176144679903</v>
      </c>
      <c r="P270" s="77">
        <f t="shared" si="124"/>
        <v>0</v>
      </c>
      <c r="Q270" s="77">
        <f t="shared" si="124"/>
        <v>0</v>
      </c>
      <c r="R270" s="77">
        <f t="shared" si="124"/>
        <v>0</v>
      </c>
      <c r="S270" s="77">
        <f t="shared" si="124"/>
        <v>6718.2644678789311</v>
      </c>
      <c r="T270" s="77">
        <f t="shared" si="124"/>
        <v>63.759058775123812</v>
      </c>
      <c r="U270" s="77">
        <f t="shared" si="124"/>
        <v>66.469138311929072</v>
      </c>
      <c r="V270" s="77">
        <f t="shared" si="124"/>
        <v>0</v>
      </c>
      <c r="W270" s="77">
        <f t="shared" si="124"/>
        <v>0</v>
      </c>
      <c r="X270" s="63">
        <f>X268+X269</f>
        <v>0</v>
      </c>
      <c r="Y270" s="63">
        <f>Y268+Y269</f>
        <v>0</v>
      </c>
      <c r="Z270" s="63">
        <f>Z268+Z269</f>
        <v>0</v>
      </c>
      <c r="AA270" s="65">
        <f>SUM(G270:Z270)</f>
        <v>436519.05301655724</v>
      </c>
      <c r="AB270" s="59" t="str">
        <f>IF(ABS(F270-AA270)&lt;0.01,"ok","err")</f>
        <v>ok</v>
      </c>
    </row>
    <row r="271" spans="1:28" x14ac:dyDescent="0.25">
      <c r="F271" s="80"/>
    </row>
    <row r="272" spans="1:28" x14ac:dyDescent="0.25">
      <c r="A272" s="66" t="s">
        <v>356</v>
      </c>
      <c r="F272" s="80"/>
    </row>
    <row r="273" spans="1:28" x14ac:dyDescent="0.25">
      <c r="A273" s="69" t="s">
        <v>1116</v>
      </c>
      <c r="C273" s="61" t="s">
        <v>99</v>
      </c>
      <c r="D273" s="61" t="s">
        <v>503</v>
      </c>
      <c r="E273" s="61" t="s">
        <v>1118</v>
      </c>
      <c r="F273" s="77">
        <f>VLOOKUP(C273,'Functional Assignment'!$C$2:$AP$778,'Functional Assignment'!$Z$2,)</f>
        <v>56580.95351477911</v>
      </c>
      <c r="G273" s="77">
        <f t="shared" ref="G273:Z273" si="125">IF(VLOOKUP($E273,$D$6:$AN$1141,3,)=0,0,(VLOOKUP($E273,$D$6:$AN$1141,G$2,)/VLOOKUP($E273,$D$6:$AN$1141,3,))*$F273)</f>
        <v>45679.180213391723</v>
      </c>
      <c r="H273" s="77">
        <f t="shared" si="125"/>
        <v>9753.6329592189668</v>
      </c>
      <c r="I273" s="77">
        <f t="shared" si="125"/>
        <v>0</v>
      </c>
      <c r="J273" s="77">
        <f t="shared" si="125"/>
        <v>0</v>
      </c>
      <c r="K273" s="77">
        <f t="shared" si="125"/>
        <v>975.82703803598827</v>
      </c>
      <c r="L273" s="77">
        <f t="shared" si="125"/>
        <v>0</v>
      </c>
      <c r="M273" s="77">
        <f t="shared" si="125"/>
        <v>0</v>
      </c>
      <c r="N273" s="77">
        <f t="shared" si="125"/>
        <v>0</v>
      </c>
      <c r="O273" s="77">
        <f t="shared" si="125"/>
        <v>172.31330413243771</v>
      </c>
      <c r="P273" s="77">
        <f t="shared" si="125"/>
        <v>0</v>
      </c>
      <c r="Q273" s="77">
        <f t="shared" si="125"/>
        <v>0</v>
      </c>
      <c r="R273" s="77">
        <f t="shared" si="125"/>
        <v>0</v>
      </c>
      <c r="S273" s="77">
        <f t="shared" si="125"/>
        <v>0</v>
      </c>
      <c r="T273" s="77">
        <f t="shared" si="125"/>
        <v>0</v>
      </c>
      <c r="U273" s="77">
        <f t="shared" si="125"/>
        <v>0</v>
      </c>
      <c r="V273" s="77">
        <f t="shared" si="125"/>
        <v>0</v>
      </c>
      <c r="W273" s="77">
        <f t="shared" si="125"/>
        <v>0</v>
      </c>
      <c r="X273" s="63">
        <f t="shared" si="125"/>
        <v>0</v>
      </c>
      <c r="Y273" s="63">
        <f t="shared" si="125"/>
        <v>0</v>
      </c>
      <c r="Z273" s="63">
        <f t="shared" si="125"/>
        <v>0</v>
      </c>
      <c r="AA273" s="65">
        <f>SUM(G273:Z273)</f>
        <v>56580.953514779118</v>
      </c>
      <c r="AB273" s="59" t="str">
        <f>IF(ABS(F273-AA273)&lt;0.01,"ok","err")</f>
        <v>ok</v>
      </c>
    </row>
    <row r="274" spans="1:28" x14ac:dyDescent="0.25">
      <c r="F274" s="80"/>
    </row>
    <row r="275" spans="1:28" x14ac:dyDescent="0.25">
      <c r="A275" s="66" t="s">
        <v>355</v>
      </c>
      <c r="F275" s="80"/>
    </row>
    <row r="276" spans="1:28" x14ac:dyDescent="0.25">
      <c r="A276" s="69" t="s">
        <v>1116</v>
      </c>
      <c r="C276" s="61" t="s">
        <v>99</v>
      </c>
      <c r="D276" s="61" t="s">
        <v>504</v>
      </c>
      <c r="E276" s="61" t="s">
        <v>1119</v>
      </c>
      <c r="F276" s="77">
        <f>VLOOKUP(C276,'Functional Assignment'!$C$2:$AP$778,'Functional Assignment'!$AA$2,)</f>
        <v>4134884.3774350146</v>
      </c>
      <c r="G276" s="77">
        <f t="shared" ref="G276:Z276" si="126">IF(VLOOKUP($E276,$D$6:$AN$1141,3,)=0,0,(VLOOKUP($E276,$D$6:$AN$1141,G$2,)/VLOOKUP($E276,$D$6:$AN$1141,3,))*$F276)</f>
        <v>2832563.2075462099</v>
      </c>
      <c r="H276" s="77">
        <f t="shared" si="126"/>
        <v>927067.97433650866</v>
      </c>
      <c r="I276" s="77">
        <f t="shared" si="126"/>
        <v>0</v>
      </c>
      <c r="J276" s="77">
        <f t="shared" si="126"/>
        <v>33647.61395924227</v>
      </c>
      <c r="K276" s="77">
        <f t="shared" si="126"/>
        <v>218205.75007718391</v>
      </c>
      <c r="L276" s="77">
        <f t="shared" si="126"/>
        <v>0</v>
      </c>
      <c r="M276" s="77">
        <f t="shared" si="126"/>
        <v>0</v>
      </c>
      <c r="N276" s="77">
        <f t="shared" si="126"/>
        <v>48334.382321920617</v>
      </c>
      <c r="O276" s="77">
        <f t="shared" si="126"/>
        <v>27359.368778596305</v>
      </c>
      <c r="P276" s="77">
        <f t="shared" si="126"/>
        <v>38070.748688108564</v>
      </c>
      <c r="Q276" s="77">
        <f t="shared" si="126"/>
        <v>440.73904852815144</v>
      </c>
      <c r="R276" s="77">
        <f t="shared" si="126"/>
        <v>881.47809705630289</v>
      </c>
      <c r="S276" s="77">
        <f t="shared" si="126"/>
        <v>0</v>
      </c>
      <c r="T276" s="77">
        <f t="shared" si="126"/>
        <v>1222.2864040894349</v>
      </c>
      <c r="U276" s="77">
        <f t="shared" si="126"/>
        <v>7090.8281775701189</v>
      </c>
      <c r="V276" s="77">
        <f t="shared" si="126"/>
        <v>0</v>
      </c>
      <c r="W276" s="77">
        <f t="shared" si="126"/>
        <v>0</v>
      </c>
      <c r="X276" s="63">
        <f t="shared" si="126"/>
        <v>0</v>
      </c>
      <c r="Y276" s="63">
        <f t="shared" si="126"/>
        <v>0</v>
      </c>
      <c r="Z276" s="63">
        <f t="shared" si="126"/>
        <v>0</v>
      </c>
      <c r="AA276" s="65">
        <f>SUM(G276:Z276)</f>
        <v>4134884.3774350141</v>
      </c>
      <c r="AB276" s="59" t="str">
        <f>IF(ABS(F276-AA276)&lt;0.01,"ok","err")</f>
        <v>ok</v>
      </c>
    </row>
    <row r="277" spans="1:28" x14ac:dyDescent="0.25">
      <c r="F277" s="80"/>
    </row>
    <row r="278" spans="1:28" x14ac:dyDescent="0.25">
      <c r="A278" s="66" t="s">
        <v>376</v>
      </c>
      <c r="F278" s="80"/>
    </row>
    <row r="279" spans="1:28" x14ac:dyDescent="0.25">
      <c r="A279" s="69" t="s">
        <v>1116</v>
      </c>
      <c r="C279" s="61" t="s">
        <v>99</v>
      </c>
      <c r="D279" s="61" t="s">
        <v>505</v>
      </c>
      <c r="E279" s="61" t="s">
        <v>1120</v>
      </c>
      <c r="F279" s="77">
        <f>VLOOKUP(C279,'Functional Assignment'!$C$2:$AP$778,'Functional Assignment'!$AB$2,)</f>
        <v>215426.66131500719</v>
      </c>
      <c r="G279" s="77">
        <f t="shared" ref="G279:Z279" si="127">IF(VLOOKUP($E279,$D$6:$AN$1141,3,)=0,0,(VLOOKUP($E279,$D$6:$AN$1141,G$2,)/VLOOKUP($E279,$D$6:$AN$1141,3,))*$F279)</f>
        <v>0</v>
      </c>
      <c r="H279" s="77">
        <f t="shared" si="127"/>
        <v>0</v>
      </c>
      <c r="I279" s="77">
        <f t="shared" si="127"/>
        <v>0</v>
      </c>
      <c r="J279" s="77">
        <f t="shared" si="127"/>
        <v>0</v>
      </c>
      <c r="K279" s="77">
        <f t="shared" si="127"/>
        <v>0</v>
      </c>
      <c r="L279" s="77">
        <f t="shared" si="127"/>
        <v>0</v>
      </c>
      <c r="M279" s="77">
        <f t="shared" si="127"/>
        <v>0</v>
      </c>
      <c r="N279" s="77">
        <f t="shared" si="127"/>
        <v>0</v>
      </c>
      <c r="O279" s="77">
        <f t="shared" si="127"/>
        <v>0</v>
      </c>
      <c r="P279" s="77">
        <f t="shared" si="127"/>
        <v>0</v>
      </c>
      <c r="Q279" s="77">
        <f t="shared" si="127"/>
        <v>0</v>
      </c>
      <c r="R279" s="77">
        <f t="shared" si="127"/>
        <v>0</v>
      </c>
      <c r="S279" s="77">
        <f t="shared" si="127"/>
        <v>215426.66131500719</v>
      </c>
      <c r="T279" s="77">
        <f t="shared" si="127"/>
        <v>0</v>
      </c>
      <c r="U279" s="77">
        <f t="shared" si="127"/>
        <v>0</v>
      </c>
      <c r="V279" s="77">
        <f t="shared" si="127"/>
        <v>0</v>
      </c>
      <c r="W279" s="77">
        <f t="shared" si="127"/>
        <v>0</v>
      </c>
      <c r="X279" s="63">
        <f t="shared" si="127"/>
        <v>0</v>
      </c>
      <c r="Y279" s="63">
        <f t="shared" si="127"/>
        <v>0</v>
      </c>
      <c r="Z279" s="63">
        <f t="shared" si="127"/>
        <v>0</v>
      </c>
      <c r="AA279" s="65">
        <f>SUM(G279:Z279)</f>
        <v>215426.66131500719</v>
      </c>
      <c r="AB279" s="59" t="str">
        <f>IF(ABS(F279-AA279)&lt;0.01,"ok","err")</f>
        <v>ok</v>
      </c>
    </row>
    <row r="280" spans="1:28" x14ac:dyDescent="0.25">
      <c r="F280" s="80"/>
    </row>
    <row r="281" spans="1:28" x14ac:dyDescent="0.25">
      <c r="A281" s="66" t="s">
        <v>1047</v>
      </c>
      <c r="F281" s="80"/>
    </row>
    <row r="282" spans="1:28" x14ac:dyDescent="0.25">
      <c r="A282" s="69" t="s">
        <v>1116</v>
      </c>
      <c r="C282" s="61" t="s">
        <v>99</v>
      </c>
      <c r="D282" s="61" t="s">
        <v>506</v>
      </c>
      <c r="E282" s="61" t="s">
        <v>1121</v>
      </c>
      <c r="F282" s="77">
        <f>VLOOKUP(C282,'Functional Assignment'!$C$2:$AP$778,'Functional Assignment'!$AC$2,)</f>
        <v>5697823.4103876092</v>
      </c>
      <c r="G282" s="77">
        <f t="shared" ref="G282:Z282" si="128">IF(VLOOKUP($E282,$D$6:$AN$1141,3,)=0,0,(VLOOKUP($E282,$D$6:$AN$1141,G$2,)/VLOOKUP($E282,$D$6:$AN$1141,3,))*$F282)</f>
        <v>4230790.4463541247</v>
      </c>
      <c r="H282" s="77">
        <f t="shared" si="128"/>
        <v>1043832.4593631813</v>
      </c>
      <c r="I282" s="77">
        <f t="shared" si="128"/>
        <v>0</v>
      </c>
      <c r="J282" s="77">
        <f t="shared" si="128"/>
        <v>4271.5269652734023</v>
      </c>
      <c r="K282" s="77">
        <f t="shared" si="128"/>
        <v>163576.07714276432</v>
      </c>
      <c r="L282" s="77">
        <f t="shared" si="128"/>
        <v>0</v>
      </c>
      <c r="M282" s="77">
        <f t="shared" si="128"/>
        <v>0</v>
      </c>
      <c r="N282" s="77">
        <f t="shared" si="128"/>
        <v>32085.213962898393</v>
      </c>
      <c r="O282" s="77">
        <f t="shared" si="128"/>
        <v>93378.700211170843</v>
      </c>
      <c r="P282" s="77">
        <f t="shared" si="128"/>
        <v>3510.8440810466323</v>
      </c>
      <c r="Q282" s="77">
        <f t="shared" si="128"/>
        <v>58.514068017443869</v>
      </c>
      <c r="R282" s="77">
        <f t="shared" si="128"/>
        <v>117.02813603488774</v>
      </c>
      <c r="S282" s="77">
        <f t="shared" si="128"/>
        <v>124822.96841050778</v>
      </c>
      <c r="T282" s="77">
        <f t="shared" si="128"/>
        <v>202.84876912713872</v>
      </c>
      <c r="U282" s="77">
        <f t="shared" si="128"/>
        <v>1176.7829234619267</v>
      </c>
      <c r="V282" s="77">
        <f t="shared" si="128"/>
        <v>0</v>
      </c>
      <c r="W282" s="77">
        <f t="shared" si="128"/>
        <v>0</v>
      </c>
      <c r="X282" s="63">
        <f t="shared" si="128"/>
        <v>0</v>
      </c>
      <c r="Y282" s="63">
        <f t="shared" si="128"/>
        <v>0</v>
      </c>
      <c r="Z282" s="63">
        <f t="shared" si="128"/>
        <v>0</v>
      </c>
      <c r="AA282" s="65">
        <f>SUM(G282:Z282)</f>
        <v>5697823.4103876092</v>
      </c>
      <c r="AB282" s="59" t="str">
        <f>IF(ABS(F282-AA282)&lt;0.01,"ok","err")</f>
        <v>ok</v>
      </c>
    </row>
    <row r="283" spans="1:28" x14ac:dyDescent="0.25">
      <c r="F283" s="80"/>
    </row>
    <row r="284" spans="1:28" x14ac:dyDescent="0.25">
      <c r="A284" s="66" t="s">
        <v>353</v>
      </c>
      <c r="F284" s="80"/>
    </row>
    <row r="285" spans="1:28" x14ac:dyDescent="0.25">
      <c r="A285" s="69" t="s">
        <v>1116</v>
      </c>
      <c r="C285" s="61" t="s">
        <v>99</v>
      </c>
      <c r="D285" s="61" t="s">
        <v>507</v>
      </c>
      <c r="E285" s="61" t="s">
        <v>1121</v>
      </c>
      <c r="F285" s="77">
        <f>VLOOKUP(C285,'Functional Assignment'!$C$2:$AP$778,'Functional Assignment'!$AD$2,)</f>
        <v>1223092.9652464509</v>
      </c>
      <c r="G285" s="77">
        <f t="shared" ref="G285:Z285" si="129">IF(VLOOKUP($E285,$D$6:$AN$1141,3,)=0,0,(VLOOKUP($E285,$D$6:$AN$1141,G$2,)/VLOOKUP($E285,$D$6:$AN$1141,3,))*$F285)</f>
        <v>908180.13470438588</v>
      </c>
      <c r="H285" s="77">
        <f t="shared" si="129"/>
        <v>224068.7444990784</v>
      </c>
      <c r="I285" s="77">
        <f t="shared" si="129"/>
        <v>0</v>
      </c>
      <c r="J285" s="77">
        <f t="shared" si="129"/>
        <v>916.92462292912853</v>
      </c>
      <c r="K285" s="77">
        <f t="shared" si="129"/>
        <v>35113.188813676417</v>
      </c>
      <c r="L285" s="77">
        <f t="shared" si="129"/>
        <v>0</v>
      </c>
      <c r="M285" s="77">
        <f t="shared" si="129"/>
        <v>0</v>
      </c>
      <c r="N285" s="77">
        <f t="shared" si="129"/>
        <v>6887.4018480292989</v>
      </c>
      <c r="O285" s="77">
        <f t="shared" si="129"/>
        <v>20044.642156498641</v>
      </c>
      <c r="P285" s="77">
        <f t="shared" si="129"/>
        <v>753.63667638010554</v>
      </c>
      <c r="Q285" s="77">
        <f t="shared" si="129"/>
        <v>12.56061127300176</v>
      </c>
      <c r="R285" s="77">
        <f t="shared" si="129"/>
        <v>25.121222546003519</v>
      </c>
      <c r="S285" s="77">
        <f t="shared" si="129"/>
        <v>26794.458790306075</v>
      </c>
      <c r="T285" s="77">
        <f t="shared" si="129"/>
        <v>43.543452413072764</v>
      </c>
      <c r="U285" s="77">
        <f t="shared" si="129"/>
        <v>252.60784893481315</v>
      </c>
      <c r="V285" s="77">
        <f t="shared" si="129"/>
        <v>0</v>
      </c>
      <c r="W285" s="77">
        <f t="shared" si="129"/>
        <v>0</v>
      </c>
      <c r="X285" s="63">
        <f t="shared" si="129"/>
        <v>0</v>
      </c>
      <c r="Y285" s="63">
        <f t="shared" si="129"/>
        <v>0</v>
      </c>
      <c r="Z285" s="63">
        <f t="shared" si="129"/>
        <v>0</v>
      </c>
      <c r="AA285" s="65">
        <f>SUM(G285:Z285)</f>
        <v>1223092.9652464511</v>
      </c>
      <c r="AB285" s="59" t="str">
        <f>IF(ABS(F285-AA285)&lt;0.01,"ok","err")</f>
        <v>ok</v>
      </c>
    </row>
    <row r="286" spans="1:28" x14ac:dyDescent="0.25">
      <c r="F286" s="80"/>
    </row>
    <row r="287" spans="1:28" x14ac:dyDescent="0.25">
      <c r="A287" s="66" t="s">
        <v>352</v>
      </c>
      <c r="F287" s="80"/>
    </row>
    <row r="288" spans="1:28" x14ac:dyDescent="0.25">
      <c r="A288" s="69" t="s">
        <v>1116</v>
      </c>
      <c r="C288" s="61" t="s">
        <v>99</v>
      </c>
      <c r="D288" s="61" t="s">
        <v>508</v>
      </c>
      <c r="E288" s="61" t="s">
        <v>1122</v>
      </c>
      <c r="F288" s="77">
        <f>VLOOKUP(C288,'Functional Assignment'!$C$2:$AP$778,'Functional Assignment'!$AE$2,)</f>
        <v>0</v>
      </c>
      <c r="G288" s="77">
        <f t="shared" ref="G288:Z288" si="130">IF(VLOOKUP($E288,$D$6:$AN$1141,3,)=0,0,(VLOOKUP($E288,$D$6:$AN$1141,G$2,)/VLOOKUP($E288,$D$6:$AN$1141,3,))*$F288)</f>
        <v>0</v>
      </c>
      <c r="H288" s="77">
        <f t="shared" si="130"/>
        <v>0</v>
      </c>
      <c r="I288" s="77">
        <f t="shared" si="130"/>
        <v>0</v>
      </c>
      <c r="J288" s="77">
        <f t="shared" si="130"/>
        <v>0</v>
      </c>
      <c r="K288" s="77">
        <f t="shared" si="130"/>
        <v>0</v>
      </c>
      <c r="L288" s="77">
        <f t="shared" si="130"/>
        <v>0</v>
      </c>
      <c r="M288" s="77">
        <f t="shared" si="130"/>
        <v>0</v>
      </c>
      <c r="N288" s="77">
        <f t="shared" si="130"/>
        <v>0</v>
      </c>
      <c r="O288" s="77">
        <f t="shared" si="130"/>
        <v>0</v>
      </c>
      <c r="P288" s="77">
        <f t="shared" si="130"/>
        <v>0</v>
      </c>
      <c r="Q288" s="77">
        <f t="shared" si="130"/>
        <v>0</v>
      </c>
      <c r="R288" s="77">
        <f t="shared" si="130"/>
        <v>0</v>
      </c>
      <c r="S288" s="77">
        <f t="shared" si="130"/>
        <v>0</v>
      </c>
      <c r="T288" s="77">
        <f t="shared" si="130"/>
        <v>0</v>
      </c>
      <c r="U288" s="77">
        <f t="shared" si="130"/>
        <v>0</v>
      </c>
      <c r="V288" s="77">
        <f t="shared" si="130"/>
        <v>0</v>
      </c>
      <c r="W288" s="77">
        <f t="shared" si="130"/>
        <v>0</v>
      </c>
      <c r="X288" s="63">
        <f t="shared" si="130"/>
        <v>0</v>
      </c>
      <c r="Y288" s="63">
        <f t="shared" si="130"/>
        <v>0</v>
      </c>
      <c r="Z288" s="63">
        <f t="shared" si="130"/>
        <v>0</v>
      </c>
      <c r="AA288" s="65">
        <f>SUM(G288:Z288)</f>
        <v>0</v>
      </c>
      <c r="AB288" s="59" t="str">
        <f>IF(ABS(F288-AA288)&lt;0.01,"ok","err")</f>
        <v>ok</v>
      </c>
    </row>
    <row r="289" spans="1:28" x14ac:dyDescent="0.25">
      <c r="F289" s="80"/>
    </row>
    <row r="290" spans="1:28" x14ac:dyDescent="0.25">
      <c r="A290" s="61" t="s">
        <v>944</v>
      </c>
      <c r="D290" s="61" t="s">
        <v>1131</v>
      </c>
      <c r="F290" s="77">
        <f>F245+F251+F254+F257+F265+F270+F273+F276+F279+F282+F285+F288</f>
        <v>71658667.980000019</v>
      </c>
      <c r="G290" s="77">
        <f t="shared" ref="G290:Z290" si="131">G245+G251+G254+G257+G265+G270+G273+G276+G279+G282+G285+G288</f>
        <v>37944081.602178238</v>
      </c>
      <c r="H290" s="77">
        <f t="shared" si="131"/>
        <v>9513172.1110085864</v>
      </c>
      <c r="I290" s="77">
        <f t="shared" si="131"/>
        <v>0</v>
      </c>
      <c r="J290" s="77">
        <f t="shared" si="131"/>
        <v>679262.4472953385</v>
      </c>
      <c r="K290" s="77">
        <f t="shared" si="131"/>
        <v>8515272.2675524522</v>
      </c>
      <c r="L290" s="77">
        <f t="shared" si="131"/>
        <v>0</v>
      </c>
      <c r="M290" s="77">
        <f t="shared" si="131"/>
        <v>0</v>
      </c>
      <c r="N290" s="77">
        <f t="shared" si="131"/>
        <v>7279970.643969073</v>
      </c>
      <c r="O290" s="77">
        <f>O245+O251+O254+O257+O265+O270+O273+O276+O279+O282+O285+O288</f>
        <v>4241613.0494050961</v>
      </c>
      <c r="P290" s="77">
        <f t="shared" si="131"/>
        <v>2109673.8476761873</v>
      </c>
      <c r="Q290" s="77">
        <f t="shared" si="131"/>
        <v>382209.92468888831</v>
      </c>
      <c r="R290" s="77">
        <f t="shared" si="131"/>
        <v>225567.4022991838</v>
      </c>
      <c r="S290" s="77">
        <f t="shared" si="131"/>
        <v>740097.01478849188</v>
      </c>
      <c r="T290" s="77">
        <f t="shared" si="131"/>
        <v>8479.5339222072216</v>
      </c>
      <c r="U290" s="77">
        <f t="shared" si="131"/>
        <v>19268.135216270784</v>
      </c>
      <c r="V290" s="77">
        <f t="shared" si="131"/>
        <v>0</v>
      </c>
      <c r="W290" s="77">
        <f t="shared" si="131"/>
        <v>0</v>
      </c>
      <c r="X290" s="63">
        <f t="shared" si="131"/>
        <v>0</v>
      </c>
      <c r="Y290" s="63">
        <f t="shared" si="131"/>
        <v>0</v>
      </c>
      <c r="Z290" s="63">
        <f t="shared" si="131"/>
        <v>0</v>
      </c>
      <c r="AA290" s="65">
        <f>SUM(G290:Z290)</f>
        <v>71658667.980000004</v>
      </c>
      <c r="AB290" s="59" t="str">
        <f>IF(ABS(F290-AA290)&lt;0.01,"ok","err")</f>
        <v>ok</v>
      </c>
    </row>
    <row r="293" spans="1:28" x14ac:dyDescent="0.25">
      <c r="A293" s="66" t="s">
        <v>1094</v>
      </c>
    </row>
    <row r="295" spans="1:28" x14ac:dyDescent="0.25">
      <c r="A295" s="66" t="s">
        <v>369</v>
      </c>
    </row>
    <row r="296" spans="1:28" x14ac:dyDescent="0.25">
      <c r="A296" s="69" t="s">
        <v>361</v>
      </c>
      <c r="C296" s="61" t="s">
        <v>1096</v>
      </c>
      <c r="D296" s="61" t="s">
        <v>509</v>
      </c>
      <c r="E296" s="61" t="s">
        <v>1399</v>
      </c>
      <c r="F296" s="77">
        <f>VLOOKUP(C296,'Functional Assignment'!$C$2:$AP$778,'Functional Assignment'!$H$2,)</f>
        <v>24269640.580538318</v>
      </c>
      <c r="G296" s="77">
        <f t="shared" ref="G296:P301" si="132">IF(VLOOKUP($E296,$D$6:$AN$1141,3,)=0,0,(VLOOKUP($E296,$D$6:$AN$1141,G$2,)/VLOOKUP($E296,$D$6:$AN$1141,3,))*$F296)</f>
        <v>12116819.366297815</v>
      </c>
      <c r="H296" s="77">
        <f t="shared" si="132"/>
        <v>3003378.5081381411</v>
      </c>
      <c r="I296" s="77">
        <f t="shared" si="132"/>
        <v>0</v>
      </c>
      <c r="J296" s="77">
        <f t="shared" si="132"/>
        <v>271251.90630665387</v>
      </c>
      <c r="K296" s="77">
        <f t="shared" si="132"/>
        <v>3449528.082528769</v>
      </c>
      <c r="L296" s="77">
        <f t="shared" si="132"/>
        <v>0</v>
      </c>
      <c r="M296" s="77">
        <f t="shared" si="132"/>
        <v>0</v>
      </c>
      <c r="N296" s="77">
        <f t="shared" si="132"/>
        <v>2801072.3571138172</v>
      </c>
      <c r="O296" s="77">
        <f t="shared" si="132"/>
        <v>1709384.4001683209</v>
      </c>
      <c r="P296" s="77">
        <f t="shared" si="132"/>
        <v>675842.89843300311</v>
      </c>
      <c r="Q296" s="77">
        <f t="shared" ref="Q296:Z301" si="133">IF(VLOOKUP($E296,$D$6:$AN$1141,3,)=0,0,(VLOOKUP($E296,$D$6:$AN$1141,Q$2,)/VLOOKUP($E296,$D$6:$AN$1141,3,))*$F296)</f>
        <v>144745.78057413452</v>
      </c>
      <c r="R296" s="77">
        <f t="shared" si="133"/>
        <v>94315.805423166457</v>
      </c>
      <c r="S296" s="77">
        <f t="shared" si="133"/>
        <v>0</v>
      </c>
      <c r="T296" s="77">
        <f t="shared" si="133"/>
        <v>0</v>
      </c>
      <c r="U296" s="77">
        <f t="shared" si="133"/>
        <v>3301.4755545005196</v>
      </c>
      <c r="V296" s="77">
        <f t="shared" si="133"/>
        <v>0</v>
      </c>
      <c r="W296" s="77">
        <f t="shared" si="133"/>
        <v>0</v>
      </c>
      <c r="X296" s="63">
        <f t="shared" si="133"/>
        <v>0</v>
      </c>
      <c r="Y296" s="63">
        <f t="shared" si="133"/>
        <v>0</v>
      </c>
      <c r="Z296" s="63">
        <f t="shared" si="133"/>
        <v>0</v>
      </c>
      <c r="AA296" s="65">
        <f t="shared" ref="AA296:AA302" si="134">SUM(G296:Z296)</f>
        <v>24269640.580538321</v>
      </c>
      <c r="AB296" s="59" t="str">
        <f t="shared" ref="AB296:AB302" si="135">IF(ABS(F296-AA296)&lt;0.01,"ok","err")</f>
        <v>ok</v>
      </c>
    </row>
    <row r="297" spans="1:28" x14ac:dyDescent="0.25">
      <c r="A297" s="69" t="s">
        <v>1285</v>
      </c>
      <c r="C297" s="61" t="s">
        <v>1096</v>
      </c>
      <c r="D297" s="61" t="s">
        <v>510</v>
      </c>
      <c r="E297" s="61" t="s">
        <v>1399</v>
      </c>
      <c r="F297" s="80">
        <f>VLOOKUP(C297,'Functional Assignment'!$C$2:$AP$778,'Functional Assignment'!$I$2,)</f>
        <v>23649893.097267624</v>
      </c>
      <c r="G297" s="80">
        <f t="shared" si="132"/>
        <v>11807405.294730131</v>
      </c>
      <c r="H297" s="80">
        <f t="shared" si="132"/>
        <v>2926684.4893062143</v>
      </c>
      <c r="I297" s="80">
        <f t="shared" si="132"/>
        <v>0</v>
      </c>
      <c r="J297" s="80">
        <f t="shared" si="132"/>
        <v>264325.24063527462</v>
      </c>
      <c r="K297" s="80">
        <f t="shared" si="132"/>
        <v>3361441.2260084008</v>
      </c>
      <c r="L297" s="80">
        <f t="shared" si="132"/>
        <v>0</v>
      </c>
      <c r="M297" s="80">
        <f t="shared" si="132"/>
        <v>0</v>
      </c>
      <c r="N297" s="80">
        <f t="shared" si="132"/>
        <v>2729544.4109944813</v>
      </c>
      <c r="O297" s="80">
        <f t="shared" si="132"/>
        <v>1665733.7051186375</v>
      </c>
      <c r="P297" s="80">
        <f t="shared" si="132"/>
        <v>658584.63150481065</v>
      </c>
      <c r="Q297" s="80">
        <f t="shared" si="133"/>
        <v>141049.56459898708</v>
      </c>
      <c r="R297" s="80">
        <f t="shared" si="133"/>
        <v>91907.365015914285</v>
      </c>
      <c r="S297" s="80">
        <f t="shared" si="133"/>
        <v>0</v>
      </c>
      <c r="T297" s="80">
        <f t="shared" si="133"/>
        <v>0</v>
      </c>
      <c r="U297" s="80">
        <f t="shared" si="133"/>
        <v>3217.1693547778027</v>
      </c>
      <c r="V297" s="80">
        <f t="shared" si="133"/>
        <v>0</v>
      </c>
      <c r="W297" s="80">
        <f t="shared" si="133"/>
        <v>0</v>
      </c>
      <c r="X297" s="64">
        <f t="shared" si="133"/>
        <v>0</v>
      </c>
      <c r="Y297" s="64">
        <f t="shared" si="133"/>
        <v>0</v>
      </c>
      <c r="Z297" s="64">
        <f t="shared" si="133"/>
        <v>0</v>
      </c>
      <c r="AA297" s="64">
        <f t="shared" si="134"/>
        <v>23649893.097267631</v>
      </c>
      <c r="AB297" s="59" t="str">
        <f t="shared" si="135"/>
        <v>ok</v>
      </c>
    </row>
    <row r="298" spans="1:28" x14ac:dyDescent="0.25">
      <c r="A298" s="69" t="s">
        <v>1286</v>
      </c>
      <c r="C298" s="61" t="s">
        <v>1096</v>
      </c>
      <c r="D298" s="61" t="s">
        <v>511</v>
      </c>
      <c r="E298" s="61" t="s">
        <v>1399</v>
      </c>
      <c r="F298" s="80">
        <f>VLOOKUP(C298,'Functional Assignment'!$C$2:$AP$778,'Functional Assignment'!$J$2,)</f>
        <v>21442279.788681097</v>
      </c>
      <c r="G298" s="80">
        <f t="shared" si="132"/>
        <v>10705236.039194139</v>
      </c>
      <c r="H298" s="80">
        <f t="shared" si="132"/>
        <v>2653491.3885148782</v>
      </c>
      <c r="I298" s="80">
        <f t="shared" si="132"/>
        <v>0</v>
      </c>
      <c r="J298" s="80">
        <f t="shared" si="132"/>
        <v>239651.64415761502</v>
      </c>
      <c r="K298" s="80">
        <f t="shared" si="132"/>
        <v>3047665.4995792224</v>
      </c>
      <c r="L298" s="80">
        <f t="shared" si="132"/>
        <v>0</v>
      </c>
      <c r="M298" s="80">
        <f t="shared" si="132"/>
        <v>0</v>
      </c>
      <c r="N298" s="80">
        <f t="shared" si="132"/>
        <v>2474753.4678258807</v>
      </c>
      <c r="O298" s="80">
        <f t="shared" si="132"/>
        <v>1510244.8037161231</v>
      </c>
      <c r="P298" s="80">
        <f t="shared" si="132"/>
        <v>597108.65817330545</v>
      </c>
      <c r="Q298" s="80">
        <f t="shared" si="133"/>
        <v>127883.20927135838</v>
      </c>
      <c r="R298" s="80">
        <f t="shared" si="133"/>
        <v>83328.217476778314</v>
      </c>
      <c r="S298" s="80">
        <f t="shared" si="133"/>
        <v>0</v>
      </c>
      <c r="T298" s="80">
        <f t="shared" si="133"/>
        <v>0</v>
      </c>
      <c r="U298" s="80">
        <f t="shared" si="133"/>
        <v>2916.860771801385</v>
      </c>
      <c r="V298" s="80">
        <f t="shared" si="133"/>
        <v>0</v>
      </c>
      <c r="W298" s="80">
        <f t="shared" si="133"/>
        <v>0</v>
      </c>
      <c r="X298" s="64">
        <f t="shared" si="133"/>
        <v>0</v>
      </c>
      <c r="Y298" s="64">
        <f t="shared" si="133"/>
        <v>0</v>
      </c>
      <c r="Z298" s="64">
        <f t="shared" si="133"/>
        <v>0</v>
      </c>
      <c r="AA298" s="64">
        <f t="shared" si="134"/>
        <v>21442279.788681101</v>
      </c>
      <c r="AB298" s="59" t="str">
        <f t="shared" si="135"/>
        <v>ok</v>
      </c>
    </row>
    <row r="299" spans="1:28" x14ac:dyDescent="0.25">
      <c r="A299" s="69" t="s">
        <v>1287</v>
      </c>
      <c r="C299" s="61" t="s">
        <v>1096</v>
      </c>
      <c r="D299" s="61" t="s">
        <v>512</v>
      </c>
      <c r="E299" s="61" t="s">
        <v>1114</v>
      </c>
      <c r="F299" s="80">
        <f>VLOOKUP(C299,'Functional Assignment'!$C$2:$AP$778,'Functional Assignment'!$K$2,)</f>
        <v>0</v>
      </c>
      <c r="G299" s="80">
        <f t="shared" si="132"/>
        <v>0</v>
      </c>
      <c r="H299" s="80">
        <f t="shared" si="132"/>
        <v>0</v>
      </c>
      <c r="I299" s="80">
        <f t="shared" si="132"/>
        <v>0</v>
      </c>
      <c r="J299" s="80">
        <f t="shared" si="132"/>
        <v>0</v>
      </c>
      <c r="K299" s="80">
        <f t="shared" si="132"/>
        <v>0</v>
      </c>
      <c r="L299" s="80">
        <f t="shared" si="132"/>
        <v>0</v>
      </c>
      <c r="M299" s="80">
        <f t="shared" si="132"/>
        <v>0</v>
      </c>
      <c r="N299" s="80">
        <f t="shared" si="132"/>
        <v>0</v>
      </c>
      <c r="O299" s="80">
        <f t="shared" si="132"/>
        <v>0</v>
      </c>
      <c r="P299" s="80">
        <f t="shared" si="132"/>
        <v>0</v>
      </c>
      <c r="Q299" s="80">
        <f t="shared" si="133"/>
        <v>0</v>
      </c>
      <c r="R299" s="80">
        <f t="shared" si="133"/>
        <v>0</v>
      </c>
      <c r="S299" s="80">
        <f t="shared" si="133"/>
        <v>0</v>
      </c>
      <c r="T299" s="80">
        <f t="shared" si="133"/>
        <v>0</v>
      </c>
      <c r="U299" s="80">
        <f t="shared" si="133"/>
        <v>0</v>
      </c>
      <c r="V299" s="80">
        <f t="shared" si="133"/>
        <v>0</v>
      </c>
      <c r="W299" s="80">
        <f t="shared" si="133"/>
        <v>0</v>
      </c>
      <c r="X299" s="64">
        <f t="shared" si="133"/>
        <v>0</v>
      </c>
      <c r="Y299" s="64">
        <f t="shared" si="133"/>
        <v>0</v>
      </c>
      <c r="Z299" s="64">
        <f t="shared" si="133"/>
        <v>0</v>
      </c>
      <c r="AA299" s="64">
        <f t="shared" si="134"/>
        <v>0</v>
      </c>
      <c r="AB299" s="59" t="str">
        <f t="shared" si="135"/>
        <v>ok</v>
      </c>
    </row>
    <row r="300" spans="1:28" x14ac:dyDescent="0.25">
      <c r="A300" s="69" t="s">
        <v>1288</v>
      </c>
      <c r="C300" s="61" t="s">
        <v>1096</v>
      </c>
      <c r="D300" s="61" t="s">
        <v>513</v>
      </c>
      <c r="E300" s="61" t="s">
        <v>1114</v>
      </c>
      <c r="F300" s="80">
        <f>VLOOKUP(C300,'Functional Assignment'!$C$2:$AP$778,'Functional Assignment'!$L$2,)</f>
        <v>0</v>
      </c>
      <c r="G300" s="80">
        <f t="shared" si="132"/>
        <v>0</v>
      </c>
      <c r="H300" s="80">
        <f t="shared" si="132"/>
        <v>0</v>
      </c>
      <c r="I300" s="80">
        <f t="shared" si="132"/>
        <v>0</v>
      </c>
      <c r="J300" s="80">
        <f t="shared" si="132"/>
        <v>0</v>
      </c>
      <c r="K300" s="80">
        <f t="shared" si="132"/>
        <v>0</v>
      </c>
      <c r="L300" s="80">
        <f t="shared" si="132"/>
        <v>0</v>
      </c>
      <c r="M300" s="80">
        <f t="shared" si="132"/>
        <v>0</v>
      </c>
      <c r="N300" s="80">
        <f t="shared" si="132"/>
        <v>0</v>
      </c>
      <c r="O300" s="80">
        <f t="shared" si="132"/>
        <v>0</v>
      </c>
      <c r="P300" s="80">
        <f t="shared" si="132"/>
        <v>0</v>
      </c>
      <c r="Q300" s="80">
        <f t="shared" si="133"/>
        <v>0</v>
      </c>
      <c r="R300" s="80">
        <f t="shared" si="133"/>
        <v>0</v>
      </c>
      <c r="S300" s="80">
        <f t="shared" si="133"/>
        <v>0</v>
      </c>
      <c r="T300" s="80">
        <f t="shared" si="133"/>
        <v>0</v>
      </c>
      <c r="U300" s="80">
        <f t="shared" si="133"/>
        <v>0</v>
      </c>
      <c r="V300" s="80">
        <f t="shared" si="133"/>
        <v>0</v>
      </c>
      <c r="W300" s="80">
        <f t="shared" si="133"/>
        <v>0</v>
      </c>
      <c r="X300" s="64">
        <f t="shared" si="133"/>
        <v>0</v>
      </c>
      <c r="Y300" s="64">
        <f t="shared" si="133"/>
        <v>0</v>
      </c>
      <c r="Z300" s="64">
        <f t="shared" si="133"/>
        <v>0</v>
      </c>
      <c r="AA300" s="64">
        <f t="shared" si="134"/>
        <v>0</v>
      </c>
      <c r="AB300" s="59" t="str">
        <f t="shared" si="135"/>
        <v>ok</v>
      </c>
    </row>
    <row r="301" spans="1:28" x14ac:dyDescent="0.25">
      <c r="A301" s="69" t="s">
        <v>1288</v>
      </c>
      <c r="C301" s="61" t="s">
        <v>1096</v>
      </c>
      <c r="D301" s="61" t="s">
        <v>514</v>
      </c>
      <c r="E301" s="61" t="s">
        <v>1114</v>
      </c>
      <c r="F301" s="80">
        <f>VLOOKUP(C301,'Functional Assignment'!$C$2:$AP$778,'Functional Assignment'!$M$2,)</f>
        <v>0</v>
      </c>
      <c r="G301" s="80">
        <f t="shared" si="132"/>
        <v>0</v>
      </c>
      <c r="H301" s="80">
        <f t="shared" si="132"/>
        <v>0</v>
      </c>
      <c r="I301" s="80">
        <f t="shared" si="132"/>
        <v>0</v>
      </c>
      <c r="J301" s="80">
        <f t="shared" si="132"/>
        <v>0</v>
      </c>
      <c r="K301" s="80">
        <f t="shared" si="132"/>
        <v>0</v>
      </c>
      <c r="L301" s="80">
        <f t="shared" si="132"/>
        <v>0</v>
      </c>
      <c r="M301" s="80">
        <f t="shared" si="132"/>
        <v>0</v>
      </c>
      <c r="N301" s="80">
        <f t="shared" si="132"/>
        <v>0</v>
      </c>
      <c r="O301" s="80">
        <f t="shared" si="132"/>
        <v>0</v>
      </c>
      <c r="P301" s="80">
        <f t="shared" si="132"/>
        <v>0</v>
      </c>
      <c r="Q301" s="80">
        <f t="shared" si="133"/>
        <v>0</v>
      </c>
      <c r="R301" s="80">
        <f t="shared" si="133"/>
        <v>0</v>
      </c>
      <c r="S301" s="80">
        <f t="shared" si="133"/>
        <v>0</v>
      </c>
      <c r="T301" s="80">
        <f t="shared" si="133"/>
        <v>0</v>
      </c>
      <c r="U301" s="80">
        <f t="shared" si="133"/>
        <v>0</v>
      </c>
      <c r="V301" s="80">
        <f t="shared" si="133"/>
        <v>0</v>
      </c>
      <c r="W301" s="80">
        <f t="shared" si="133"/>
        <v>0</v>
      </c>
      <c r="X301" s="64">
        <f t="shared" si="133"/>
        <v>0</v>
      </c>
      <c r="Y301" s="64">
        <f t="shared" si="133"/>
        <v>0</v>
      </c>
      <c r="Z301" s="64">
        <f t="shared" si="133"/>
        <v>0</v>
      </c>
      <c r="AA301" s="64">
        <f t="shared" si="134"/>
        <v>0</v>
      </c>
      <c r="AB301" s="59" t="str">
        <f t="shared" si="135"/>
        <v>ok</v>
      </c>
    </row>
    <row r="302" spans="1:28" x14ac:dyDescent="0.25">
      <c r="A302" s="61" t="s">
        <v>392</v>
      </c>
      <c r="D302" s="61" t="s">
        <v>515</v>
      </c>
      <c r="F302" s="77">
        <f>SUM(F296:F301)</f>
        <v>69361813.46648705</v>
      </c>
      <c r="G302" s="77">
        <f t="shared" ref="G302:P302" si="136">SUM(G296:G301)</f>
        <v>34629460.700222082</v>
      </c>
      <c r="H302" s="77">
        <f t="shared" si="136"/>
        <v>8583554.3859592341</v>
      </c>
      <c r="I302" s="77">
        <f t="shared" si="136"/>
        <v>0</v>
      </c>
      <c r="J302" s="77">
        <f t="shared" si="136"/>
        <v>775228.79109954345</v>
      </c>
      <c r="K302" s="77">
        <f t="shared" si="136"/>
        <v>9858634.8081163932</v>
      </c>
      <c r="L302" s="77">
        <f t="shared" si="136"/>
        <v>0</v>
      </c>
      <c r="M302" s="77">
        <f t="shared" si="136"/>
        <v>0</v>
      </c>
      <c r="N302" s="77">
        <f t="shared" si="136"/>
        <v>8005370.2359341793</v>
      </c>
      <c r="O302" s="77">
        <f>SUM(O296:O301)</f>
        <v>4885362.9090030817</v>
      </c>
      <c r="P302" s="77">
        <f t="shared" si="136"/>
        <v>1931536.1881111192</v>
      </c>
      <c r="Q302" s="77">
        <f t="shared" ref="Q302:W302" si="137">SUM(Q296:Q301)</f>
        <v>413678.55444447999</v>
      </c>
      <c r="R302" s="77">
        <f t="shared" si="137"/>
        <v>269551.38791585906</v>
      </c>
      <c r="S302" s="77">
        <f t="shared" si="137"/>
        <v>0</v>
      </c>
      <c r="T302" s="77">
        <f t="shared" si="137"/>
        <v>0</v>
      </c>
      <c r="U302" s="77">
        <f t="shared" si="137"/>
        <v>9435.5056810797068</v>
      </c>
      <c r="V302" s="77">
        <f t="shared" si="137"/>
        <v>0</v>
      </c>
      <c r="W302" s="77">
        <f t="shared" si="137"/>
        <v>0</v>
      </c>
      <c r="X302" s="63">
        <f>SUM(X296:X301)</f>
        <v>0</v>
      </c>
      <c r="Y302" s="63">
        <f>SUM(Y296:Y301)</f>
        <v>0</v>
      </c>
      <c r="Z302" s="63">
        <f>SUM(Z296:Z301)</f>
        <v>0</v>
      </c>
      <c r="AA302" s="65">
        <f t="shared" si="134"/>
        <v>69361813.46648705</v>
      </c>
      <c r="AB302" s="59" t="str">
        <f t="shared" si="135"/>
        <v>ok</v>
      </c>
    </row>
    <row r="303" spans="1:28" x14ac:dyDescent="0.25">
      <c r="F303" s="80"/>
      <c r="G303" s="80"/>
    </row>
    <row r="304" spans="1:28" x14ac:dyDescent="0.25">
      <c r="A304" s="66" t="s">
        <v>1154</v>
      </c>
      <c r="F304" s="80"/>
      <c r="G304" s="80"/>
    </row>
    <row r="305" spans="1:28" x14ac:dyDescent="0.25">
      <c r="A305" s="69" t="s">
        <v>362</v>
      </c>
      <c r="C305" s="61" t="s">
        <v>1096</v>
      </c>
      <c r="D305" s="61" t="s">
        <v>516</v>
      </c>
      <c r="E305" s="61" t="s">
        <v>1399</v>
      </c>
      <c r="F305" s="77">
        <f>VLOOKUP(C305,'Functional Assignment'!$C$2:$AP$778,'Functional Assignment'!$N$2,)</f>
        <v>3380608.9178934363</v>
      </c>
      <c r="G305" s="77">
        <f t="shared" ref="G305:P307" si="138">IF(VLOOKUP($E305,$D$6:$AN$1141,3,)=0,0,(VLOOKUP($E305,$D$6:$AN$1141,G$2,)/VLOOKUP($E305,$D$6:$AN$1141,3,))*$F305)</f>
        <v>1687797.0429878414</v>
      </c>
      <c r="H305" s="77">
        <f t="shared" si="138"/>
        <v>418351.81426473678</v>
      </c>
      <c r="I305" s="77">
        <f t="shared" si="138"/>
        <v>0</v>
      </c>
      <c r="J305" s="77">
        <f t="shared" si="138"/>
        <v>37783.691538934574</v>
      </c>
      <c r="K305" s="77">
        <f t="shared" si="138"/>
        <v>480497.65548122267</v>
      </c>
      <c r="L305" s="77">
        <f t="shared" si="138"/>
        <v>0</v>
      </c>
      <c r="M305" s="77">
        <f t="shared" si="138"/>
        <v>0</v>
      </c>
      <c r="N305" s="77">
        <f t="shared" si="138"/>
        <v>390171.83458897861</v>
      </c>
      <c r="O305" s="77">
        <f t="shared" si="138"/>
        <v>238106.54006763091</v>
      </c>
      <c r="P305" s="77">
        <f t="shared" si="138"/>
        <v>94140.682551751277</v>
      </c>
      <c r="Q305" s="77">
        <f t="shared" ref="Q305:Z307" si="139">IF(VLOOKUP($E305,$D$6:$AN$1141,3,)=0,0,(VLOOKUP($E305,$D$6:$AN$1141,Q$2,)/VLOOKUP($E305,$D$6:$AN$1141,3,))*$F305)</f>
        <v>20162.180606364462</v>
      </c>
      <c r="R305" s="77">
        <f t="shared" si="139"/>
        <v>13137.600940309701</v>
      </c>
      <c r="S305" s="77">
        <f t="shared" si="139"/>
        <v>0</v>
      </c>
      <c r="T305" s="77">
        <f t="shared" si="139"/>
        <v>0</v>
      </c>
      <c r="U305" s="77">
        <f t="shared" si="139"/>
        <v>459.87486566659629</v>
      </c>
      <c r="V305" s="77">
        <f t="shared" si="139"/>
        <v>0</v>
      </c>
      <c r="W305" s="77">
        <f t="shared" si="139"/>
        <v>0</v>
      </c>
      <c r="X305" s="63">
        <f t="shared" si="139"/>
        <v>0</v>
      </c>
      <c r="Y305" s="63">
        <f t="shared" si="139"/>
        <v>0</v>
      </c>
      <c r="Z305" s="63">
        <f t="shared" si="139"/>
        <v>0</v>
      </c>
      <c r="AA305" s="65">
        <f>SUM(G305:Z305)</f>
        <v>3380608.9178934367</v>
      </c>
      <c r="AB305" s="59" t="str">
        <f>IF(ABS(F305-AA305)&lt;0.01,"ok","err")</f>
        <v>ok</v>
      </c>
    </row>
    <row r="306" spans="1:28" x14ac:dyDescent="0.25">
      <c r="A306" s="69" t="s">
        <v>364</v>
      </c>
      <c r="C306" s="61" t="s">
        <v>1096</v>
      </c>
      <c r="D306" s="61" t="s">
        <v>517</v>
      </c>
      <c r="E306" s="61" t="s">
        <v>1399</v>
      </c>
      <c r="F306" s="80">
        <f>VLOOKUP(C306,'Functional Assignment'!$C$2:$AP$778,'Functional Assignment'!$O$2,)</f>
        <v>3294281.9753153496</v>
      </c>
      <c r="G306" s="80">
        <f t="shared" si="138"/>
        <v>1644697.6008600404</v>
      </c>
      <c r="H306" s="80">
        <f t="shared" si="138"/>
        <v>407668.81782101485</v>
      </c>
      <c r="I306" s="80">
        <f t="shared" si="138"/>
        <v>0</v>
      </c>
      <c r="J306" s="80">
        <f t="shared" si="138"/>
        <v>36818.850396676025</v>
      </c>
      <c r="K306" s="80">
        <f t="shared" si="138"/>
        <v>468227.70810751693</v>
      </c>
      <c r="L306" s="80">
        <f t="shared" si="138"/>
        <v>0</v>
      </c>
      <c r="M306" s="80">
        <f t="shared" si="138"/>
        <v>0</v>
      </c>
      <c r="N306" s="80">
        <f t="shared" si="138"/>
        <v>380208.43971598096</v>
      </c>
      <c r="O306" s="80">
        <f t="shared" si="138"/>
        <v>232026.27165708263</v>
      </c>
      <c r="P306" s="80">
        <f t="shared" si="138"/>
        <v>91736.7140672893</v>
      </c>
      <c r="Q306" s="80">
        <f t="shared" si="139"/>
        <v>19647.320872592234</v>
      </c>
      <c r="R306" s="80">
        <f t="shared" si="139"/>
        <v>12802.120277052549</v>
      </c>
      <c r="S306" s="80">
        <f t="shared" si="139"/>
        <v>0</v>
      </c>
      <c r="T306" s="80">
        <f t="shared" si="139"/>
        <v>0</v>
      </c>
      <c r="U306" s="80">
        <f t="shared" si="139"/>
        <v>448.13154010433527</v>
      </c>
      <c r="V306" s="80">
        <f t="shared" si="139"/>
        <v>0</v>
      </c>
      <c r="W306" s="80">
        <f t="shared" si="139"/>
        <v>0</v>
      </c>
      <c r="X306" s="64">
        <f t="shared" si="139"/>
        <v>0</v>
      </c>
      <c r="Y306" s="64">
        <f t="shared" si="139"/>
        <v>0</v>
      </c>
      <c r="Z306" s="64">
        <f t="shared" si="139"/>
        <v>0</v>
      </c>
      <c r="AA306" s="64">
        <f>SUM(G306:Z306)</f>
        <v>3294281.9753153506</v>
      </c>
      <c r="AB306" s="59" t="str">
        <f>IF(ABS(F306-AA306)&lt;0.01,"ok","err")</f>
        <v>ok</v>
      </c>
    </row>
    <row r="307" spans="1:28" x14ac:dyDescent="0.25">
      <c r="A307" s="69" t="s">
        <v>363</v>
      </c>
      <c r="C307" s="61" t="s">
        <v>1096</v>
      </c>
      <c r="D307" s="61" t="s">
        <v>518</v>
      </c>
      <c r="E307" s="61" t="s">
        <v>1399</v>
      </c>
      <c r="F307" s="80">
        <f>VLOOKUP(C307,'Functional Assignment'!$C$2:$AP$778,'Functional Assignment'!$P$2,)</f>
        <v>2986775.2690045666</v>
      </c>
      <c r="G307" s="80">
        <f t="shared" si="138"/>
        <v>1491172.3270955493</v>
      </c>
      <c r="H307" s="80">
        <f t="shared" si="138"/>
        <v>369614.7300492021</v>
      </c>
      <c r="I307" s="80">
        <f t="shared" si="138"/>
        <v>0</v>
      </c>
      <c r="J307" s="80">
        <f t="shared" si="138"/>
        <v>33381.972952525997</v>
      </c>
      <c r="K307" s="80">
        <f t="shared" si="138"/>
        <v>424520.71477710956</v>
      </c>
      <c r="L307" s="80">
        <f t="shared" si="138"/>
        <v>0</v>
      </c>
      <c r="M307" s="80">
        <f t="shared" si="138"/>
        <v>0</v>
      </c>
      <c r="N307" s="80">
        <f t="shared" si="138"/>
        <v>344717.6572375226</v>
      </c>
      <c r="O307" s="80">
        <f t="shared" si="138"/>
        <v>210367.64160978366</v>
      </c>
      <c r="P307" s="80">
        <f t="shared" si="138"/>
        <v>83173.496042242798</v>
      </c>
      <c r="Q307" s="80">
        <f t="shared" si="139"/>
        <v>17813.330044049519</v>
      </c>
      <c r="R307" s="80">
        <f t="shared" si="139"/>
        <v>11607.098761077412</v>
      </c>
      <c r="S307" s="80">
        <f t="shared" si="139"/>
        <v>0</v>
      </c>
      <c r="T307" s="80">
        <f t="shared" si="139"/>
        <v>0</v>
      </c>
      <c r="U307" s="80">
        <f t="shared" si="139"/>
        <v>406.30043550428923</v>
      </c>
      <c r="V307" s="80">
        <f t="shared" si="139"/>
        <v>0</v>
      </c>
      <c r="W307" s="80">
        <f t="shared" si="139"/>
        <v>0</v>
      </c>
      <c r="X307" s="64">
        <f t="shared" si="139"/>
        <v>0</v>
      </c>
      <c r="Y307" s="64">
        <f t="shared" si="139"/>
        <v>0</v>
      </c>
      <c r="Z307" s="64">
        <f t="shared" si="139"/>
        <v>0</v>
      </c>
      <c r="AA307" s="64">
        <f>SUM(G307:Z307)</f>
        <v>2986775.2690045675</v>
      </c>
      <c r="AB307" s="59" t="str">
        <f>IF(ABS(F307-AA307)&lt;0.01,"ok","err")</f>
        <v>ok</v>
      </c>
    </row>
    <row r="308" spans="1:28" x14ac:dyDescent="0.25">
      <c r="A308" s="61" t="s">
        <v>1156</v>
      </c>
      <c r="D308" s="61" t="s">
        <v>519</v>
      </c>
      <c r="F308" s="77">
        <f>SUM(F305:F307)</f>
        <v>9661666.1622133516</v>
      </c>
      <c r="G308" s="77">
        <f t="shared" ref="G308:W308" si="140">SUM(G305:G307)</f>
        <v>4823666.9709434314</v>
      </c>
      <c r="H308" s="77">
        <f t="shared" si="140"/>
        <v>1195635.3621349537</v>
      </c>
      <c r="I308" s="77">
        <f t="shared" si="140"/>
        <v>0</v>
      </c>
      <c r="J308" s="77">
        <f t="shared" si="140"/>
        <v>107984.51488813659</v>
      </c>
      <c r="K308" s="77">
        <f t="shared" si="140"/>
        <v>1373246.0783658493</v>
      </c>
      <c r="L308" s="77">
        <f t="shared" si="140"/>
        <v>0</v>
      </c>
      <c r="M308" s="77">
        <f t="shared" si="140"/>
        <v>0</v>
      </c>
      <c r="N308" s="77">
        <f t="shared" si="140"/>
        <v>1115097.9315424822</v>
      </c>
      <c r="O308" s="77">
        <f>SUM(O305:O307)</f>
        <v>680500.45333449717</v>
      </c>
      <c r="P308" s="77">
        <f t="shared" si="140"/>
        <v>269050.89266128337</v>
      </c>
      <c r="Q308" s="77">
        <f t="shared" si="140"/>
        <v>57622.831523006214</v>
      </c>
      <c r="R308" s="77">
        <f t="shared" si="140"/>
        <v>37546.819978439664</v>
      </c>
      <c r="S308" s="77">
        <f t="shared" si="140"/>
        <v>0</v>
      </c>
      <c r="T308" s="77">
        <f t="shared" si="140"/>
        <v>0</v>
      </c>
      <c r="U308" s="77">
        <f t="shared" si="140"/>
        <v>1314.3068412752209</v>
      </c>
      <c r="V308" s="77">
        <f t="shared" si="140"/>
        <v>0</v>
      </c>
      <c r="W308" s="77">
        <f t="shared" si="140"/>
        <v>0</v>
      </c>
      <c r="X308" s="63">
        <f>SUM(X305:X307)</f>
        <v>0</v>
      </c>
      <c r="Y308" s="63">
        <f>SUM(Y305:Y307)</f>
        <v>0</v>
      </c>
      <c r="Z308" s="63">
        <f>SUM(Z305:Z307)</f>
        <v>0</v>
      </c>
      <c r="AA308" s="65">
        <f>SUM(G308:Z308)</f>
        <v>9661666.1622133553</v>
      </c>
      <c r="AB308" s="59" t="str">
        <f>IF(ABS(F308-AA308)&lt;0.01,"ok","err")</f>
        <v>ok</v>
      </c>
    </row>
    <row r="309" spans="1:28" x14ac:dyDescent="0.25">
      <c r="F309" s="80"/>
      <c r="G309" s="80"/>
    </row>
    <row r="310" spans="1:28" x14ac:dyDescent="0.25">
      <c r="A310" s="66" t="s">
        <v>350</v>
      </c>
      <c r="F310" s="80"/>
      <c r="G310" s="80"/>
    </row>
    <row r="311" spans="1:28" x14ac:dyDescent="0.25">
      <c r="A311" s="69" t="s">
        <v>377</v>
      </c>
      <c r="C311" s="61" t="s">
        <v>1096</v>
      </c>
      <c r="D311" s="61" t="s">
        <v>520</v>
      </c>
      <c r="E311" s="61" t="s">
        <v>133</v>
      </c>
      <c r="F311" s="77">
        <f>VLOOKUP(C311,'Functional Assignment'!$C$2:$AP$778,'Functional Assignment'!$Q$2,)</f>
        <v>0</v>
      </c>
      <c r="G311" s="77">
        <f t="shared" ref="G311:Z311" si="141">IF(VLOOKUP($E311,$D$6:$AN$1141,3,)=0,0,(VLOOKUP($E311,$D$6:$AN$1141,G$2,)/VLOOKUP($E311,$D$6:$AN$1141,3,))*$F311)</f>
        <v>0</v>
      </c>
      <c r="H311" s="77">
        <f t="shared" si="141"/>
        <v>0</v>
      </c>
      <c r="I311" s="77">
        <f t="shared" si="141"/>
        <v>0</v>
      </c>
      <c r="J311" s="77">
        <f t="shared" si="141"/>
        <v>0</v>
      </c>
      <c r="K311" s="77">
        <f t="shared" si="141"/>
        <v>0</v>
      </c>
      <c r="L311" s="77">
        <f t="shared" si="141"/>
        <v>0</v>
      </c>
      <c r="M311" s="77">
        <f t="shared" si="141"/>
        <v>0</v>
      </c>
      <c r="N311" s="77">
        <f t="shared" si="141"/>
        <v>0</v>
      </c>
      <c r="O311" s="77">
        <f t="shared" si="141"/>
        <v>0</v>
      </c>
      <c r="P311" s="77">
        <f t="shared" si="141"/>
        <v>0</v>
      </c>
      <c r="Q311" s="77">
        <f t="shared" si="141"/>
        <v>0</v>
      </c>
      <c r="R311" s="77">
        <f t="shared" si="141"/>
        <v>0</v>
      </c>
      <c r="S311" s="77">
        <f t="shared" si="141"/>
        <v>0</v>
      </c>
      <c r="T311" s="77">
        <f t="shared" si="141"/>
        <v>0</v>
      </c>
      <c r="U311" s="77">
        <f t="shared" si="141"/>
        <v>0</v>
      </c>
      <c r="V311" s="77">
        <f t="shared" si="141"/>
        <v>0</v>
      </c>
      <c r="W311" s="77">
        <f t="shared" si="141"/>
        <v>0</v>
      </c>
      <c r="X311" s="63">
        <f t="shared" si="141"/>
        <v>0</v>
      </c>
      <c r="Y311" s="63">
        <f t="shared" si="141"/>
        <v>0</v>
      </c>
      <c r="Z311" s="63">
        <f t="shared" si="141"/>
        <v>0</v>
      </c>
      <c r="AA311" s="65">
        <f>SUM(G311:Z311)</f>
        <v>0</v>
      </c>
      <c r="AB311" s="59" t="str">
        <f>IF(ABS(F311-AA311)&lt;0.01,"ok","err")</f>
        <v>ok</v>
      </c>
    </row>
    <row r="312" spans="1:28" x14ac:dyDescent="0.25">
      <c r="F312" s="80"/>
    </row>
    <row r="313" spans="1:28" x14ac:dyDescent="0.25">
      <c r="A313" s="66" t="s">
        <v>351</v>
      </c>
      <c r="F313" s="80"/>
      <c r="G313" s="80"/>
    </row>
    <row r="314" spans="1:28" x14ac:dyDescent="0.25">
      <c r="A314" s="69" t="s">
        <v>379</v>
      </c>
      <c r="C314" s="61" t="s">
        <v>1096</v>
      </c>
      <c r="D314" s="61" t="s">
        <v>521</v>
      </c>
      <c r="E314" s="61" t="s">
        <v>133</v>
      </c>
      <c r="F314" s="77">
        <f>VLOOKUP(C314,'Functional Assignment'!$C$2:$AP$778,'Functional Assignment'!$R$2,)</f>
        <v>4552574.8781321384</v>
      </c>
      <c r="G314" s="77">
        <f t="shared" ref="G314:Z314" si="142">IF(VLOOKUP($E314,$D$6:$AN$1141,3,)=0,0,(VLOOKUP($E314,$D$6:$AN$1141,G$2,)/VLOOKUP($E314,$D$6:$AN$1141,3,))*$F314)</f>
        <v>2185807.6652160124</v>
      </c>
      <c r="H314" s="77">
        <f t="shared" si="142"/>
        <v>608124.31763158878</v>
      </c>
      <c r="I314" s="77">
        <f t="shared" si="142"/>
        <v>0</v>
      </c>
      <c r="J314" s="77">
        <f t="shared" si="142"/>
        <v>51257.66615663845</v>
      </c>
      <c r="K314" s="77">
        <f t="shared" si="142"/>
        <v>645744.84970318503</v>
      </c>
      <c r="L314" s="77">
        <f t="shared" si="142"/>
        <v>0</v>
      </c>
      <c r="M314" s="77">
        <f t="shared" si="142"/>
        <v>0</v>
      </c>
      <c r="N314" s="77">
        <f t="shared" si="142"/>
        <v>621985.11547953391</v>
      </c>
      <c r="O314" s="77">
        <f t="shared" si="142"/>
        <v>325863.49711986654</v>
      </c>
      <c r="P314" s="77">
        <f t="shared" si="142"/>
        <v>0</v>
      </c>
      <c r="Q314" s="77">
        <f t="shared" si="142"/>
        <v>36100.69117895596</v>
      </c>
      <c r="R314" s="77">
        <f t="shared" si="142"/>
        <v>18603.798272258475</v>
      </c>
      <c r="S314" s="77">
        <f t="shared" si="142"/>
        <v>56816.13135307726</v>
      </c>
      <c r="T314" s="77">
        <f t="shared" si="142"/>
        <v>1643.5631838720715</v>
      </c>
      <c r="U314" s="77">
        <f t="shared" si="142"/>
        <v>627.58283715036941</v>
      </c>
      <c r="V314" s="77">
        <f t="shared" si="142"/>
        <v>0</v>
      </c>
      <c r="W314" s="77">
        <f t="shared" si="142"/>
        <v>0</v>
      </c>
      <c r="X314" s="63">
        <f t="shared" si="142"/>
        <v>0</v>
      </c>
      <c r="Y314" s="63">
        <f t="shared" si="142"/>
        <v>0</v>
      </c>
      <c r="Z314" s="63">
        <f t="shared" si="142"/>
        <v>0</v>
      </c>
      <c r="AA314" s="65">
        <f>SUM(G314:Z314)</f>
        <v>4552574.8781321403</v>
      </c>
      <c r="AB314" s="59" t="str">
        <f>IF(ABS(F314-AA314)&lt;0.01,"ok","err")</f>
        <v>ok</v>
      </c>
    </row>
    <row r="315" spans="1:28" x14ac:dyDescent="0.25">
      <c r="F315" s="80"/>
    </row>
    <row r="316" spans="1:28" x14ac:dyDescent="0.25">
      <c r="A316" s="66" t="s">
        <v>378</v>
      </c>
      <c r="F316" s="80"/>
    </row>
    <row r="317" spans="1:28" x14ac:dyDescent="0.25">
      <c r="A317" s="69" t="s">
        <v>629</v>
      </c>
      <c r="C317" s="61" t="s">
        <v>1096</v>
      </c>
      <c r="D317" s="61" t="s">
        <v>522</v>
      </c>
      <c r="E317" s="61" t="s">
        <v>133</v>
      </c>
      <c r="F317" s="77">
        <f>VLOOKUP(C317,'Functional Assignment'!$C$2:$AP$778,'Functional Assignment'!$S$2,)</f>
        <v>0</v>
      </c>
      <c r="G317" s="77">
        <f t="shared" ref="G317:P321" si="143">IF(VLOOKUP($E317,$D$6:$AN$1141,3,)=0,0,(VLOOKUP($E317,$D$6:$AN$1141,G$2,)/VLOOKUP($E317,$D$6:$AN$1141,3,))*$F317)</f>
        <v>0</v>
      </c>
      <c r="H317" s="77">
        <f t="shared" si="143"/>
        <v>0</v>
      </c>
      <c r="I317" s="77">
        <f t="shared" si="143"/>
        <v>0</v>
      </c>
      <c r="J317" s="77">
        <f t="shared" si="143"/>
        <v>0</v>
      </c>
      <c r="K317" s="77">
        <f t="shared" si="143"/>
        <v>0</v>
      </c>
      <c r="L317" s="77">
        <f t="shared" si="143"/>
        <v>0</v>
      </c>
      <c r="M317" s="77">
        <f t="shared" si="143"/>
        <v>0</v>
      </c>
      <c r="N317" s="77">
        <f t="shared" si="143"/>
        <v>0</v>
      </c>
      <c r="O317" s="77">
        <f t="shared" si="143"/>
        <v>0</v>
      </c>
      <c r="P317" s="77">
        <f t="shared" si="143"/>
        <v>0</v>
      </c>
      <c r="Q317" s="77">
        <f t="shared" ref="Q317:Z321" si="144">IF(VLOOKUP($E317,$D$6:$AN$1141,3,)=0,0,(VLOOKUP($E317,$D$6:$AN$1141,Q$2,)/VLOOKUP($E317,$D$6:$AN$1141,3,))*$F317)</f>
        <v>0</v>
      </c>
      <c r="R317" s="77">
        <f t="shared" si="144"/>
        <v>0</v>
      </c>
      <c r="S317" s="77">
        <f t="shared" si="144"/>
        <v>0</v>
      </c>
      <c r="T317" s="77">
        <f t="shared" si="144"/>
        <v>0</v>
      </c>
      <c r="U317" s="77">
        <f t="shared" si="144"/>
        <v>0</v>
      </c>
      <c r="V317" s="77">
        <f t="shared" si="144"/>
        <v>0</v>
      </c>
      <c r="W317" s="77">
        <f t="shared" si="144"/>
        <v>0</v>
      </c>
      <c r="X317" s="63">
        <f t="shared" si="144"/>
        <v>0</v>
      </c>
      <c r="Y317" s="63">
        <f t="shared" si="144"/>
        <v>0</v>
      </c>
      <c r="Z317" s="63">
        <f t="shared" si="144"/>
        <v>0</v>
      </c>
      <c r="AA317" s="65">
        <f t="shared" ref="AA317:AA322" si="145">SUM(G317:Z317)</f>
        <v>0</v>
      </c>
      <c r="AB317" s="59" t="str">
        <f t="shared" ref="AB317:AB322" si="146">IF(ABS(F317-AA317)&lt;0.01,"ok","err")</f>
        <v>ok</v>
      </c>
    </row>
    <row r="318" spans="1:28" x14ac:dyDescent="0.25">
      <c r="A318" s="69" t="s">
        <v>630</v>
      </c>
      <c r="C318" s="61" t="s">
        <v>1096</v>
      </c>
      <c r="D318" s="61" t="s">
        <v>523</v>
      </c>
      <c r="E318" s="61" t="s">
        <v>133</v>
      </c>
      <c r="F318" s="80">
        <f>VLOOKUP(C318,'Functional Assignment'!$C$2:$AP$778,'Functional Assignment'!$T$2,)</f>
        <v>6681141.0718069654</v>
      </c>
      <c r="G318" s="80">
        <f t="shared" si="143"/>
        <v>3207786.7488336382</v>
      </c>
      <c r="H318" s="80">
        <f t="shared" si="143"/>
        <v>892454.15266183903</v>
      </c>
      <c r="I318" s="80">
        <f t="shared" si="143"/>
        <v>0</v>
      </c>
      <c r="J318" s="80">
        <f t="shared" si="143"/>
        <v>75223.298412742137</v>
      </c>
      <c r="K318" s="80">
        <f t="shared" si="143"/>
        <v>947664.24556423142</v>
      </c>
      <c r="L318" s="80">
        <f t="shared" si="143"/>
        <v>0</v>
      </c>
      <c r="M318" s="80">
        <f t="shared" si="143"/>
        <v>0</v>
      </c>
      <c r="N318" s="80">
        <f t="shared" si="143"/>
        <v>912795.5964093639</v>
      </c>
      <c r="O318" s="80">
        <f t="shared" si="143"/>
        <v>478221.67733426561</v>
      </c>
      <c r="P318" s="80">
        <f t="shared" si="143"/>
        <v>0</v>
      </c>
      <c r="Q318" s="80">
        <f t="shared" si="144"/>
        <v>52979.647125606585</v>
      </c>
      <c r="R318" s="80">
        <f t="shared" si="144"/>
        <v>27302.044239938783</v>
      </c>
      <c r="S318" s="80">
        <f t="shared" si="144"/>
        <v>83380.63598856554</v>
      </c>
      <c r="T318" s="80">
        <f t="shared" si="144"/>
        <v>2412.0146918666014</v>
      </c>
      <c r="U318" s="80">
        <f t="shared" si="144"/>
        <v>921.0105449087738</v>
      </c>
      <c r="V318" s="80">
        <f t="shared" si="144"/>
        <v>0</v>
      </c>
      <c r="W318" s="80">
        <f t="shared" si="144"/>
        <v>0</v>
      </c>
      <c r="X318" s="64">
        <f t="shared" si="144"/>
        <v>0</v>
      </c>
      <c r="Y318" s="64">
        <f t="shared" si="144"/>
        <v>0</v>
      </c>
      <c r="Z318" s="64">
        <f t="shared" si="144"/>
        <v>0</v>
      </c>
      <c r="AA318" s="64">
        <f t="shared" si="145"/>
        <v>6681141.0718069673</v>
      </c>
      <c r="AB318" s="59" t="str">
        <f t="shared" si="146"/>
        <v>ok</v>
      </c>
    </row>
    <row r="319" spans="1:28" x14ac:dyDescent="0.25">
      <c r="A319" s="69" t="s">
        <v>631</v>
      </c>
      <c r="C319" s="61" t="s">
        <v>1096</v>
      </c>
      <c r="D319" s="61" t="s">
        <v>524</v>
      </c>
      <c r="E319" s="61" t="s">
        <v>707</v>
      </c>
      <c r="F319" s="80">
        <f>VLOOKUP(C319,'Functional Assignment'!$C$2:$AP$778,'Functional Assignment'!$U$2,)</f>
        <v>10856352.529246645</v>
      </c>
      <c r="G319" s="80">
        <f t="shared" si="143"/>
        <v>9340243.896347506</v>
      </c>
      <c r="H319" s="80">
        <f t="shared" si="143"/>
        <v>1152225.5570206863</v>
      </c>
      <c r="I319" s="80">
        <f t="shared" si="143"/>
        <v>0</v>
      </c>
      <c r="J319" s="80">
        <f t="shared" si="143"/>
        <v>1886.0354428501621</v>
      </c>
      <c r="K319" s="80">
        <f t="shared" si="143"/>
        <v>72224.823020378477</v>
      </c>
      <c r="L319" s="80">
        <f t="shared" si="143"/>
        <v>0</v>
      </c>
      <c r="M319" s="80">
        <f t="shared" si="143"/>
        <v>0</v>
      </c>
      <c r="N319" s="80">
        <f t="shared" si="143"/>
        <v>2833.3591812680515</v>
      </c>
      <c r="O319" s="80">
        <f t="shared" si="143"/>
        <v>8246.022541228449</v>
      </c>
      <c r="P319" s="80">
        <f t="shared" si="143"/>
        <v>0</v>
      </c>
      <c r="Q319" s="80">
        <f t="shared" si="144"/>
        <v>25.836101956851532</v>
      </c>
      <c r="R319" s="80">
        <f t="shared" si="144"/>
        <v>51.672203913703065</v>
      </c>
      <c r="S319" s="80">
        <f t="shared" si="144"/>
        <v>275569.53803394234</v>
      </c>
      <c r="T319" s="80">
        <f t="shared" si="144"/>
        <v>447.82576725209321</v>
      </c>
      <c r="U319" s="80">
        <f t="shared" si="144"/>
        <v>2597.9635856611822</v>
      </c>
      <c r="V319" s="80">
        <f t="shared" si="144"/>
        <v>0</v>
      </c>
      <c r="W319" s="80">
        <f t="shared" si="144"/>
        <v>0</v>
      </c>
      <c r="X319" s="64">
        <f t="shared" si="144"/>
        <v>0</v>
      </c>
      <c r="Y319" s="64">
        <f t="shared" si="144"/>
        <v>0</v>
      </c>
      <c r="Z319" s="64">
        <f t="shared" si="144"/>
        <v>0</v>
      </c>
      <c r="AA319" s="64">
        <f t="shared" si="145"/>
        <v>10856352.529246643</v>
      </c>
      <c r="AB319" s="59" t="str">
        <f t="shared" si="146"/>
        <v>ok</v>
      </c>
    </row>
    <row r="320" spans="1:28" x14ac:dyDescent="0.25">
      <c r="A320" s="69" t="s">
        <v>632</v>
      </c>
      <c r="C320" s="61" t="s">
        <v>1096</v>
      </c>
      <c r="D320" s="61" t="s">
        <v>525</v>
      </c>
      <c r="E320" s="61" t="s">
        <v>685</v>
      </c>
      <c r="F320" s="80">
        <f>VLOOKUP(C320,'Functional Assignment'!$C$2:$AP$778,'Functional Assignment'!$V$2,)</f>
        <v>2227047.0239356551</v>
      </c>
      <c r="G320" s="80">
        <f t="shared" si="143"/>
        <v>1888411.945760851</v>
      </c>
      <c r="H320" s="80">
        <f t="shared" si="143"/>
        <v>316943.43736317375</v>
      </c>
      <c r="I320" s="80">
        <f t="shared" si="143"/>
        <v>0</v>
      </c>
      <c r="J320" s="80">
        <f t="shared" si="143"/>
        <v>0</v>
      </c>
      <c r="K320" s="80">
        <f t="shared" si="143"/>
        <v>0</v>
      </c>
      <c r="L320" s="80">
        <f t="shared" si="143"/>
        <v>0</v>
      </c>
      <c r="M320" s="80">
        <f t="shared" si="143"/>
        <v>0</v>
      </c>
      <c r="N320" s="80">
        <f t="shared" si="143"/>
        <v>0</v>
      </c>
      <c r="O320" s="80">
        <f t="shared" si="143"/>
        <v>0</v>
      </c>
      <c r="P320" s="80">
        <f t="shared" si="143"/>
        <v>0</v>
      </c>
      <c r="Q320" s="80">
        <f t="shared" si="144"/>
        <v>0</v>
      </c>
      <c r="R320" s="80">
        <f t="shared" si="144"/>
        <v>0</v>
      </c>
      <c r="S320" s="80">
        <f t="shared" si="144"/>
        <v>20857.876151822307</v>
      </c>
      <c r="T320" s="80">
        <f t="shared" si="144"/>
        <v>603.3715517141012</v>
      </c>
      <c r="U320" s="80">
        <f t="shared" si="144"/>
        <v>230.39310809363465</v>
      </c>
      <c r="V320" s="80">
        <f t="shared" si="144"/>
        <v>0</v>
      </c>
      <c r="W320" s="80">
        <f t="shared" si="144"/>
        <v>0</v>
      </c>
      <c r="X320" s="64">
        <f t="shared" si="144"/>
        <v>0</v>
      </c>
      <c r="Y320" s="64">
        <f t="shared" si="144"/>
        <v>0</v>
      </c>
      <c r="Z320" s="64">
        <f t="shared" si="144"/>
        <v>0</v>
      </c>
      <c r="AA320" s="64">
        <f t="shared" si="145"/>
        <v>2227047.0239356547</v>
      </c>
      <c r="AB320" s="59" t="str">
        <f t="shared" si="146"/>
        <v>ok</v>
      </c>
    </row>
    <row r="321" spans="1:28" x14ac:dyDescent="0.25">
      <c r="A321" s="69" t="s">
        <v>633</v>
      </c>
      <c r="C321" s="61" t="s">
        <v>1096</v>
      </c>
      <c r="D321" s="61" t="s">
        <v>526</v>
      </c>
      <c r="E321" s="61" t="s">
        <v>706</v>
      </c>
      <c r="F321" s="80">
        <f>VLOOKUP(C321,'Functional Assignment'!$C$2:$AP$778,'Functional Assignment'!$W$2,)</f>
        <v>3618784.1764155477</v>
      </c>
      <c r="G321" s="80">
        <f t="shared" si="143"/>
        <v>3138061.5327024534</v>
      </c>
      <c r="H321" s="80">
        <f t="shared" si="143"/>
        <v>387115.66181876801</v>
      </c>
      <c r="I321" s="80">
        <f t="shared" si="143"/>
        <v>0</v>
      </c>
      <c r="J321" s="80">
        <f t="shared" si="143"/>
        <v>0</v>
      </c>
      <c r="K321" s="80">
        <f t="shared" si="143"/>
        <v>0</v>
      </c>
      <c r="L321" s="80">
        <f t="shared" si="143"/>
        <v>0</v>
      </c>
      <c r="M321" s="80">
        <f t="shared" si="143"/>
        <v>0</v>
      </c>
      <c r="N321" s="80">
        <f t="shared" si="143"/>
        <v>0</v>
      </c>
      <c r="O321" s="80">
        <f t="shared" si="143"/>
        <v>0</v>
      </c>
      <c r="P321" s="80">
        <f t="shared" si="143"/>
        <v>0</v>
      </c>
      <c r="Q321" s="80">
        <f t="shared" si="144"/>
        <v>0</v>
      </c>
      <c r="R321" s="80">
        <f t="shared" si="144"/>
        <v>0</v>
      </c>
      <c r="S321" s="80">
        <f t="shared" si="144"/>
        <v>92583.681591768865</v>
      </c>
      <c r="T321" s="80">
        <f t="shared" si="144"/>
        <v>150.45697191229652</v>
      </c>
      <c r="U321" s="80">
        <f t="shared" si="144"/>
        <v>872.8433306450537</v>
      </c>
      <c r="V321" s="80">
        <f t="shared" si="144"/>
        <v>0</v>
      </c>
      <c r="W321" s="80">
        <f t="shared" si="144"/>
        <v>0</v>
      </c>
      <c r="X321" s="64">
        <f t="shared" si="144"/>
        <v>0</v>
      </c>
      <c r="Y321" s="64">
        <f t="shared" si="144"/>
        <v>0</v>
      </c>
      <c r="Z321" s="64">
        <f t="shared" si="144"/>
        <v>0</v>
      </c>
      <c r="AA321" s="64">
        <f t="shared" si="145"/>
        <v>3618784.1764155473</v>
      </c>
      <c r="AB321" s="59" t="str">
        <f t="shared" si="146"/>
        <v>ok</v>
      </c>
    </row>
    <row r="322" spans="1:28" x14ac:dyDescent="0.25">
      <c r="A322" s="61" t="s">
        <v>383</v>
      </c>
      <c r="D322" s="61" t="s">
        <v>527</v>
      </c>
      <c r="F322" s="77">
        <f>SUM(F317:F321)</f>
        <v>23383324.801404811</v>
      </c>
      <c r="G322" s="77">
        <f t="shared" ref="G322:W322" si="147">SUM(G317:G321)</f>
        <v>17574504.123644449</v>
      </c>
      <c r="H322" s="77">
        <f t="shared" si="147"/>
        <v>2748738.8088644668</v>
      </c>
      <c r="I322" s="77">
        <f t="shared" si="147"/>
        <v>0</v>
      </c>
      <c r="J322" s="77">
        <f t="shared" si="147"/>
        <v>77109.333855592296</v>
      </c>
      <c r="K322" s="77">
        <f t="shared" si="147"/>
        <v>1019889.0685846099</v>
      </c>
      <c r="L322" s="77">
        <f t="shared" si="147"/>
        <v>0</v>
      </c>
      <c r="M322" s="77">
        <f t="shared" si="147"/>
        <v>0</v>
      </c>
      <c r="N322" s="77">
        <f t="shared" si="147"/>
        <v>915628.95559063193</v>
      </c>
      <c r="O322" s="77">
        <f>SUM(O317:O321)</f>
        <v>486467.69987549406</v>
      </c>
      <c r="P322" s="77">
        <f t="shared" si="147"/>
        <v>0</v>
      </c>
      <c r="Q322" s="77">
        <f t="shared" si="147"/>
        <v>53005.48322756344</v>
      </c>
      <c r="R322" s="77">
        <f t="shared" si="147"/>
        <v>27353.716443852485</v>
      </c>
      <c r="S322" s="77">
        <f t="shared" si="147"/>
        <v>472391.73176609905</v>
      </c>
      <c r="T322" s="77">
        <f t="shared" si="147"/>
        <v>3613.6689827450923</v>
      </c>
      <c r="U322" s="77">
        <f t="shared" si="147"/>
        <v>4622.2105693086442</v>
      </c>
      <c r="V322" s="77">
        <f t="shared" si="147"/>
        <v>0</v>
      </c>
      <c r="W322" s="77">
        <f t="shared" si="147"/>
        <v>0</v>
      </c>
      <c r="X322" s="63">
        <f>SUM(X317:X321)</f>
        <v>0</v>
      </c>
      <c r="Y322" s="63">
        <f>SUM(Y317:Y321)</f>
        <v>0</v>
      </c>
      <c r="Z322" s="63">
        <f>SUM(Z317:Z321)</f>
        <v>0</v>
      </c>
      <c r="AA322" s="65">
        <f t="shared" si="145"/>
        <v>23383324.801404804</v>
      </c>
      <c r="AB322" s="59" t="str">
        <f t="shared" si="146"/>
        <v>ok</v>
      </c>
    </row>
    <row r="323" spans="1:28" x14ac:dyDescent="0.25">
      <c r="F323" s="80"/>
    </row>
    <row r="324" spans="1:28" x14ac:dyDescent="0.25">
      <c r="A324" s="66" t="s">
        <v>640</v>
      </c>
      <c r="F324" s="80"/>
    </row>
    <row r="325" spans="1:28" x14ac:dyDescent="0.25">
      <c r="A325" s="69" t="s">
        <v>1113</v>
      </c>
      <c r="C325" s="61" t="s">
        <v>1096</v>
      </c>
      <c r="D325" s="61" t="s">
        <v>528</v>
      </c>
      <c r="E325" s="61" t="s">
        <v>1379</v>
      </c>
      <c r="F325" s="77">
        <f>VLOOKUP(C325,'Functional Assignment'!$C$2:$AP$778,'Functional Assignment'!$X$2,)</f>
        <v>2760632.6691627325</v>
      </c>
      <c r="G325" s="77">
        <f t="shared" ref="G325:P326" si="148">IF(VLOOKUP($E325,$D$6:$AN$1141,3,)=0,0,(VLOOKUP($E325,$D$6:$AN$1141,G$2,)/VLOOKUP($E325,$D$6:$AN$1141,3,))*$F325)</f>
        <v>1949143.8326265854</v>
      </c>
      <c r="H325" s="77">
        <f t="shared" si="148"/>
        <v>327136.43207705847</v>
      </c>
      <c r="I325" s="77">
        <f t="shared" si="148"/>
        <v>0</v>
      </c>
      <c r="J325" s="77">
        <f t="shared" si="148"/>
        <v>0</v>
      </c>
      <c r="K325" s="77">
        <f t="shared" si="148"/>
        <v>303650.10972321266</v>
      </c>
      <c r="L325" s="77">
        <f t="shared" si="148"/>
        <v>0</v>
      </c>
      <c r="M325" s="77">
        <f t="shared" si="148"/>
        <v>0</v>
      </c>
      <c r="N325" s="77">
        <f t="shared" si="148"/>
        <v>0</v>
      </c>
      <c r="O325" s="77">
        <f t="shared" si="148"/>
        <v>158313.04433823368</v>
      </c>
      <c r="P325" s="77">
        <f t="shared" si="148"/>
        <v>0</v>
      </c>
      <c r="Q325" s="77">
        <f t="shared" ref="Q325:Z326" si="149">IF(VLOOKUP($E325,$D$6:$AN$1141,3,)=0,0,(VLOOKUP($E325,$D$6:$AN$1141,Q$2,)/VLOOKUP($E325,$D$6:$AN$1141,3,))*$F325)</f>
        <v>0</v>
      </c>
      <c r="R325" s="77">
        <f t="shared" si="149"/>
        <v>0</v>
      </c>
      <c r="S325" s="77">
        <f t="shared" si="149"/>
        <v>21528.671619705026</v>
      </c>
      <c r="T325" s="77">
        <f t="shared" si="149"/>
        <v>622.77615932578374</v>
      </c>
      <c r="U325" s="77">
        <f t="shared" si="149"/>
        <v>237.80261861214066</v>
      </c>
      <c r="V325" s="77">
        <f t="shared" si="149"/>
        <v>0</v>
      </c>
      <c r="W325" s="77">
        <f t="shared" si="149"/>
        <v>0</v>
      </c>
      <c r="X325" s="63">
        <f t="shared" si="149"/>
        <v>0</v>
      </c>
      <c r="Y325" s="63">
        <f t="shared" si="149"/>
        <v>0</v>
      </c>
      <c r="Z325" s="63">
        <f t="shared" si="149"/>
        <v>0</v>
      </c>
      <c r="AA325" s="65">
        <f>SUM(G325:Z325)</f>
        <v>2760632.669162733</v>
      </c>
      <c r="AB325" s="59" t="str">
        <f>IF(ABS(F325-AA325)&lt;0.01,"ok","err")</f>
        <v>ok</v>
      </c>
    </row>
    <row r="326" spans="1:28" x14ac:dyDescent="0.25">
      <c r="A326" s="69" t="s">
        <v>1116</v>
      </c>
      <c r="C326" s="61" t="s">
        <v>1096</v>
      </c>
      <c r="D326" s="61" t="s">
        <v>529</v>
      </c>
      <c r="E326" s="61" t="s">
        <v>1377</v>
      </c>
      <c r="F326" s="80">
        <f>VLOOKUP(C326,'Functional Assignment'!$C$2:$AP$778,'Functional Assignment'!$Y$2,)</f>
        <v>2095072.1461361407</v>
      </c>
      <c r="G326" s="80">
        <f t="shared" si="148"/>
        <v>1803288.4407742645</v>
      </c>
      <c r="H326" s="80">
        <f t="shared" si="148"/>
        <v>222456.18542708628</v>
      </c>
      <c r="I326" s="80">
        <f t="shared" si="148"/>
        <v>0</v>
      </c>
      <c r="J326" s="80">
        <f t="shared" si="148"/>
        <v>0</v>
      </c>
      <c r="K326" s="80">
        <f t="shared" si="148"/>
        <v>13944.195669295807</v>
      </c>
      <c r="L326" s="80">
        <f t="shared" si="148"/>
        <v>0</v>
      </c>
      <c r="M326" s="80">
        <f t="shared" si="148"/>
        <v>0</v>
      </c>
      <c r="N326" s="80">
        <f t="shared" si="148"/>
        <v>0</v>
      </c>
      <c r="O326" s="80">
        <f t="shared" si="148"/>
        <v>1592.0309250999505</v>
      </c>
      <c r="P326" s="80">
        <f t="shared" si="148"/>
        <v>0</v>
      </c>
      <c r="Q326" s="80">
        <f t="shared" si="149"/>
        <v>0</v>
      </c>
      <c r="R326" s="80">
        <f t="shared" si="149"/>
        <v>0</v>
      </c>
      <c r="S326" s="80">
        <f t="shared" si="149"/>
        <v>53203.253371192666</v>
      </c>
      <c r="T326" s="80">
        <f t="shared" si="149"/>
        <v>86.46016512292158</v>
      </c>
      <c r="U326" s="80">
        <f t="shared" si="149"/>
        <v>501.57980407848743</v>
      </c>
      <c r="V326" s="80">
        <f t="shared" si="149"/>
        <v>0</v>
      </c>
      <c r="W326" s="80">
        <f t="shared" si="149"/>
        <v>0</v>
      </c>
      <c r="X326" s="64">
        <f t="shared" si="149"/>
        <v>0</v>
      </c>
      <c r="Y326" s="64">
        <f t="shared" si="149"/>
        <v>0</v>
      </c>
      <c r="Z326" s="64">
        <f t="shared" si="149"/>
        <v>0</v>
      </c>
      <c r="AA326" s="64">
        <f>SUM(G326:Z326)</f>
        <v>2095072.1461361405</v>
      </c>
      <c r="AB326" s="59" t="str">
        <f>IF(ABS(F326-AA326)&lt;0.01,"ok","err")</f>
        <v>ok</v>
      </c>
    </row>
    <row r="327" spans="1:28" x14ac:dyDescent="0.25">
      <c r="A327" s="61" t="s">
        <v>721</v>
      </c>
      <c r="D327" s="61" t="s">
        <v>530</v>
      </c>
      <c r="F327" s="77">
        <f>F325+F326</f>
        <v>4855704.815298873</v>
      </c>
      <c r="G327" s="77">
        <f t="shared" ref="G327:W327" si="150">G325+G326</f>
        <v>3752432.2734008497</v>
      </c>
      <c r="H327" s="77">
        <f t="shared" si="150"/>
        <v>549592.61750414479</v>
      </c>
      <c r="I327" s="77">
        <f t="shared" si="150"/>
        <v>0</v>
      </c>
      <c r="J327" s="77">
        <f t="shared" si="150"/>
        <v>0</v>
      </c>
      <c r="K327" s="77">
        <f t="shared" si="150"/>
        <v>317594.30539250845</v>
      </c>
      <c r="L327" s="77">
        <f t="shared" si="150"/>
        <v>0</v>
      </c>
      <c r="M327" s="77">
        <f t="shared" si="150"/>
        <v>0</v>
      </c>
      <c r="N327" s="77">
        <f t="shared" si="150"/>
        <v>0</v>
      </c>
      <c r="O327" s="77">
        <f>O325+O326</f>
        <v>159905.07526333362</v>
      </c>
      <c r="P327" s="77">
        <f t="shared" si="150"/>
        <v>0</v>
      </c>
      <c r="Q327" s="77">
        <f t="shared" si="150"/>
        <v>0</v>
      </c>
      <c r="R327" s="77">
        <f t="shared" si="150"/>
        <v>0</v>
      </c>
      <c r="S327" s="77">
        <f t="shared" si="150"/>
        <v>74731.924990897693</v>
      </c>
      <c r="T327" s="77">
        <f t="shared" si="150"/>
        <v>709.23632444870532</v>
      </c>
      <c r="U327" s="77">
        <f t="shared" si="150"/>
        <v>739.38242269062812</v>
      </c>
      <c r="V327" s="77">
        <f t="shared" si="150"/>
        <v>0</v>
      </c>
      <c r="W327" s="77">
        <f t="shared" si="150"/>
        <v>0</v>
      </c>
      <c r="X327" s="63">
        <f>X325+X326</f>
        <v>0</v>
      </c>
      <c r="Y327" s="63">
        <f>Y325+Y326</f>
        <v>0</v>
      </c>
      <c r="Z327" s="63">
        <f>Z325+Z326</f>
        <v>0</v>
      </c>
      <c r="AA327" s="65">
        <f>SUM(G327:Z327)</f>
        <v>4855704.8152988739</v>
      </c>
      <c r="AB327" s="59" t="str">
        <f>IF(ABS(F327-AA327)&lt;0.01,"ok","err")</f>
        <v>ok</v>
      </c>
    </row>
    <row r="328" spans="1:28" x14ac:dyDescent="0.25">
      <c r="F328" s="80"/>
    </row>
    <row r="329" spans="1:28" x14ac:dyDescent="0.25">
      <c r="A329" s="66" t="s">
        <v>356</v>
      </c>
      <c r="F329" s="80"/>
    </row>
    <row r="330" spans="1:28" x14ac:dyDescent="0.25">
      <c r="A330" s="69" t="s">
        <v>1116</v>
      </c>
      <c r="C330" s="61" t="s">
        <v>1096</v>
      </c>
      <c r="D330" s="61" t="s">
        <v>531</v>
      </c>
      <c r="E330" s="61" t="s">
        <v>1118</v>
      </c>
      <c r="F330" s="77">
        <f>VLOOKUP(C330,'Functional Assignment'!$C$2:$AP$778,'Functional Assignment'!$Z$2,)</f>
        <v>994253.92684239033</v>
      </c>
      <c r="G330" s="77">
        <f t="shared" ref="G330:Z330" si="151">IF(VLOOKUP($E330,$D$6:$AN$1141,3,)=0,0,(VLOOKUP($E330,$D$6:$AN$1141,G$2,)/VLOOKUP($E330,$D$6:$AN$1141,3,))*$F330)</f>
        <v>802685.38228580682</v>
      </c>
      <c r="H330" s="77">
        <f t="shared" si="151"/>
        <v>171393.15031426225</v>
      </c>
      <c r="I330" s="77">
        <f t="shared" si="151"/>
        <v>0</v>
      </c>
      <c r="J330" s="77">
        <f t="shared" si="151"/>
        <v>0</v>
      </c>
      <c r="K330" s="77">
        <f t="shared" si="151"/>
        <v>17147.464017778275</v>
      </c>
      <c r="L330" s="77">
        <f t="shared" si="151"/>
        <v>0</v>
      </c>
      <c r="M330" s="77">
        <f t="shared" si="151"/>
        <v>0</v>
      </c>
      <c r="N330" s="77">
        <f t="shared" si="151"/>
        <v>0</v>
      </c>
      <c r="O330" s="77">
        <f t="shared" si="151"/>
        <v>3027.9302245430199</v>
      </c>
      <c r="P330" s="77">
        <f t="shared" si="151"/>
        <v>0</v>
      </c>
      <c r="Q330" s="77">
        <f t="shared" si="151"/>
        <v>0</v>
      </c>
      <c r="R330" s="77">
        <f t="shared" si="151"/>
        <v>0</v>
      </c>
      <c r="S330" s="77">
        <f t="shared" si="151"/>
        <v>0</v>
      </c>
      <c r="T330" s="77">
        <f t="shared" si="151"/>
        <v>0</v>
      </c>
      <c r="U330" s="77">
        <f t="shared" si="151"/>
        <v>0</v>
      </c>
      <c r="V330" s="77">
        <f t="shared" si="151"/>
        <v>0</v>
      </c>
      <c r="W330" s="77">
        <f t="shared" si="151"/>
        <v>0</v>
      </c>
      <c r="X330" s="63">
        <f t="shared" si="151"/>
        <v>0</v>
      </c>
      <c r="Y330" s="63">
        <f t="shared" si="151"/>
        <v>0</v>
      </c>
      <c r="Z330" s="63">
        <f t="shared" si="151"/>
        <v>0</v>
      </c>
      <c r="AA330" s="65">
        <f>SUM(G330:Z330)</f>
        <v>994253.92684239033</v>
      </c>
      <c r="AB330" s="59" t="str">
        <f>IF(ABS(F330-AA330)&lt;0.01,"ok","err")</f>
        <v>ok</v>
      </c>
    </row>
    <row r="331" spans="1:28" x14ac:dyDescent="0.25">
      <c r="F331" s="80"/>
    </row>
    <row r="332" spans="1:28" x14ac:dyDescent="0.25">
      <c r="A332" s="66" t="s">
        <v>355</v>
      </c>
      <c r="F332" s="80"/>
    </row>
    <row r="333" spans="1:28" x14ac:dyDescent="0.25">
      <c r="A333" s="69" t="s">
        <v>1116</v>
      </c>
      <c r="C333" s="61" t="s">
        <v>1096</v>
      </c>
      <c r="D333" s="61" t="s">
        <v>532</v>
      </c>
      <c r="E333" s="61" t="s">
        <v>1119</v>
      </c>
      <c r="F333" s="77">
        <f>VLOOKUP(C333,'Functional Assignment'!$C$2:$AP$778,'Functional Assignment'!$AA$2,)</f>
        <v>1313078.1364816108</v>
      </c>
      <c r="G333" s="77">
        <f t="shared" ref="G333:Z333" si="152">IF(VLOOKUP($E333,$D$6:$AN$1141,3,)=0,0,(VLOOKUP($E333,$D$6:$AN$1141,G$2,)/VLOOKUP($E333,$D$6:$AN$1141,3,))*$F333)</f>
        <v>899511.68606518221</v>
      </c>
      <c r="H333" s="77">
        <f t="shared" si="152"/>
        <v>294400.65961135726</v>
      </c>
      <c r="I333" s="77">
        <f t="shared" si="152"/>
        <v>0</v>
      </c>
      <c r="J333" s="77">
        <f t="shared" si="152"/>
        <v>10685.170902423584</v>
      </c>
      <c r="K333" s="77">
        <f t="shared" si="152"/>
        <v>69293.642464232078</v>
      </c>
      <c r="L333" s="77">
        <f t="shared" si="152"/>
        <v>0</v>
      </c>
      <c r="M333" s="77">
        <f t="shared" si="152"/>
        <v>0</v>
      </c>
      <c r="N333" s="77">
        <f t="shared" si="152"/>
        <v>15349.116172053036</v>
      </c>
      <c r="O333" s="77">
        <f t="shared" si="152"/>
        <v>8688.2692940975739</v>
      </c>
      <c r="P333" s="77">
        <f t="shared" si="152"/>
        <v>12089.786117030786</v>
      </c>
      <c r="Q333" s="77">
        <f t="shared" si="152"/>
        <v>139.961545641821</v>
      </c>
      <c r="R333" s="77">
        <f t="shared" si="152"/>
        <v>279.92309128364201</v>
      </c>
      <c r="S333" s="77">
        <f t="shared" si="152"/>
        <v>0</v>
      </c>
      <c r="T333" s="77">
        <f t="shared" si="152"/>
        <v>388.15052785687919</v>
      </c>
      <c r="U333" s="77">
        <f t="shared" si="152"/>
        <v>2251.7706904517672</v>
      </c>
      <c r="V333" s="77">
        <f t="shared" si="152"/>
        <v>0</v>
      </c>
      <c r="W333" s="77">
        <f t="shared" si="152"/>
        <v>0</v>
      </c>
      <c r="X333" s="63">
        <f t="shared" si="152"/>
        <v>0</v>
      </c>
      <c r="Y333" s="63">
        <f t="shared" si="152"/>
        <v>0</v>
      </c>
      <c r="Z333" s="63">
        <f t="shared" si="152"/>
        <v>0</v>
      </c>
      <c r="AA333" s="65">
        <f>SUM(G333:Z333)</f>
        <v>1313078.1364816104</v>
      </c>
      <c r="AB333" s="59" t="str">
        <f>IF(ABS(F333-AA333)&lt;0.01,"ok","err")</f>
        <v>ok</v>
      </c>
    </row>
    <row r="334" spans="1:28" x14ac:dyDescent="0.25">
      <c r="F334" s="80"/>
    </row>
    <row r="335" spans="1:28" x14ac:dyDescent="0.25">
      <c r="A335" s="66" t="s">
        <v>376</v>
      </c>
      <c r="F335" s="80"/>
    </row>
    <row r="336" spans="1:28" x14ac:dyDescent="0.25">
      <c r="A336" s="69" t="s">
        <v>1116</v>
      </c>
      <c r="C336" s="61" t="s">
        <v>1096</v>
      </c>
      <c r="D336" s="61" t="s">
        <v>533</v>
      </c>
      <c r="E336" s="61" t="s">
        <v>1120</v>
      </c>
      <c r="F336" s="77">
        <f>VLOOKUP(C336,'Functional Assignment'!$C$2:$AP$778,'Functional Assignment'!$AB$2,)</f>
        <v>3096018.6581628839</v>
      </c>
      <c r="G336" s="77">
        <f t="shared" ref="G336:Z336" si="153">IF(VLOOKUP($E336,$D$6:$AN$1141,3,)=0,0,(VLOOKUP($E336,$D$6:$AN$1141,G$2,)/VLOOKUP($E336,$D$6:$AN$1141,3,))*$F336)</f>
        <v>0</v>
      </c>
      <c r="H336" s="77">
        <f t="shared" si="153"/>
        <v>0</v>
      </c>
      <c r="I336" s="77">
        <f t="shared" si="153"/>
        <v>0</v>
      </c>
      <c r="J336" s="77">
        <f t="shared" si="153"/>
        <v>0</v>
      </c>
      <c r="K336" s="77">
        <f t="shared" si="153"/>
        <v>0</v>
      </c>
      <c r="L336" s="77">
        <f t="shared" si="153"/>
        <v>0</v>
      </c>
      <c r="M336" s="77">
        <f t="shared" si="153"/>
        <v>0</v>
      </c>
      <c r="N336" s="77">
        <f t="shared" si="153"/>
        <v>0</v>
      </c>
      <c r="O336" s="77">
        <f t="shared" si="153"/>
        <v>0</v>
      </c>
      <c r="P336" s="77">
        <f t="shared" si="153"/>
        <v>0</v>
      </c>
      <c r="Q336" s="77">
        <f t="shared" si="153"/>
        <v>0</v>
      </c>
      <c r="R336" s="77">
        <f t="shared" si="153"/>
        <v>0</v>
      </c>
      <c r="S336" s="77">
        <f t="shared" si="153"/>
        <v>3096018.6581628839</v>
      </c>
      <c r="T336" s="77">
        <f t="shared" si="153"/>
        <v>0</v>
      </c>
      <c r="U336" s="77">
        <f t="shared" si="153"/>
        <v>0</v>
      </c>
      <c r="V336" s="77">
        <f t="shared" si="153"/>
        <v>0</v>
      </c>
      <c r="W336" s="77">
        <f t="shared" si="153"/>
        <v>0</v>
      </c>
      <c r="X336" s="63">
        <f t="shared" si="153"/>
        <v>0</v>
      </c>
      <c r="Y336" s="63">
        <f t="shared" si="153"/>
        <v>0</v>
      </c>
      <c r="Z336" s="63">
        <f t="shared" si="153"/>
        <v>0</v>
      </c>
      <c r="AA336" s="65">
        <f>SUM(G336:Z336)</f>
        <v>3096018.6581628839</v>
      </c>
      <c r="AB336" s="59" t="str">
        <f>IF(ABS(F336-AA336)&lt;0.01,"ok","err")</f>
        <v>ok</v>
      </c>
    </row>
    <row r="337" spans="1:28" x14ac:dyDescent="0.25">
      <c r="F337" s="80"/>
    </row>
    <row r="338" spans="1:28" x14ac:dyDescent="0.25">
      <c r="A338" s="66" t="s">
        <v>1047</v>
      </c>
      <c r="F338" s="80"/>
    </row>
    <row r="339" spans="1:28" x14ac:dyDescent="0.25">
      <c r="A339" s="69" t="s">
        <v>1116</v>
      </c>
      <c r="C339" s="61" t="s">
        <v>1096</v>
      </c>
      <c r="D339" s="61" t="s">
        <v>534</v>
      </c>
      <c r="E339" s="61" t="s">
        <v>1121</v>
      </c>
      <c r="F339" s="77">
        <f>VLOOKUP(C339,'Functional Assignment'!$C$2:$AP$778,'Functional Assignment'!$AC$2,)</f>
        <v>0</v>
      </c>
      <c r="G339" s="77">
        <f t="shared" ref="G339:Z339" si="154">IF(VLOOKUP($E339,$D$6:$AN$1141,3,)=0,0,(VLOOKUP($E339,$D$6:$AN$1141,G$2,)/VLOOKUP($E339,$D$6:$AN$1141,3,))*$F339)</f>
        <v>0</v>
      </c>
      <c r="H339" s="77">
        <f t="shared" si="154"/>
        <v>0</v>
      </c>
      <c r="I339" s="77">
        <f t="shared" si="154"/>
        <v>0</v>
      </c>
      <c r="J339" s="77">
        <f t="shared" si="154"/>
        <v>0</v>
      </c>
      <c r="K339" s="77">
        <f t="shared" si="154"/>
        <v>0</v>
      </c>
      <c r="L339" s="77">
        <f t="shared" si="154"/>
        <v>0</v>
      </c>
      <c r="M339" s="77">
        <f t="shared" si="154"/>
        <v>0</v>
      </c>
      <c r="N339" s="77">
        <f t="shared" si="154"/>
        <v>0</v>
      </c>
      <c r="O339" s="77">
        <f t="shared" si="154"/>
        <v>0</v>
      </c>
      <c r="P339" s="77">
        <f t="shared" si="154"/>
        <v>0</v>
      </c>
      <c r="Q339" s="77">
        <f t="shared" si="154"/>
        <v>0</v>
      </c>
      <c r="R339" s="77">
        <f t="shared" si="154"/>
        <v>0</v>
      </c>
      <c r="S339" s="77">
        <f t="shared" si="154"/>
        <v>0</v>
      </c>
      <c r="T339" s="77">
        <f t="shared" si="154"/>
        <v>0</v>
      </c>
      <c r="U339" s="77">
        <f t="shared" si="154"/>
        <v>0</v>
      </c>
      <c r="V339" s="77">
        <f t="shared" si="154"/>
        <v>0</v>
      </c>
      <c r="W339" s="77">
        <f t="shared" si="154"/>
        <v>0</v>
      </c>
      <c r="X339" s="63">
        <f t="shared" si="154"/>
        <v>0</v>
      </c>
      <c r="Y339" s="63">
        <f t="shared" si="154"/>
        <v>0</v>
      </c>
      <c r="Z339" s="63">
        <f t="shared" si="154"/>
        <v>0</v>
      </c>
      <c r="AA339" s="65">
        <f>SUM(G339:Z339)</f>
        <v>0</v>
      </c>
      <c r="AB339" s="59" t="str">
        <f>IF(ABS(F339-AA339)&lt;0.01,"ok","err")</f>
        <v>ok</v>
      </c>
    </row>
    <row r="340" spans="1:28" x14ac:dyDescent="0.25">
      <c r="F340" s="80"/>
    </row>
    <row r="341" spans="1:28" x14ac:dyDescent="0.25">
      <c r="A341" s="66" t="s">
        <v>353</v>
      </c>
      <c r="F341" s="80"/>
    </row>
    <row r="342" spans="1:28" x14ac:dyDescent="0.25">
      <c r="A342" s="69" t="s">
        <v>1116</v>
      </c>
      <c r="C342" s="61" t="s">
        <v>1096</v>
      </c>
      <c r="D342" s="61" t="s">
        <v>535</v>
      </c>
      <c r="E342" s="61" t="s">
        <v>1121</v>
      </c>
      <c r="F342" s="77">
        <f>VLOOKUP(C342,'Functional Assignment'!$C$2:$AP$778,'Functional Assignment'!$AD$2,)</f>
        <v>0</v>
      </c>
      <c r="G342" s="77">
        <f t="shared" ref="G342:Z342" si="155">IF(VLOOKUP($E342,$D$6:$AN$1141,3,)=0,0,(VLOOKUP($E342,$D$6:$AN$1141,G$2,)/VLOOKUP($E342,$D$6:$AN$1141,3,))*$F342)</f>
        <v>0</v>
      </c>
      <c r="H342" s="77">
        <f t="shared" si="155"/>
        <v>0</v>
      </c>
      <c r="I342" s="77">
        <f t="shared" si="155"/>
        <v>0</v>
      </c>
      <c r="J342" s="77">
        <f t="shared" si="155"/>
        <v>0</v>
      </c>
      <c r="K342" s="77">
        <f t="shared" si="155"/>
        <v>0</v>
      </c>
      <c r="L342" s="77">
        <f t="shared" si="155"/>
        <v>0</v>
      </c>
      <c r="M342" s="77">
        <f t="shared" si="155"/>
        <v>0</v>
      </c>
      <c r="N342" s="77">
        <f t="shared" si="155"/>
        <v>0</v>
      </c>
      <c r="O342" s="77">
        <f t="shared" si="155"/>
        <v>0</v>
      </c>
      <c r="P342" s="77">
        <f t="shared" si="155"/>
        <v>0</v>
      </c>
      <c r="Q342" s="77">
        <f t="shared" si="155"/>
        <v>0</v>
      </c>
      <c r="R342" s="77">
        <f t="shared" si="155"/>
        <v>0</v>
      </c>
      <c r="S342" s="77">
        <f t="shared" si="155"/>
        <v>0</v>
      </c>
      <c r="T342" s="77">
        <f t="shared" si="155"/>
        <v>0</v>
      </c>
      <c r="U342" s="77">
        <f t="shared" si="155"/>
        <v>0</v>
      </c>
      <c r="V342" s="77">
        <f t="shared" si="155"/>
        <v>0</v>
      </c>
      <c r="W342" s="77">
        <f t="shared" si="155"/>
        <v>0</v>
      </c>
      <c r="X342" s="63">
        <f t="shared" si="155"/>
        <v>0</v>
      </c>
      <c r="Y342" s="63">
        <f t="shared" si="155"/>
        <v>0</v>
      </c>
      <c r="Z342" s="63">
        <f t="shared" si="155"/>
        <v>0</v>
      </c>
      <c r="AA342" s="65">
        <f>SUM(G342:Z342)</f>
        <v>0</v>
      </c>
      <c r="AB342" s="59" t="str">
        <f>IF(ABS(F342-AA342)&lt;0.01,"ok","err")</f>
        <v>ok</v>
      </c>
    </row>
    <row r="343" spans="1:28" x14ac:dyDescent="0.25">
      <c r="F343" s="80"/>
    </row>
    <row r="344" spans="1:28" x14ac:dyDescent="0.25">
      <c r="A344" s="66" t="s">
        <v>352</v>
      </c>
      <c r="F344" s="80"/>
    </row>
    <row r="345" spans="1:28" x14ac:dyDescent="0.25">
      <c r="A345" s="69" t="s">
        <v>1116</v>
      </c>
      <c r="C345" s="61" t="s">
        <v>1096</v>
      </c>
      <c r="D345" s="61" t="s">
        <v>536</v>
      </c>
      <c r="E345" s="61" t="s">
        <v>1122</v>
      </c>
      <c r="F345" s="77">
        <f>VLOOKUP(C345,'Functional Assignment'!$C$2:$AP$778,'Functional Assignment'!$AE$2,)</f>
        <v>0</v>
      </c>
      <c r="G345" s="77">
        <f t="shared" ref="G345:Z345" si="156">IF(VLOOKUP($E345,$D$6:$AN$1141,3,)=0,0,(VLOOKUP($E345,$D$6:$AN$1141,G$2,)/VLOOKUP($E345,$D$6:$AN$1141,3,))*$F345)</f>
        <v>0</v>
      </c>
      <c r="H345" s="77">
        <f t="shared" si="156"/>
        <v>0</v>
      </c>
      <c r="I345" s="77">
        <f t="shared" si="156"/>
        <v>0</v>
      </c>
      <c r="J345" s="77">
        <f t="shared" si="156"/>
        <v>0</v>
      </c>
      <c r="K345" s="77">
        <f t="shared" si="156"/>
        <v>0</v>
      </c>
      <c r="L345" s="77">
        <f t="shared" si="156"/>
        <v>0</v>
      </c>
      <c r="M345" s="77">
        <f t="shared" si="156"/>
        <v>0</v>
      </c>
      <c r="N345" s="77">
        <f t="shared" si="156"/>
        <v>0</v>
      </c>
      <c r="O345" s="77">
        <f t="shared" si="156"/>
        <v>0</v>
      </c>
      <c r="P345" s="77">
        <f t="shared" si="156"/>
        <v>0</v>
      </c>
      <c r="Q345" s="77">
        <f t="shared" si="156"/>
        <v>0</v>
      </c>
      <c r="R345" s="77">
        <f t="shared" si="156"/>
        <v>0</v>
      </c>
      <c r="S345" s="77">
        <f t="shared" si="156"/>
        <v>0</v>
      </c>
      <c r="T345" s="77">
        <f t="shared" si="156"/>
        <v>0</v>
      </c>
      <c r="U345" s="77">
        <f t="shared" si="156"/>
        <v>0</v>
      </c>
      <c r="V345" s="77">
        <f t="shared" si="156"/>
        <v>0</v>
      </c>
      <c r="W345" s="77">
        <f t="shared" si="156"/>
        <v>0</v>
      </c>
      <c r="X345" s="63">
        <f t="shared" si="156"/>
        <v>0</v>
      </c>
      <c r="Y345" s="63">
        <f t="shared" si="156"/>
        <v>0</v>
      </c>
      <c r="Z345" s="63">
        <f t="shared" si="156"/>
        <v>0</v>
      </c>
      <c r="AA345" s="65">
        <f>SUM(G345:Z345)</f>
        <v>0</v>
      </c>
      <c r="AB345" s="59" t="str">
        <f>IF(ABS(F345-AA345)&lt;0.01,"ok","err")</f>
        <v>ok</v>
      </c>
    </row>
    <row r="346" spans="1:28" x14ac:dyDescent="0.25">
      <c r="F346" s="80"/>
    </row>
    <row r="347" spans="1:28" x14ac:dyDescent="0.25">
      <c r="A347" s="61" t="s">
        <v>944</v>
      </c>
      <c r="D347" s="61" t="s">
        <v>537</v>
      </c>
      <c r="F347" s="77">
        <f>F302+F308+F311+F314+F322+F327+F330+F333+F336+F339+F342+F345</f>
        <v>117218434.8450231</v>
      </c>
      <c r="G347" s="77">
        <f t="shared" ref="G347:Z347" si="157">G302+G308+G311+G314+G322+G327+G330+G333+G336+G339+G342+G345</f>
        <v>64668068.80177781</v>
      </c>
      <c r="H347" s="77">
        <f t="shared" si="157"/>
        <v>14151439.302020008</v>
      </c>
      <c r="I347" s="77">
        <f t="shared" si="157"/>
        <v>0</v>
      </c>
      <c r="J347" s="77">
        <f t="shared" si="157"/>
        <v>1022265.4769023344</v>
      </c>
      <c r="K347" s="77">
        <f t="shared" si="157"/>
        <v>13301550.216644557</v>
      </c>
      <c r="L347" s="77">
        <f t="shared" si="157"/>
        <v>0</v>
      </c>
      <c r="M347" s="77">
        <f t="shared" si="157"/>
        <v>0</v>
      </c>
      <c r="N347" s="77">
        <f t="shared" si="157"/>
        <v>10673431.354718881</v>
      </c>
      <c r="O347" s="77">
        <f>O302+O308+O311+O314+O322+O327+O330+O333+O336+O339+O342+O345</f>
        <v>6549815.8341149148</v>
      </c>
      <c r="P347" s="77">
        <f t="shared" si="157"/>
        <v>2212676.8668894335</v>
      </c>
      <c r="Q347" s="77">
        <f t="shared" si="157"/>
        <v>560547.52191964735</v>
      </c>
      <c r="R347" s="77">
        <f t="shared" si="157"/>
        <v>353335.64570169331</v>
      </c>
      <c r="S347" s="77">
        <f t="shared" si="157"/>
        <v>3699958.4462729581</v>
      </c>
      <c r="T347" s="77">
        <f t="shared" si="157"/>
        <v>6354.6190189227482</v>
      </c>
      <c r="U347" s="77">
        <f t="shared" si="157"/>
        <v>18990.759041956342</v>
      </c>
      <c r="V347" s="77">
        <f t="shared" si="157"/>
        <v>0</v>
      </c>
      <c r="W347" s="77">
        <f t="shared" si="157"/>
        <v>0</v>
      </c>
      <c r="X347" s="63">
        <f t="shared" si="157"/>
        <v>0</v>
      </c>
      <c r="Y347" s="63">
        <f t="shared" si="157"/>
        <v>0</v>
      </c>
      <c r="Z347" s="63">
        <f t="shared" si="157"/>
        <v>0</v>
      </c>
      <c r="AA347" s="65">
        <f>SUM(G347:Z347)</f>
        <v>117218434.84502311</v>
      </c>
      <c r="AB347" s="59" t="str">
        <f>IF(ABS(F347-AA347)&lt;0.01,"ok","err")</f>
        <v>ok</v>
      </c>
    </row>
    <row r="350" spans="1:28" x14ac:dyDescent="0.25">
      <c r="A350" s="244" t="s">
        <v>768</v>
      </c>
    </row>
    <row r="352" spans="1:28" x14ac:dyDescent="0.25">
      <c r="A352" s="66" t="s">
        <v>369</v>
      </c>
    </row>
    <row r="353" spans="1:28" x14ac:dyDescent="0.25">
      <c r="A353" s="69" t="s">
        <v>361</v>
      </c>
      <c r="C353" s="112" t="s">
        <v>774</v>
      </c>
      <c r="D353" s="61" t="s">
        <v>775</v>
      </c>
      <c r="E353" s="61" t="s">
        <v>1399</v>
      </c>
      <c r="F353" s="77">
        <f>VLOOKUP(C353,'Functional Assignment'!$C$2:$AP$778,'Functional Assignment'!$H$2,)</f>
        <v>0</v>
      </c>
      <c r="G353" s="77">
        <f t="shared" ref="G353:P358" si="158">IF(VLOOKUP($E353,$D$6:$AN$1141,3,)=0,0,(VLOOKUP($E353,$D$6:$AN$1141,G$2,)/VLOOKUP($E353,$D$6:$AN$1141,3,))*$F353)</f>
        <v>0</v>
      </c>
      <c r="H353" s="77">
        <f t="shared" si="158"/>
        <v>0</v>
      </c>
      <c r="I353" s="77">
        <f t="shared" si="158"/>
        <v>0</v>
      </c>
      <c r="J353" s="77">
        <f t="shared" si="158"/>
        <v>0</v>
      </c>
      <c r="K353" s="77">
        <f t="shared" si="158"/>
        <v>0</v>
      </c>
      <c r="L353" s="77">
        <f t="shared" si="158"/>
        <v>0</v>
      </c>
      <c r="M353" s="77">
        <f t="shared" si="158"/>
        <v>0</v>
      </c>
      <c r="N353" s="77">
        <f t="shared" si="158"/>
        <v>0</v>
      </c>
      <c r="O353" s="77">
        <f t="shared" si="158"/>
        <v>0</v>
      </c>
      <c r="P353" s="77">
        <f t="shared" si="158"/>
        <v>0</v>
      </c>
      <c r="Q353" s="77">
        <f t="shared" ref="Q353:Z358" si="159">IF(VLOOKUP($E353,$D$6:$AN$1141,3,)=0,0,(VLOOKUP($E353,$D$6:$AN$1141,Q$2,)/VLOOKUP($E353,$D$6:$AN$1141,3,))*$F353)</f>
        <v>0</v>
      </c>
      <c r="R353" s="77">
        <f t="shared" si="159"/>
        <v>0</v>
      </c>
      <c r="S353" s="77">
        <f t="shared" si="159"/>
        <v>0</v>
      </c>
      <c r="T353" s="77">
        <f t="shared" si="159"/>
        <v>0</v>
      </c>
      <c r="U353" s="77">
        <f t="shared" si="159"/>
        <v>0</v>
      </c>
      <c r="V353" s="77">
        <f t="shared" si="159"/>
        <v>0</v>
      </c>
      <c r="W353" s="77">
        <f t="shared" si="159"/>
        <v>0</v>
      </c>
      <c r="X353" s="63">
        <f t="shared" si="159"/>
        <v>0</v>
      </c>
      <c r="Y353" s="63">
        <f t="shared" si="159"/>
        <v>0</v>
      </c>
      <c r="Z353" s="63">
        <f t="shared" si="159"/>
        <v>0</v>
      </c>
      <c r="AA353" s="65">
        <f t="shared" ref="AA353:AA359" si="160">SUM(G353:Z353)</f>
        <v>0</v>
      </c>
      <c r="AB353" s="59" t="str">
        <f t="shared" ref="AB353:AB359" si="161">IF(ABS(F353-AA353)&lt;0.01,"ok","err")</f>
        <v>ok</v>
      </c>
    </row>
    <row r="354" spans="1:28" x14ac:dyDescent="0.25">
      <c r="A354" s="69" t="s">
        <v>1285</v>
      </c>
      <c r="C354" s="112" t="s">
        <v>774</v>
      </c>
      <c r="D354" s="61" t="s">
        <v>776</v>
      </c>
      <c r="E354" s="61" t="s">
        <v>1399</v>
      </c>
      <c r="F354" s="80">
        <f>VLOOKUP(C354,'Functional Assignment'!$C$2:$AP$778,'Functional Assignment'!$I$2,)</f>
        <v>0</v>
      </c>
      <c r="G354" s="80">
        <f t="shared" si="158"/>
        <v>0</v>
      </c>
      <c r="H354" s="80">
        <f t="shared" si="158"/>
        <v>0</v>
      </c>
      <c r="I354" s="80">
        <f t="shared" si="158"/>
        <v>0</v>
      </c>
      <c r="J354" s="80">
        <f t="shared" si="158"/>
        <v>0</v>
      </c>
      <c r="K354" s="80">
        <f t="shared" si="158"/>
        <v>0</v>
      </c>
      <c r="L354" s="80">
        <f t="shared" si="158"/>
        <v>0</v>
      </c>
      <c r="M354" s="80">
        <f t="shared" si="158"/>
        <v>0</v>
      </c>
      <c r="N354" s="80">
        <f t="shared" si="158"/>
        <v>0</v>
      </c>
      <c r="O354" s="80">
        <f t="shared" si="158"/>
        <v>0</v>
      </c>
      <c r="P354" s="80">
        <f t="shared" si="158"/>
        <v>0</v>
      </c>
      <c r="Q354" s="80">
        <f t="shared" si="159"/>
        <v>0</v>
      </c>
      <c r="R354" s="80">
        <f t="shared" si="159"/>
        <v>0</v>
      </c>
      <c r="S354" s="80">
        <f t="shared" si="159"/>
        <v>0</v>
      </c>
      <c r="T354" s="80">
        <f t="shared" si="159"/>
        <v>0</v>
      </c>
      <c r="U354" s="80">
        <f t="shared" si="159"/>
        <v>0</v>
      </c>
      <c r="V354" s="80">
        <f t="shared" si="159"/>
        <v>0</v>
      </c>
      <c r="W354" s="80">
        <f t="shared" si="159"/>
        <v>0</v>
      </c>
      <c r="X354" s="64">
        <f t="shared" si="159"/>
        <v>0</v>
      </c>
      <c r="Y354" s="64">
        <f t="shared" si="159"/>
        <v>0</v>
      </c>
      <c r="Z354" s="64">
        <f t="shared" si="159"/>
        <v>0</v>
      </c>
      <c r="AA354" s="64">
        <f t="shared" si="160"/>
        <v>0</v>
      </c>
      <c r="AB354" s="59" t="str">
        <f t="shared" si="161"/>
        <v>ok</v>
      </c>
    </row>
    <row r="355" spans="1:28" x14ac:dyDescent="0.25">
      <c r="A355" s="69" t="s">
        <v>1286</v>
      </c>
      <c r="C355" s="112" t="s">
        <v>774</v>
      </c>
      <c r="D355" s="61" t="s">
        <v>777</v>
      </c>
      <c r="E355" s="61" t="s">
        <v>1399</v>
      </c>
      <c r="F355" s="80">
        <f>VLOOKUP(C355,'Functional Assignment'!$C$2:$AP$778,'Functional Assignment'!$J$2,)</f>
        <v>0</v>
      </c>
      <c r="G355" s="80">
        <f t="shared" si="158"/>
        <v>0</v>
      </c>
      <c r="H355" s="80">
        <f t="shared" si="158"/>
        <v>0</v>
      </c>
      <c r="I355" s="80">
        <f t="shared" si="158"/>
        <v>0</v>
      </c>
      <c r="J355" s="80">
        <f t="shared" si="158"/>
        <v>0</v>
      </c>
      <c r="K355" s="80">
        <f t="shared" si="158"/>
        <v>0</v>
      </c>
      <c r="L355" s="80">
        <f t="shared" si="158"/>
        <v>0</v>
      </c>
      <c r="M355" s="80">
        <f t="shared" si="158"/>
        <v>0</v>
      </c>
      <c r="N355" s="80">
        <f t="shared" si="158"/>
        <v>0</v>
      </c>
      <c r="O355" s="80">
        <f t="shared" si="158"/>
        <v>0</v>
      </c>
      <c r="P355" s="80">
        <f t="shared" si="158"/>
        <v>0</v>
      </c>
      <c r="Q355" s="80">
        <f t="shared" si="159"/>
        <v>0</v>
      </c>
      <c r="R355" s="80">
        <f t="shared" si="159"/>
        <v>0</v>
      </c>
      <c r="S355" s="80">
        <f t="shared" si="159"/>
        <v>0</v>
      </c>
      <c r="T355" s="80">
        <f t="shared" si="159"/>
        <v>0</v>
      </c>
      <c r="U355" s="80">
        <f t="shared" si="159"/>
        <v>0</v>
      </c>
      <c r="V355" s="80">
        <f t="shared" si="159"/>
        <v>0</v>
      </c>
      <c r="W355" s="80">
        <f t="shared" si="159"/>
        <v>0</v>
      </c>
      <c r="X355" s="64">
        <f t="shared" si="159"/>
        <v>0</v>
      </c>
      <c r="Y355" s="64">
        <f t="shared" si="159"/>
        <v>0</v>
      </c>
      <c r="Z355" s="64">
        <f t="shared" si="159"/>
        <v>0</v>
      </c>
      <c r="AA355" s="64">
        <f t="shared" si="160"/>
        <v>0</v>
      </c>
      <c r="AB355" s="59" t="str">
        <f t="shared" si="161"/>
        <v>ok</v>
      </c>
    </row>
    <row r="356" spans="1:28" x14ac:dyDescent="0.25">
      <c r="A356" s="69" t="s">
        <v>1287</v>
      </c>
      <c r="C356" s="112" t="s">
        <v>774</v>
      </c>
      <c r="D356" s="61" t="s">
        <v>778</v>
      </c>
      <c r="E356" s="61" t="s">
        <v>1114</v>
      </c>
      <c r="F356" s="80">
        <f>VLOOKUP(C356,'Functional Assignment'!$C$2:$AP$778,'Functional Assignment'!$K$2,)</f>
        <v>0</v>
      </c>
      <c r="G356" s="80">
        <f t="shared" si="158"/>
        <v>0</v>
      </c>
      <c r="H356" s="80">
        <f t="shared" si="158"/>
        <v>0</v>
      </c>
      <c r="I356" s="80">
        <f t="shared" si="158"/>
        <v>0</v>
      </c>
      <c r="J356" s="80">
        <f t="shared" si="158"/>
        <v>0</v>
      </c>
      <c r="K356" s="80">
        <f t="shared" si="158"/>
        <v>0</v>
      </c>
      <c r="L356" s="80">
        <f t="shared" si="158"/>
        <v>0</v>
      </c>
      <c r="M356" s="80">
        <f t="shared" si="158"/>
        <v>0</v>
      </c>
      <c r="N356" s="80">
        <f t="shared" si="158"/>
        <v>0</v>
      </c>
      <c r="O356" s="80">
        <f t="shared" si="158"/>
        <v>0</v>
      </c>
      <c r="P356" s="80">
        <f t="shared" si="158"/>
        <v>0</v>
      </c>
      <c r="Q356" s="80">
        <f t="shared" si="159"/>
        <v>0</v>
      </c>
      <c r="R356" s="80">
        <f t="shared" si="159"/>
        <v>0</v>
      </c>
      <c r="S356" s="80">
        <f t="shared" si="159"/>
        <v>0</v>
      </c>
      <c r="T356" s="80">
        <f t="shared" si="159"/>
        <v>0</v>
      </c>
      <c r="U356" s="80">
        <f t="shared" si="159"/>
        <v>0</v>
      </c>
      <c r="V356" s="80">
        <f t="shared" si="159"/>
        <v>0</v>
      </c>
      <c r="W356" s="80">
        <f t="shared" si="159"/>
        <v>0</v>
      </c>
      <c r="X356" s="64">
        <f t="shared" si="159"/>
        <v>0</v>
      </c>
      <c r="Y356" s="64">
        <f t="shared" si="159"/>
        <v>0</v>
      </c>
      <c r="Z356" s="64">
        <f t="shared" si="159"/>
        <v>0</v>
      </c>
      <c r="AA356" s="64">
        <f t="shared" si="160"/>
        <v>0</v>
      </c>
      <c r="AB356" s="59" t="str">
        <f t="shared" si="161"/>
        <v>ok</v>
      </c>
    </row>
    <row r="357" spans="1:28" x14ac:dyDescent="0.25">
      <c r="A357" s="69" t="s">
        <v>1288</v>
      </c>
      <c r="C357" s="112" t="s">
        <v>774</v>
      </c>
      <c r="D357" s="61" t="s">
        <v>779</v>
      </c>
      <c r="E357" s="61" t="s">
        <v>1114</v>
      </c>
      <c r="F357" s="80">
        <f>VLOOKUP(C357,'Functional Assignment'!$C$2:$AP$778,'Functional Assignment'!$L$2,)</f>
        <v>0</v>
      </c>
      <c r="G357" s="80">
        <f t="shared" si="158"/>
        <v>0</v>
      </c>
      <c r="H357" s="80">
        <f t="shared" si="158"/>
        <v>0</v>
      </c>
      <c r="I357" s="80">
        <f t="shared" si="158"/>
        <v>0</v>
      </c>
      <c r="J357" s="80">
        <f t="shared" si="158"/>
        <v>0</v>
      </c>
      <c r="K357" s="80">
        <f t="shared" si="158"/>
        <v>0</v>
      </c>
      <c r="L357" s="80">
        <f t="shared" si="158"/>
        <v>0</v>
      </c>
      <c r="M357" s="80">
        <f t="shared" si="158"/>
        <v>0</v>
      </c>
      <c r="N357" s="80">
        <f t="shared" si="158"/>
        <v>0</v>
      </c>
      <c r="O357" s="80">
        <f t="shared" si="158"/>
        <v>0</v>
      </c>
      <c r="P357" s="80">
        <f t="shared" si="158"/>
        <v>0</v>
      </c>
      <c r="Q357" s="80">
        <f t="shared" si="159"/>
        <v>0</v>
      </c>
      <c r="R357" s="80">
        <f t="shared" si="159"/>
        <v>0</v>
      </c>
      <c r="S357" s="80">
        <f t="shared" si="159"/>
        <v>0</v>
      </c>
      <c r="T357" s="80">
        <f t="shared" si="159"/>
        <v>0</v>
      </c>
      <c r="U357" s="80">
        <f t="shared" si="159"/>
        <v>0</v>
      </c>
      <c r="V357" s="80">
        <f t="shared" si="159"/>
        <v>0</v>
      </c>
      <c r="W357" s="80">
        <f t="shared" si="159"/>
        <v>0</v>
      </c>
      <c r="X357" s="64">
        <f t="shared" si="159"/>
        <v>0</v>
      </c>
      <c r="Y357" s="64">
        <f t="shared" si="159"/>
        <v>0</v>
      </c>
      <c r="Z357" s="64">
        <f t="shared" si="159"/>
        <v>0</v>
      </c>
      <c r="AA357" s="64">
        <f t="shared" si="160"/>
        <v>0</v>
      </c>
      <c r="AB357" s="59" t="str">
        <f t="shared" si="161"/>
        <v>ok</v>
      </c>
    </row>
    <row r="358" spans="1:28" x14ac:dyDescent="0.25">
      <c r="A358" s="69" t="s">
        <v>1288</v>
      </c>
      <c r="C358" s="112" t="s">
        <v>774</v>
      </c>
      <c r="D358" s="61" t="s">
        <v>780</v>
      </c>
      <c r="E358" s="61" t="s">
        <v>1114</v>
      </c>
      <c r="F358" s="80">
        <f>VLOOKUP(C358,'Functional Assignment'!$C$2:$AP$778,'Functional Assignment'!$M$2,)</f>
        <v>0</v>
      </c>
      <c r="G358" s="80">
        <f t="shared" si="158"/>
        <v>0</v>
      </c>
      <c r="H358" s="80">
        <f t="shared" si="158"/>
        <v>0</v>
      </c>
      <c r="I358" s="80">
        <f t="shared" si="158"/>
        <v>0</v>
      </c>
      <c r="J358" s="80">
        <f t="shared" si="158"/>
        <v>0</v>
      </c>
      <c r="K358" s="80">
        <f t="shared" si="158"/>
        <v>0</v>
      </c>
      <c r="L358" s="80">
        <f t="shared" si="158"/>
        <v>0</v>
      </c>
      <c r="M358" s="80">
        <f t="shared" si="158"/>
        <v>0</v>
      </c>
      <c r="N358" s="80">
        <f t="shared" si="158"/>
        <v>0</v>
      </c>
      <c r="O358" s="80">
        <f t="shared" si="158"/>
        <v>0</v>
      </c>
      <c r="P358" s="80">
        <f t="shared" si="158"/>
        <v>0</v>
      </c>
      <c r="Q358" s="80">
        <f t="shared" si="159"/>
        <v>0</v>
      </c>
      <c r="R358" s="80">
        <f t="shared" si="159"/>
        <v>0</v>
      </c>
      <c r="S358" s="80">
        <f t="shared" si="159"/>
        <v>0</v>
      </c>
      <c r="T358" s="80">
        <f t="shared" si="159"/>
        <v>0</v>
      </c>
      <c r="U358" s="80">
        <f t="shared" si="159"/>
        <v>0</v>
      </c>
      <c r="V358" s="80">
        <f t="shared" si="159"/>
        <v>0</v>
      </c>
      <c r="W358" s="80">
        <f t="shared" si="159"/>
        <v>0</v>
      </c>
      <c r="X358" s="64">
        <f t="shared" si="159"/>
        <v>0</v>
      </c>
      <c r="Y358" s="64">
        <f t="shared" si="159"/>
        <v>0</v>
      </c>
      <c r="Z358" s="64">
        <f t="shared" si="159"/>
        <v>0</v>
      </c>
      <c r="AA358" s="64">
        <f t="shared" si="160"/>
        <v>0</v>
      </c>
      <c r="AB358" s="59" t="str">
        <f t="shared" si="161"/>
        <v>ok</v>
      </c>
    </row>
    <row r="359" spans="1:28" x14ac:dyDescent="0.25">
      <c r="A359" s="61" t="s">
        <v>392</v>
      </c>
      <c r="D359" s="61" t="s">
        <v>781</v>
      </c>
      <c r="F359" s="77">
        <f t="shared" ref="F359:P359" si="162">SUM(F353:F358)</f>
        <v>0</v>
      </c>
      <c r="G359" s="77">
        <f t="shared" si="162"/>
        <v>0</v>
      </c>
      <c r="H359" s="77">
        <f t="shared" si="162"/>
        <v>0</v>
      </c>
      <c r="I359" s="77">
        <f t="shared" si="162"/>
        <v>0</v>
      </c>
      <c r="J359" s="77">
        <f t="shared" si="162"/>
        <v>0</v>
      </c>
      <c r="K359" s="77">
        <f t="shared" si="162"/>
        <v>0</v>
      </c>
      <c r="L359" s="77">
        <f t="shared" si="162"/>
        <v>0</v>
      </c>
      <c r="M359" s="77">
        <f t="shared" si="162"/>
        <v>0</v>
      </c>
      <c r="N359" s="77">
        <f t="shared" si="162"/>
        <v>0</v>
      </c>
      <c r="O359" s="77">
        <f>SUM(O353:O358)</f>
        <v>0</v>
      </c>
      <c r="P359" s="77">
        <f t="shared" si="162"/>
        <v>0</v>
      </c>
      <c r="Q359" s="77">
        <f t="shared" ref="Q359:Z359" si="163">SUM(Q353:Q358)</f>
        <v>0</v>
      </c>
      <c r="R359" s="77">
        <f t="shared" si="163"/>
        <v>0</v>
      </c>
      <c r="S359" s="77">
        <f t="shared" si="163"/>
        <v>0</v>
      </c>
      <c r="T359" s="77">
        <f t="shared" si="163"/>
        <v>0</v>
      </c>
      <c r="U359" s="77">
        <f t="shared" si="163"/>
        <v>0</v>
      </c>
      <c r="V359" s="77">
        <f t="shared" si="163"/>
        <v>0</v>
      </c>
      <c r="W359" s="77">
        <f t="shared" si="163"/>
        <v>0</v>
      </c>
      <c r="X359" s="63">
        <f t="shared" si="163"/>
        <v>0</v>
      </c>
      <c r="Y359" s="63">
        <f t="shared" si="163"/>
        <v>0</v>
      </c>
      <c r="Z359" s="63">
        <f t="shared" si="163"/>
        <v>0</v>
      </c>
      <c r="AA359" s="65">
        <f t="shared" si="160"/>
        <v>0</v>
      </c>
      <c r="AB359" s="59" t="str">
        <f t="shared" si="161"/>
        <v>ok</v>
      </c>
    </row>
    <row r="360" spans="1:28" x14ac:dyDescent="0.25">
      <c r="F360" s="80"/>
      <c r="G360" s="80"/>
    </row>
    <row r="361" spans="1:28" x14ac:dyDescent="0.25">
      <c r="A361" s="66" t="s">
        <v>1154</v>
      </c>
      <c r="F361" s="80"/>
      <c r="G361" s="80"/>
    </row>
    <row r="362" spans="1:28" x14ac:dyDescent="0.25">
      <c r="A362" s="69" t="s">
        <v>362</v>
      </c>
      <c r="C362" s="112" t="s">
        <v>774</v>
      </c>
      <c r="D362" s="61" t="s">
        <v>782</v>
      </c>
      <c r="E362" s="61" t="s">
        <v>1399</v>
      </c>
      <c r="F362" s="77">
        <f>VLOOKUP(C362,'Functional Assignment'!$C$2:$AP$778,'Functional Assignment'!$N$2,)</f>
        <v>0</v>
      </c>
      <c r="G362" s="77">
        <f t="shared" ref="G362:P364" si="164">IF(VLOOKUP($E362,$D$6:$AN$1141,3,)=0,0,(VLOOKUP($E362,$D$6:$AN$1141,G$2,)/VLOOKUP($E362,$D$6:$AN$1141,3,))*$F362)</f>
        <v>0</v>
      </c>
      <c r="H362" s="77">
        <f t="shared" si="164"/>
        <v>0</v>
      </c>
      <c r="I362" s="77">
        <f t="shared" si="164"/>
        <v>0</v>
      </c>
      <c r="J362" s="77">
        <f t="shared" si="164"/>
        <v>0</v>
      </c>
      <c r="K362" s="77">
        <f t="shared" si="164"/>
        <v>0</v>
      </c>
      <c r="L362" s="77">
        <f t="shared" si="164"/>
        <v>0</v>
      </c>
      <c r="M362" s="77">
        <f t="shared" si="164"/>
        <v>0</v>
      </c>
      <c r="N362" s="77">
        <f t="shared" si="164"/>
        <v>0</v>
      </c>
      <c r="O362" s="77">
        <f t="shared" si="164"/>
        <v>0</v>
      </c>
      <c r="P362" s="77">
        <f t="shared" si="164"/>
        <v>0</v>
      </c>
      <c r="Q362" s="77">
        <f t="shared" ref="Q362:Z364" si="165">IF(VLOOKUP($E362,$D$6:$AN$1141,3,)=0,0,(VLOOKUP($E362,$D$6:$AN$1141,Q$2,)/VLOOKUP($E362,$D$6:$AN$1141,3,))*$F362)</f>
        <v>0</v>
      </c>
      <c r="R362" s="77">
        <f t="shared" si="165"/>
        <v>0</v>
      </c>
      <c r="S362" s="77">
        <f t="shared" si="165"/>
        <v>0</v>
      </c>
      <c r="T362" s="77">
        <f t="shared" si="165"/>
        <v>0</v>
      </c>
      <c r="U362" s="77">
        <f t="shared" si="165"/>
        <v>0</v>
      </c>
      <c r="V362" s="77">
        <f t="shared" si="165"/>
        <v>0</v>
      </c>
      <c r="W362" s="77">
        <f t="shared" si="165"/>
        <v>0</v>
      </c>
      <c r="X362" s="63">
        <f t="shared" si="165"/>
        <v>0</v>
      </c>
      <c r="Y362" s="63">
        <f t="shared" si="165"/>
        <v>0</v>
      </c>
      <c r="Z362" s="63">
        <f t="shared" si="165"/>
        <v>0</v>
      </c>
      <c r="AA362" s="65">
        <f>SUM(G362:Z362)</f>
        <v>0</v>
      </c>
      <c r="AB362" s="59" t="str">
        <f>IF(ABS(F362-AA362)&lt;0.01,"ok","err")</f>
        <v>ok</v>
      </c>
    </row>
    <row r="363" spans="1:28" x14ac:dyDescent="0.25">
      <c r="A363" s="69" t="s">
        <v>364</v>
      </c>
      <c r="C363" s="112" t="s">
        <v>774</v>
      </c>
      <c r="D363" s="61" t="s">
        <v>783</v>
      </c>
      <c r="E363" s="61" t="s">
        <v>1399</v>
      </c>
      <c r="F363" s="80">
        <f>VLOOKUP(C363,'Functional Assignment'!$C$2:$AP$778,'Functional Assignment'!$O$2,)</f>
        <v>0</v>
      </c>
      <c r="G363" s="80">
        <f t="shared" si="164"/>
        <v>0</v>
      </c>
      <c r="H363" s="80">
        <f t="shared" si="164"/>
        <v>0</v>
      </c>
      <c r="I363" s="80">
        <f t="shared" si="164"/>
        <v>0</v>
      </c>
      <c r="J363" s="80">
        <f t="shared" si="164"/>
        <v>0</v>
      </c>
      <c r="K363" s="80">
        <f t="shared" si="164"/>
        <v>0</v>
      </c>
      <c r="L363" s="80">
        <f t="shared" si="164"/>
        <v>0</v>
      </c>
      <c r="M363" s="80">
        <f t="shared" si="164"/>
        <v>0</v>
      </c>
      <c r="N363" s="80">
        <f t="shared" si="164"/>
        <v>0</v>
      </c>
      <c r="O363" s="80">
        <f t="shared" si="164"/>
        <v>0</v>
      </c>
      <c r="P363" s="80">
        <f t="shared" si="164"/>
        <v>0</v>
      </c>
      <c r="Q363" s="80">
        <f t="shared" si="165"/>
        <v>0</v>
      </c>
      <c r="R363" s="80">
        <f t="shared" si="165"/>
        <v>0</v>
      </c>
      <c r="S363" s="80">
        <f t="shared" si="165"/>
        <v>0</v>
      </c>
      <c r="T363" s="80">
        <f t="shared" si="165"/>
        <v>0</v>
      </c>
      <c r="U363" s="80">
        <f t="shared" si="165"/>
        <v>0</v>
      </c>
      <c r="V363" s="80">
        <f t="shared" si="165"/>
        <v>0</v>
      </c>
      <c r="W363" s="80">
        <f t="shared" si="165"/>
        <v>0</v>
      </c>
      <c r="X363" s="64">
        <f t="shared" si="165"/>
        <v>0</v>
      </c>
      <c r="Y363" s="64">
        <f t="shared" si="165"/>
        <v>0</v>
      </c>
      <c r="Z363" s="64">
        <f t="shared" si="165"/>
        <v>0</v>
      </c>
      <c r="AA363" s="64">
        <f>SUM(G363:Z363)</f>
        <v>0</v>
      </c>
      <c r="AB363" s="59" t="str">
        <f>IF(ABS(F363-AA363)&lt;0.01,"ok","err")</f>
        <v>ok</v>
      </c>
    </row>
    <row r="364" spans="1:28" x14ac:dyDescent="0.25">
      <c r="A364" s="69" t="s">
        <v>363</v>
      </c>
      <c r="C364" s="112" t="s">
        <v>774</v>
      </c>
      <c r="D364" s="61" t="s">
        <v>784</v>
      </c>
      <c r="E364" s="61" t="s">
        <v>1399</v>
      </c>
      <c r="F364" s="80">
        <f>VLOOKUP(C364,'Functional Assignment'!$C$2:$AP$778,'Functional Assignment'!$P$2,)</f>
        <v>0</v>
      </c>
      <c r="G364" s="80">
        <f t="shared" si="164"/>
        <v>0</v>
      </c>
      <c r="H364" s="80">
        <f t="shared" si="164"/>
        <v>0</v>
      </c>
      <c r="I364" s="80">
        <f t="shared" si="164"/>
        <v>0</v>
      </c>
      <c r="J364" s="80">
        <f t="shared" si="164"/>
        <v>0</v>
      </c>
      <c r="K364" s="80">
        <f t="shared" si="164"/>
        <v>0</v>
      </c>
      <c r="L364" s="80">
        <f t="shared" si="164"/>
        <v>0</v>
      </c>
      <c r="M364" s="80">
        <f t="shared" si="164"/>
        <v>0</v>
      </c>
      <c r="N364" s="80">
        <f t="shared" si="164"/>
        <v>0</v>
      </c>
      <c r="O364" s="80">
        <f t="shared" si="164"/>
        <v>0</v>
      </c>
      <c r="P364" s="80">
        <f t="shared" si="164"/>
        <v>0</v>
      </c>
      <c r="Q364" s="80">
        <f t="shared" si="165"/>
        <v>0</v>
      </c>
      <c r="R364" s="80">
        <f t="shared" si="165"/>
        <v>0</v>
      </c>
      <c r="S364" s="80">
        <f t="shared" si="165"/>
        <v>0</v>
      </c>
      <c r="T364" s="80">
        <f t="shared" si="165"/>
        <v>0</v>
      </c>
      <c r="U364" s="80">
        <f t="shared" si="165"/>
        <v>0</v>
      </c>
      <c r="V364" s="80">
        <f t="shared" si="165"/>
        <v>0</v>
      </c>
      <c r="W364" s="80">
        <f t="shared" si="165"/>
        <v>0</v>
      </c>
      <c r="X364" s="64">
        <f t="shared" si="165"/>
        <v>0</v>
      </c>
      <c r="Y364" s="64">
        <f t="shared" si="165"/>
        <v>0</v>
      </c>
      <c r="Z364" s="64">
        <f t="shared" si="165"/>
        <v>0</v>
      </c>
      <c r="AA364" s="64">
        <f>SUM(G364:Z364)</f>
        <v>0</v>
      </c>
      <c r="AB364" s="59" t="str">
        <f>IF(ABS(F364-AA364)&lt;0.01,"ok","err")</f>
        <v>ok</v>
      </c>
    </row>
    <row r="365" spans="1:28" x14ac:dyDescent="0.25">
      <c r="A365" s="61" t="s">
        <v>1156</v>
      </c>
      <c r="D365" s="61" t="s">
        <v>785</v>
      </c>
      <c r="F365" s="77">
        <f t="shared" ref="F365:P365" si="166">SUM(F362:F364)</f>
        <v>0</v>
      </c>
      <c r="G365" s="77">
        <f t="shared" si="166"/>
        <v>0</v>
      </c>
      <c r="H365" s="77">
        <f t="shared" si="166"/>
        <v>0</v>
      </c>
      <c r="I365" s="77">
        <f t="shared" si="166"/>
        <v>0</v>
      </c>
      <c r="J365" s="77">
        <f t="shared" si="166"/>
        <v>0</v>
      </c>
      <c r="K365" s="77">
        <f t="shared" si="166"/>
        <v>0</v>
      </c>
      <c r="L365" s="77">
        <f t="shared" si="166"/>
        <v>0</v>
      </c>
      <c r="M365" s="77">
        <f t="shared" si="166"/>
        <v>0</v>
      </c>
      <c r="N365" s="77">
        <f t="shared" si="166"/>
        <v>0</v>
      </c>
      <c r="O365" s="77">
        <f>SUM(O362:O364)</f>
        <v>0</v>
      </c>
      <c r="P365" s="77">
        <f t="shared" si="166"/>
        <v>0</v>
      </c>
      <c r="Q365" s="77">
        <f t="shared" ref="Q365:Z365" si="167">SUM(Q362:Q364)</f>
        <v>0</v>
      </c>
      <c r="R365" s="77">
        <f t="shared" si="167"/>
        <v>0</v>
      </c>
      <c r="S365" s="77">
        <f t="shared" si="167"/>
        <v>0</v>
      </c>
      <c r="T365" s="77">
        <f t="shared" si="167"/>
        <v>0</v>
      </c>
      <c r="U365" s="77">
        <f t="shared" si="167"/>
        <v>0</v>
      </c>
      <c r="V365" s="77">
        <f t="shared" si="167"/>
        <v>0</v>
      </c>
      <c r="W365" s="77">
        <f t="shared" si="167"/>
        <v>0</v>
      </c>
      <c r="X365" s="63">
        <f t="shared" si="167"/>
        <v>0</v>
      </c>
      <c r="Y365" s="63">
        <f t="shared" si="167"/>
        <v>0</v>
      </c>
      <c r="Z365" s="63">
        <f t="shared" si="167"/>
        <v>0</v>
      </c>
      <c r="AA365" s="65">
        <f>SUM(G365:Z365)</f>
        <v>0</v>
      </c>
      <c r="AB365" s="59" t="str">
        <f>IF(ABS(F365-AA365)&lt;0.01,"ok","err")</f>
        <v>ok</v>
      </c>
    </row>
    <row r="366" spans="1:28" x14ac:dyDescent="0.25">
      <c r="F366" s="80"/>
      <c r="G366" s="80"/>
    </row>
    <row r="367" spans="1:28" x14ac:dyDescent="0.25">
      <c r="A367" s="66" t="s">
        <v>350</v>
      </c>
      <c r="F367" s="80"/>
      <c r="G367" s="80"/>
    </row>
    <row r="368" spans="1:28" x14ac:dyDescent="0.25">
      <c r="A368" s="69" t="s">
        <v>377</v>
      </c>
      <c r="C368" s="112" t="s">
        <v>774</v>
      </c>
      <c r="D368" s="61" t="s">
        <v>786</v>
      </c>
      <c r="E368" s="61" t="s">
        <v>133</v>
      </c>
      <c r="F368" s="77">
        <f>VLOOKUP(C368,'Functional Assignment'!$C$2:$AP$778,'Functional Assignment'!$Q$2,)</f>
        <v>0</v>
      </c>
      <c r="G368" s="77">
        <f t="shared" ref="G368:Z368" si="168">IF(VLOOKUP($E368,$D$6:$AN$1141,3,)=0,0,(VLOOKUP($E368,$D$6:$AN$1141,G$2,)/VLOOKUP($E368,$D$6:$AN$1141,3,))*$F368)</f>
        <v>0</v>
      </c>
      <c r="H368" s="77">
        <f t="shared" si="168"/>
        <v>0</v>
      </c>
      <c r="I368" s="77">
        <f t="shared" si="168"/>
        <v>0</v>
      </c>
      <c r="J368" s="77">
        <f t="shared" si="168"/>
        <v>0</v>
      </c>
      <c r="K368" s="77">
        <f t="shared" si="168"/>
        <v>0</v>
      </c>
      <c r="L368" s="77">
        <f t="shared" si="168"/>
        <v>0</v>
      </c>
      <c r="M368" s="77">
        <f t="shared" si="168"/>
        <v>0</v>
      </c>
      <c r="N368" s="77">
        <f t="shared" si="168"/>
        <v>0</v>
      </c>
      <c r="O368" s="77">
        <f t="shared" si="168"/>
        <v>0</v>
      </c>
      <c r="P368" s="77">
        <f t="shared" si="168"/>
        <v>0</v>
      </c>
      <c r="Q368" s="77">
        <f t="shared" si="168"/>
        <v>0</v>
      </c>
      <c r="R368" s="77">
        <f t="shared" si="168"/>
        <v>0</v>
      </c>
      <c r="S368" s="77">
        <f t="shared" si="168"/>
        <v>0</v>
      </c>
      <c r="T368" s="77">
        <f t="shared" si="168"/>
        <v>0</v>
      </c>
      <c r="U368" s="77">
        <f t="shared" si="168"/>
        <v>0</v>
      </c>
      <c r="V368" s="77">
        <f t="shared" si="168"/>
        <v>0</v>
      </c>
      <c r="W368" s="77">
        <f t="shared" si="168"/>
        <v>0</v>
      </c>
      <c r="X368" s="63">
        <f t="shared" si="168"/>
        <v>0</v>
      </c>
      <c r="Y368" s="63">
        <f t="shared" si="168"/>
        <v>0</v>
      </c>
      <c r="Z368" s="63">
        <f t="shared" si="168"/>
        <v>0</v>
      </c>
      <c r="AA368" s="65">
        <f>SUM(G368:Z368)</f>
        <v>0</v>
      </c>
      <c r="AB368" s="59" t="str">
        <f>IF(ABS(F368-AA368)&lt;0.01,"ok","err")</f>
        <v>ok</v>
      </c>
    </row>
    <row r="369" spans="1:28" x14ac:dyDescent="0.25">
      <c r="F369" s="80"/>
    </row>
    <row r="370" spans="1:28" x14ac:dyDescent="0.25">
      <c r="A370" s="66" t="s">
        <v>351</v>
      </c>
      <c r="F370" s="80"/>
      <c r="G370" s="80"/>
    </row>
    <row r="371" spans="1:28" x14ac:dyDescent="0.25">
      <c r="A371" s="69" t="s">
        <v>379</v>
      </c>
      <c r="C371" s="112" t="s">
        <v>774</v>
      </c>
      <c r="D371" s="61" t="s">
        <v>787</v>
      </c>
      <c r="E371" s="61" t="s">
        <v>133</v>
      </c>
      <c r="F371" s="77">
        <f>VLOOKUP(C371,'Functional Assignment'!$C$2:$AP$778,'Functional Assignment'!$R$2,)</f>
        <v>0</v>
      </c>
      <c r="G371" s="77">
        <f t="shared" ref="G371:Z371" si="169">IF(VLOOKUP($E371,$D$6:$AN$1141,3,)=0,0,(VLOOKUP($E371,$D$6:$AN$1141,G$2,)/VLOOKUP($E371,$D$6:$AN$1141,3,))*$F371)</f>
        <v>0</v>
      </c>
      <c r="H371" s="77">
        <f t="shared" si="169"/>
        <v>0</v>
      </c>
      <c r="I371" s="77">
        <f t="shared" si="169"/>
        <v>0</v>
      </c>
      <c r="J371" s="77">
        <f t="shared" si="169"/>
        <v>0</v>
      </c>
      <c r="K371" s="77">
        <f t="shared" si="169"/>
        <v>0</v>
      </c>
      <c r="L371" s="77">
        <f t="shared" si="169"/>
        <v>0</v>
      </c>
      <c r="M371" s="77">
        <f t="shared" si="169"/>
        <v>0</v>
      </c>
      <c r="N371" s="77">
        <f t="shared" si="169"/>
        <v>0</v>
      </c>
      <c r="O371" s="77">
        <f t="shared" si="169"/>
        <v>0</v>
      </c>
      <c r="P371" s="77">
        <f t="shared" si="169"/>
        <v>0</v>
      </c>
      <c r="Q371" s="77">
        <f t="shared" si="169"/>
        <v>0</v>
      </c>
      <c r="R371" s="77">
        <f t="shared" si="169"/>
        <v>0</v>
      </c>
      <c r="S371" s="77">
        <f t="shared" si="169"/>
        <v>0</v>
      </c>
      <c r="T371" s="77">
        <f t="shared" si="169"/>
        <v>0</v>
      </c>
      <c r="U371" s="77">
        <f t="shared" si="169"/>
        <v>0</v>
      </c>
      <c r="V371" s="77">
        <f t="shared" si="169"/>
        <v>0</v>
      </c>
      <c r="W371" s="77">
        <f t="shared" si="169"/>
        <v>0</v>
      </c>
      <c r="X371" s="63">
        <f t="shared" si="169"/>
        <v>0</v>
      </c>
      <c r="Y371" s="63">
        <f t="shared" si="169"/>
        <v>0</v>
      </c>
      <c r="Z371" s="63">
        <f t="shared" si="169"/>
        <v>0</v>
      </c>
      <c r="AA371" s="65">
        <f>SUM(G371:Z371)</f>
        <v>0</v>
      </c>
      <c r="AB371" s="59" t="str">
        <f>IF(ABS(F371-AA371)&lt;0.01,"ok","err")</f>
        <v>ok</v>
      </c>
    </row>
    <row r="372" spans="1:28" x14ac:dyDescent="0.25">
      <c r="F372" s="80"/>
    </row>
    <row r="373" spans="1:28" x14ac:dyDescent="0.25">
      <c r="A373" s="66" t="s">
        <v>378</v>
      </c>
      <c r="F373" s="80"/>
    </row>
    <row r="374" spans="1:28" x14ac:dyDescent="0.25">
      <c r="A374" s="69" t="s">
        <v>629</v>
      </c>
      <c r="C374" s="112" t="s">
        <v>774</v>
      </c>
      <c r="D374" s="61" t="s">
        <v>788</v>
      </c>
      <c r="E374" s="61" t="s">
        <v>133</v>
      </c>
      <c r="F374" s="77">
        <f>VLOOKUP(C374,'Functional Assignment'!$C$2:$AP$778,'Functional Assignment'!$S$2,)</f>
        <v>0</v>
      </c>
      <c r="G374" s="77">
        <f t="shared" ref="G374:P378" si="170">IF(VLOOKUP($E374,$D$6:$AN$1141,3,)=0,0,(VLOOKUP($E374,$D$6:$AN$1141,G$2,)/VLOOKUP($E374,$D$6:$AN$1141,3,))*$F374)</f>
        <v>0</v>
      </c>
      <c r="H374" s="77">
        <f t="shared" si="170"/>
        <v>0</v>
      </c>
      <c r="I374" s="77">
        <f t="shared" si="170"/>
        <v>0</v>
      </c>
      <c r="J374" s="77">
        <f t="shared" si="170"/>
        <v>0</v>
      </c>
      <c r="K374" s="77">
        <f t="shared" si="170"/>
        <v>0</v>
      </c>
      <c r="L374" s="77">
        <f t="shared" si="170"/>
        <v>0</v>
      </c>
      <c r="M374" s="77">
        <f t="shared" si="170"/>
        <v>0</v>
      </c>
      <c r="N374" s="77">
        <f t="shared" si="170"/>
        <v>0</v>
      </c>
      <c r="O374" s="77">
        <f t="shared" si="170"/>
        <v>0</v>
      </c>
      <c r="P374" s="77">
        <f t="shared" si="170"/>
        <v>0</v>
      </c>
      <c r="Q374" s="77">
        <f t="shared" ref="Q374:Z378" si="171">IF(VLOOKUP($E374,$D$6:$AN$1141,3,)=0,0,(VLOOKUP($E374,$D$6:$AN$1141,Q$2,)/VLOOKUP($E374,$D$6:$AN$1141,3,))*$F374)</f>
        <v>0</v>
      </c>
      <c r="R374" s="77">
        <f t="shared" si="171"/>
        <v>0</v>
      </c>
      <c r="S374" s="77">
        <f t="shared" si="171"/>
        <v>0</v>
      </c>
      <c r="T374" s="77">
        <f t="shared" si="171"/>
        <v>0</v>
      </c>
      <c r="U374" s="77">
        <f t="shared" si="171"/>
        <v>0</v>
      </c>
      <c r="V374" s="77">
        <f t="shared" si="171"/>
        <v>0</v>
      </c>
      <c r="W374" s="77">
        <f t="shared" si="171"/>
        <v>0</v>
      </c>
      <c r="X374" s="63">
        <f t="shared" si="171"/>
        <v>0</v>
      </c>
      <c r="Y374" s="63">
        <f t="shared" si="171"/>
        <v>0</v>
      </c>
      <c r="Z374" s="63">
        <f t="shared" si="171"/>
        <v>0</v>
      </c>
      <c r="AA374" s="65">
        <f t="shared" ref="AA374:AA379" si="172">SUM(G374:Z374)</f>
        <v>0</v>
      </c>
      <c r="AB374" s="59" t="str">
        <f t="shared" ref="AB374:AB379" si="173">IF(ABS(F374-AA374)&lt;0.01,"ok","err")</f>
        <v>ok</v>
      </c>
    </row>
    <row r="375" spans="1:28" x14ac:dyDescent="0.25">
      <c r="A375" s="69" t="s">
        <v>630</v>
      </c>
      <c r="C375" s="112" t="s">
        <v>774</v>
      </c>
      <c r="D375" s="61" t="s">
        <v>789</v>
      </c>
      <c r="E375" s="61" t="s">
        <v>133</v>
      </c>
      <c r="F375" s="80">
        <f>VLOOKUP(C375,'Functional Assignment'!$C$2:$AP$778,'Functional Assignment'!$T$2,)</f>
        <v>0</v>
      </c>
      <c r="G375" s="80">
        <f t="shared" si="170"/>
        <v>0</v>
      </c>
      <c r="H375" s="80">
        <f t="shared" si="170"/>
        <v>0</v>
      </c>
      <c r="I375" s="80">
        <f t="shared" si="170"/>
        <v>0</v>
      </c>
      <c r="J375" s="80">
        <f t="shared" si="170"/>
        <v>0</v>
      </c>
      <c r="K375" s="80">
        <f t="shared" si="170"/>
        <v>0</v>
      </c>
      <c r="L375" s="80">
        <f t="shared" si="170"/>
        <v>0</v>
      </c>
      <c r="M375" s="80">
        <f t="shared" si="170"/>
        <v>0</v>
      </c>
      <c r="N375" s="80">
        <f t="shared" si="170"/>
        <v>0</v>
      </c>
      <c r="O375" s="80">
        <f t="shared" si="170"/>
        <v>0</v>
      </c>
      <c r="P375" s="80">
        <f t="shared" si="170"/>
        <v>0</v>
      </c>
      <c r="Q375" s="80">
        <f t="shared" si="171"/>
        <v>0</v>
      </c>
      <c r="R375" s="80">
        <f t="shared" si="171"/>
        <v>0</v>
      </c>
      <c r="S375" s="80">
        <f t="shared" si="171"/>
        <v>0</v>
      </c>
      <c r="T375" s="80">
        <f t="shared" si="171"/>
        <v>0</v>
      </c>
      <c r="U375" s="80">
        <f t="shared" si="171"/>
        <v>0</v>
      </c>
      <c r="V375" s="80">
        <f t="shared" si="171"/>
        <v>0</v>
      </c>
      <c r="W375" s="80">
        <f t="shared" si="171"/>
        <v>0</v>
      </c>
      <c r="X375" s="64">
        <f t="shared" si="171"/>
        <v>0</v>
      </c>
      <c r="Y375" s="64">
        <f t="shared" si="171"/>
        <v>0</v>
      </c>
      <c r="Z375" s="64">
        <f t="shared" si="171"/>
        <v>0</v>
      </c>
      <c r="AA375" s="64">
        <f t="shared" si="172"/>
        <v>0</v>
      </c>
      <c r="AB375" s="59" t="str">
        <f t="shared" si="173"/>
        <v>ok</v>
      </c>
    </row>
    <row r="376" spans="1:28" x14ac:dyDescent="0.25">
      <c r="A376" s="69" t="s">
        <v>631</v>
      </c>
      <c r="C376" s="112" t="s">
        <v>774</v>
      </c>
      <c r="D376" s="61" t="s">
        <v>790</v>
      </c>
      <c r="E376" s="61" t="s">
        <v>707</v>
      </c>
      <c r="F376" s="80">
        <f>VLOOKUP(C376,'Functional Assignment'!$C$2:$AP$778,'Functional Assignment'!$U$2,)</f>
        <v>0</v>
      </c>
      <c r="G376" s="80">
        <f t="shared" si="170"/>
        <v>0</v>
      </c>
      <c r="H376" s="80">
        <f t="shared" si="170"/>
        <v>0</v>
      </c>
      <c r="I376" s="80">
        <f t="shared" si="170"/>
        <v>0</v>
      </c>
      <c r="J376" s="80">
        <f t="shared" si="170"/>
        <v>0</v>
      </c>
      <c r="K376" s="80">
        <f t="shared" si="170"/>
        <v>0</v>
      </c>
      <c r="L376" s="80">
        <f t="shared" si="170"/>
        <v>0</v>
      </c>
      <c r="M376" s="80">
        <f t="shared" si="170"/>
        <v>0</v>
      </c>
      <c r="N376" s="80">
        <f t="shared" si="170"/>
        <v>0</v>
      </c>
      <c r="O376" s="80">
        <f t="shared" si="170"/>
        <v>0</v>
      </c>
      <c r="P376" s="80">
        <f t="shared" si="170"/>
        <v>0</v>
      </c>
      <c r="Q376" s="80">
        <f t="shared" si="171"/>
        <v>0</v>
      </c>
      <c r="R376" s="80">
        <f t="shared" si="171"/>
        <v>0</v>
      </c>
      <c r="S376" s="80">
        <f t="shared" si="171"/>
        <v>0</v>
      </c>
      <c r="T376" s="80">
        <f t="shared" si="171"/>
        <v>0</v>
      </c>
      <c r="U376" s="80">
        <f t="shared" si="171"/>
        <v>0</v>
      </c>
      <c r="V376" s="80">
        <f t="shared" si="171"/>
        <v>0</v>
      </c>
      <c r="W376" s="80">
        <f t="shared" si="171"/>
        <v>0</v>
      </c>
      <c r="X376" s="64">
        <f t="shared" si="171"/>
        <v>0</v>
      </c>
      <c r="Y376" s="64">
        <f t="shared" si="171"/>
        <v>0</v>
      </c>
      <c r="Z376" s="64">
        <f t="shared" si="171"/>
        <v>0</v>
      </c>
      <c r="AA376" s="64">
        <f t="shared" si="172"/>
        <v>0</v>
      </c>
      <c r="AB376" s="59" t="str">
        <f t="shared" si="173"/>
        <v>ok</v>
      </c>
    </row>
    <row r="377" spans="1:28" x14ac:dyDescent="0.25">
      <c r="A377" s="69" t="s">
        <v>632</v>
      </c>
      <c r="C377" s="112" t="s">
        <v>774</v>
      </c>
      <c r="D377" s="61" t="s">
        <v>791</v>
      </c>
      <c r="E377" s="61" t="s">
        <v>685</v>
      </c>
      <c r="F377" s="80">
        <f>VLOOKUP(C377,'Functional Assignment'!$C$2:$AP$778,'Functional Assignment'!$V$2,)</f>
        <v>0</v>
      </c>
      <c r="G377" s="80">
        <f t="shared" si="170"/>
        <v>0</v>
      </c>
      <c r="H377" s="80">
        <f t="shared" si="170"/>
        <v>0</v>
      </c>
      <c r="I377" s="80">
        <f t="shared" si="170"/>
        <v>0</v>
      </c>
      <c r="J377" s="80">
        <f t="shared" si="170"/>
        <v>0</v>
      </c>
      <c r="K377" s="80">
        <f t="shared" si="170"/>
        <v>0</v>
      </c>
      <c r="L377" s="80">
        <f t="shared" si="170"/>
        <v>0</v>
      </c>
      <c r="M377" s="80">
        <f t="shared" si="170"/>
        <v>0</v>
      </c>
      <c r="N377" s="80">
        <f t="shared" si="170"/>
        <v>0</v>
      </c>
      <c r="O377" s="80">
        <f t="shared" si="170"/>
        <v>0</v>
      </c>
      <c r="P377" s="80">
        <f t="shared" si="170"/>
        <v>0</v>
      </c>
      <c r="Q377" s="80">
        <f t="shared" si="171"/>
        <v>0</v>
      </c>
      <c r="R377" s="80">
        <f t="shared" si="171"/>
        <v>0</v>
      </c>
      <c r="S377" s="80">
        <f t="shared" si="171"/>
        <v>0</v>
      </c>
      <c r="T377" s="80">
        <f t="shared" si="171"/>
        <v>0</v>
      </c>
      <c r="U377" s="80">
        <f t="shared" si="171"/>
        <v>0</v>
      </c>
      <c r="V377" s="80">
        <f t="shared" si="171"/>
        <v>0</v>
      </c>
      <c r="W377" s="80">
        <f t="shared" si="171"/>
        <v>0</v>
      </c>
      <c r="X377" s="64">
        <f t="shared" si="171"/>
        <v>0</v>
      </c>
      <c r="Y377" s="64">
        <f t="shared" si="171"/>
        <v>0</v>
      </c>
      <c r="Z377" s="64">
        <f t="shared" si="171"/>
        <v>0</v>
      </c>
      <c r="AA377" s="64">
        <f t="shared" si="172"/>
        <v>0</v>
      </c>
      <c r="AB377" s="59" t="str">
        <f t="shared" si="173"/>
        <v>ok</v>
      </c>
    </row>
    <row r="378" spans="1:28" x14ac:dyDescent="0.25">
      <c r="A378" s="69" t="s">
        <v>633</v>
      </c>
      <c r="C378" s="112" t="s">
        <v>774</v>
      </c>
      <c r="D378" s="61" t="s">
        <v>792</v>
      </c>
      <c r="E378" s="61" t="s">
        <v>706</v>
      </c>
      <c r="F378" s="80">
        <f>VLOOKUP(C378,'Functional Assignment'!$C$2:$AP$778,'Functional Assignment'!$W$2,)</f>
        <v>0</v>
      </c>
      <c r="G378" s="80">
        <f t="shared" si="170"/>
        <v>0</v>
      </c>
      <c r="H378" s="80">
        <f t="shared" si="170"/>
        <v>0</v>
      </c>
      <c r="I378" s="80">
        <f t="shared" si="170"/>
        <v>0</v>
      </c>
      <c r="J378" s="80">
        <f t="shared" si="170"/>
        <v>0</v>
      </c>
      <c r="K378" s="80">
        <f t="shared" si="170"/>
        <v>0</v>
      </c>
      <c r="L378" s="80">
        <f t="shared" si="170"/>
        <v>0</v>
      </c>
      <c r="M378" s="80">
        <f t="shared" si="170"/>
        <v>0</v>
      </c>
      <c r="N378" s="80">
        <f t="shared" si="170"/>
        <v>0</v>
      </c>
      <c r="O378" s="80">
        <f t="shared" si="170"/>
        <v>0</v>
      </c>
      <c r="P378" s="80">
        <f t="shared" si="170"/>
        <v>0</v>
      </c>
      <c r="Q378" s="80">
        <f t="shared" si="171"/>
        <v>0</v>
      </c>
      <c r="R378" s="80">
        <f t="shared" si="171"/>
        <v>0</v>
      </c>
      <c r="S378" s="80">
        <f t="shared" si="171"/>
        <v>0</v>
      </c>
      <c r="T378" s="80">
        <f t="shared" si="171"/>
        <v>0</v>
      </c>
      <c r="U378" s="80">
        <f t="shared" si="171"/>
        <v>0</v>
      </c>
      <c r="V378" s="80">
        <f t="shared" si="171"/>
        <v>0</v>
      </c>
      <c r="W378" s="80">
        <f t="shared" si="171"/>
        <v>0</v>
      </c>
      <c r="X378" s="64">
        <f t="shared" si="171"/>
        <v>0</v>
      </c>
      <c r="Y378" s="64">
        <f t="shared" si="171"/>
        <v>0</v>
      </c>
      <c r="Z378" s="64">
        <f t="shared" si="171"/>
        <v>0</v>
      </c>
      <c r="AA378" s="64">
        <f t="shared" si="172"/>
        <v>0</v>
      </c>
      <c r="AB378" s="59" t="str">
        <f t="shared" si="173"/>
        <v>ok</v>
      </c>
    </row>
    <row r="379" spans="1:28" x14ac:dyDescent="0.25">
      <c r="A379" s="61" t="s">
        <v>383</v>
      </c>
      <c r="D379" s="61" t="s">
        <v>793</v>
      </c>
      <c r="F379" s="77">
        <f t="shared" ref="F379:P379" si="174">SUM(F374:F378)</f>
        <v>0</v>
      </c>
      <c r="G379" s="77">
        <f t="shared" si="174"/>
        <v>0</v>
      </c>
      <c r="H379" s="77">
        <f t="shared" si="174"/>
        <v>0</v>
      </c>
      <c r="I379" s="77">
        <f t="shared" si="174"/>
        <v>0</v>
      </c>
      <c r="J379" s="77">
        <f t="shared" si="174"/>
        <v>0</v>
      </c>
      <c r="K379" s="77">
        <f t="shared" si="174"/>
        <v>0</v>
      </c>
      <c r="L379" s="77">
        <f t="shared" si="174"/>
        <v>0</v>
      </c>
      <c r="M379" s="77">
        <f t="shared" si="174"/>
        <v>0</v>
      </c>
      <c r="N379" s="77">
        <f t="shared" si="174"/>
        <v>0</v>
      </c>
      <c r="O379" s="77">
        <f>SUM(O374:O378)</f>
        <v>0</v>
      </c>
      <c r="P379" s="77">
        <f t="shared" si="174"/>
        <v>0</v>
      </c>
      <c r="Q379" s="77">
        <f t="shared" ref="Q379:Z379" si="175">SUM(Q374:Q378)</f>
        <v>0</v>
      </c>
      <c r="R379" s="77">
        <f t="shared" si="175"/>
        <v>0</v>
      </c>
      <c r="S379" s="77">
        <f t="shared" si="175"/>
        <v>0</v>
      </c>
      <c r="T379" s="77">
        <f t="shared" si="175"/>
        <v>0</v>
      </c>
      <c r="U379" s="77">
        <f t="shared" si="175"/>
        <v>0</v>
      </c>
      <c r="V379" s="77">
        <f t="shared" si="175"/>
        <v>0</v>
      </c>
      <c r="W379" s="77">
        <f t="shared" si="175"/>
        <v>0</v>
      </c>
      <c r="X379" s="63">
        <f t="shared" si="175"/>
        <v>0</v>
      </c>
      <c r="Y379" s="63">
        <f t="shared" si="175"/>
        <v>0</v>
      </c>
      <c r="Z379" s="63">
        <f t="shared" si="175"/>
        <v>0</v>
      </c>
      <c r="AA379" s="65">
        <f t="shared" si="172"/>
        <v>0</v>
      </c>
      <c r="AB379" s="59" t="str">
        <f t="shared" si="173"/>
        <v>ok</v>
      </c>
    </row>
    <row r="380" spans="1:28" x14ac:dyDescent="0.25">
      <c r="F380" s="80"/>
    </row>
    <row r="381" spans="1:28" x14ac:dyDescent="0.25">
      <c r="A381" s="66" t="s">
        <v>640</v>
      </c>
      <c r="F381" s="80"/>
    </row>
    <row r="382" spans="1:28" x14ac:dyDescent="0.25">
      <c r="A382" s="69" t="s">
        <v>1113</v>
      </c>
      <c r="C382" s="112" t="s">
        <v>774</v>
      </c>
      <c r="D382" s="61" t="s">
        <v>794</v>
      </c>
      <c r="E382" s="61" t="s">
        <v>1379</v>
      </c>
      <c r="F382" s="77">
        <f>VLOOKUP(C382,'Functional Assignment'!$C$2:$AP$778,'Functional Assignment'!$X$2,)</f>
        <v>0</v>
      </c>
      <c r="G382" s="77">
        <f t="shared" ref="G382:P383" si="176">IF(VLOOKUP($E382,$D$6:$AN$1141,3,)=0,0,(VLOOKUP($E382,$D$6:$AN$1141,G$2,)/VLOOKUP($E382,$D$6:$AN$1141,3,))*$F382)</f>
        <v>0</v>
      </c>
      <c r="H382" s="77">
        <f t="shared" si="176"/>
        <v>0</v>
      </c>
      <c r="I382" s="77">
        <f t="shared" si="176"/>
        <v>0</v>
      </c>
      <c r="J382" s="77">
        <f t="shared" si="176"/>
        <v>0</v>
      </c>
      <c r="K382" s="77">
        <f t="shared" si="176"/>
        <v>0</v>
      </c>
      <c r="L382" s="77">
        <f t="shared" si="176"/>
        <v>0</v>
      </c>
      <c r="M382" s="77">
        <f t="shared" si="176"/>
        <v>0</v>
      </c>
      <c r="N382" s="77">
        <f t="shared" si="176"/>
        <v>0</v>
      </c>
      <c r="O382" s="77">
        <f t="shared" si="176"/>
        <v>0</v>
      </c>
      <c r="P382" s="77">
        <f t="shared" si="176"/>
        <v>0</v>
      </c>
      <c r="Q382" s="77">
        <f t="shared" ref="Q382:Z383" si="177">IF(VLOOKUP($E382,$D$6:$AN$1141,3,)=0,0,(VLOOKUP($E382,$D$6:$AN$1141,Q$2,)/VLOOKUP($E382,$D$6:$AN$1141,3,))*$F382)</f>
        <v>0</v>
      </c>
      <c r="R382" s="77">
        <f t="shared" si="177"/>
        <v>0</v>
      </c>
      <c r="S382" s="77">
        <f t="shared" si="177"/>
        <v>0</v>
      </c>
      <c r="T382" s="77">
        <f t="shared" si="177"/>
        <v>0</v>
      </c>
      <c r="U382" s="77">
        <f t="shared" si="177"/>
        <v>0</v>
      </c>
      <c r="V382" s="77">
        <f t="shared" si="177"/>
        <v>0</v>
      </c>
      <c r="W382" s="77">
        <f t="shared" si="177"/>
        <v>0</v>
      </c>
      <c r="X382" s="63">
        <f t="shared" si="177"/>
        <v>0</v>
      </c>
      <c r="Y382" s="63">
        <f t="shared" si="177"/>
        <v>0</v>
      </c>
      <c r="Z382" s="63">
        <f t="shared" si="177"/>
        <v>0</v>
      </c>
      <c r="AA382" s="65">
        <f>SUM(G382:Z382)</f>
        <v>0</v>
      </c>
      <c r="AB382" s="59" t="str">
        <f>IF(ABS(F382-AA382)&lt;0.01,"ok","err")</f>
        <v>ok</v>
      </c>
    </row>
    <row r="383" spans="1:28" x14ac:dyDescent="0.25">
      <c r="A383" s="69" t="s">
        <v>1116</v>
      </c>
      <c r="C383" s="112" t="s">
        <v>774</v>
      </c>
      <c r="D383" s="61" t="s">
        <v>795</v>
      </c>
      <c r="E383" s="61" t="s">
        <v>1377</v>
      </c>
      <c r="F383" s="80">
        <f>VLOOKUP(C383,'Functional Assignment'!$C$2:$AP$778,'Functional Assignment'!$Y$2,)</f>
        <v>0</v>
      </c>
      <c r="G383" s="80">
        <f t="shared" si="176"/>
        <v>0</v>
      </c>
      <c r="H383" s="80">
        <f t="shared" si="176"/>
        <v>0</v>
      </c>
      <c r="I383" s="80">
        <f t="shared" si="176"/>
        <v>0</v>
      </c>
      <c r="J383" s="80">
        <f t="shared" si="176"/>
        <v>0</v>
      </c>
      <c r="K383" s="80">
        <f t="shared" si="176"/>
        <v>0</v>
      </c>
      <c r="L383" s="80">
        <f t="shared" si="176"/>
        <v>0</v>
      </c>
      <c r="M383" s="80">
        <f t="shared" si="176"/>
        <v>0</v>
      </c>
      <c r="N383" s="80">
        <f t="shared" si="176"/>
        <v>0</v>
      </c>
      <c r="O383" s="80">
        <f t="shared" si="176"/>
        <v>0</v>
      </c>
      <c r="P383" s="80">
        <f t="shared" si="176"/>
        <v>0</v>
      </c>
      <c r="Q383" s="80">
        <f t="shared" si="177"/>
        <v>0</v>
      </c>
      <c r="R383" s="80">
        <f t="shared" si="177"/>
        <v>0</v>
      </c>
      <c r="S383" s="80">
        <f t="shared" si="177"/>
        <v>0</v>
      </c>
      <c r="T383" s="80">
        <f t="shared" si="177"/>
        <v>0</v>
      </c>
      <c r="U383" s="80">
        <f t="shared" si="177"/>
        <v>0</v>
      </c>
      <c r="V383" s="80">
        <f t="shared" si="177"/>
        <v>0</v>
      </c>
      <c r="W383" s="80">
        <f t="shared" si="177"/>
        <v>0</v>
      </c>
      <c r="X383" s="64">
        <f t="shared" si="177"/>
        <v>0</v>
      </c>
      <c r="Y383" s="64">
        <f t="shared" si="177"/>
        <v>0</v>
      </c>
      <c r="Z383" s="64">
        <f t="shared" si="177"/>
        <v>0</v>
      </c>
      <c r="AA383" s="64">
        <f>SUM(G383:Z383)</f>
        <v>0</v>
      </c>
      <c r="AB383" s="59" t="str">
        <f>IF(ABS(F383-AA383)&lt;0.01,"ok","err")</f>
        <v>ok</v>
      </c>
    </row>
    <row r="384" spans="1:28" x14ac:dyDescent="0.25">
      <c r="A384" s="61" t="s">
        <v>721</v>
      </c>
      <c r="D384" s="61" t="s">
        <v>796</v>
      </c>
      <c r="F384" s="77">
        <f t="shared" ref="F384:P384" si="178">F382+F383</f>
        <v>0</v>
      </c>
      <c r="G384" s="77">
        <f t="shared" si="178"/>
        <v>0</v>
      </c>
      <c r="H384" s="77">
        <f t="shared" si="178"/>
        <v>0</v>
      </c>
      <c r="I384" s="77">
        <f t="shared" si="178"/>
        <v>0</v>
      </c>
      <c r="J384" s="77">
        <f t="shared" si="178"/>
        <v>0</v>
      </c>
      <c r="K384" s="77">
        <f t="shared" si="178"/>
        <v>0</v>
      </c>
      <c r="L384" s="77">
        <f t="shared" si="178"/>
        <v>0</v>
      </c>
      <c r="M384" s="77">
        <f t="shared" si="178"/>
        <v>0</v>
      </c>
      <c r="N384" s="77">
        <f t="shared" si="178"/>
        <v>0</v>
      </c>
      <c r="O384" s="77">
        <f>O382+O383</f>
        <v>0</v>
      </c>
      <c r="P384" s="77">
        <f t="shared" si="178"/>
        <v>0</v>
      </c>
      <c r="Q384" s="77">
        <f t="shared" ref="Q384:Z384" si="179">Q382+Q383</f>
        <v>0</v>
      </c>
      <c r="R384" s="77">
        <f t="shared" si="179"/>
        <v>0</v>
      </c>
      <c r="S384" s="77">
        <f t="shared" si="179"/>
        <v>0</v>
      </c>
      <c r="T384" s="77">
        <f t="shared" si="179"/>
        <v>0</v>
      </c>
      <c r="U384" s="77">
        <f t="shared" si="179"/>
        <v>0</v>
      </c>
      <c r="V384" s="77">
        <f t="shared" si="179"/>
        <v>0</v>
      </c>
      <c r="W384" s="77">
        <f t="shared" si="179"/>
        <v>0</v>
      </c>
      <c r="X384" s="63">
        <f t="shared" si="179"/>
        <v>0</v>
      </c>
      <c r="Y384" s="63">
        <f t="shared" si="179"/>
        <v>0</v>
      </c>
      <c r="Z384" s="63">
        <f t="shared" si="179"/>
        <v>0</v>
      </c>
      <c r="AA384" s="65">
        <f>SUM(G384:Z384)</f>
        <v>0</v>
      </c>
      <c r="AB384" s="59" t="str">
        <f>IF(ABS(F384-AA384)&lt;0.01,"ok","err")</f>
        <v>ok</v>
      </c>
    </row>
    <row r="385" spans="1:28" x14ac:dyDescent="0.25">
      <c r="F385" s="80"/>
    </row>
    <row r="386" spans="1:28" x14ac:dyDescent="0.25">
      <c r="A386" s="66" t="s">
        <v>356</v>
      </c>
      <c r="F386" s="80"/>
    </row>
    <row r="387" spans="1:28" x14ac:dyDescent="0.25">
      <c r="A387" s="69" t="s">
        <v>1116</v>
      </c>
      <c r="C387" s="112" t="s">
        <v>774</v>
      </c>
      <c r="D387" s="61" t="s">
        <v>797</v>
      </c>
      <c r="E387" s="61" t="s">
        <v>1118</v>
      </c>
      <c r="F387" s="77">
        <f>VLOOKUP(C387,'Functional Assignment'!$C$2:$AP$778,'Functional Assignment'!$Z$2,)</f>
        <v>0</v>
      </c>
      <c r="G387" s="77">
        <f t="shared" ref="G387:Z387" si="180">IF(VLOOKUP($E387,$D$6:$AN$1141,3,)=0,0,(VLOOKUP($E387,$D$6:$AN$1141,G$2,)/VLOOKUP($E387,$D$6:$AN$1141,3,))*$F387)</f>
        <v>0</v>
      </c>
      <c r="H387" s="77">
        <f t="shared" si="180"/>
        <v>0</v>
      </c>
      <c r="I387" s="77">
        <f t="shared" si="180"/>
        <v>0</v>
      </c>
      <c r="J387" s="77">
        <f t="shared" si="180"/>
        <v>0</v>
      </c>
      <c r="K387" s="77">
        <f t="shared" si="180"/>
        <v>0</v>
      </c>
      <c r="L387" s="77">
        <f t="shared" si="180"/>
        <v>0</v>
      </c>
      <c r="M387" s="77">
        <f t="shared" si="180"/>
        <v>0</v>
      </c>
      <c r="N387" s="77">
        <f t="shared" si="180"/>
        <v>0</v>
      </c>
      <c r="O387" s="77">
        <f t="shared" si="180"/>
        <v>0</v>
      </c>
      <c r="P387" s="77">
        <f t="shared" si="180"/>
        <v>0</v>
      </c>
      <c r="Q387" s="77">
        <f t="shared" si="180"/>
        <v>0</v>
      </c>
      <c r="R387" s="77">
        <f t="shared" si="180"/>
        <v>0</v>
      </c>
      <c r="S387" s="77">
        <f t="shared" si="180"/>
        <v>0</v>
      </c>
      <c r="T387" s="77">
        <f t="shared" si="180"/>
        <v>0</v>
      </c>
      <c r="U387" s="77">
        <f t="shared" si="180"/>
        <v>0</v>
      </c>
      <c r="V387" s="77">
        <f t="shared" si="180"/>
        <v>0</v>
      </c>
      <c r="W387" s="77">
        <f t="shared" si="180"/>
        <v>0</v>
      </c>
      <c r="X387" s="63">
        <f t="shared" si="180"/>
        <v>0</v>
      </c>
      <c r="Y387" s="63">
        <f t="shared" si="180"/>
        <v>0</v>
      </c>
      <c r="Z387" s="63">
        <f t="shared" si="180"/>
        <v>0</v>
      </c>
      <c r="AA387" s="65">
        <f>SUM(G387:Z387)</f>
        <v>0</v>
      </c>
      <c r="AB387" s="59" t="str">
        <f>IF(ABS(F387-AA387)&lt;0.01,"ok","err")</f>
        <v>ok</v>
      </c>
    </row>
    <row r="388" spans="1:28" x14ac:dyDescent="0.25">
      <c r="A388" s="69"/>
      <c r="C388" s="112"/>
      <c r="F388" s="80"/>
      <c r="AB388" s="59"/>
    </row>
    <row r="389" spans="1:28" x14ac:dyDescent="0.25">
      <c r="F389" s="80">
        <v>-481.11596323706613</v>
      </c>
      <c r="G389" s="61">
        <v>-282.97749498118196</v>
      </c>
      <c r="H389" s="61">
        <v>-81.183507636622537</v>
      </c>
      <c r="I389" s="61">
        <v>0</v>
      </c>
      <c r="J389" s="61">
        <v>-86.606165658267514</v>
      </c>
      <c r="K389" s="61">
        <v>0</v>
      </c>
      <c r="L389" s="61">
        <v>-1.6617745370208263</v>
      </c>
      <c r="M389" s="61">
        <v>0</v>
      </c>
      <c r="N389" s="61">
        <v>-26.887646721466677</v>
      </c>
      <c r="O389" s="61">
        <v>0</v>
      </c>
      <c r="P389" s="61">
        <v>0</v>
      </c>
      <c r="Q389" s="61">
        <v>0</v>
      </c>
      <c r="R389" s="61">
        <v>0</v>
      </c>
      <c r="S389" s="61">
        <v>0</v>
      </c>
      <c r="T389" s="61">
        <v>-0.14048586126522331</v>
      </c>
      <c r="U389" s="61">
        <v>-0.66586449312009954</v>
      </c>
      <c r="V389" s="61">
        <v>0</v>
      </c>
      <c r="W389" s="61">
        <v>-0.99302334812130444</v>
      </c>
      <c r="AA389" s="45">
        <v>-482.10898658518755</v>
      </c>
    </row>
    <row r="390" spans="1:28" x14ac:dyDescent="0.25">
      <c r="A390" s="66" t="s">
        <v>355</v>
      </c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63"/>
      <c r="Y390" s="63"/>
      <c r="Z390" s="63"/>
      <c r="AA390" s="65"/>
    </row>
    <row r="391" spans="1:28" x14ac:dyDescent="0.25">
      <c r="A391" s="69" t="s">
        <v>1116</v>
      </c>
      <c r="C391" s="112" t="s">
        <v>774</v>
      </c>
      <c r="D391" s="61" t="s">
        <v>798</v>
      </c>
      <c r="E391" s="61" t="s">
        <v>1119</v>
      </c>
      <c r="F391" s="77">
        <f>VLOOKUP(C391,'Functional Assignment'!$C$2:$AP$778,'Functional Assignment'!$AA$2,)</f>
        <v>0</v>
      </c>
      <c r="G391" s="77">
        <f t="shared" ref="G391:Z391" si="181">IF(VLOOKUP($E391,$D$6:$AN$1141,3,)=0,0,(VLOOKUP($E391,$D$6:$AN$1141,G$2,)/VLOOKUP($E391,$D$6:$AN$1141,3,))*$F391)</f>
        <v>0</v>
      </c>
      <c r="H391" s="77">
        <f t="shared" si="181"/>
        <v>0</v>
      </c>
      <c r="I391" s="77">
        <f t="shared" si="181"/>
        <v>0</v>
      </c>
      <c r="J391" s="77">
        <f t="shared" si="181"/>
        <v>0</v>
      </c>
      <c r="K391" s="77">
        <f t="shared" si="181"/>
        <v>0</v>
      </c>
      <c r="L391" s="77">
        <f t="shared" si="181"/>
        <v>0</v>
      </c>
      <c r="M391" s="77">
        <f t="shared" si="181"/>
        <v>0</v>
      </c>
      <c r="N391" s="77">
        <f t="shared" si="181"/>
        <v>0</v>
      </c>
      <c r="O391" s="77">
        <f t="shared" si="181"/>
        <v>0</v>
      </c>
      <c r="P391" s="77">
        <f t="shared" si="181"/>
        <v>0</v>
      </c>
      <c r="Q391" s="77">
        <f t="shared" si="181"/>
        <v>0</v>
      </c>
      <c r="R391" s="77">
        <f t="shared" si="181"/>
        <v>0</v>
      </c>
      <c r="S391" s="77">
        <f t="shared" si="181"/>
        <v>0</v>
      </c>
      <c r="T391" s="77">
        <f t="shared" si="181"/>
        <v>0</v>
      </c>
      <c r="U391" s="77">
        <f t="shared" si="181"/>
        <v>0</v>
      </c>
      <c r="V391" s="77">
        <f t="shared" si="181"/>
        <v>0</v>
      </c>
      <c r="W391" s="77">
        <f t="shared" si="181"/>
        <v>0</v>
      </c>
      <c r="X391" s="63">
        <f t="shared" si="181"/>
        <v>0</v>
      </c>
      <c r="Y391" s="63">
        <f t="shared" si="181"/>
        <v>0</v>
      </c>
      <c r="Z391" s="63">
        <f t="shared" si="181"/>
        <v>0</v>
      </c>
      <c r="AA391" s="65">
        <f>SUM(G391:Z391)</f>
        <v>0</v>
      </c>
      <c r="AB391" s="59" t="str">
        <f>IF(ABS(F391-AA391)&lt;0.01,"ok","err")</f>
        <v>ok</v>
      </c>
    </row>
    <row r="392" spans="1:28" x14ac:dyDescent="0.25">
      <c r="F392" s="80"/>
    </row>
    <row r="393" spans="1:28" x14ac:dyDescent="0.25">
      <c r="A393" s="66" t="s">
        <v>376</v>
      </c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63"/>
      <c r="Y393" s="63"/>
      <c r="Z393" s="63"/>
      <c r="AA393" s="65"/>
    </row>
    <row r="394" spans="1:28" x14ac:dyDescent="0.25">
      <c r="A394" s="69" t="s">
        <v>1116</v>
      </c>
      <c r="C394" s="112" t="s">
        <v>774</v>
      </c>
      <c r="D394" s="61" t="s">
        <v>799</v>
      </c>
      <c r="E394" s="61" t="s">
        <v>1120</v>
      </c>
      <c r="F394" s="77">
        <f>VLOOKUP(C394,'Functional Assignment'!$C$2:$AP$778,'Functional Assignment'!$AB$2,)</f>
        <v>0</v>
      </c>
      <c r="G394" s="77">
        <f t="shared" ref="G394:Z394" si="182">IF(VLOOKUP($E394,$D$6:$AN$1141,3,)=0,0,(VLOOKUP($E394,$D$6:$AN$1141,G$2,)/VLOOKUP($E394,$D$6:$AN$1141,3,))*$F394)</f>
        <v>0</v>
      </c>
      <c r="H394" s="77">
        <f t="shared" si="182"/>
        <v>0</v>
      </c>
      <c r="I394" s="77">
        <f t="shared" si="182"/>
        <v>0</v>
      </c>
      <c r="J394" s="77">
        <f t="shared" si="182"/>
        <v>0</v>
      </c>
      <c r="K394" s="77">
        <f t="shared" si="182"/>
        <v>0</v>
      </c>
      <c r="L394" s="77">
        <f t="shared" si="182"/>
        <v>0</v>
      </c>
      <c r="M394" s="77">
        <f t="shared" si="182"/>
        <v>0</v>
      </c>
      <c r="N394" s="77">
        <f t="shared" si="182"/>
        <v>0</v>
      </c>
      <c r="O394" s="77">
        <f t="shared" si="182"/>
        <v>0</v>
      </c>
      <c r="P394" s="77">
        <f t="shared" si="182"/>
        <v>0</v>
      </c>
      <c r="Q394" s="77">
        <f t="shared" si="182"/>
        <v>0</v>
      </c>
      <c r="R394" s="77">
        <f t="shared" si="182"/>
        <v>0</v>
      </c>
      <c r="S394" s="77">
        <f t="shared" si="182"/>
        <v>0</v>
      </c>
      <c r="T394" s="77">
        <f t="shared" si="182"/>
        <v>0</v>
      </c>
      <c r="U394" s="77">
        <f t="shared" si="182"/>
        <v>0</v>
      </c>
      <c r="V394" s="77">
        <f t="shared" si="182"/>
        <v>0</v>
      </c>
      <c r="W394" s="77">
        <f t="shared" si="182"/>
        <v>0</v>
      </c>
      <c r="X394" s="63">
        <f t="shared" si="182"/>
        <v>0</v>
      </c>
      <c r="Y394" s="63">
        <f t="shared" si="182"/>
        <v>0</v>
      </c>
      <c r="Z394" s="63">
        <f t="shared" si="182"/>
        <v>0</v>
      </c>
      <c r="AA394" s="65">
        <f>SUM(G394:Z394)</f>
        <v>0</v>
      </c>
      <c r="AB394" s="59" t="str">
        <f>IF(ABS(F394-AA394)&lt;0.01,"ok","err")</f>
        <v>ok</v>
      </c>
    </row>
    <row r="395" spans="1:28" x14ac:dyDescent="0.25">
      <c r="F395" s="80"/>
    </row>
    <row r="396" spans="1:28" x14ac:dyDescent="0.25">
      <c r="A396" s="66" t="s">
        <v>1047</v>
      </c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63"/>
      <c r="Y396" s="63"/>
      <c r="Z396" s="63"/>
      <c r="AA396" s="65"/>
    </row>
    <row r="397" spans="1:28" x14ac:dyDescent="0.25">
      <c r="A397" s="69" t="s">
        <v>1116</v>
      </c>
      <c r="C397" s="112" t="s">
        <v>774</v>
      </c>
      <c r="D397" s="61" t="s">
        <v>800</v>
      </c>
      <c r="E397" s="61" t="s">
        <v>1121</v>
      </c>
      <c r="F397" s="77">
        <f>VLOOKUP(C397,'Functional Assignment'!$C$2:$AP$778,'Functional Assignment'!$AC$2,)</f>
        <v>0</v>
      </c>
      <c r="G397" s="77">
        <f t="shared" ref="G397:Z397" si="183">IF(VLOOKUP($E397,$D$6:$AN$1141,3,)=0,0,(VLOOKUP($E397,$D$6:$AN$1141,G$2,)/VLOOKUP($E397,$D$6:$AN$1141,3,))*$F397)</f>
        <v>0</v>
      </c>
      <c r="H397" s="77">
        <f t="shared" si="183"/>
        <v>0</v>
      </c>
      <c r="I397" s="77">
        <f t="shared" si="183"/>
        <v>0</v>
      </c>
      <c r="J397" s="77">
        <f t="shared" si="183"/>
        <v>0</v>
      </c>
      <c r="K397" s="77">
        <f t="shared" si="183"/>
        <v>0</v>
      </c>
      <c r="L397" s="77">
        <f t="shared" si="183"/>
        <v>0</v>
      </c>
      <c r="M397" s="77">
        <f t="shared" si="183"/>
        <v>0</v>
      </c>
      <c r="N397" s="77">
        <f t="shared" si="183"/>
        <v>0</v>
      </c>
      <c r="O397" s="77">
        <f t="shared" si="183"/>
        <v>0</v>
      </c>
      <c r="P397" s="77">
        <f t="shared" si="183"/>
        <v>0</v>
      </c>
      <c r="Q397" s="77">
        <f t="shared" si="183"/>
        <v>0</v>
      </c>
      <c r="R397" s="77">
        <f t="shared" si="183"/>
        <v>0</v>
      </c>
      <c r="S397" s="77">
        <f t="shared" si="183"/>
        <v>0</v>
      </c>
      <c r="T397" s="77">
        <f t="shared" si="183"/>
        <v>0</v>
      </c>
      <c r="U397" s="77">
        <f t="shared" si="183"/>
        <v>0</v>
      </c>
      <c r="V397" s="77">
        <f t="shared" si="183"/>
        <v>0</v>
      </c>
      <c r="W397" s="77">
        <f t="shared" si="183"/>
        <v>0</v>
      </c>
      <c r="X397" s="63">
        <f t="shared" si="183"/>
        <v>0</v>
      </c>
      <c r="Y397" s="63">
        <f t="shared" si="183"/>
        <v>0</v>
      </c>
      <c r="Z397" s="63">
        <f t="shared" si="183"/>
        <v>0</v>
      </c>
      <c r="AA397" s="65">
        <f>SUM(G397:Z397)</f>
        <v>0</v>
      </c>
      <c r="AB397" s="59" t="str">
        <f>IF(ABS(F397-AA397)&lt;0.01,"ok","err")</f>
        <v>ok</v>
      </c>
    </row>
    <row r="398" spans="1:28" x14ac:dyDescent="0.25">
      <c r="F398" s="80"/>
    </row>
    <row r="399" spans="1:28" x14ac:dyDescent="0.25">
      <c r="A399" s="66" t="s">
        <v>353</v>
      </c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63"/>
      <c r="Y399" s="63"/>
      <c r="Z399" s="63"/>
      <c r="AA399" s="65"/>
    </row>
    <row r="400" spans="1:28" x14ac:dyDescent="0.25">
      <c r="A400" s="69" t="s">
        <v>1116</v>
      </c>
      <c r="C400" s="112" t="s">
        <v>774</v>
      </c>
      <c r="D400" s="61" t="s">
        <v>801</v>
      </c>
      <c r="E400" s="61" t="s">
        <v>1121</v>
      </c>
      <c r="F400" s="77">
        <f>VLOOKUP(C400,'Functional Assignment'!$C$2:$AP$778,'Functional Assignment'!$AD$2,)</f>
        <v>0</v>
      </c>
      <c r="G400" s="77">
        <f t="shared" ref="G400:Z400" si="184">IF(VLOOKUP($E400,$D$6:$AN$1141,3,)=0,0,(VLOOKUP($E400,$D$6:$AN$1141,G$2,)/VLOOKUP($E400,$D$6:$AN$1141,3,))*$F400)</f>
        <v>0</v>
      </c>
      <c r="H400" s="77">
        <f t="shared" si="184"/>
        <v>0</v>
      </c>
      <c r="I400" s="77">
        <f t="shared" si="184"/>
        <v>0</v>
      </c>
      <c r="J400" s="77">
        <f t="shared" si="184"/>
        <v>0</v>
      </c>
      <c r="K400" s="77">
        <f t="shared" si="184"/>
        <v>0</v>
      </c>
      <c r="L400" s="77">
        <f t="shared" si="184"/>
        <v>0</v>
      </c>
      <c r="M400" s="77">
        <f t="shared" si="184"/>
        <v>0</v>
      </c>
      <c r="N400" s="77">
        <f t="shared" si="184"/>
        <v>0</v>
      </c>
      <c r="O400" s="77">
        <f t="shared" si="184"/>
        <v>0</v>
      </c>
      <c r="P400" s="77">
        <f t="shared" si="184"/>
        <v>0</v>
      </c>
      <c r="Q400" s="77">
        <f t="shared" si="184"/>
        <v>0</v>
      </c>
      <c r="R400" s="77">
        <f t="shared" si="184"/>
        <v>0</v>
      </c>
      <c r="S400" s="77">
        <f t="shared" si="184"/>
        <v>0</v>
      </c>
      <c r="T400" s="77">
        <f t="shared" si="184"/>
        <v>0</v>
      </c>
      <c r="U400" s="77">
        <f t="shared" si="184"/>
        <v>0</v>
      </c>
      <c r="V400" s="77">
        <f t="shared" si="184"/>
        <v>0</v>
      </c>
      <c r="W400" s="77">
        <f t="shared" si="184"/>
        <v>0</v>
      </c>
      <c r="X400" s="63">
        <f t="shared" si="184"/>
        <v>0</v>
      </c>
      <c r="Y400" s="63">
        <f t="shared" si="184"/>
        <v>0</v>
      </c>
      <c r="Z400" s="63">
        <f t="shared" si="184"/>
        <v>0</v>
      </c>
      <c r="AA400" s="65">
        <f>SUM(G400:Z400)</f>
        <v>0</v>
      </c>
      <c r="AB400" s="59" t="str">
        <f>IF(ABS(F400-AA400)&lt;0.01,"ok","err")</f>
        <v>ok</v>
      </c>
    </row>
    <row r="401" spans="1:28" x14ac:dyDescent="0.25">
      <c r="F401" s="80"/>
    </row>
    <row r="402" spans="1:28" x14ac:dyDescent="0.25">
      <c r="A402" s="66" t="s">
        <v>352</v>
      </c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63"/>
      <c r="Y402" s="63"/>
      <c r="Z402" s="63"/>
      <c r="AA402" s="65"/>
    </row>
    <row r="403" spans="1:28" x14ac:dyDescent="0.25">
      <c r="A403" s="69" t="s">
        <v>1116</v>
      </c>
      <c r="C403" s="112" t="s">
        <v>774</v>
      </c>
      <c r="D403" s="61" t="s">
        <v>802</v>
      </c>
      <c r="E403" s="61" t="s">
        <v>1122</v>
      </c>
      <c r="F403" s="77">
        <f>VLOOKUP(C403,'Functional Assignment'!$C$2:$AP$778,'Functional Assignment'!$AE$2,)</f>
        <v>0</v>
      </c>
      <c r="G403" s="77">
        <f t="shared" ref="G403:Z403" si="185">IF(VLOOKUP($E403,$D$6:$AN$1141,3,)=0,0,(VLOOKUP($E403,$D$6:$AN$1141,G$2,)/VLOOKUP($E403,$D$6:$AN$1141,3,))*$F403)</f>
        <v>0</v>
      </c>
      <c r="H403" s="77">
        <f t="shared" si="185"/>
        <v>0</v>
      </c>
      <c r="I403" s="77">
        <f t="shared" si="185"/>
        <v>0</v>
      </c>
      <c r="J403" s="77">
        <f t="shared" si="185"/>
        <v>0</v>
      </c>
      <c r="K403" s="77">
        <f t="shared" si="185"/>
        <v>0</v>
      </c>
      <c r="L403" s="77">
        <f t="shared" si="185"/>
        <v>0</v>
      </c>
      <c r="M403" s="77">
        <f t="shared" si="185"/>
        <v>0</v>
      </c>
      <c r="N403" s="77">
        <f t="shared" si="185"/>
        <v>0</v>
      </c>
      <c r="O403" s="77">
        <f t="shared" si="185"/>
        <v>0</v>
      </c>
      <c r="P403" s="77">
        <f t="shared" si="185"/>
        <v>0</v>
      </c>
      <c r="Q403" s="77">
        <f t="shared" si="185"/>
        <v>0</v>
      </c>
      <c r="R403" s="77">
        <f t="shared" si="185"/>
        <v>0</v>
      </c>
      <c r="S403" s="77">
        <f t="shared" si="185"/>
        <v>0</v>
      </c>
      <c r="T403" s="77">
        <f t="shared" si="185"/>
        <v>0</v>
      </c>
      <c r="U403" s="77">
        <f t="shared" si="185"/>
        <v>0</v>
      </c>
      <c r="V403" s="77">
        <f t="shared" si="185"/>
        <v>0</v>
      </c>
      <c r="W403" s="77">
        <f t="shared" si="185"/>
        <v>0</v>
      </c>
      <c r="X403" s="63">
        <f t="shared" si="185"/>
        <v>0</v>
      </c>
      <c r="Y403" s="63">
        <f t="shared" si="185"/>
        <v>0</v>
      </c>
      <c r="Z403" s="63">
        <f t="shared" si="185"/>
        <v>0</v>
      </c>
      <c r="AA403" s="65">
        <f>SUM(G403:Z403)</f>
        <v>0</v>
      </c>
      <c r="AB403" s="59" t="str">
        <f>IF(ABS(F403-AA403)&lt;0.01,"ok","err")</f>
        <v>ok</v>
      </c>
    </row>
    <row r="404" spans="1:28" x14ac:dyDescent="0.25"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63"/>
      <c r="Y404" s="63"/>
      <c r="Z404" s="63"/>
      <c r="AA404" s="65"/>
    </row>
    <row r="405" spans="1:28" x14ac:dyDescent="0.25">
      <c r="A405" s="61" t="s">
        <v>944</v>
      </c>
      <c r="D405" s="61" t="s">
        <v>803</v>
      </c>
      <c r="F405" s="77">
        <f t="shared" ref="F405:P405" si="186">F359+F365+F368+F371+F379+F384+F387+F391+F394+F397+F400+F403</f>
        <v>0</v>
      </c>
      <c r="G405" s="77">
        <f t="shared" si="186"/>
        <v>0</v>
      </c>
      <c r="H405" s="77">
        <f t="shared" si="186"/>
        <v>0</v>
      </c>
      <c r="I405" s="77">
        <f t="shared" si="186"/>
        <v>0</v>
      </c>
      <c r="J405" s="77">
        <f t="shared" si="186"/>
        <v>0</v>
      </c>
      <c r="K405" s="77">
        <f t="shared" si="186"/>
        <v>0</v>
      </c>
      <c r="L405" s="77">
        <f t="shared" si="186"/>
        <v>0</v>
      </c>
      <c r="M405" s="77">
        <f t="shared" si="186"/>
        <v>0</v>
      </c>
      <c r="N405" s="77">
        <f t="shared" si="186"/>
        <v>0</v>
      </c>
      <c r="O405" s="77">
        <f>O359+O365+O368+O371+O379+O384+O387+O391+O394+O397+O400+O403</f>
        <v>0</v>
      </c>
      <c r="P405" s="77">
        <f t="shared" si="186"/>
        <v>0</v>
      </c>
      <c r="Q405" s="77">
        <f>Q359+Q365+Q368+Q371+Q379+Q384+Q387+Q391+Q394+Q397+Q400+Q403</f>
        <v>0</v>
      </c>
      <c r="R405" s="77">
        <f>R359+R365+R368+R371+R379+R384+R387+R391+R394+R397+R400+R403</f>
        <v>0</v>
      </c>
      <c r="S405" s="77">
        <f t="shared" ref="S405:Z405" si="187">S359+S365+S368+S371+S379+S384+S387+S391+S394+S397+S400+S403</f>
        <v>0</v>
      </c>
      <c r="T405" s="77">
        <f t="shared" si="187"/>
        <v>0</v>
      </c>
      <c r="U405" s="77">
        <f t="shared" si="187"/>
        <v>0</v>
      </c>
      <c r="V405" s="77">
        <f t="shared" si="187"/>
        <v>0</v>
      </c>
      <c r="W405" s="77">
        <f t="shared" si="187"/>
        <v>0</v>
      </c>
      <c r="X405" s="63">
        <f t="shared" si="187"/>
        <v>0</v>
      </c>
      <c r="Y405" s="63">
        <f t="shared" si="187"/>
        <v>0</v>
      </c>
      <c r="Z405" s="63">
        <f t="shared" si="187"/>
        <v>0</v>
      </c>
      <c r="AA405" s="65">
        <f>SUM(G405:Z405)</f>
        <v>0</v>
      </c>
      <c r="AB405" s="59" t="str">
        <f>IF(ABS(F405-AA405)&lt;0.01,"ok","err")</f>
        <v>ok</v>
      </c>
    </row>
    <row r="408" spans="1:28" x14ac:dyDescent="0.25">
      <c r="A408" s="66" t="s">
        <v>742</v>
      </c>
    </row>
    <row r="410" spans="1:28" x14ac:dyDescent="0.25">
      <c r="A410" s="66" t="s">
        <v>369</v>
      </c>
    </row>
    <row r="411" spans="1:28" x14ac:dyDescent="0.25">
      <c r="A411" s="69" t="s">
        <v>361</v>
      </c>
      <c r="C411" s="61" t="s">
        <v>743</v>
      </c>
      <c r="D411" s="61" t="s">
        <v>744</v>
      </c>
      <c r="E411" s="61" t="s">
        <v>1399</v>
      </c>
      <c r="F411" s="77">
        <f>VLOOKUP(C411,'Functional Assignment'!$C$2:$AP$778,'Functional Assignment'!$H$2,)</f>
        <v>0</v>
      </c>
      <c r="G411" s="77">
        <f t="shared" ref="G411:P416" si="188">IF(VLOOKUP($E411,$D$6:$AN$1141,3,)=0,0,(VLOOKUP($E411,$D$6:$AN$1141,G$2,)/VLOOKUP($E411,$D$6:$AN$1141,3,))*$F411)</f>
        <v>0</v>
      </c>
      <c r="H411" s="77">
        <f t="shared" si="188"/>
        <v>0</v>
      </c>
      <c r="I411" s="77">
        <f t="shared" si="188"/>
        <v>0</v>
      </c>
      <c r="J411" s="77">
        <f t="shared" si="188"/>
        <v>0</v>
      </c>
      <c r="K411" s="77">
        <f t="shared" si="188"/>
        <v>0</v>
      </c>
      <c r="L411" s="77">
        <f t="shared" si="188"/>
        <v>0</v>
      </c>
      <c r="M411" s="77">
        <f t="shared" si="188"/>
        <v>0</v>
      </c>
      <c r="N411" s="77">
        <f t="shared" si="188"/>
        <v>0</v>
      </c>
      <c r="O411" s="77">
        <f t="shared" si="188"/>
        <v>0</v>
      </c>
      <c r="P411" s="77">
        <f t="shared" si="188"/>
        <v>0</v>
      </c>
      <c r="Q411" s="77">
        <f t="shared" ref="Q411:Z416" si="189">IF(VLOOKUP($E411,$D$6:$AN$1141,3,)=0,0,(VLOOKUP($E411,$D$6:$AN$1141,Q$2,)/VLOOKUP($E411,$D$6:$AN$1141,3,))*$F411)</f>
        <v>0</v>
      </c>
      <c r="R411" s="77">
        <f t="shared" si="189"/>
        <v>0</v>
      </c>
      <c r="S411" s="77">
        <f t="shared" si="189"/>
        <v>0</v>
      </c>
      <c r="T411" s="77">
        <f t="shared" si="189"/>
        <v>0</v>
      </c>
      <c r="U411" s="77">
        <f t="shared" si="189"/>
        <v>0</v>
      </c>
      <c r="V411" s="77">
        <f t="shared" si="189"/>
        <v>0</v>
      </c>
      <c r="W411" s="77">
        <f t="shared" si="189"/>
        <v>0</v>
      </c>
      <c r="X411" s="63">
        <f t="shared" si="189"/>
        <v>0</v>
      </c>
      <c r="Y411" s="63">
        <f t="shared" si="189"/>
        <v>0</v>
      </c>
      <c r="Z411" s="63">
        <f t="shared" si="189"/>
        <v>0</v>
      </c>
      <c r="AA411" s="65">
        <f t="shared" ref="AA411:AA417" si="190">SUM(G411:Z411)</f>
        <v>0</v>
      </c>
      <c r="AB411" s="59" t="str">
        <f t="shared" ref="AB411:AB417" si="191">IF(ABS(F411-AA411)&lt;0.01,"ok","err")</f>
        <v>ok</v>
      </c>
    </row>
    <row r="412" spans="1:28" x14ac:dyDescent="0.25">
      <c r="A412" s="69" t="s">
        <v>1285</v>
      </c>
      <c r="C412" s="61" t="s">
        <v>743</v>
      </c>
      <c r="D412" s="61" t="s">
        <v>745</v>
      </c>
      <c r="E412" s="61" t="s">
        <v>1399</v>
      </c>
      <c r="F412" s="80">
        <f>VLOOKUP(C412,'Functional Assignment'!$C$2:$AP$778,'Functional Assignment'!$I$2,)</f>
        <v>0</v>
      </c>
      <c r="G412" s="80">
        <f t="shared" si="188"/>
        <v>0</v>
      </c>
      <c r="H412" s="80">
        <f t="shared" si="188"/>
        <v>0</v>
      </c>
      <c r="I412" s="80">
        <f t="shared" si="188"/>
        <v>0</v>
      </c>
      <c r="J412" s="80">
        <f t="shared" si="188"/>
        <v>0</v>
      </c>
      <c r="K412" s="80">
        <f t="shared" si="188"/>
        <v>0</v>
      </c>
      <c r="L412" s="80">
        <f t="shared" si="188"/>
        <v>0</v>
      </c>
      <c r="M412" s="80">
        <f t="shared" si="188"/>
        <v>0</v>
      </c>
      <c r="N412" s="80">
        <f t="shared" si="188"/>
        <v>0</v>
      </c>
      <c r="O412" s="80">
        <f t="shared" si="188"/>
        <v>0</v>
      </c>
      <c r="P412" s="80">
        <f t="shared" si="188"/>
        <v>0</v>
      </c>
      <c r="Q412" s="80">
        <f t="shared" si="189"/>
        <v>0</v>
      </c>
      <c r="R412" s="80">
        <f t="shared" si="189"/>
        <v>0</v>
      </c>
      <c r="S412" s="80">
        <f t="shared" si="189"/>
        <v>0</v>
      </c>
      <c r="T412" s="80">
        <f t="shared" si="189"/>
        <v>0</v>
      </c>
      <c r="U412" s="80">
        <f t="shared" si="189"/>
        <v>0</v>
      </c>
      <c r="V412" s="80">
        <f t="shared" si="189"/>
        <v>0</v>
      </c>
      <c r="W412" s="80">
        <f t="shared" si="189"/>
        <v>0</v>
      </c>
      <c r="X412" s="64">
        <f t="shared" si="189"/>
        <v>0</v>
      </c>
      <c r="Y412" s="64">
        <f t="shared" si="189"/>
        <v>0</v>
      </c>
      <c r="Z412" s="64">
        <f t="shared" si="189"/>
        <v>0</v>
      </c>
      <c r="AA412" s="64">
        <f t="shared" si="190"/>
        <v>0</v>
      </c>
      <c r="AB412" s="59" t="str">
        <f t="shared" si="191"/>
        <v>ok</v>
      </c>
    </row>
    <row r="413" spans="1:28" x14ac:dyDescent="0.25">
      <c r="A413" s="69" t="s">
        <v>1286</v>
      </c>
      <c r="C413" s="61" t="s">
        <v>743</v>
      </c>
      <c r="D413" s="61" t="s">
        <v>746</v>
      </c>
      <c r="E413" s="61" t="s">
        <v>1399</v>
      </c>
      <c r="F413" s="80">
        <f>VLOOKUP(C413,'Functional Assignment'!$C$2:$AP$778,'Functional Assignment'!$J$2,)</f>
        <v>0</v>
      </c>
      <c r="G413" s="80">
        <f t="shared" si="188"/>
        <v>0</v>
      </c>
      <c r="H413" s="80">
        <f t="shared" si="188"/>
        <v>0</v>
      </c>
      <c r="I413" s="80">
        <f t="shared" si="188"/>
        <v>0</v>
      </c>
      <c r="J413" s="80">
        <f t="shared" si="188"/>
        <v>0</v>
      </c>
      <c r="K413" s="80">
        <f t="shared" si="188"/>
        <v>0</v>
      </c>
      <c r="L413" s="80">
        <f t="shared" si="188"/>
        <v>0</v>
      </c>
      <c r="M413" s="80">
        <f t="shared" si="188"/>
        <v>0</v>
      </c>
      <c r="N413" s="80">
        <f t="shared" si="188"/>
        <v>0</v>
      </c>
      <c r="O413" s="80">
        <f t="shared" si="188"/>
        <v>0</v>
      </c>
      <c r="P413" s="80">
        <f t="shared" si="188"/>
        <v>0</v>
      </c>
      <c r="Q413" s="80">
        <f t="shared" si="189"/>
        <v>0</v>
      </c>
      <c r="R413" s="80">
        <f t="shared" si="189"/>
        <v>0</v>
      </c>
      <c r="S413" s="80">
        <f t="shared" si="189"/>
        <v>0</v>
      </c>
      <c r="T413" s="80">
        <f t="shared" si="189"/>
        <v>0</v>
      </c>
      <c r="U413" s="80">
        <f t="shared" si="189"/>
        <v>0</v>
      </c>
      <c r="V413" s="80">
        <f t="shared" si="189"/>
        <v>0</v>
      </c>
      <c r="W413" s="80">
        <f t="shared" si="189"/>
        <v>0</v>
      </c>
      <c r="X413" s="64">
        <f t="shared" si="189"/>
        <v>0</v>
      </c>
      <c r="Y413" s="64">
        <f t="shared" si="189"/>
        <v>0</v>
      </c>
      <c r="Z413" s="64">
        <f t="shared" si="189"/>
        <v>0</v>
      </c>
      <c r="AA413" s="64">
        <f t="shared" si="190"/>
        <v>0</v>
      </c>
      <c r="AB413" s="59" t="str">
        <f t="shared" si="191"/>
        <v>ok</v>
      </c>
    </row>
    <row r="414" spans="1:28" x14ac:dyDescent="0.25">
      <c r="A414" s="69" t="s">
        <v>1287</v>
      </c>
      <c r="C414" s="61" t="s">
        <v>743</v>
      </c>
      <c r="D414" s="61" t="s">
        <v>747</v>
      </c>
      <c r="E414" s="61" t="s">
        <v>1114</v>
      </c>
      <c r="F414" s="80">
        <f>VLOOKUP(C414,'Functional Assignment'!$C$2:$AP$778,'Functional Assignment'!$K$2,)</f>
        <v>0</v>
      </c>
      <c r="G414" s="80">
        <f t="shared" si="188"/>
        <v>0</v>
      </c>
      <c r="H414" s="80">
        <f t="shared" si="188"/>
        <v>0</v>
      </c>
      <c r="I414" s="80">
        <f t="shared" si="188"/>
        <v>0</v>
      </c>
      <c r="J414" s="80">
        <f t="shared" si="188"/>
        <v>0</v>
      </c>
      <c r="K414" s="80">
        <f t="shared" si="188"/>
        <v>0</v>
      </c>
      <c r="L414" s="80">
        <f t="shared" si="188"/>
        <v>0</v>
      </c>
      <c r="M414" s="80">
        <f t="shared" si="188"/>
        <v>0</v>
      </c>
      <c r="N414" s="80">
        <f t="shared" si="188"/>
        <v>0</v>
      </c>
      <c r="O414" s="80">
        <f t="shared" si="188"/>
        <v>0</v>
      </c>
      <c r="P414" s="80">
        <f t="shared" si="188"/>
        <v>0</v>
      </c>
      <c r="Q414" s="80">
        <f t="shared" si="189"/>
        <v>0</v>
      </c>
      <c r="R414" s="80">
        <f t="shared" si="189"/>
        <v>0</v>
      </c>
      <c r="S414" s="80">
        <f t="shared" si="189"/>
        <v>0</v>
      </c>
      <c r="T414" s="80">
        <f t="shared" si="189"/>
        <v>0</v>
      </c>
      <c r="U414" s="80">
        <f t="shared" si="189"/>
        <v>0</v>
      </c>
      <c r="V414" s="80">
        <f t="shared" si="189"/>
        <v>0</v>
      </c>
      <c r="W414" s="80">
        <f t="shared" si="189"/>
        <v>0</v>
      </c>
      <c r="X414" s="64">
        <f t="shared" si="189"/>
        <v>0</v>
      </c>
      <c r="Y414" s="64">
        <f t="shared" si="189"/>
        <v>0</v>
      </c>
      <c r="Z414" s="64">
        <f t="shared" si="189"/>
        <v>0</v>
      </c>
      <c r="AA414" s="64">
        <f t="shared" si="190"/>
        <v>0</v>
      </c>
      <c r="AB414" s="59" t="str">
        <f t="shared" si="191"/>
        <v>ok</v>
      </c>
    </row>
    <row r="415" spans="1:28" x14ac:dyDescent="0.25">
      <c r="A415" s="69" t="s">
        <v>1288</v>
      </c>
      <c r="C415" s="61" t="s">
        <v>743</v>
      </c>
      <c r="D415" s="61" t="s">
        <v>748</v>
      </c>
      <c r="E415" s="61" t="s">
        <v>1114</v>
      </c>
      <c r="F415" s="80">
        <f>VLOOKUP(C415,'Functional Assignment'!$C$2:$AP$778,'Functional Assignment'!$L$2,)</f>
        <v>0</v>
      </c>
      <c r="G415" s="80">
        <f t="shared" si="188"/>
        <v>0</v>
      </c>
      <c r="H415" s="80">
        <f t="shared" si="188"/>
        <v>0</v>
      </c>
      <c r="I415" s="80">
        <f t="shared" si="188"/>
        <v>0</v>
      </c>
      <c r="J415" s="80">
        <f t="shared" si="188"/>
        <v>0</v>
      </c>
      <c r="K415" s="80">
        <f t="shared" si="188"/>
        <v>0</v>
      </c>
      <c r="L415" s="80">
        <f t="shared" si="188"/>
        <v>0</v>
      </c>
      <c r="M415" s="80">
        <f t="shared" si="188"/>
        <v>0</v>
      </c>
      <c r="N415" s="80">
        <f t="shared" si="188"/>
        <v>0</v>
      </c>
      <c r="O415" s="80">
        <f t="shared" si="188"/>
        <v>0</v>
      </c>
      <c r="P415" s="80">
        <f t="shared" si="188"/>
        <v>0</v>
      </c>
      <c r="Q415" s="80">
        <f t="shared" si="189"/>
        <v>0</v>
      </c>
      <c r="R415" s="80">
        <f t="shared" si="189"/>
        <v>0</v>
      </c>
      <c r="S415" s="80">
        <f t="shared" si="189"/>
        <v>0</v>
      </c>
      <c r="T415" s="80">
        <f t="shared" si="189"/>
        <v>0</v>
      </c>
      <c r="U415" s="80">
        <f t="shared" si="189"/>
        <v>0</v>
      </c>
      <c r="V415" s="80">
        <f t="shared" si="189"/>
        <v>0</v>
      </c>
      <c r="W415" s="80">
        <f t="shared" si="189"/>
        <v>0</v>
      </c>
      <c r="X415" s="64">
        <f t="shared" si="189"/>
        <v>0</v>
      </c>
      <c r="Y415" s="64">
        <f t="shared" si="189"/>
        <v>0</v>
      </c>
      <c r="Z415" s="64">
        <f t="shared" si="189"/>
        <v>0</v>
      </c>
      <c r="AA415" s="64">
        <f t="shared" si="190"/>
        <v>0</v>
      </c>
      <c r="AB415" s="59" t="str">
        <f t="shared" si="191"/>
        <v>ok</v>
      </c>
    </row>
    <row r="416" spans="1:28" x14ac:dyDescent="0.25">
      <c r="A416" s="69" t="s">
        <v>1288</v>
      </c>
      <c r="C416" s="61" t="s">
        <v>743</v>
      </c>
      <c r="D416" s="61" t="s">
        <v>749</v>
      </c>
      <c r="E416" s="61" t="s">
        <v>1114</v>
      </c>
      <c r="F416" s="80">
        <f>VLOOKUP(C416,'Functional Assignment'!$C$2:$AP$778,'Functional Assignment'!$M$2,)</f>
        <v>0</v>
      </c>
      <c r="G416" s="80">
        <f t="shared" si="188"/>
        <v>0</v>
      </c>
      <c r="H416" s="80">
        <f t="shared" si="188"/>
        <v>0</v>
      </c>
      <c r="I416" s="80">
        <f t="shared" si="188"/>
        <v>0</v>
      </c>
      <c r="J416" s="80">
        <f t="shared" si="188"/>
        <v>0</v>
      </c>
      <c r="K416" s="80">
        <f t="shared" si="188"/>
        <v>0</v>
      </c>
      <c r="L416" s="80">
        <f t="shared" si="188"/>
        <v>0</v>
      </c>
      <c r="M416" s="80">
        <f t="shared" si="188"/>
        <v>0</v>
      </c>
      <c r="N416" s="80">
        <f t="shared" si="188"/>
        <v>0</v>
      </c>
      <c r="O416" s="80">
        <f t="shared" si="188"/>
        <v>0</v>
      </c>
      <c r="P416" s="80">
        <f t="shared" si="188"/>
        <v>0</v>
      </c>
      <c r="Q416" s="80">
        <f t="shared" si="189"/>
        <v>0</v>
      </c>
      <c r="R416" s="80">
        <f t="shared" si="189"/>
        <v>0</v>
      </c>
      <c r="S416" s="80">
        <f t="shared" si="189"/>
        <v>0</v>
      </c>
      <c r="T416" s="80">
        <f t="shared" si="189"/>
        <v>0</v>
      </c>
      <c r="U416" s="80">
        <f t="shared" si="189"/>
        <v>0</v>
      </c>
      <c r="V416" s="80">
        <f t="shared" si="189"/>
        <v>0</v>
      </c>
      <c r="W416" s="80">
        <f t="shared" si="189"/>
        <v>0</v>
      </c>
      <c r="X416" s="64">
        <f t="shared" si="189"/>
        <v>0</v>
      </c>
      <c r="Y416" s="64">
        <f t="shared" si="189"/>
        <v>0</v>
      </c>
      <c r="Z416" s="64">
        <f t="shared" si="189"/>
        <v>0</v>
      </c>
      <c r="AA416" s="64">
        <f t="shared" si="190"/>
        <v>0</v>
      </c>
      <c r="AB416" s="59" t="str">
        <f t="shared" si="191"/>
        <v>ok</v>
      </c>
    </row>
    <row r="417" spans="1:28" x14ac:dyDescent="0.25">
      <c r="A417" s="61" t="s">
        <v>392</v>
      </c>
      <c r="D417" s="61" t="s">
        <v>750</v>
      </c>
      <c r="F417" s="77">
        <f>SUM(F411:F416)</f>
        <v>0</v>
      </c>
      <c r="G417" s="77">
        <f t="shared" ref="G417:W417" si="192">SUM(G411:G416)</f>
        <v>0</v>
      </c>
      <c r="H417" s="77">
        <f t="shared" si="192"/>
        <v>0</v>
      </c>
      <c r="I417" s="77">
        <f t="shared" si="192"/>
        <v>0</v>
      </c>
      <c r="J417" s="77">
        <f t="shared" si="192"/>
        <v>0</v>
      </c>
      <c r="K417" s="77">
        <f t="shared" si="192"/>
        <v>0</v>
      </c>
      <c r="L417" s="77">
        <f t="shared" si="192"/>
        <v>0</v>
      </c>
      <c r="M417" s="77">
        <f t="shared" si="192"/>
        <v>0</v>
      </c>
      <c r="N417" s="77">
        <f t="shared" si="192"/>
        <v>0</v>
      </c>
      <c r="O417" s="77">
        <f>SUM(O411:O416)</f>
        <v>0</v>
      </c>
      <c r="P417" s="77">
        <f t="shared" si="192"/>
        <v>0</v>
      </c>
      <c r="Q417" s="77">
        <f t="shared" si="192"/>
        <v>0</v>
      </c>
      <c r="R417" s="77">
        <f t="shared" si="192"/>
        <v>0</v>
      </c>
      <c r="S417" s="77">
        <f t="shared" si="192"/>
        <v>0</v>
      </c>
      <c r="T417" s="77">
        <f t="shared" si="192"/>
        <v>0</v>
      </c>
      <c r="U417" s="77">
        <f t="shared" si="192"/>
        <v>0</v>
      </c>
      <c r="V417" s="77">
        <f t="shared" si="192"/>
        <v>0</v>
      </c>
      <c r="W417" s="77">
        <f t="shared" si="192"/>
        <v>0</v>
      </c>
      <c r="X417" s="63">
        <f>SUM(X411:X416)</f>
        <v>0</v>
      </c>
      <c r="Y417" s="63">
        <f>SUM(Y411:Y416)</f>
        <v>0</v>
      </c>
      <c r="Z417" s="63">
        <f>SUM(Z411:Z416)</f>
        <v>0</v>
      </c>
      <c r="AA417" s="65">
        <f t="shared" si="190"/>
        <v>0</v>
      </c>
      <c r="AB417" s="59" t="str">
        <f t="shared" si="191"/>
        <v>ok</v>
      </c>
    </row>
    <row r="418" spans="1:28" x14ac:dyDescent="0.25">
      <c r="F418" s="80"/>
      <c r="G418" s="80"/>
    </row>
    <row r="419" spans="1:28" x14ac:dyDescent="0.25">
      <c r="A419" s="66" t="s">
        <v>1154</v>
      </c>
      <c r="F419" s="80"/>
      <c r="G419" s="80"/>
    </row>
    <row r="420" spans="1:28" x14ac:dyDescent="0.25">
      <c r="A420" s="69" t="s">
        <v>362</v>
      </c>
      <c r="C420" s="61" t="s">
        <v>743</v>
      </c>
      <c r="D420" s="61" t="s">
        <v>751</v>
      </c>
      <c r="E420" s="61" t="s">
        <v>1399</v>
      </c>
      <c r="F420" s="77">
        <f>VLOOKUP(C420,'Functional Assignment'!$C$2:$AP$778,'Functional Assignment'!$N$2,)</f>
        <v>0</v>
      </c>
      <c r="G420" s="77">
        <f t="shared" ref="G420:P422" si="193">IF(VLOOKUP($E420,$D$6:$AN$1141,3,)=0,0,(VLOOKUP($E420,$D$6:$AN$1141,G$2,)/VLOOKUP($E420,$D$6:$AN$1141,3,))*$F420)</f>
        <v>0</v>
      </c>
      <c r="H420" s="77">
        <f t="shared" si="193"/>
        <v>0</v>
      </c>
      <c r="I420" s="77">
        <f t="shared" si="193"/>
        <v>0</v>
      </c>
      <c r="J420" s="77">
        <f t="shared" si="193"/>
        <v>0</v>
      </c>
      <c r="K420" s="77">
        <f t="shared" si="193"/>
        <v>0</v>
      </c>
      <c r="L420" s="77">
        <f t="shared" si="193"/>
        <v>0</v>
      </c>
      <c r="M420" s="77">
        <f t="shared" si="193"/>
        <v>0</v>
      </c>
      <c r="N420" s="77">
        <f t="shared" si="193"/>
        <v>0</v>
      </c>
      <c r="O420" s="77">
        <f t="shared" si="193"/>
        <v>0</v>
      </c>
      <c r="P420" s="77">
        <f t="shared" si="193"/>
        <v>0</v>
      </c>
      <c r="Q420" s="77">
        <f t="shared" ref="Q420:Z422" si="194">IF(VLOOKUP($E420,$D$6:$AN$1141,3,)=0,0,(VLOOKUP($E420,$D$6:$AN$1141,Q$2,)/VLOOKUP($E420,$D$6:$AN$1141,3,))*$F420)</f>
        <v>0</v>
      </c>
      <c r="R420" s="77">
        <f t="shared" si="194"/>
        <v>0</v>
      </c>
      <c r="S420" s="77">
        <f t="shared" si="194"/>
        <v>0</v>
      </c>
      <c r="T420" s="77">
        <f t="shared" si="194"/>
        <v>0</v>
      </c>
      <c r="U420" s="77">
        <f t="shared" si="194"/>
        <v>0</v>
      </c>
      <c r="V420" s="77">
        <f t="shared" si="194"/>
        <v>0</v>
      </c>
      <c r="W420" s="77">
        <f t="shared" si="194"/>
        <v>0</v>
      </c>
      <c r="X420" s="63">
        <f t="shared" si="194"/>
        <v>0</v>
      </c>
      <c r="Y420" s="63">
        <f t="shared" si="194"/>
        <v>0</v>
      </c>
      <c r="Z420" s="63">
        <f t="shared" si="194"/>
        <v>0</v>
      </c>
      <c r="AA420" s="65">
        <f>SUM(G420:Z420)</f>
        <v>0</v>
      </c>
      <c r="AB420" s="59" t="str">
        <f>IF(ABS(F420-AA420)&lt;0.01,"ok","err")</f>
        <v>ok</v>
      </c>
    </row>
    <row r="421" spans="1:28" x14ac:dyDescent="0.25">
      <c r="A421" s="69" t="s">
        <v>364</v>
      </c>
      <c r="C421" s="61" t="s">
        <v>743</v>
      </c>
      <c r="D421" s="61" t="s">
        <v>752</v>
      </c>
      <c r="E421" s="61" t="s">
        <v>1399</v>
      </c>
      <c r="F421" s="80">
        <f>VLOOKUP(C421,'Functional Assignment'!$C$2:$AP$778,'Functional Assignment'!$O$2,)</f>
        <v>0</v>
      </c>
      <c r="G421" s="80">
        <f t="shared" si="193"/>
        <v>0</v>
      </c>
      <c r="H421" s="80">
        <f t="shared" si="193"/>
        <v>0</v>
      </c>
      <c r="I421" s="80">
        <f t="shared" si="193"/>
        <v>0</v>
      </c>
      <c r="J421" s="80">
        <f t="shared" si="193"/>
        <v>0</v>
      </c>
      <c r="K421" s="80">
        <f t="shared" si="193"/>
        <v>0</v>
      </c>
      <c r="L421" s="80">
        <f t="shared" si="193"/>
        <v>0</v>
      </c>
      <c r="M421" s="80">
        <f t="shared" si="193"/>
        <v>0</v>
      </c>
      <c r="N421" s="80">
        <f t="shared" si="193"/>
        <v>0</v>
      </c>
      <c r="O421" s="80">
        <f t="shared" si="193"/>
        <v>0</v>
      </c>
      <c r="P421" s="80">
        <f t="shared" si="193"/>
        <v>0</v>
      </c>
      <c r="Q421" s="80">
        <f t="shared" si="194"/>
        <v>0</v>
      </c>
      <c r="R421" s="80">
        <f t="shared" si="194"/>
        <v>0</v>
      </c>
      <c r="S421" s="80">
        <f t="shared" si="194"/>
        <v>0</v>
      </c>
      <c r="T421" s="80">
        <f t="shared" si="194"/>
        <v>0</v>
      </c>
      <c r="U421" s="80">
        <f t="shared" si="194"/>
        <v>0</v>
      </c>
      <c r="V421" s="80">
        <f t="shared" si="194"/>
        <v>0</v>
      </c>
      <c r="W421" s="80">
        <f t="shared" si="194"/>
        <v>0</v>
      </c>
      <c r="X421" s="64">
        <f t="shared" si="194"/>
        <v>0</v>
      </c>
      <c r="Y421" s="64">
        <f t="shared" si="194"/>
        <v>0</v>
      </c>
      <c r="Z421" s="64">
        <f t="shared" si="194"/>
        <v>0</v>
      </c>
      <c r="AA421" s="64">
        <f>SUM(G421:Z421)</f>
        <v>0</v>
      </c>
      <c r="AB421" s="59" t="str">
        <f>IF(ABS(F421-AA421)&lt;0.01,"ok","err")</f>
        <v>ok</v>
      </c>
    </row>
    <row r="422" spans="1:28" x14ac:dyDescent="0.25">
      <c r="A422" s="69" t="s">
        <v>363</v>
      </c>
      <c r="C422" s="61" t="s">
        <v>743</v>
      </c>
      <c r="D422" s="61" t="s">
        <v>753</v>
      </c>
      <c r="E422" s="61" t="s">
        <v>1399</v>
      </c>
      <c r="F422" s="80">
        <f>VLOOKUP(C422,'Functional Assignment'!$C$2:$AP$778,'Functional Assignment'!$P$2,)</f>
        <v>0</v>
      </c>
      <c r="G422" s="80">
        <f t="shared" si="193"/>
        <v>0</v>
      </c>
      <c r="H422" s="80">
        <f t="shared" si="193"/>
        <v>0</v>
      </c>
      <c r="I422" s="80">
        <f t="shared" si="193"/>
        <v>0</v>
      </c>
      <c r="J422" s="80">
        <f t="shared" si="193"/>
        <v>0</v>
      </c>
      <c r="K422" s="80">
        <f t="shared" si="193"/>
        <v>0</v>
      </c>
      <c r="L422" s="80">
        <f t="shared" si="193"/>
        <v>0</v>
      </c>
      <c r="M422" s="80">
        <f t="shared" si="193"/>
        <v>0</v>
      </c>
      <c r="N422" s="80">
        <f t="shared" si="193"/>
        <v>0</v>
      </c>
      <c r="O422" s="80">
        <f t="shared" si="193"/>
        <v>0</v>
      </c>
      <c r="P422" s="80">
        <f t="shared" si="193"/>
        <v>0</v>
      </c>
      <c r="Q422" s="80">
        <f t="shared" si="194"/>
        <v>0</v>
      </c>
      <c r="R422" s="80">
        <f t="shared" si="194"/>
        <v>0</v>
      </c>
      <c r="S422" s="80">
        <f t="shared" si="194"/>
        <v>0</v>
      </c>
      <c r="T422" s="80">
        <f t="shared" si="194"/>
        <v>0</v>
      </c>
      <c r="U422" s="80">
        <f t="shared" si="194"/>
        <v>0</v>
      </c>
      <c r="V422" s="80">
        <f t="shared" si="194"/>
        <v>0</v>
      </c>
      <c r="W422" s="80">
        <f t="shared" si="194"/>
        <v>0</v>
      </c>
      <c r="X422" s="64">
        <f t="shared" si="194"/>
        <v>0</v>
      </c>
      <c r="Y422" s="64">
        <f t="shared" si="194"/>
        <v>0</v>
      </c>
      <c r="Z422" s="64">
        <f t="shared" si="194"/>
        <v>0</v>
      </c>
      <c r="AA422" s="64">
        <f>SUM(G422:Z422)</f>
        <v>0</v>
      </c>
      <c r="AB422" s="59" t="str">
        <f>IF(ABS(F422-AA422)&lt;0.01,"ok","err")</f>
        <v>ok</v>
      </c>
    </row>
    <row r="423" spans="1:28" x14ac:dyDescent="0.25">
      <c r="A423" s="61" t="s">
        <v>1156</v>
      </c>
      <c r="D423" s="61" t="s">
        <v>754</v>
      </c>
      <c r="F423" s="77">
        <f>SUM(F420:F422)</f>
        <v>0</v>
      </c>
      <c r="G423" s="77">
        <f t="shared" ref="G423:W423" si="195">SUM(G420:G422)</f>
        <v>0</v>
      </c>
      <c r="H423" s="77">
        <f t="shared" si="195"/>
        <v>0</v>
      </c>
      <c r="I423" s="77">
        <f t="shared" si="195"/>
        <v>0</v>
      </c>
      <c r="J423" s="77">
        <f t="shared" si="195"/>
        <v>0</v>
      </c>
      <c r="K423" s="77">
        <f t="shared" si="195"/>
        <v>0</v>
      </c>
      <c r="L423" s="77">
        <f t="shared" si="195"/>
        <v>0</v>
      </c>
      <c r="M423" s="77">
        <f t="shared" si="195"/>
        <v>0</v>
      </c>
      <c r="N423" s="77">
        <f t="shared" si="195"/>
        <v>0</v>
      </c>
      <c r="O423" s="77">
        <f>SUM(O420:O422)</f>
        <v>0</v>
      </c>
      <c r="P423" s="77">
        <f t="shared" si="195"/>
        <v>0</v>
      </c>
      <c r="Q423" s="77">
        <f t="shared" si="195"/>
        <v>0</v>
      </c>
      <c r="R423" s="77">
        <f t="shared" si="195"/>
        <v>0</v>
      </c>
      <c r="S423" s="77">
        <f t="shared" si="195"/>
        <v>0</v>
      </c>
      <c r="T423" s="77">
        <f t="shared" si="195"/>
        <v>0</v>
      </c>
      <c r="U423" s="77">
        <f t="shared" si="195"/>
        <v>0</v>
      </c>
      <c r="V423" s="77">
        <f t="shared" si="195"/>
        <v>0</v>
      </c>
      <c r="W423" s="77">
        <f t="shared" si="195"/>
        <v>0</v>
      </c>
      <c r="X423" s="63">
        <f>SUM(X420:X422)</f>
        <v>0</v>
      </c>
      <c r="Y423" s="63">
        <f>SUM(Y420:Y422)</f>
        <v>0</v>
      </c>
      <c r="Z423" s="63">
        <f>SUM(Z420:Z422)</f>
        <v>0</v>
      </c>
      <c r="AA423" s="65">
        <f>SUM(G423:Z423)</f>
        <v>0</v>
      </c>
      <c r="AB423" s="59" t="str">
        <f>IF(ABS(F423-AA423)&lt;0.01,"ok","err")</f>
        <v>ok</v>
      </c>
    </row>
    <row r="424" spans="1:28" x14ac:dyDescent="0.25">
      <c r="F424" s="80"/>
      <c r="G424" s="80"/>
    </row>
    <row r="425" spans="1:28" x14ac:dyDescent="0.25">
      <c r="A425" s="66" t="s">
        <v>350</v>
      </c>
      <c r="F425" s="80"/>
      <c r="G425" s="80"/>
    </row>
    <row r="426" spans="1:28" x14ac:dyDescent="0.25">
      <c r="A426" s="69" t="s">
        <v>377</v>
      </c>
      <c r="C426" s="61" t="s">
        <v>743</v>
      </c>
      <c r="D426" s="61" t="s">
        <v>755</v>
      </c>
      <c r="E426" s="61" t="s">
        <v>133</v>
      </c>
      <c r="F426" s="77">
        <f>VLOOKUP(C426,'Functional Assignment'!$C$2:$AP$778,'Functional Assignment'!$Q$2,)</f>
        <v>0</v>
      </c>
      <c r="G426" s="77">
        <f t="shared" ref="G426:Z426" si="196">IF(VLOOKUP($E426,$D$6:$AN$1141,3,)=0,0,(VLOOKUP($E426,$D$6:$AN$1141,G$2,)/VLOOKUP($E426,$D$6:$AN$1141,3,))*$F426)</f>
        <v>0</v>
      </c>
      <c r="H426" s="77">
        <f t="shared" si="196"/>
        <v>0</v>
      </c>
      <c r="I426" s="77">
        <f t="shared" si="196"/>
        <v>0</v>
      </c>
      <c r="J426" s="77">
        <f t="shared" si="196"/>
        <v>0</v>
      </c>
      <c r="K426" s="77">
        <f t="shared" si="196"/>
        <v>0</v>
      </c>
      <c r="L426" s="77">
        <f t="shared" si="196"/>
        <v>0</v>
      </c>
      <c r="M426" s="77">
        <f t="shared" si="196"/>
        <v>0</v>
      </c>
      <c r="N426" s="77">
        <f t="shared" si="196"/>
        <v>0</v>
      </c>
      <c r="O426" s="77">
        <f t="shared" si="196"/>
        <v>0</v>
      </c>
      <c r="P426" s="77">
        <f t="shared" si="196"/>
        <v>0</v>
      </c>
      <c r="Q426" s="77">
        <f t="shared" si="196"/>
        <v>0</v>
      </c>
      <c r="R426" s="77">
        <f t="shared" si="196"/>
        <v>0</v>
      </c>
      <c r="S426" s="77">
        <f t="shared" si="196"/>
        <v>0</v>
      </c>
      <c r="T426" s="77">
        <f t="shared" si="196"/>
        <v>0</v>
      </c>
      <c r="U426" s="77">
        <f t="shared" si="196"/>
        <v>0</v>
      </c>
      <c r="V426" s="77">
        <f t="shared" si="196"/>
        <v>0</v>
      </c>
      <c r="W426" s="77">
        <f t="shared" si="196"/>
        <v>0</v>
      </c>
      <c r="X426" s="63">
        <f t="shared" si="196"/>
        <v>0</v>
      </c>
      <c r="Y426" s="63">
        <f t="shared" si="196"/>
        <v>0</v>
      </c>
      <c r="Z426" s="63">
        <f t="shared" si="196"/>
        <v>0</v>
      </c>
      <c r="AA426" s="65">
        <f>SUM(G426:Z426)</f>
        <v>0</v>
      </c>
      <c r="AB426" s="59" t="str">
        <f>IF(ABS(F426-AA426)&lt;0.01,"ok","err")</f>
        <v>ok</v>
      </c>
    </row>
    <row r="427" spans="1:28" x14ac:dyDescent="0.25">
      <c r="F427" s="80"/>
    </row>
    <row r="428" spans="1:28" x14ac:dyDescent="0.25">
      <c r="A428" s="66" t="s">
        <v>351</v>
      </c>
      <c r="F428" s="80"/>
      <c r="G428" s="80"/>
    </row>
    <row r="429" spans="1:28" x14ac:dyDescent="0.25">
      <c r="A429" s="69" t="s">
        <v>379</v>
      </c>
      <c r="C429" s="61" t="s">
        <v>743</v>
      </c>
      <c r="D429" s="61" t="s">
        <v>756</v>
      </c>
      <c r="E429" s="61" t="s">
        <v>133</v>
      </c>
      <c r="F429" s="77">
        <f>VLOOKUP(C429,'Functional Assignment'!$C$2:$AP$778,'Functional Assignment'!$R$2,)</f>
        <v>0</v>
      </c>
      <c r="G429" s="77">
        <f t="shared" ref="G429:Z429" si="197">IF(VLOOKUP($E429,$D$6:$AN$1141,3,)=0,0,(VLOOKUP($E429,$D$6:$AN$1141,G$2,)/VLOOKUP($E429,$D$6:$AN$1141,3,))*$F429)</f>
        <v>0</v>
      </c>
      <c r="H429" s="77">
        <f t="shared" si="197"/>
        <v>0</v>
      </c>
      <c r="I429" s="77">
        <f t="shared" si="197"/>
        <v>0</v>
      </c>
      <c r="J429" s="77">
        <f t="shared" si="197"/>
        <v>0</v>
      </c>
      <c r="K429" s="77">
        <f t="shared" si="197"/>
        <v>0</v>
      </c>
      <c r="L429" s="77">
        <f t="shared" si="197"/>
        <v>0</v>
      </c>
      <c r="M429" s="77">
        <f t="shared" si="197"/>
        <v>0</v>
      </c>
      <c r="N429" s="77">
        <f t="shared" si="197"/>
        <v>0</v>
      </c>
      <c r="O429" s="77">
        <f t="shared" si="197"/>
        <v>0</v>
      </c>
      <c r="P429" s="77">
        <f t="shared" si="197"/>
        <v>0</v>
      </c>
      <c r="Q429" s="77">
        <f t="shared" si="197"/>
        <v>0</v>
      </c>
      <c r="R429" s="77">
        <f t="shared" si="197"/>
        <v>0</v>
      </c>
      <c r="S429" s="77">
        <f t="shared" si="197"/>
        <v>0</v>
      </c>
      <c r="T429" s="77">
        <f t="shared" si="197"/>
        <v>0</v>
      </c>
      <c r="U429" s="77">
        <f t="shared" si="197"/>
        <v>0</v>
      </c>
      <c r="V429" s="77">
        <f t="shared" si="197"/>
        <v>0</v>
      </c>
      <c r="W429" s="77">
        <f t="shared" si="197"/>
        <v>0</v>
      </c>
      <c r="X429" s="63">
        <f t="shared" si="197"/>
        <v>0</v>
      </c>
      <c r="Y429" s="63">
        <f t="shared" si="197"/>
        <v>0</v>
      </c>
      <c r="Z429" s="63">
        <f t="shared" si="197"/>
        <v>0</v>
      </c>
      <c r="AA429" s="65">
        <f>SUM(G429:Z429)</f>
        <v>0</v>
      </c>
      <c r="AB429" s="59" t="str">
        <f>IF(ABS(F429-AA429)&lt;0.01,"ok","err")</f>
        <v>ok</v>
      </c>
    </row>
    <row r="430" spans="1:28" x14ac:dyDescent="0.25">
      <c r="F430" s="80"/>
    </row>
    <row r="431" spans="1:28" x14ac:dyDescent="0.25">
      <c r="A431" s="66" t="s">
        <v>378</v>
      </c>
      <c r="F431" s="80"/>
    </row>
    <row r="432" spans="1:28" x14ac:dyDescent="0.25">
      <c r="A432" s="69" t="s">
        <v>629</v>
      </c>
      <c r="C432" s="61" t="s">
        <v>743</v>
      </c>
      <c r="D432" s="61" t="s">
        <v>757</v>
      </c>
      <c r="E432" s="61" t="s">
        <v>133</v>
      </c>
      <c r="F432" s="77">
        <f>VLOOKUP(C432,'Functional Assignment'!$C$2:$AP$778,'Functional Assignment'!$S$2,)</f>
        <v>0</v>
      </c>
      <c r="G432" s="77">
        <f t="shared" ref="G432:P436" si="198">IF(VLOOKUP($E432,$D$6:$AN$1141,3,)=0,0,(VLOOKUP($E432,$D$6:$AN$1141,G$2,)/VLOOKUP($E432,$D$6:$AN$1141,3,))*$F432)</f>
        <v>0</v>
      </c>
      <c r="H432" s="77">
        <f t="shared" si="198"/>
        <v>0</v>
      </c>
      <c r="I432" s="77">
        <f t="shared" si="198"/>
        <v>0</v>
      </c>
      <c r="J432" s="77">
        <f t="shared" si="198"/>
        <v>0</v>
      </c>
      <c r="K432" s="77">
        <f t="shared" si="198"/>
        <v>0</v>
      </c>
      <c r="L432" s="77">
        <f t="shared" si="198"/>
        <v>0</v>
      </c>
      <c r="M432" s="77">
        <f t="shared" si="198"/>
        <v>0</v>
      </c>
      <c r="N432" s="77">
        <f t="shared" si="198"/>
        <v>0</v>
      </c>
      <c r="O432" s="77">
        <f t="shared" si="198"/>
        <v>0</v>
      </c>
      <c r="P432" s="77">
        <f t="shared" si="198"/>
        <v>0</v>
      </c>
      <c r="Q432" s="77">
        <f t="shared" ref="Q432:Z436" si="199">IF(VLOOKUP($E432,$D$6:$AN$1141,3,)=0,0,(VLOOKUP($E432,$D$6:$AN$1141,Q$2,)/VLOOKUP($E432,$D$6:$AN$1141,3,))*$F432)</f>
        <v>0</v>
      </c>
      <c r="R432" s="77">
        <f t="shared" si="199"/>
        <v>0</v>
      </c>
      <c r="S432" s="77">
        <f t="shared" si="199"/>
        <v>0</v>
      </c>
      <c r="T432" s="77">
        <f t="shared" si="199"/>
        <v>0</v>
      </c>
      <c r="U432" s="77">
        <f t="shared" si="199"/>
        <v>0</v>
      </c>
      <c r="V432" s="77">
        <f t="shared" si="199"/>
        <v>0</v>
      </c>
      <c r="W432" s="77">
        <f t="shared" si="199"/>
        <v>0</v>
      </c>
      <c r="X432" s="63">
        <f t="shared" si="199"/>
        <v>0</v>
      </c>
      <c r="Y432" s="63">
        <f t="shared" si="199"/>
        <v>0</v>
      </c>
      <c r="Z432" s="63">
        <f t="shared" si="199"/>
        <v>0</v>
      </c>
      <c r="AA432" s="65">
        <f t="shared" ref="AA432:AA437" si="200">SUM(G432:Z432)</f>
        <v>0</v>
      </c>
      <c r="AB432" s="59" t="str">
        <f t="shared" ref="AB432:AB437" si="201">IF(ABS(F432-AA432)&lt;0.01,"ok","err")</f>
        <v>ok</v>
      </c>
    </row>
    <row r="433" spans="1:28" x14ac:dyDescent="0.25">
      <c r="A433" s="69" t="s">
        <v>630</v>
      </c>
      <c r="C433" s="61" t="s">
        <v>743</v>
      </c>
      <c r="D433" s="61" t="s">
        <v>758</v>
      </c>
      <c r="E433" s="61" t="s">
        <v>133</v>
      </c>
      <c r="F433" s="80">
        <f>VLOOKUP(C433,'Functional Assignment'!$C$2:$AP$778,'Functional Assignment'!$T$2,)</f>
        <v>0</v>
      </c>
      <c r="G433" s="80">
        <f t="shared" si="198"/>
        <v>0</v>
      </c>
      <c r="H433" s="80">
        <f t="shared" si="198"/>
        <v>0</v>
      </c>
      <c r="I433" s="80">
        <f t="shared" si="198"/>
        <v>0</v>
      </c>
      <c r="J433" s="80">
        <f t="shared" si="198"/>
        <v>0</v>
      </c>
      <c r="K433" s="80">
        <f t="shared" si="198"/>
        <v>0</v>
      </c>
      <c r="L433" s="80">
        <f t="shared" si="198"/>
        <v>0</v>
      </c>
      <c r="M433" s="80">
        <f t="shared" si="198"/>
        <v>0</v>
      </c>
      <c r="N433" s="80">
        <f t="shared" si="198"/>
        <v>0</v>
      </c>
      <c r="O433" s="80">
        <f t="shared" si="198"/>
        <v>0</v>
      </c>
      <c r="P433" s="80">
        <f t="shared" si="198"/>
        <v>0</v>
      </c>
      <c r="Q433" s="80">
        <f t="shared" si="199"/>
        <v>0</v>
      </c>
      <c r="R433" s="80">
        <f t="shared" si="199"/>
        <v>0</v>
      </c>
      <c r="S433" s="80">
        <f t="shared" si="199"/>
        <v>0</v>
      </c>
      <c r="T433" s="80">
        <f t="shared" si="199"/>
        <v>0</v>
      </c>
      <c r="U433" s="80">
        <f t="shared" si="199"/>
        <v>0</v>
      </c>
      <c r="V433" s="80">
        <f t="shared" si="199"/>
        <v>0</v>
      </c>
      <c r="W433" s="80">
        <f t="shared" si="199"/>
        <v>0</v>
      </c>
      <c r="X433" s="64">
        <f t="shared" si="199"/>
        <v>0</v>
      </c>
      <c r="Y433" s="64">
        <f t="shared" si="199"/>
        <v>0</v>
      </c>
      <c r="Z433" s="64">
        <f t="shared" si="199"/>
        <v>0</v>
      </c>
      <c r="AA433" s="64">
        <f t="shared" si="200"/>
        <v>0</v>
      </c>
      <c r="AB433" s="59" t="str">
        <f t="shared" si="201"/>
        <v>ok</v>
      </c>
    </row>
    <row r="434" spans="1:28" x14ac:dyDescent="0.25">
      <c r="A434" s="69" t="s">
        <v>631</v>
      </c>
      <c r="C434" s="61" t="s">
        <v>743</v>
      </c>
      <c r="D434" s="61" t="s">
        <v>759</v>
      </c>
      <c r="E434" s="61" t="s">
        <v>707</v>
      </c>
      <c r="F434" s="80">
        <f>VLOOKUP(C434,'Functional Assignment'!$C$2:$AP$778,'Functional Assignment'!$U$2,)</f>
        <v>0</v>
      </c>
      <c r="G434" s="80">
        <f t="shared" si="198"/>
        <v>0</v>
      </c>
      <c r="H434" s="80">
        <f t="shared" si="198"/>
        <v>0</v>
      </c>
      <c r="I434" s="80">
        <f t="shared" si="198"/>
        <v>0</v>
      </c>
      <c r="J434" s="80">
        <f t="shared" si="198"/>
        <v>0</v>
      </c>
      <c r="K434" s="80">
        <f t="shared" si="198"/>
        <v>0</v>
      </c>
      <c r="L434" s="80">
        <f t="shared" si="198"/>
        <v>0</v>
      </c>
      <c r="M434" s="80">
        <f t="shared" si="198"/>
        <v>0</v>
      </c>
      <c r="N434" s="80">
        <f t="shared" si="198"/>
        <v>0</v>
      </c>
      <c r="O434" s="80">
        <f t="shared" si="198"/>
        <v>0</v>
      </c>
      <c r="P434" s="80">
        <f t="shared" si="198"/>
        <v>0</v>
      </c>
      <c r="Q434" s="80">
        <f t="shared" si="199"/>
        <v>0</v>
      </c>
      <c r="R434" s="80">
        <f t="shared" si="199"/>
        <v>0</v>
      </c>
      <c r="S434" s="80">
        <f t="shared" si="199"/>
        <v>0</v>
      </c>
      <c r="T434" s="80">
        <f t="shared" si="199"/>
        <v>0</v>
      </c>
      <c r="U434" s="80">
        <f t="shared" si="199"/>
        <v>0</v>
      </c>
      <c r="V434" s="80">
        <f t="shared" si="199"/>
        <v>0</v>
      </c>
      <c r="W434" s="80">
        <f t="shared" si="199"/>
        <v>0</v>
      </c>
      <c r="X434" s="64">
        <f t="shared" si="199"/>
        <v>0</v>
      </c>
      <c r="Y434" s="64">
        <f t="shared" si="199"/>
        <v>0</v>
      </c>
      <c r="Z434" s="64">
        <f t="shared" si="199"/>
        <v>0</v>
      </c>
      <c r="AA434" s="64">
        <f t="shared" si="200"/>
        <v>0</v>
      </c>
      <c r="AB434" s="59" t="str">
        <f t="shared" si="201"/>
        <v>ok</v>
      </c>
    </row>
    <row r="435" spans="1:28" x14ac:dyDescent="0.25">
      <c r="A435" s="69" t="s">
        <v>632</v>
      </c>
      <c r="C435" s="61" t="s">
        <v>743</v>
      </c>
      <c r="D435" s="61" t="s">
        <v>760</v>
      </c>
      <c r="E435" s="61" t="s">
        <v>685</v>
      </c>
      <c r="F435" s="80">
        <f>VLOOKUP(C435,'Functional Assignment'!$C$2:$AP$778,'Functional Assignment'!$V$2,)</f>
        <v>0</v>
      </c>
      <c r="G435" s="80">
        <f t="shared" si="198"/>
        <v>0</v>
      </c>
      <c r="H435" s="80">
        <f t="shared" si="198"/>
        <v>0</v>
      </c>
      <c r="I435" s="80">
        <f t="shared" si="198"/>
        <v>0</v>
      </c>
      <c r="J435" s="80">
        <f t="shared" si="198"/>
        <v>0</v>
      </c>
      <c r="K435" s="80">
        <f t="shared" si="198"/>
        <v>0</v>
      </c>
      <c r="L435" s="80">
        <f t="shared" si="198"/>
        <v>0</v>
      </c>
      <c r="M435" s="80">
        <f t="shared" si="198"/>
        <v>0</v>
      </c>
      <c r="N435" s="80">
        <f t="shared" si="198"/>
        <v>0</v>
      </c>
      <c r="O435" s="80">
        <f t="shared" si="198"/>
        <v>0</v>
      </c>
      <c r="P435" s="80">
        <f t="shared" si="198"/>
        <v>0</v>
      </c>
      <c r="Q435" s="80">
        <f t="shared" si="199"/>
        <v>0</v>
      </c>
      <c r="R435" s="80">
        <f t="shared" si="199"/>
        <v>0</v>
      </c>
      <c r="S435" s="80">
        <f t="shared" si="199"/>
        <v>0</v>
      </c>
      <c r="T435" s="80">
        <f t="shared" si="199"/>
        <v>0</v>
      </c>
      <c r="U435" s="80">
        <f t="shared" si="199"/>
        <v>0</v>
      </c>
      <c r="V435" s="80">
        <f t="shared" si="199"/>
        <v>0</v>
      </c>
      <c r="W435" s="80">
        <f t="shared" si="199"/>
        <v>0</v>
      </c>
      <c r="X435" s="64">
        <f t="shared" si="199"/>
        <v>0</v>
      </c>
      <c r="Y435" s="64">
        <f t="shared" si="199"/>
        <v>0</v>
      </c>
      <c r="Z435" s="64">
        <f t="shared" si="199"/>
        <v>0</v>
      </c>
      <c r="AA435" s="64">
        <f t="shared" si="200"/>
        <v>0</v>
      </c>
      <c r="AB435" s="59" t="str">
        <f t="shared" si="201"/>
        <v>ok</v>
      </c>
    </row>
    <row r="436" spans="1:28" x14ac:dyDescent="0.25">
      <c r="A436" s="69" t="s">
        <v>633</v>
      </c>
      <c r="C436" s="61" t="s">
        <v>743</v>
      </c>
      <c r="D436" s="61" t="s">
        <v>761</v>
      </c>
      <c r="E436" s="61" t="s">
        <v>706</v>
      </c>
      <c r="F436" s="80">
        <f>VLOOKUP(C436,'Functional Assignment'!$C$2:$AP$778,'Functional Assignment'!$W$2,)</f>
        <v>0</v>
      </c>
      <c r="G436" s="80">
        <f t="shared" si="198"/>
        <v>0</v>
      </c>
      <c r="H436" s="80">
        <f t="shared" si="198"/>
        <v>0</v>
      </c>
      <c r="I436" s="80">
        <f t="shared" si="198"/>
        <v>0</v>
      </c>
      <c r="J436" s="80">
        <f t="shared" si="198"/>
        <v>0</v>
      </c>
      <c r="K436" s="80">
        <f t="shared" si="198"/>
        <v>0</v>
      </c>
      <c r="L436" s="80">
        <f t="shared" si="198"/>
        <v>0</v>
      </c>
      <c r="M436" s="80">
        <f t="shared" si="198"/>
        <v>0</v>
      </c>
      <c r="N436" s="80">
        <f t="shared" si="198"/>
        <v>0</v>
      </c>
      <c r="O436" s="80">
        <f t="shared" si="198"/>
        <v>0</v>
      </c>
      <c r="P436" s="80">
        <f t="shared" si="198"/>
        <v>0</v>
      </c>
      <c r="Q436" s="80">
        <f t="shared" si="199"/>
        <v>0</v>
      </c>
      <c r="R436" s="80">
        <f t="shared" si="199"/>
        <v>0</v>
      </c>
      <c r="S436" s="80">
        <f t="shared" si="199"/>
        <v>0</v>
      </c>
      <c r="T436" s="80">
        <f t="shared" si="199"/>
        <v>0</v>
      </c>
      <c r="U436" s="80">
        <f t="shared" si="199"/>
        <v>0</v>
      </c>
      <c r="V436" s="80">
        <f t="shared" si="199"/>
        <v>0</v>
      </c>
      <c r="W436" s="80">
        <f t="shared" si="199"/>
        <v>0</v>
      </c>
      <c r="X436" s="64">
        <f t="shared" si="199"/>
        <v>0</v>
      </c>
      <c r="Y436" s="64">
        <f t="shared" si="199"/>
        <v>0</v>
      </c>
      <c r="Z436" s="64">
        <f t="shared" si="199"/>
        <v>0</v>
      </c>
      <c r="AA436" s="64">
        <f t="shared" si="200"/>
        <v>0</v>
      </c>
      <c r="AB436" s="59" t="str">
        <f t="shared" si="201"/>
        <v>ok</v>
      </c>
    </row>
    <row r="437" spans="1:28" x14ac:dyDescent="0.25">
      <c r="A437" s="61" t="s">
        <v>383</v>
      </c>
      <c r="D437" s="61" t="s">
        <v>762</v>
      </c>
      <c r="F437" s="77">
        <f>SUM(F432:F436)</f>
        <v>0</v>
      </c>
      <c r="G437" s="77">
        <f t="shared" ref="G437:W437" si="202">SUM(G432:G436)</f>
        <v>0</v>
      </c>
      <c r="H437" s="77">
        <f t="shared" si="202"/>
        <v>0</v>
      </c>
      <c r="I437" s="77">
        <f t="shared" si="202"/>
        <v>0</v>
      </c>
      <c r="J437" s="77">
        <f t="shared" si="202"/>
        <v>0</v>
      </c>
      <c r="K437" s="77">
        <f t="shared" si="202"/>
        <v>0</v>
      </c>
      <c r="L437" s="77">
        <f t="shared" si="202"/>
        <v>0</v>
      </c>
      <c r="M437" s="77">
        <f t="shared" si="202"/>
        <v>0</v>
      </c>
      <c r="N437" s="77">
        <f t="shared" si="202"/>
        <v>0</v>
      </c>
      <c r="O437" s="77">
        <f>SUM(O432:O436)</f>
        <v>0</v>
      </c>
      <c r="P437" s="77">
        <f t="shared" si="202"/>
        <v>0</v>
      </c>
      <c r="Q437" s="77">
        <f t="shared" si="202"/>
        <v>0</v>
      </c>
      <c r="R437" s="77">
        <f t="shared" si="202"/>
        <v>0</v>
      </c>
      <c r="S437" s="77">
        <f t="shared" si="202"/>
        <v>0</v>
      </c>
      <c r="T437" s="77">
        <f t="shared" si="202"/>
        <v>0</v>
      </c>
      <c r="U437" s="77">
        <f t="shared" si="202"/>
        <v>0</v>
      </c>
      <c r="V437" s="77">
        <f t="shared" si="202"/>
        <v>0</v>
      </c>
      <c r="W437" s="77">
        <f t="shared" si="202"/>
        <v>0</v>
      </c>
      <c r="X437" s="63">
        <f>SUM(X432:X436)</f>
        <v>0</v>
      </c>
      <c r="Y437" s="63">
        <f>SUM(Y432:Y436)</f>
        <v>0</v>
      </c>
      <c r="Z437" s="63">
        <f>SUM(Z432:Z436)</f>
        <v>0</v>
      </c>
      <c r="AA437" s="65">
        <f t="shared" si="200"/>
        <v>0</v>
      </c>
      <c r="AB437" s="59" t="str">
        <f t="shared" si="201"/>
        <v>ok</v>
      </c>
    </row>
    <row r="438" spans="1:28" x14ac:dyDescent="0.25">
      <c r="F438" s="80"/>
    </row>
    <row r="439" spans="1:28" x14ac:dyDescent="0.25">
      <c r="A439" s="66" t="s">
        <v>640</v>
      </c>
      <c r="F439" s="80"/>
    </row>
    <row r="440" spans="1:28" x14ac:dyDescent="0.25">
      <c r="A440" s="69" t="s">
        <v>1113</v>
      </c>
      <c r="C440" s="61" t="s">
        <v>743</v>
      </c>
      <c r="D440" s="61" t="s">
        <v>763</v>
      </c>
      <c r="E440" s="61" t="s">
        <v>1379</v>
      </c>
      <c r="F440" s="77">
        <f>VLOOKUP(C440,'Functional Assignment'!$C$2:$AP$778,'Functional Assignment'!$X$2,)</f>
        <v>0</v>
      </c>
      <c r="G440" s="77">
        <f t="shared" ref="G440:P441" si="203">IF(VLOOKUP($E440,$D$6:$AN$1141,3,)=0,0,(VLOOKUP($E440,$D$6:$AN$1141,G$2,)/VLOOKUP($E440,$D$6:$AN$1141,3,))*$F440)</f>
        <v>0</v>
      </c>
      <c r="H440" s="77">
        <f t="shared" si="203"/>
        <v>0</v>
      </c>
      <c r="I440" s="77">
        <f t="shared" si="203"/>
        <v>0</v>
      </c>
      <c r="J440" s="77">
        <f t="shared" si="203"/>
        <v>0</v>
      </c>
      <c r="K440" s="77">
        <f t="shared" si="203"/>
        <v>0</v>
      </c>
      <c r="L440" s="77">
        <f t="shared" si="203"/>
        <v>0</v>
      </c>
      <c r="M440" s="77">
        <f t="shared" si="203"/>
        <v>0</v>
      </c>
      <c r="N440" s="77">
        <f t="shared" si="203"/>
        <v>0</v>
      </c>
      <c r="O440" s="77">
        <f t="shared" si="203"/>
        <v>0</v>
      </c>
      <c r="P440" s="77">
        <f t="shared" si="203"/>
        <v>0</v>
      </c>
      <c r="Q440" s="77">
        <f t="shared" ref="Q440:Z441" si="204">IF(VLOOKUP($E440,$D$6:$AN$1141,3,)=0,0,(VLOOKUP($E440,$D$6:$AN$1141,Q$2,)/VLOOKUP($E440,$D$6:$AN$1141,3,))*$F440)</f>
        <v>0</v>
      </c>
      <c r="R440" s="77">
        <f t="shared" si="204"/>
        <v>0</v>
      </c>
      <c r="S440" s="77">
        <f t="shared" si="204"/>
        <v>0</v>
      </c>
      <c r="T440" s="77">
        <f t="shared" si="204"/>
        <v>0</v>
      </c>
      <c r="U440" s="77">
        <f t="shared" si="204"/>
        <v>0</v>
      </c>
      <c r="V440" s="77">
        <f t="shared" si="204"/>
        <v>0</v>
      </c>
      <c r="W440" s="77">
        <f t="shared" si="204"/>
        <v>0</v>
      </c>
      <c r="X440" s="63">
        <f t="shared" si="204"/>
        <v>0</v>
      </c>
      <c r="Y440" s="63">
        <f t="shared" si="204"/>
        <v>0</v>
      </c>
      <c r="Z440" s="63">
        <f t="shared" si="204"/>
        <v>0</v>
      </c>
      <c r="AA440" s="65">
        <f>SUM(G440:Z440)</f>
        <v>0</v>
      </c>
      <c r="AB440" s="59" t="str">
        <f>IF(ABS(F440-AA440)&lt;0.01,"ok","err")</f>
        <v>ok</v>
      </c>
    </row>
    <row r="441" spans="1:28" x14ac:dyDescent="0.25">
      <c r="A441" s="69" t="s">
        <v>1116</v>
      </c>
      <c r="C441" s="61" t="s">
        <v>743</v>
      </c>
      <c r="D441" s="61" t="s">
        <v>804</v>
      </c>
      <c r="E441" s="61" t="s">
        <v>1377</v>
      </c>
      <c r="F441" s="80">
        <f>VLOOKUP(C441,'Functional Assignment'!$C$2:$AP$778,'Functional Assignment'!$Y$2,)</f>
        <v>0</v>
      </c>
      <c r="G441" s="80">
        <f t="shared" si="203"/>
        <v>0</v>
      </c>
      <c r="H441" s="80">
        <f t="shared" si="203"/>
        <v>0</v>
      </c>
      <c r="I441" s="80">
        <f t="shared" si="203"/>
        <v>0</v>
      </c>
      <c r="J441" s="80">
        <f t="shared" si="203"/>
        <v>0</v>
      </c>
      <c r="K441" s="80">
        <f t="shared" si="203"/>
        <v>0</v>
      </c>
      <c r="L441" s="80">
        <f t="shared" si="203"/>
        <v>0</v>
      </c>
      <c r="M441" s="80">
        <f t="shared" si="203"/>
        <v>0</v>
      </c>
      <c r="N441" s="80">
        <f t="shared" si="203"/>
        <v>0</v>
      </c>
      <c r="O441" s="80">
        <f t="shared" si="203"/>
        <v>0</v>
      </c>
      <c r="P441" s="80">
        <f t="shared" si="203"/>
        <v>0</v>
      </c>
      <c r="Q441" s="80">
        <f t="shared" si="204"/>
        <v>0</v>
      </c>
      <c r="R441" s="80">
        <f t="shared" si="204"/>
        <v>0</v>
      </c>
      <c r="S441" s="80">
        <f t="shared" si="204"/>
        <v>0</v>
      </c>
      <c r="T441" s="80">
        <f t="shared" si="204"/>
        <v>0</v>
      </c>
      <c r="U441" s="80">
        <f t="shared" si="204"/>
        <v>0</v>
      </c>
      <c r="V441" s="80">
        <f t="shared" si="204"/>
        <v>0</v>
      </c>
      <c r="W441" s="80">
        <f t="shared" si="204"/>
        <v>0</v>
      </c>
      <c r="X441" s="64">
        <f t="shared" si="204"/>
        <v>0</v>
      </c>
      <c r="Y441" s="64">
        <f t="shared" si="204"/>
        <v>0</v>
      </c>
      <c r="Z441" s="64">
        <f t="shared" si="204"/>
        <v>0</v>
      </c>
      <c r="AA441" s="64">
        <f>SUM(G441:Z441)</f>
        <v>0</v>
      </c>
      <c r="AB441" s="59" t="str">
        <f>IF(ABS(F441-AA441)&lt;0.01,"ok","err")</f>
        <v>ok</v>
      </c>
    </row>
    <row r="442" spans="1:28" x14ac:dyDescent="0.25">
      <c r="A442" s="61" t="s">
        <v>721</v>
      </c>
      <c r="D442" s="61" t="s">
        <v>805</v>
      </c>
      <c r="F442" s="77">
        <f>F440+F441</f>
        <v>0</v>
      </c>
      <c r="G442" s="77">
        <f t="shared" ref="G442:W442" si="205">G440+G441</f>
        <v>0</v>
      </c>
      <c r="H442" s="77">
        <f t="shared" si="205"/>
        <v>0</v>
      </c>
      <c r="I442" s="77">
        <f t="shared" si="205"/>
        <v>0</v>
      </c>
      <c r="J442" s="77">
        <f t="shared" si="205"/>
        <v>0</v>
      </c>
      <c r="K442" s="77">
        <f t="shared" si="205"/>
        <v>0</v>
      </c>
      <c r="L442" s="77">
        <f t="shared" si="205"/>
        <v>0</v>
      </c>
      <c r="M442" s="77">
        <f t="shared" si="205"/>
        <v>0</v>
      </c>
      <c r="N442" s="77">
        <f t="shared" si="205"/>
        <v>0</v>
      </c>
      <c r="O442" s="77">
        <f>O440+O441</f>
        <v>0</v>
      </c>
      <c r="P442" s="77">
        <f t="shared" si="205"/>
        <v>0</v>
      </c>
      <c r="Q442" s="77">
        <f t="shared" si="205"/>
        <v>0</v>
      </c>
      <c r="R442" s="77">
        <f t="shared" si="205"/>
        <v>0</v>
      </c>
      <c r="S442" s="77">
        <f t="shared" si="205"/>
        <v>0</v>
      </c>
      <c r="T442" s="77">
        <f t="shared" si="205"/>
        <v>0</v>
      </c>
      <c r="U442" s="77">
        <f t="shared" si="205"/>
        <v>0</v>
      </c>
      <c r="V442" s="77">
        <f t="shared" si="205"/>
        <v>0</v>
      </c>
      <c r="W442" s="77">
        <f t="shared" si="205"/>
        <v>0</v>
      </c>
      <c r="X442" s="63">
        <f>X440+X441</f>
        <v>0</v>
      </c>
      <c r="Y442" s="63">
        <f>Y440+Y441</f>
        <v>0</v>
      </c>
      <c r="Z442" s="63">
        <f>Z440+Z441</f>
        <v>0</v>
      </c>
      <c r="AA442" s="65">
        <f>SUM(G442:Z442)</f>
        <v>0</v>
      </c>
      <c r="AB442" s="59" t="str">
        <f>IF(ABS(F442-AA442)&lt;0.01,"ok","err")</f>
        <v>ok</v>
      </c>
    </row>
    <row r="443" spans="1:28" x14ac:dyDescent="0.25">
      <c r="F443" s="80"/>
    </row>
    <row r="444" spans="1:28" x14ac:dyDescent="0.25">
      <c r="A444" s="66" t="s">
        <v>356</v>
      </c>
      <c r="F444" s="80"/>
    </row>
    <row r="445" spans="1:28" x14ac:dyDescent="0.25">
      <c r="A445" s="69" t="s">
        <v>1116</v>
      </c>
      <c r="C445" s="61" t="s">
        <v>743</v>
      </c>
      <c r="D445" s="61" t="s">
        <v>806</v>
      </c>
      <c r="E445" s="61" t="s">
        <v>1118</v>
      </c>
      <c r="F445" s="77">
        <f>VLOOKUP(C445,'Functional Assignment'!$C$2:$AP$778,'Functional Assignment'!$Z$2,)</f>
        <v>0</v>
      </c>
      <c r="G445" s="77">
        <f t="shared" ref="G445:Z445" si="206">IF(VLOOKUP($E445,$D$6:$AN$1141,3,)=0,0,(VLOOKUP($E445,$D$6:$AN$1141,G$2,)/VLOOKUP($E445,$D$6:$AN$1141,3,))*$F445)</f>
        <v>0</v>
      </c>
      <c r="H445" s="77">
        <f t="shared" si="206"/>
        <v>0</v>
      </c>
      <c r="I445" s="77">
        <f t="shared" si="206"/>
        <v>0</v>
      </c>
      <c r="J445" s="77">
        <f t="shared" si="206"/>
        <v>0</v>
      </c>
      <c r="K445" s="77">
        <f t="shared" si="206"/>
        <v>0</v>
      </c>
      <c r="L445" s="77">
        <f t="shared" si="206"/>
        <v>0</v>
      </c>
      <c r="M445" s="77">
        <f t="shared" si="206"/>
        <v>0</v>
      </c>
      <c r="N445" s="77">
        <f t="shared" si="206"/>
        <v>0</v>
      </c>
      <c r="O445" s="77">
        <f t="shared" si="206"/>
        <v>0</v>
      </c>
      <c r="P445" s="77">
        <f t="shared" si="206"/>
        <v>0</v>
      </c>
      <c r="Q445" s="77">
        <f t="shared" si="206"/>
        <v>0</v>
      </c>
      <c r="R445" s="77">
        <f t="shared" si="206"/>
        <v>0</v>
      </c>
      <c r="S445" s="77">
        <f t="shared" si="206"/>
        <v>0</v>
      </c>
      <c r="T445" s="77">
        <f t="shared" si="206"/>
        <v>0</v>
      </c>
      <c r="U445" s="77">
        <f t="shared" si="206"/>
        <v>0</v>
      </c>
      <c r="V445" s="77">
        <f t="shared" si="206"/>
        <v>0</v>
      </c>
      <c r="W445" s="77">
        <f t="shared" si="206"/>
        <v>0</v>
      </c>
      <c r="X445" s="63">
        <f t="shared" si="206"/>
        <v>0</v>
      </c>
      <c r="Y445" s="63">
        <f t="shared" si="206"/>
        <v>0</v>
      </c>
      <c r="Z445" s="63">
        <f t="shared" si="206"/>
        <v>0</v>
      </c>
      <c r="AA445" s="65">
        <f>SUM(G445:Z445)</f>
        <v>0</v>
      </c>
      <c r="AB445" s="59" t="str">
        <f>IF(ABS(F445-AA445)&lt;0.01,"ok","err")</f>
        <v>ok</v>
      </c>
    </row>
    <row r="446" spans="1:28" x14ac:dyDescent="0.25">
      <c r="F446" s="80"/>
    </row>
    <row r="447" spans="1:28" x14ac:dyDescent="0.25">
      <c r="A447" s="66" t="s">
        <v>355</v>
      </c>
      <c r="F447" s="80"/>
    </row>
    <row r="448" spans="1:28" x14ac:dyDescent="0.25">
      <c r="A448" s="69" t="s">
        <v>1116</v>
      </c>
      <c r="C448" s="61" t="s">
        <v>743</v>
      </c>
      <c r="D448" s="61" t="s">
        <v>807</v>
      </c>
      <c r="E448" s="61" t="s">
        <v>1119</v>
      </c>
      <c r="F448" s="77">
        <f>VLOOKUP(C448,'Functional Assignment'!$C$2:$AP$778,'Functional Assignment'!$AA$2,)</f>
        <v>0</v>
      </c>
      <c r="G448" s="77">
        <f t="shared" ref="G448:Z448" si="207">IF(VLOOKUP($E448,$D$6:$AN$1141,3,)=0,0,(VLOOKUP($E448,$D$6:$AN$1141,G$2,)/VLOOKUP($E448,$D$6:$AN$1141,3,))*$F448)</f>
        <v>0</v>
      </c>
      <c r="H448" s="77">
        <f t="shared" si="207"/>
        <v>0</v>
      </c>
      <c r="I448" s="77">
        <f t="shared" si="207"/>
        <v>0</v>
      </c>
      <c r="J448" s="77">
        <f t="shared" si="207"/>
        <v>0</v>
      </c>
      <c r="K448" s="77">
        <f t="shared" si="207"/>
        <v>0</v>
      </c>
      <c r="L448" s="77">
        <f t="shared" si="207"/>
        <v>0</v>
      </c>
      <c r="M448" s="77">
        <f t="shared" si="207"/>
        <v>0</v>
      </c>
      <c r="N448" s="77">
        <f t="shared" si="207"/>
        <v>0</v>
      </c>
      <c r="O448" s="77">
        <f t="shared" si="207"/>
        <v>0</v>
      </c>
      <c r="P448" s="77">
        <f t="shared" si="207"/>
        <v>0</v>
      </c>
      <c r="Q448" s="77">
        <f t="shared" si="207"/>
        <v>0</v>
      </c>
      <c r="R448" s="77">
        <f t="shared" si="207"/>
        <v>0</v>
      </c>
      <c r="S448" s="77">
        <f t="shared" si="207"/>
        <v>0</v>
      </c>
      <c r="T448" s="77">
        <f t="shared" si="207"/>
        <v>0</v>
      </c>
      <c r="U448" s="77">
        <f t="shared" si="207"/>
        <v>0</v>
      </c>
      <c r="V448" s="77">
        <f t="shared" si="207"/>
        <v>0</v>
      </c>
      <c r="W448" s="77">
        <f t="shared" si="207"/>
        <v>0</v>
      </c>
      <c r="X448" s="63">
        <f t="shared" si="207"/>
        <v>0</v>
      </c>
      <c r="Y448" s="63">
        <f t="shared" si="207"/>
        <v>0</v>
      </c>
      <c r="Z448" s="63">
        <f t="shared" si="207"/>
        <v>0</v>
      </c>
      <c r="AA448" s="65">
        <f>SUM(G448:Z448)</f>
        <v>0</v>
      </c>
      <c r="AB448" s="59" t="str">
        <f>IF(ABS(F448-AA448)&lt;0.01,"ok","err")</f>
        <v>ok</v>
      </c>
    </row>
    <row r="449" spans="1:28" x14ac:dyDescent="0.25"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63"/>
      <c r="Y449" s="63"/>
      <c r="Z449" s="63"/>
      <c r="AA449" s="65"/>
    </row>
    <row r="450" spans="1:28" x14ac:dyDescent="0.25">
      <c r="A450" s="66" t="s">
        <v>376</v>
      </c>
      <c r="F450" s="80"/>
    </row>
    <row r="451" spans="1:28" x14ac:dyDescent="0.25">
      <c r="A451" s="69" t="s">
        <v>1116</v>
      </c>
      <c r="C451" s="61" t="s">
        <v>743</v>
      </c>
      <c r="D451" s="61" t="s">
        <v>808</v>
      </c>
      <c r="E451" s="61" t="s">
        <v>1120</v>
      </c>
      <c r="F451" s="77">
        <f>VLOOKUP(C451,'Functional Assignment'!$C$2:$AP$778,'Functional Assignment'!$AB$2,)</f>
        <v>0</v>
      </c>
      <c r="G451" s="77">
        <f t="shared" ref="G451:Z451" si="208">IF(VLOOKUP($E451,$D$6:$AN$1141,3,)=0,0,(VLOOKUP($E451,$D$6:$AN$1141,G$2,)/VLOOKUP($E451,$D$6:$AN$1141,3,))*$F451)</f>
        <v>0</v>
      </c>
      <c r="H451" s="77">
        <f t="shared" si="208"/>
        <v>0</v>
      </c>
      <c r="I451" s="77">
        <f t="shared" si="208"/>
        <v>0</v>
      </c>
      <c r="J451" s="77">
        <f t="shared" si="208"/>
        <v>0</v>
      </c>
      <c r="K451" s="77">
        <f t="shared" si="208"/>
        <v>0</v>
      </c>
      <c r="L451" s="77">
        <f t="shared" si="208"/>
        <v>0</v>
      </c>
      <c r="M451" s="77">
        <f t="shared" si="208"/>
        <v>0</v>
      </c>
      <c r="N451" s="77">
        <f t="shared" si="208"/>
        <v>0</v>
      </c>
      <c r="O451" s="77">
        <f t="shared" si="208"/>
        <v>0</v>
      </c>
      <c r="P451" s="77">
        <f t="shared" si="208"/>
        <v>0</v>
      </c>
      <c r="Q451" s="77">
        <f t="shared" si="208"/>
        <v>0</v>
      </c>
      <c r="R451" s="77">
        <f t="shared" si="208"/>
        <v>0</v>
      </c>
      <c r="S451" s="77">
        <f t="shared" si="208"/>
        <v>0</v>
      </c>
      <c r="T451" s="77">
        <f t="shared" si="208"/>
        <v>0</v>
      </c>
      <c r="U451" s="77">
        <f t="shared" si="208"/>
        <v>0</v>
      </c>
      <c r="V451" s="77">
        <f t="shared" si="208"/>
        <v>0</v>
      </c>
      <c r="W451" s="77">
        <f t="shared" si="208"/>
        <v>0</v>
      </c>
      <c r="X451" s="63">
        <f t="shared" si="208"/>
        <v>0</v>
      </c>
      <c r="Y451" s="63">
        <f t="shared" si="208"/>
        <v>0</v>
      </c>
      <c r="Z451" s="63">
        <f t="shared" si="208"/>
        <v>0</v>
      </c>
      <c r="AA451" s="65">
        <f>SUM(G451:Z451)</f>
        <v>0</v>
      </c>
      <c r="AB451" s="59" t="str">
        <f>IF(ABS(F451-AA451)&lt;0.01,"ok","err")</f>
        <v>ok</v>
      </c>
    </row>
    <row r="452" spans="1:28" x14ac:dyDescent="0.25"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63"/>
      <c r="Y452" s="63"/>
      <c r="Z452" s="63"/>
      <c r="AA452" s="65"/>
    </row>
    <row r="453" spans="1:28" x14ac:dyDescent="0.25">
      <c r="A453" s="66" t="s">
        <v>1047</v>
      </c>
      <c r="F453" s="80"/>
    </row>
    <row r="454" spans="1:28" x14ac:dyDescent="0.25">
      <c r="A454" s="69" t="s">
        <v>1116</v>
      </c>
      <c r="C454" s="61" t="s">
        <v>743</v>
      </c>
      <c r="D454" s="61" t="s">
        <v>809</v>
      </c>
      <c r="E454" s="61" t="s">
        <v>1121</v>
      </c>
      <c r="F454" s="77">
        <f>VLOOKUP(C454,'Functional Assignment'!$C$2:$AP$778,'Functional Assignment'!$AC$2,)</f>
        <v>0</v>
      </c>
      <c r="G454" s="77">
        <f t="shared" ref="G454:Z454" si="209">IF(VLOOKUP($E454,$D$6:$AN$1141,3,)=0,0,(VLOOKUP($E454,$D$6:$AN$1141,G$2,)/VLOOKUP($E454,$D$6:$AN$1141,3,))*$F454)</f>
        <v>0</v>
      </c>
      <c r="H454" s="77">
        <f t="shared" si="209"/>
        <v>0</v>
      </c>
      <c r="I454" s="77">
        <f t="shared" si="209"/>
        <v>0</v>
      </c>
      <c r="J454" s="77">
        <f t="shared" si="209"/>
        <v>0</v>
      </c>
      <c r="K454" s="77">
        <f t="shared" si="209"/>
        <v>0</v>
      </c>
      <c r="L454" s="77">
        <f t="shared" si="209"/>
        <v>0</v>
      </c>
      <c r="M454" s="77">
        <f t="shared" si="209"/>
        <v>0</v>
      </c>
      <c r="N454" s="77">
        <f t="shared" si="209"/>
        <v>0</v>
      </c>
      <c r="O454" s="77">
        <f t="shared" si="209"/>
        <v>0</v>
      </c>
      <c r="P454" s="77">
        <f t="shared" si="209"/>
        <v>0</v>
      </c>
      <c r="Q454" s="77">
        <f t="shared" si="209"/>
        <v>0</v>
      </c>
      <c r="R454" s="77">
        <f t="shared" si="209"/>
        <v>0</v>
      </c>
      <c r="S454" s="77">
        <f t="shared" si="209"/>
        <v>0</v>
      </c>
      <c r="T454" s="77">
        <f t="shared" si="209"/>
        <v>0</v>
      </c>
      <c r="U454" s="77">
        <f t="shared" si="209"/>
        <v>0</v>
      </c>
      <c r="V454" s="77">
        <f t="shared" si="209"/>
        <v>0</v>
      </c>
      <c r="W454" s="77">
        <f t="shared" si="209"/>
        <v>0</v>
      </c>
      <c r="X454" s="63">
        <f t="shared" si="209"/>
        <v>0</v>
      </c>
      <c r="Y454" s="63">
        <f t="shared" si="209"/>
        <v>0</v>
      </c>
      <c r="Z454" s="63">
        <f t="shared" si="209"/>
        <v>0</v>
      </c>
      <c r="AA454" s="65">
        <f>SUM(G454:Z454)</f>
        <v>0</v>
      </c>
      <c r="AB454" s="59" t="str">
        <f>IF(ABS(F454-AA454)&lt;0.01,"ok","err")</f>
        <v>ok</v>
      </c>
    </row>
    <row r="455" spans="1:28" x14ac:dyDescent="0.25"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63"/>
      <c r="Y455" s="63"/>
      <c r="Z455" s="63"/>
      <c r="AA455" s="65"/>
    </row>
    <row r="456" spans="1:28" x14ac:dyDescent="0.25">
      <c r="A456" s="66" t="s">
        <v>353</v>
      </c>
      <c r="F456" s="80"/>
    </row>
    <row r="457" spans="1:28" x14ac:dyDescent="0.25">
      <c r="A457" s="69" t="s">
        <v>1116</v>
      </c>
      <c r="C457" s="61" t="s">
        <v>743</v>
      </c>
      <c r="D457" s="61" t="s">
        <v>810</v>
      </c>
      <c r="E457" s="61" t="s">
        <v>1121</v>
      </c>
      <c r="F457" s="77">
        <f>VLOOKUP(C457,'Functional Assignment'!$C$2:$AP$778,'Functional Assignment'!$AD$2,)</f>
        <v>0</v>
      </c>
      <c r="G457" s="77">
        <f t="shared" ref="G457:Z457" si="210">IF(VLOOKUP($E457,$D$6:$AN$1141,3,)=0,0,(VLOOKUP($E457,$D$6:$AN$1141,G$2,)/VLOOKUP($E457,$D$6:$AN$1141,3,))*$F457)</f>
        <v>0</v>
      </c>
      <c r="H457" s="77">
        <f t="shared" si="210"/>
        <v>0</v>
      </c>
      <c r="I457" s="77">
        <f t="shared" si="210"/>
        <v>0</v>
      </c>
      <c r="J457" s="77">
        <f t="shared" si="210"/>
        <v>0</v>
      </c>
      <c r="K457" s="77">
        <f t="shared" si="210"/>
        <v>0</v>
      </c>
      <c r="L457" s="77">
        <f t="shared" si="210"/>
        <v>0</v>
      </c>
      <c r="M457" s="77">
        <f t="shared" si="210"/>
        <v>0</v>
      </c>
      <c r="N457" s="77">
        <f t="shared" si="210"/>
        <v>0</v>
      </c>
      <c r="O457" s="77">
        <f t="shared" si="210"/>
        <v>0</v>
      </c>
      <c r="P457" s="77">
        <f t="shared" si="210"/>
        <v>0</v>
      </c>
      <c r="Q457" s="77">
        <f t="shared" si="210"/>
        <v>0</v>
      </c>
      <c r="R457" s="77">
        <f t="shared" si="210"/>
        <v>0</v>
      </c>
      <c r="S457" s="77">
        <f t="shared" si="210"/>
        <v>0</v>
      </c>
      <c r="T457" s="77">
        <f t="shared" si="210"/>
        <v>0</v>
      </c>
      <c r="U457" s="77">
        <f t="shared" si="210"/>
        <v>0</v>
      </c>
      <c r="V457" s="77">
        <f t="shared" si="210"/>
        <v>0</v>
      </c>
      <c r="W457" s="77">
        <f t="shared" si="210"/>
        <v>0</v>
      </c>
      <c r="X457" s="63">
        <f t="shared" si="210"/>
        <v>0</v>
      </c>
      <c r="Y457" s="63">
        <f t="shared" si="210"/>
        <v>0</v>
      </c>
      <c r="Z457" s="63">
        <f t="shared" si="210"/>
        <v>0</v>
      </c>
      <c r="AA457" s="65">
        <f>SUM(G457:Z457)</f>
        <v>0</v>
      </c>
      <c r="AB457" s="59" t="str">
        <f>IF(ABS(F457-AA457)&lt;0.01,"ok","err")</f>
        <v>ok</v>
      </c>
    </row>
    <row r="458" spans="1:28" x14ac:dyDescent="0.25"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63"/>
      <c r="Y458" s="63"/>
      <c r="Z458" s="63"/>
      <c r="AA458" s="65"/>
    </row>
    <row r="459" spans="1:28" x14ac:dyDescent="0.25">
      <c r="A459" s="66" t="s">
        <v>352</v>
      </c>
      <c r="F459" s="80"/>
    </row>
    <row r="460" spans="1:28" x14ac:dyDescent="0.25">
      <c r="A460" s="69" t="s">
        <v>1116</v>
      </c>
      <c r="C460" s="61" t="s">
        <v>743</v>
      </c>
      <c r="D460" s="61" t="s">
        <v>811</v>
      </c>
      <c r="E460" s="61" t="s">
        <v>1122</v>
      </c>
      <c r="F460" s="77">
        <f>VLOOKUP(C460,'Functional Assignment'!$C$2:$AP$778,'Functional Assignment'!$AE$2,)</f>
        <v>0</v>
      </c>
      <c r="G460" s="77">
        <f t="shared" ref="G460:Z460" si="211">IF(VLOOKUP($E460,$D$6:$AN$1141,3,)=0,0,(VLOOKUP($E460,$D$6:$AN$1141,G$2,)/VLOOKUP($E460,$D$6:$AN$1141,3,))*$F460)</f>
        <v>0</v>
      </c>
      <c r="H460" s="77">
        <f t="shared" si="211"/>
        <v>0</v>
      </c>
      <c r="I460" s="77">
        <f t="shared" si="211"/>
        <v>0</v>
      </c>
      <c r="J460" s="77">
        <f t="shared" si="211"/>
        <v>0</v>
      </c>
      <c r="K460" s="77">
        <f t="shared" si="211"/>
        <v>0</v>
      </c>
      <c r="L460" s="77">
        <f t="shared" si="211"/>
        <v>0</v>
      </c>
      <c r="M460" s="77">
        <f t="shared" si="211"/>
        <v>0</v>
      </c>
      <c r="N460" s="77">
        <f t="shared" si="211"/>
        <v>0</v>
      </c>
      <c r="O460" s="77">
        <f t="shared" si="211"/>
        <v>0</v>
      </c>
      <c r="P460" s="77">
        <f t="shared" si="211"/>
        <v>0</v>
      </c>
      <c r="Q460" s="77">
        <f t="shared" si="211"/>
        <v>0</v>
      </c>
      <c r="R460" s="77">
        <f t="shared" si="211"/>
        <v>0</v>
      </c>
      <c r="S460" s="77">
        <f t="shared" si="211"/>
        <v>0</v>
      </c>
      <c r="T460" s="77">
        <f t="shared" si="211"/>
        <v>0</v>
      </c>
      <c r="U460" s="77">
        <f t="shared" si="211"/>
        <v>0</v>
      </c>
      <c r="V460" s="77">
        <f t="shared" si="211"/>
        <v>0</v>
      </c>
      <c r="W460" s="77">
        <f t="shared" si="211"/>
        <v>0</v>
      </c>
      <c r="X460" s="63">
        <f t="shared" si="211"/>
        <v>0</v>
      </c>
      <c r="Y460" s="63">
        <f t="shared" si="211"/>
        <v>0</v>
      </c>
      <c r="Z460" s="63">
        <f t="shared" si="211"/>
        <v>0</v>
      </c>
      <c r="AA460" s="65">
        <f>SUM(G460:Z460)</f>
        <v>0</v>
      </c>
      <c r="AB460" s="59" t="str">
        <f>IF(ABS(F460-AA460)&lt;0.01,"ok","err")</f>
        <v>ok</v>
      </c>
    </row>
    <row r="461" spans="1:28" x14ac:dyDescent="0.25"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63"/>
      <c r="Y461" s="63"/>
      <c r="Z461" s="63"/>
      <c r="AA461" s="65"/>
    </row>
    <row r="462" spans="1:28" x14ac:dyDescent="0.25">
      <c r="A462" s="61" t="s">
        <v>944</v>
      </c>
      <c r="D462" s="61" t="s">
        <v>812</v>
      </c>
      <c r="F462" s="77">
        <f>F417+F423+F426+F429+F437+F442+F445+F448+F451+F454+F457+F460</f>
        <v>0</v>
      </c>
      <c r="G462" s="77">
        <f t="shared" ref="G462:Z462" si="212">G417+G423+G426+G429+G437+G442+G445+G448+G451+G454+G457+G460</f>
        <v>0</v>
      </c>
      <c r="H462" s="77">
        <f t="shared" si="212"/>
        <v>0</v>
      </c>
      <c r="I462" s="77">
        <f t="shared" si="212"/>
        <v>0</v>
      </c>
      <c r="J462" s="77">
        <f t="shared" si="212"/>
        <v>0</v>
      </c>
      <c r="K462" s="77">
        <f t="shared" si="212"/>
        <v>0</v>
      </c>
      <c r="L462" s="77">
        <f t="shared" si="212"/>
        <v>0</v>
      </c>
      <c r="M462" s="77">
        <f t="shared" si="212"/>
        <v>0</v>
      </c>
      <c r="N462" s="77">
        <f t="shared" si="212"/>
        <v>0</v>
      </c>
      <c r="O462" s="77">
        <f>O417+O423+O426+O429+O437+O442+O445+O448+O451+O454+O457+O460</f>
        <v>0</v>
      </c>
      <c r="P462" s="77">
        <f t="shared" si="212"/>
        <v>0</v>
      </c>
      <c r="Q462" s="77">
        <f t="shared" si="212"/>
        <v>0</v>
      </c>
      <c r="R462" s="77">
        <f t="shared" si="212"/>
        <v>0</v>
      </c>
      <c r="S462" s="77">
        <f t="shared" si="212"/>
        <v>0</v>
      </c>
      <c r="T462" s="77">
        <f t="shared" si="212"/>
        <v>0</v>
      </c>
      <c r="U462" s="77">
        <f t="shared" si="212"/>
        <v>0</v>
      </c>
      <c r="V462" s="77">
        <f t="shared" si="212"/>
        <v>0</v>
      </c>
      <c r="W462" s="77">
        <f t="shared" si="212"/>
        <v>0</v>
      </c>
      <c r="X462" s="63">
        <f t="shared" si="212"/>
        <v>0</v>
      </c>
      <c r="Y462" s="63">
        <f t="shared" si="212"/>
        <v>0</v>
      </c>
      <c r="Z462" s="63">
        <f t="shared" si="212"/>
        <v>0</v>
      </c>
      <c r="AA462" s="65">
        <f>SUM(G462:Z462)</f>
        <v>0</v>
      </c>
      <c r="AB462" s="59" t="str">
        <f>IF(ABS(F462-AA462)&lt;0.01,"ok","err")</f>
        <v>ok</v>
      </c>
    </row>
    <row r="463" spans="1:28" x14ac:dyDescent="0.25"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63"/>
      <c r="Y463" s="63"/>
      <c r="Z463" s="63"/>
      <c r="AA463" s="65"/>
    </row>
    <row r="465" spans="1:28" x14ac:dyDescent="0.25">
      <c r="A465" s="66" t="s">
        <v>814</v>
      </c>
    </row>
    <row r="467" spans="1:28" x14ac:dyDescent="0.25">
      <c r="A467" s="66" t="s">
        <v>369</v>
      </c>
    </row>
    <row r="468" spans="1:28" x14ac:dyDescent="0.25">
      <c r="A468" s="69" t="s">
        <v>361</v>
      </c>
      <c r="C468" s="61" t="s">
        <v>1097</v>
      </c>
      <c r="D468" s="61" t="s">
        <v>539</v>
      </c>
      <c r="E468" s="61" t="s">
        <v>1399</v>
      </c>
      <c r="F468" s="77">
        <f>VLOOKUP(C468,'Functional Assignment'!$C$2:$AP$778,'Functional Assignment'!$H$2,)</f>
        <v>6115271.7487434316</v>
      </c>
      <c r="G468" s="77">
        <f t="shared" ref="G468:P473" si="213">IF(VLOOKUP($E468,$D$6:$AN$1141,3,)=0,0,(VLOOKUP($E468,$D$6:$AN$1141,G$2,)/VLOOKUP($E468,$D$6:$AN$1141,3,))*$F468)</f>
        <v>3053100.144168051</v>
      </c>
      <c r="H468" s="77">
        <f t="shared" si="213"/>
        <v>756767.52116091654</v>
      </c>
      <c r="I468" s="77">
        <f t="shared" si="213"/>
        <v>0</v>
      </c>
      <c r="J468" s="77">
        <f t="shared" si="213"/>
        <v>68347.906262775301</v>
      </c>
      <c r="K468" s="77">
        <f t="shared" si="213"/>
        <v>869184.75613936689</v>
      </c>
      <c r="L468" s="77">
        <f t="shared" si="213"/>
        <v>0</v>
      </c>
      <c r="M468" s="77">
        <f t="shared" si="213"/>
        <v>0</v>
      </c>
      <c r="N468" s="77">
        <f t="shared" si="213"/>
        <v>705792.02006725222</v>
      </c>
      <c r="O468" s="77">
        <f t="shared" si="213"/>
        <v>430717.13795689872</v>
      </c>
      <c r="P468" s="77">
        <f t="shared" si="213"/>
        <v>170293.53894471843</v>
      </c>
      <c r="Q468" s="77">
        <f t="shared" ref="Q468:Z473" si="214">IF(VLOOKUP($E468,$D$6:$AN$1141,3,)=0,0,(VLOOKUP($E468,$D$6:$AN$1141,Q$2,)/VLOOKUP($E468,$D$6:$AN$1141,3,))*$F468)</f>
        <v>36471.894989851025</v>
      </c>
      <c r="R468" s="77">
        <f t="shared" si="214"/>
        <v>23764.949400477661</v>
      </c>
      <c r="S468" s="77">
        <f t="shared" si="214"/>
        <v>0</v>
      </c>
      <c r="T468" s="77">
        <f t="shared" si="214"/>
        <v>0</v>
      </c>
      <c r="U468" s="77">
        <f t="shared" si="214"/>
        <v>831.87965312489462</v>
      </c>
      <c r="V468" s="77">
        <f t="shared" si="214"/>
        <v>0</v>
      </c>
      <c r="W468" s="77">
        <f t="shared" si="214"/>
        <v>0</v>
      </c>
      <c r="X468" s="63">
        <f t="shared" si="214"/>
        <v>0</v>
      </c>
      <c r="Y468" s="63">
        <f t="shared" si="214"/>
        <v>0</v>
      </c>
      <c r="Z468" s="63">
        <f t="shared" si="214"/>
        <v>0</v>
      </c>
      <c r="AA468" s="65">
        <f t="shared" ref="AA468:AA474" si="215">SUM(G468:Z468)</f>
        <v>6115271.7487434335</v>
      </c>
      <c r="AB468" s="59" t="str">
        <f t="shared" ref="AB468:AB474" si="216">IF(ABS(F468-AA468)&lt;0.01,"ok","err")</f>
        <v>ok</v>
      </c>
    </row>
    <row r="469" spans="1:28" x14ac:dyDescent="0.25">
      <c r="A469" s="69" t="s">
        <v>1285</v>
      </c>
      <c r="C469" s="61" t="s">
        <v>1097</v>
      </c>
      <c r="D469" s="61" t="s">
        <v>540</v>
      </c>
      <c r="E469" s="61" t="s">
        <v>1399</v>
      </c>
      <c r="F469" s="80">
        <f>VLOOKUP(C469,'Functional Assignment'!$C$2:$AP$778,'Functional Assignment'!$I$2,)</f>
        <v>5959112.6880757092</v>
      </c>
      <c r="G469" s="80">
        <f t="shared" si="213"/>
        <v>2975136.4378559417</v>
      </c>
      <c r="H469" s="80">
        <f t="shared" si="213"/>
        <v>737442.76993091404</v>
      </c>
      <c r="I469" s="80">
        <f t="shared" si="213"/>
        <v>0</v>
      </c>
      <c r="J469" s="80">
        <f t="shared" si="213"/>
        <v>66602.579925839644</v>
      </c>
      <c r="K469" s="80">
        <f t="shared" si="213"/>
        <v>846989.32793238375</v>
      </c>
      <c r="L469" s="80">
        <f t="shared" si="213"/>
        <v>0</v>
      </c>
      <c r="M469" s="80">
        <f t="shared" si="213"/>
        <v>0</v>
      </c>
      <c r="N469" s="80">
        <f t="shared" si="213"/>
        <v>687768.97490934515</v>
      </c>
      <c r="O469" s="80">
        <f t="shared" si="213"/>
        <v>419718.38165622251</v>
      </c>
      <c r="P469" s="80">
        <f t="shared" si="213"/>
        <v>165944.93757882595</v>
      </c>
      <c r="Q469" s="80">
        <f t="shared" si="214"/>
        <v>35540.551773000974</v>
      </c>
      <c r="R469" s="80">
        <f t="shared" si="214"/>
        <v>23158.089668372199</v>
      </c>
      <c r="S469" s="80">
        <f t="shared" si="214"/>
        <v>0</v>
      </c>
      <c r="T469" s="80">
        <f t="shared" si="214"/>
        <v>0</v>
      </c>
      <c r="U469" s="80">
        <f t="shared" si="214"/>
        <v>810.63684486420414</v>
      </c>
      <c r="V469" s="80">
        <f t="shared" si="214"/>
        <v>0</v>
      </c>
      <c r="W469" s="80">
        <f t="shared" si="214"/>
        <v>0</v>
      </c>
      <c r="X469" s="64">
        <f t="shared" si="214"/>
        <v>0</v>
      </c>
      <c r="Y469" s="64">
        <f t="shared" si="214"/>
        <v>0</v>
      </c>
      <c r="Z469" s="64">
        <f t="shared" si="214"/>
        <v>0</v>
      </c>
      <c r="AA469" s="64">
        <f t="shared" si="215"/>
        <v>5959112.6880757101</v>
      </c>
      <c r="AB469" s="59" t="str">
        <f t="shared" si="216"/>
        <v>ok</v>
      </c>
    </row>
    <row r="470" spans="1:28" x14ac:dyDescent="0.25">
      <c r="A470" s="69" t="s">
        <v>1286</v>
      </c>
      <c r="C470" s="61" t="s">
        <v>1097</v>
      </c>
      <c r="D470" s="61" t="s">
        <v>541</v>
      </c>
      <c r="E470" s="61" t="s">
        <v>1399</v>
      </c>
      <c r="F470" s="80">
        <f>VLOOKUP(C470,'Functional Assignment'!$C$2:$AP$778,'Functional Assignment'!$J$2,)</f>
        <v>5402855.7771688811</v>
      </c>
      <c r="G470" s="80">
        <f t="shared" si="213"/>
        <v>2697420.5611685193</v>
      </c>
      <c r="H470" s="80">
        <f t="shared" si="213"/>
        <v>668605.7368616825</v>
      </c>
      <c r="I470" s="80">
        <f t="shared" si="213"/>
        <v>0</v>
      </c>
      <c r="J470" s="80">
        <f t="shared" si="213"/>
        <v>60385.522570621863</v>
      </c>
      <c r="K470" s="80">
        <f t="shared" si="213"/>
        <v>767926.60638501565</v>
      </c>
      <c r="L470" s="80">
        <f t="shared" si="213"/>
        <v>0</v>
      </c>
      <c r="M470" s="80">
        <f t="shared" si="213"/>
        <v>0</v>
      </c>
      <c r="N470" s="80">
        <f t="shared" si="213"/>
        <v>623568.77172034187</v>
      </c>
      <c r="O470" s="80">
        <f t="shared" si="213"/>
        <v>380539.52019617934</v>
      </c>
      <c r="P470" s="80">
        <f t="shared" si="213"/>
        <v>150454.708883716</v>
      </c>
      <c r="Q470" s="80">
        <f t="shared" si="214"/>
        <v>32222.997872613556</v>
      </c>
      <c r="R470" s="80">
        <f t="shared" si="214"/>
        <v>20996.384042766418</v>
      </c>
      <c r="S470" s="80">
        <f t="shared" si="214"/>
        <v>0</v>
      </c>
      <c r="T470" s="80">
        <f t="shared" si="214"/>
        <v>0</v>
      </c>
      <c r="U470" s="80">
        <f t="shared" si="214"/>
        <v>734.9674674258946</v>
      </c>
      <c r="V470" s="80">
        <f t="shared" si="214"/>
        <v>0</v>
      </c>
      <c r="W470" s="80">
        <f t="shared" si="214"/>
        <v>0</v>
      </c>
      <c r="X470" s="64">
        <f t="shared" si="214"/>
        <v>0</v>
      </c>
      <c r="Y470" s="64">
        <f t="shared" si="214"/>
        <v>0</v>
      </c>
      <c r="Z470" s="64">
        <f t="shared" si="214"/>
        <v>0</v>
      </c>
      <c r="AA470" s="64">
        <f t="shared" si="215"/>
        <v>5402855.777168883</v>
      </c>
      <c r="AB470" s="59" t="str">
        <f t="shared" si="216"/>
        <v>ok</v>
      </c>
    </row>
    <row r="471" spans="1:28" x14ac:dyDescent="0.25">
      <c r="A471" s="69" t="s">
        <v>1287</v>
      </c>
      <c r="C471" s="61" t="s">
        <v>1097</v>
      </c>
      <c r="D471" s="61" t="s">
        <v>542</v>
      </c>
      <c r="E471" s="61" t="s">
        <v>1114</v>
      </c>
      <c r="F471" s="80">
        <f>VLOOKUP(C471,'Functional Assignment'!$C$2:$AP$778,'Functional Assignment'!$K$2,)</f>
        <v>0</v>
      </c>
      <c r="G471" s="80">
        <f t="shared" si="213"/>
        <v>0</v>
      </c>
      <c r="H471" s="80">
        <f t="shared" si="213"/>
        <v>0</v>
      </c>
      <c r="I471" s="80">
        <f t="shared" si="213"/>
        <v>0</v>
      </c>
      <c r="J471" s="80">
        <f t="shared" si="213"/>
        <v>0</v>
      </c>
      <c r="K471" s="80">
        <f t="shared" si="213"/>
        <v>0</v>
      </c>
      <c r="L471" s="80">
        <f t="shared" si="213"/>
        <v>0</v>
      </c>
      <c r="M471" s="80">
        <f t="shared" si="213"/>
        <v>0</v>
      </c>
      <c r="N471" s="80">
        <f t="shared" si="213"/>
        <v>0</v>
      </c>
      <c r="O471" s="80">
        <f t="shared" si="213"/>
        <v>0</v>
      </c>
      <c r="P471" s="80">
        <f t="shared" si="213"/>
        <v>0</v>
      </c>
      <c r="Q471" s="80">
        <f t="shared" si="214"/>
        <v>0</v>
      </c>
      <c r="R471" s="80">
        <f t="shared" si="214"/>
        <v>0</v>
      </c>
      <c r="S471" s="80">
        <f t="shared" si="214"/>
        <v>0</v>
      </c>
      <c r="T471" s="80">
        <f t="shared" si="214"/>
        <v>0</v>
      </c>
      <c r="U471" s="80">
        <f t="shared" si="214"/>
        <v>0</v>
      </c>
      <c r="V471" s="80">
        <f t="shared" si="214"/>
        <v>0</v>
      </c>
      <c r="W471" s="80">
        <f t="shared" si="214"/>
        <v>0</v>
      </c>
      <c r="X471" s="64">
        <f t="shared" si="214"/>
        <v>0</v>
      </c>
      <c r="Y471" s="64">
        <f t="shared" si="214"/>
        <v>0</v>
      </c>
      <c r="Z471" s="64">
        <f t="shared" si="214"/>
        <v>0</v>
      </c>
      <c r="AA471" s="64">
        <f t="shared" si="215"/>
        <v>0</v>
      </c>
      <c r="AB471" s="59" t="str">
        <f t="shared" si="216"/>
        <v>ok</v>
      </c>
    </row>
    <row r="472" spans="1:28" x14ac:dyDescent="0.25">
      <c r="A472" s="69" t="s">
        <v>1288</v>
      </c>
      <c r="C472" s="61" t="s">
        <v>1097</v>
      </c>
      <c r="D472" s="61" t="s">
        <v>543</v>
      </c>
      <c r="E472" s="61" t="s">
        <v>1114</v>
      </c>
      <c r="F472" s="80">
        <f>VLOOKUP(C472,'Functional Assignment'!$C$2:$AP$778,'Functional Assignment'!$L$2,)</f>
        <v>0</v>
      </c>
      <c r="G472" s="80">
        <f t="shared" si="213"/>
        <v>0</v>
      </c>
      <c r="H472" s="80">
        <f t="shared" si="213"/>
        <v>0</v>
      </c>
      <c r="I472" s="80">
        <f t="shared" si="213"/>
        <v>0</v>
      </c>
      <c r="J472" s="80">
        <f t="shared" si="213"/>
        <v>0</v>
      </c>
      <c r="K472" s="80">
        <f t="shared" si="213"/>
        <v>0</v>
      </c>
      <c r="L472" s="80">
        <f t="shared" si="213"/>
        <v>0</v>
      </c>
      <c r="M472" s="80">
        <f t="shared" si="213"/>
        <v>0</v>
      </c>
      <c r="N472" s="80">
        <f t="shared" si="213"/>
        <v>0</v>
      </c>
      <c r="O472" s="80">
        <f t="shared" si="213"/>
        <v>0</v>
      </c>
      <c r="P472" s="80">
        <f t="shared" si="213"/>
        <v>0</v>
      </c>
      <c r="Q472" s="80">
        <f t="shared" si="214"/>
        <v>0</v>
      </c>
      <c r="R472" s="80">
        <f t="shared" si="214"/>
        <v>0</v>
      </c>
      <c r="S472" s="80">
        <f t="shared" si="214"/>
        <v>0</v>
      </c>
      <c r="T472" s="80">
        <f t="shared" si="214"/>
        <v>0</v>
      </c>
      <c r="U472" s="80">
        <f t="shared" si="214"/>
        <v>0</v>
      </c>
      <c r="V472" s="80">
        <f t="shared" si="214"/>
        <v>0</v>
      </c>
      <c r="W472" s="80">
        <f t="shared" si="214"/>
        <v>0</v>
      </c>
      <c r="X472" s="64">
        <f t="shared" si="214"/>
        <v>0</v>
      </c>
      <c r="Y472" s="64">
        <f t="shared" si="214"/>
        <v>0</v>
      </c>
      <c r="Z472" s="64">
        <f t="shared" si="214"/>
        <v>0</v>
      </c>
      <c r="AA472" s="64">
        <f t="shared" si="215"/>
        <v>0</v>
      </c>
      <c r="AB472" s="59" t="str">
        <f t="shared" si="216"/>
        <v>ok</v>
      </c>
    </row>
    <row r="473" spans="1:28" x14ac:dyDescent="0.25">
      <c r="A473" s="69" t="s">
        <v>1288</v>
      </c>
      <c r="C473" s="61" t="s">
        <v>1097</v>
      </c>
      <c r="D473" s="61" t="s">
        <v>544</v>
      </c>
      <c r="E473" s="61" t="s">
        <v>1114</v>
      </c>
      <c r="F473" s="80">
        <f>VLOOKUP(C473,'Functional Assignment'!$C$2:$AP$778,'Functional Assignment'!$M$2,)</f>
        <v>0</v>
      </c>
      <c r="G473" s="80">
        <f t="shared" si="213"/>
        <v>0</v>
      </c>
      <c r="H473" s="80">
        <f t="shared" si="213"/>
        <v>0</v>
      </c>
      <c r="I473" s="80">
        <f t="shared" si="213"/>
        <v>0</v>
      </c>
      <c r="J473" s="80">
        <f t="shared" si="213"/>
        <v>0</v>
      </c>
      <c r="K473" s="80">
        <f t="shared" si="213"/>
        <v>0</v>
      </c>
      <c r="L473" s="80">
        <f t="shared" si="213"/>
        <v>0</v>
      </c>
      <c r="M473" s="80">
        <f t="shared" si="213"/>
        <v>0</v>
      </c>
      <c r="N473" s="80">
        <f t="shared" si="213"/>
        <v>0</v>
      </c>
      <c r="O473" s="80">
        <f t="shared" si="213"/>
        <v>0</v>
      </c>
      <c r="P473" s="80">
        <f t="shared" si="213"/>
        <v>0</v>
      </c>
      <c r="Q473" s="80">
        <f t="shared" si="214"/>
        <v>0</v>
      </c>
      <c r="R473" s="80">
        <f t="shared" si="214"/>
        <v>0</v>
      </c>
      <c r="S473" s="80">
        <f t="shared" si="214"/>
        <v>0</v>
      </c>
      <c r="T473" s="80">
        <f t="shared" si="214"/>
        <v>0</v>
      </c>
      <c r="U473" s="80">
        <f t="shared" si="214"/>
        <v>0</v>
      </c>
      <c r="V473" s="80">
        <f t="shared" si="214"/>
        <v>0</v>
      </c>
      <c r="W473" s="80">
        <f t="shared" si="214"/>
        <v>0</v>
      </c>
      <c r="X473" s="64">
        <f t="shared" si="214"/>
        <v>0</v>
      </c>
      <c r="Y473" s="64">
        <f t="shared" si="214"/>
        <v>0</v>
      </c>
      <c r="Z473" s="64">
        <f t="shared" si="214"/>
        <v>0</v>
      </c>
      <c r="AA473" s="64">
        <f t="shared" si="215"/>
        <v>0</v>
      </c>
      <c r="AB473" s="59" t="str">
        <f t="shared" si="216"/>
        <v>ok</v>
      </c>
    </row>
    <row r="474" spans="1:28" x14ac:dyDescent="0.25">
      <c r="A474" s="61" t="s">
        <v>392</v>
      </c>
      <c r="D474" s="61" t="s">
        <v>545</v>
      </c>
      <c r="F474" s="77">
        <f>SUM(F468:F473)</f>
        <v>17477240.213988021</v>
      </c>
      <c r="G474" s="77">
        <f t="shared" ref="G474:P474" si="217">SUM(G468:G473)</f>
        <v>8725657.1431925129</v>
      </c>
      <c r="H474" s="77">
        <f t="shared" si="217"/>
        <v>2162816.027953513</v>
      </c>
      <c r="I474" s="77">
        <f t="shared" si="217"/>
        <v>0</v>
      </c>
      <c r="J474" s="77">
        <f t="shared" si="217"/>
        <v>195336.00875923681</v>
      </c>
      <c r="K474" s="77">
        <f t="shared" si="217"/>
        <v>2484100.6904567666</v>
      </c>
      <c r="L474" s="77">
        <f t="shared" si="217"/>
        <v>0</v>
      </c>
      <c r="M474" s="77">
        <f t="shared" si="217"/>
        <v>0</v>
      </c>
      <c r="N474" s="77">
        <f t="shared" si="217"/>
        <v>2017129.7666969392</v>
      </c>
      <c r="O474" s="77">
        <f>SUM(O468:O473)</f>
        <v>1230975.0398093006</v>
      </c>
      <c r="P474" s="77">
        <f t="shared" si="217"/>
        <v>486693.18540726043</v>
      </c>
      <c r="Q474" s="77">
        <f t="shared" ref="Q474:W474" si="218">SUM(Q468:Q473)</f>
        <v>104235.44463546555</v>
      </c>
      <c r="R474" s="77">
        <f t="shared" si="218"/>
        <v>67919.423111616285</v>
      </c>
      <c r="S474" s="77">
        <f t="shared" si="218"/>
        <v>0</v>
      </c>
      <c r="T474" s="77">
        <f t="shared" si="218"/>
        <v>0</v>
      </c>
      <c r="U474" s="77">
        <f t="shared" si="218"/>
        <v>2377.4839654149932</v>
      </c>
      <c r="V474" s="77">
        <f t="shared" si="218"/>
        <v>0</v>
      </c>
      <c r="W474" s="77">
        <f t="shared" si="218"/>
        <v>0</v>
      </c>
      <c r="X474" s="63">
        <f>SUM(X468:X473)</f>
        <v>0</v>
      </c>
      <c r="Y474" s="63">
        <f>SUM(Y468:Y473)</f>
        <v>0</v>
      </c>
      <c r="Z474" s="63">
        <f>SUM(Z468:Z473)</f>
        <v>0</v>
      </c>
      <c r="AA474" s="65">
        <f t="shared" si="215"/>
        <v>17477240.213988025</v>
      </c>
      <c r="AB474" s="59" t="str">
        <f t="shared" si="216"/>
        <v>ok</v>
      </c>
    </row>
    <row r="475" spans="1:28" x14ac:dyDescent="0.25">
      <c r="F475" s="80"/>
      <c r="G475" s="80"/>
    </row>
    <row r="476" spans="1:28" x14ac:dyDescent="0.25">
      <c r="A476" s="66" t="s">
        <v>1154</v>
      </c>
      <c r="F476" s="80"/>
      <c r="G476" s="80"/>
    </row>
    <row r="477" spans="1:28" x14ac:dyDescent="0.25">
      <c r="A477" s="69" t="s">
        <v>362</v>
      </c>
      <c r="C477" s="61" t="s">
        <v>1097</v>
      </c>
      <c r="D477" s="61" t="s">
        <v>546</v>
      </c>
      <c r="E477" s="61" t="s">
        <v>1399</v>
      </c>
      <c r="F477" s="77">
        <f>VLOOKUP(C477,'Functional Assignment'!$C$2:$AP$778,'Functional Assignment'!$N$2,)</f>
        <v>1084227.1633784603</v>
      </c>
      <c r="G477" s="77">
        <f t="shared" ref="G477:P479" si="219">IF(VLOOKUP($E477,$D$6:$AN$1141,3,)=0,0,(VLOOKUP($E477,$D$6:$AN$1141,G$2,)/VLOOKUP($E477,$D$6:$AN$1141,3,))*$F477)</f>
        <v>541309.40452513599</v>
      </c>
      <c r="H477" s="77">
        <f t="shared" si="219"/>
        <v>134173.57993515951</v>
      </c>
      <c r="I477" s="77">
        <f t="shared" si="219"/>
        <v>0</v>
      </c>
      <c r="J477" s="77">
        <f t="shared" si="219"/>
        <v>12117.966228626361</v>
      </c>
      <c r="K477" s="77">
        <f t="shared" si="219"/>
        <v>154104.96235010782</v>
      </c>
      <c r="L477" s="77">
        <f t="shared" si="219"/>
        <v>0</v>
      </c>
      <c r="M477" s="77">
        <f t="shared" si="219"/>
        <v>0</v>
      </c>
      <c r="N477" s="77">
        <f t="shared" si="219"/>
        <v>125135.71126416612</v>
      </c>
      <c r="O477" s="77">
        <f t="shared" si="219"/>
        <v>76365.407768093966</v>
      </c>
      <c r="P477" s="77">
        <f t="shared" si="219"/>
        <v>30192.751566543331</v>
      </c>
      <c r="Q477" s="77">
        <f t="shared" ref="Q477:Z479" si="220">IF(VLOOKUP($E477,$D$6:$AN$1141,3,)=0,0,(VLOOKUP($E477,$D$6:$AN$1141,Q$2,)/VLOOKUP($E477,$D$6:$AN$1141,3,))*$F477)</f>
        <v>6466.4042535818189</v>
      </c>
      <c r="R477" s="77">
        <f t="shared" si="220"/>
        <v>4213.4846552987719</v>
      </c>
      <c r="S477" s="77">
        <f t="shared" si="220"/>
        <v>0</v>
      </c>
      <c r="T477" s="77">
        <f t="shared" si="220"/>
        <v>0</v>
      </c>
      <c r="U477" s="77">
        <f t="shared" si="220"/>
        <v>147.49083174679757</v>
      </c>
      <c r="V477" s="77">
        <f t="shared" si="220"/>
        <v>0</v>
      </c>
      <c r="W477" s="77">
        <f t="shared" si="220"/>
        <v>0</v>
      </c>
      <c r="X477" s="63">
        <f t="shared" si="220"/>
        <v>0</v>
      </c>
      <c r="Y477" s="63">
        <f t="shared" si="220"/>
        <v>0</v>
      </c>
      <c r="Z477" s="63">
        <f t="shared" si="220"/>
        <v>0</v>
      </c>
      <c r="AA477" s="65">
        <f>SUM(G477:Z477)</f>
        <v>1084227.1633784603</v>
      </c>
      <c r="AB477" s="59" t="str">
        <f>IF(ABS(F477-AA477)&lt;0.01,"ok","err")</f>
        <v>ok</v>
      </c>
    </row>
    <row r="478" spans="1:28" x14ac:dyDescent="0.25">
      <c r="A478" s="69" t="s">
        <v>364</v>
      </c>
      <c r="C478" s="61" t="s">
        <v>1097</v>
      </c>
      <c r="D478" s="61" t="s">
        <v>547</v>
      </c>
      <c r="E478" s="61" t="s">
        <v>1399</v>
      </c>
      <c r="F478" s="80">
        <f>VLOOKUP(C478,'Functional Assignment'!$C$2:$AP$778,'Functional Assignment'!$O$2,)</f>
        <v>1056540.4305004976</v>
      </c>
      <c r="G478" s="80">
        <f t="shared" si="219"/>
        <v>527486.57348600519</v>
      </c>
      <c r="H478" s="80">
        <f t="shared" si="219"/>
        <v>130747.33477877613</v>
      </c>
      <c r="I478" s="80">
        <f t="shared" si="219"/>
        <v>0</v>
      </c>
      <c r="J478" s="80">
        <f t="shared" si="219"/>
        <v>11808.522870879531</v>
      </c>
      <c r="K478" s="80">
        <f t="shared" si="219"/>
        <v>150169.75110299149</v>
      </c>
      <c r="L478" s="80">
        <f t="shared" si="219"/>
        <v>0</v>
      </c>
      <c r="M478" s="80">
        <f t="shared" si="219"/>
        <v>0</v>
      </c>
      <c r="N478" s="80">
        <f t="shared" si="219"/>
        <v>121940.25635555718</v>
      </c>
      <c r="O478" s="80">
        <f t="shared" si="219"/>
        <v>74415.347192777161</v>
      </c>
      <c r="P478" s="80">
        <f t="shared" si="219"/>
        <v>29421.75202354278</v>
      </c>
      <c r="Q478" s="80">
        <f t="shared" si="220"/>
        <v>6301.2787030542231</v>
      </c>
      <c r="R478" s="80">
        <f t="shared" si="220"/>
        <v>4105.8894685362984</v>
      </c>
      <c r="S478" s="80">
        <f t="shared" si="220"/>
        <v>0</v>
      </c>
      <c r="T478" s="80">
        <f t="shared" si="220"/>
        <v>0</v>
      </c>
      <c r="U478" s="80">
        <f t="shared" si="220"/>
        <v>143.72451837774511</v>
      </c>
      <c r="V478" s="80">
        <f t="shared" si="220"/>
        <v>0</v>
      </c>
      <c r="W478" s="80">
        <f t="shared" si="220"/>
        <v>0</v>
      </c>
      <c r="X478" s="64">
        <f t="shared" si="220"/>
        <v>0</v>
      </c>
      <c r="Y478" s="64">
        <f t="shared" si="220"/>
        <v>0</v>
      </c>
      <c r="Z478" s="64">
        <f t="shared" si="220"/>
        <v>0</v>
      </c>
      <c r="AA478" s="64">
        <f>SUM(G478:Z478)</f>
        <v>1056540.4305004978</v>
      </c>
      <c r="AB478" s="59" t="str">
        <f>IF(ABS(F478-AA478)&lt;0.01,"ok","err")</f>
        <v>ok</v>
      </c>
    </row>
    <row r="479" spans="1:28" x14ac:dyDescent="0.25">
      <c r="A479" s="69" t="s">
        <v>363</v>
      </c>
      <c r="C479" s="61" t="s">
        <v>1097</v>
      </c>
      <c r="D479" s="61" t="s">
        <v>548</v>
      </c>
      <c r="E479" s="61" t="s">
        <v>1399</v>
      </c>
      <c r="F479" s="80">
        <f>VLOOKUP(C479,'Functional Assignment'!$C$2:$AP$778,'Functional Assignment'!$P$2,)</f>
        <v>957917.03690460359</v>
      </c>
      <c r="G479" s="80">
        <f t="shared" si="219"/>
        <v>478248.02619367302</v>
      </c>
      <c r="H479" s="80">
        <f t="shared" si="219"/>
        <v>118542.64720861572</v>
      </c>
      <c r="I479" s="80">
        <f t="shared" si="219"/>
        <v>0</v>
      </c>
      <c r="J479" s="80">
        <f t="shared" si="219"/>
        <v>10706.249294534531</v>
      </c>
      <c r="K479" s="80">
        <f t="shared" si="219"/>
        <v>136152.06655284896</v>
      </c>
      <c r="L479" s="80">
        <f t="shared" si="219"/>
        <v>0</v>
      </c>
      <c r="M479" s="80">
        <f t="shared" si="219"/>
        <v>0</v>
      </c>
      <c r="N479" s="80">
        <f t="shared" si="219"/>
        <v>110557.67074826398</v>
      </c>
      <c r="O479" s="80">
        <f t="shared" si="219"/>
        <v>67469.00243974982</v>
      </c>
      <c r="P479" s="80">
        <f t="shared" si="219"/>
        <v>26675.361117589386</v>
      </c>
      <c r="Q479" s="80">
        <f t="shared" si="220"/>
        <v>5713.0821023861827</v>
      </c>
      <c r="R479" s="80">
        <f t="shared" si="220"/>
        <v>3722.6227790402163</v>
      </c>
      <c r="S479" s="80">
        <f t="shared" si="220"/>
        <v>0</v>
      </c>
      <c r="T479" s="80">
        <f t="shared" si="220"/>
        <v>0</v>
      </c>
      <c r="U479" s="80">
        <f t="shared" si="220"/>
        <v>130.30846790191623</v>
      </c>
      <c r="V479" s="80">
        <f t="shared" si="220"/>
        <v>0</v>
      </c>
      <c r="W479" s="80">
        <f t="shared" si="220"/>
        <v>0</v>
      </c>
      <c r="X479" s="64">
        <f t="shared" si="220"/>
        <v>0</v>
      </c>
      <c r="Y479" s="64">
        <f t="shared" si="220"/>
        <v>0</v>
      </c>
      <c r="Z479" s="64">
        <f t="shared" si="220"/>
        <v>0</v>
      </c>
      <c r="AA479" s="64">
        <f>SUM(G479:Z479)</f>
        <v>957917.03690460371</v>
      </c>
      <c r="AB479" s="59" t="str">
        <f>IF(ABS(F479-AA479)&lt;0.01,"ok","err")</f>
        <v>ok</v>
      </c>
    </row>
    <row r="480" spans="1:28" x14ac:dyDescent="0.25">
      <c r="A480" s="61" t="s">
        <v>1156</v>
      </c>
      <c r="D480" s="61" t="s">
        <v>549</v>
      </c>
      <c r="F480" s="77">
        <f>SUM(F477:F479)</f>
        <v>3098684.6307835616</v>
      </c>
      <c r="G480" s="77">
        <f t="shared" ref="G480:W480" si="221">SUM(G477:G479)</f>
        <v>1547044.0042048141</v>
      </c>
      <c r="H480" s="77">
        <f t="shared" si="221"/>
        <v>383463.56192255137</v>
      </c>
      <c r="I480" s="77">
        <f t="shared" si="221"/>
        <v>0</v>
      </c>
      <c r="J480" s="77">
        <f t="shared" si="221"/>
        <v>34632.738394040425</v>
      </c>
      <c r="K480" s="77">
        <f t="shared" si="221"/>
        <v>440426.78000594827</v>
      </c>
      <c r="L480" s="77">
        <f t="shared" si="221"/>
        <v>0</v>
      </c>
      <c r="M480" s="77">
        <f t="shared" si="221"/>
        <v>0</v>
      </c>
      <c r="N480" s="77">
        <f t="shared" si="221"/>
        <v>357633.63836798724</v>
      </c>
      <c r="O480" s="77">
        <f>SUM(O477:O479)</f>
        <v>218249.75740062096</v>
      </c>
      <c r="P480" s="77">
        <f t="shared" si="221"/>
        <v>86289.864707675501</v>
      </c>
      <c r="Q480" s="77">
        <f t="shared" si="221"/>
        <v>18480.765059022226</v>
      </c>
      <c r="R480" s="77">
        <f t="shared" si="221"/>
        <v>12041.996902875286</v>
      </c>
      <c r="S480" s="77">
        <f t="shared" si="221"/>
        <v>0</v>
      </c>
      <c r="T480" s="77">
        <f t="shared" si="221"/>
        <v>0</v>
      </c>
      <c r="U480" s="77">
        <f t="shared" si="221"/>
        <v>421.52381802645891</v>
      </c>
      <c r="V480" s="77">
        <f t="shared" si="221"/>
        <v>0</v>
      </c>
      <c r="W480" s="77">
        <f t="shared" si="221"/>
        <v>0</v>
      </c>
      <c r="X480" s="63">
        <f>SUM(X477:X479)</f>
        <v>0</v>
      </c>
      <c r="Y480" s="63">
        <f>SUM(Y477:Y479)</f>
        <v>0</v>
      </c>
      <c r="Z480" s="63">
        <f>SUM(Z477:Z479)</f>
        <v>0</v>
      </c>
      <c r="AA480" s="65">
        <f>SUM(G480:Z480)</f>
        <v>3098684.6307835616</v>
      </c>
      <c r="AB480" s="59" t="str">
        <f>IF(ABS(F480-AA480)&lt;0.01,"ok","err")</f>
        <v>ok</v>
      </c>
    </row>
    <row r="481" spans="1:28" x14ac:dyDescent="0.25">
      <c r="F481" s="80"/>
      <c r="G481" s="80"/>
    </row>
    <row r="482" spans="1:28" x14ac:dyDescent="0.25">
      <c r="A482" s="66" t="s">
        <v>350</v>
      </c>
      <c r="F482" s="80"/>
      <c r="G482" s="80"/>
    </row>
    <row r="483" spans="1:28" x14ac:dyDescent="0.25">
      <c r="A483" s="69" t="s">
        <v>377</v>
      </c>
      <c r="C483" s="61" t="s">
        <v>1097</v>
      </c>
      <c r="D483" s="61" t="s">
        <v>550</v>
      </c>
      <c r="E483" s="61" t="s">
        <v>133</v>
      </c>
      <c r="F483" s="77">
        <f>VLOOKUP(C483,'Functional Assignment'!$C$2:$AP$778,'Functional Assignment'!$Q$2,)</f>
        <v>0</v>
      </c>
      <c r="G483" s="77">
        <f t="shared" ref="G483:Z483" si="222">IF(VLOOKUP($E483,$D$6:$AN$1141,3,)=0,0,(VLOOKUP($E483,$D$6:$AN$1141,G$2,)/VLOOKUP($E483,$D$6:$AN$1141,3,))*$F483)</f>
        <v>0</v>
      </c>
      <c r="H483" s="77">
        <f t="shared" si="222"/>
        <v>0</v>
      </c>
      <c r="I483" s="77">
        <f t="shared" si="222"/>
        <v>0</v>
      </c>
      <c r="J483" s="77">
        <f t="shared" si="222"/>
        <v>0</v>
      </c>
      <c r="K483" s="77">
        <f t="shared" si="222"/>
        <v>0</v>
      </c>
      <c r="L483" s="77">
        <f t="shared" si="222"/>
        <v>0</v>
      </c>
      <c r="M483" s="77">
        <f t="shared" si="222"/>
        <v>0</v>
      </c>
      <c r="N483" s="77">
        <f t="shared" si="222"/>
        <v>0</v>
      </c>
      <c r="O483" s="77">
        <f t="shared" si="222"/>
        <v>0</v>
      </c>
      <c r="P483" s="77">
        <f t="shared" si="222"/>
        <v>0</v>
      </c>
      <c r="Q483" s="77">
        <f t="shared" si="222"/>
        <v>0</v>
      </c>
      <c r="R483" s="77">
        <f t="shared" si="222"/>
        <v>0</v>
      </c>
      <c r="S483" s="77">
        <f t="shared" si="222"/>
        <v>0</v>
      </c>
      <c r="T483" s="77">
        <f t="shared" si="222"/>
        <v>0</v>
      </c>
      <c r="U483" s="77">
        <f t="shared" si="222"/>
        <v>0</v>
      </c>
      <c r="V483" s="77">
        <f t="shared" si="222"/>
        <v>0</v>
      </c>
      <c r="W483" s="77">
        <f t="shared" si="222"/>
        <v>0</v>
      </c>
      <c r="X483" s="63">
        <f t="shared" si="222"/>
        <v>0</v>
      </c>
      <c r="Y483" s="63">
        <f t="shared" si="222"/>
        <v>0</v>
      </c>
      <c r="Z483" s="63">
        <f t="shared" si="222"/>
        <v>0</v>
      </c>
      <c r="AA483" s="65">
        <f>SUM(G483:Z483)</f>
        <v>0</v>
      </c>
      <c r="AB483" s="59" t="str">
        <f>IF(ABS(F483-AA483)&lt;0.01,"ok","err")</f>
        <v>ok</v>
      </c>
    </row>
    <row r="484" spans="1:28" x14ac:dyDescent="0.25">
      <c r="F484" s="80"/>
    </row>
    <row r="485" spans="1:28" x14ac:dyDescent="0.25">
      <c r="A485" s="66" t="s">
        <v>351</v>
      </c>
      <c r="F485" s="80"/>
      <c r="G485" s="80"/>
    </row>
    <row r="486" spans="1:28" x14ac:dyDescent="0.25">
      <c r="A486" s="69" t="s">
        <v>379</v>
      </c>
      <c r="C486" s="61" t="s">
        <v>1097</v>
      </c>
      <c r="D486" s="61" t="s">
        <v>551</v>
      </c>
      <c r="E486" s="61" t="s">
        <v>133</v>
      </c>
      <c r="F486" s="77">
        <f>VLOOKUP(C486,'Functional Assignment'!$C$2:$AP$778,'Functional Assignment'!$R$2,)</f>
        <v>1108869.2593520638</v>
      </c>
      <c r="G486" s="77">
        <f t="shared" ref="G486:Z486" si="223">IF(VLOOKUP($E486,$D$6:$AN$1141,3,)=0,0,(VLOOKUP($E486,$D$6:$AN$1141,G$2,)/VLOOKUP($E486,$D$6:$AN$1141,3,))*$F486)</f>
        <v>532396.49905738316</v>
      </c>
      <c r="H486" s="77">
        <f t="shared" si="223"/>
        <v>148120.65253999465</v>
      </c>
      <c r="I486" s="77">
        <f t="shared" si="223"/>
        <v>0</v>
      </c>
      <c r="J486" s="77">
        <f t="shared" si="223"/>
        <v>12484.813941280396</v>
      </c>
      <c r="K486" s="77">
        <f t="shared" si="223"/>
        <v>157283.87393697631</v>
      </c>
      <c r="L486" s="77">
        <f t="shared" si="223"/>
        <v>0</v>
      </c>
      <c r="M486" s="77">
        <f t="shared" si="223"/>
        <v>0</v>
      </c>
      <c r="N486" s="77">
        <f t="shared" si="223"/>
        <v>151496.72279806051</v>
      </c>
      <c r="O486" s="77">
        <f t="shared" si="223"/>
        <v>79370.471518621751</v>
      </c>
      <c r="P486" s="77">
        <f t="shared" si="223"/>
        <v>0</v>
      </c>
      <c r="Q486" s="77">
        <f t="shared" si="223"/>
        <v>8793.0342193801862</v>
      </c>
      <c r="R486" s="77">
        <f t="shared" si="223"/>
        <v>4531.3214089865423</v>
      </c>
      <c r="S486" s="77">
        <f t="shared" si="223"/>
        <v>13838.68759531202</v>
      </c>
      <c r="T486" s="77">
        <f t="shared" si="223"/>
        <v>400.32217792896358</v>
      </c>
      <c r="U486" s="77">
        <f t="shared" si="223"/>
        <v>152.86015813945679</v>
      </c>
      <c r="V486" s="77">
        <f t="shared" si="223"/>
        <v>0</v>
      </c>
      <c r="W486" s="77">
        <f t="shared" si="223"/>
        <v>0</v>
      </c>
      <c r="X486" s="63">
        <f t="shared" si="223"/>
        <v>0</v>
      </c>
      <c r="Y486" s="63">
        <f t="shared" si="223"/>
        <v>0</v>
      </c>
      <c r="Z486" s="63">
        <f t="shared" si="223"/>
        <v>0</v>
      </c>
      <c r="AA486" s="65">
        <f>SUM(G486:Z486)</f>
        <v>1108869.2593520638</v>
      </c>
      <c r="AB486" s="59" t="str">
        <f>IF(ABS(F486-AA486)&lt;0.01,"ok","err")</f>
        <v>ok</v>
      </c>
    </row>
    <row r="487" spans="1:28" x14ac:dyDescent="0.25">
      <c r="F487" s="80"/>
    </row>
    <row r="488" spans="1:28" x14ac:dyDescent="0.25">
      <c r="A488" s="66" t="s">
        <v>378</v>
      </c>
      <c r="F488" s="80"/>
    </row>
    <row r="489" spans="1:28" x14ac:dyDescent="0.25">
      <c r="A489" s="69" t="s">
        <v>629</v>
      </c>
      <c r="C489" s="61" t="s">
        <v>1097</v>
      </c>
      <c r="D489" s="61" t="s">
        <v>552</v>
      </c>
      <c r="E489" s="61" t="s">
        <v>133</v>
      </c>
      <c r="F489" s="77">
        <f>VLOOKUP(C489,'Functional Assignment'!$C$2:$AP$778,'Functional Assignment'!$S$2,)</f>
        <v>0</v>
      </c>
      <c r="G489" s="77">
        <f t="shared" ref="G489:P493" si="224">IF(VLOOKUP($E489,$D$6:$AN$1141,3,)=0,0,(VLOOKUP($E489,$D$6:$AN$1141,G$2,)/VLOOKUP($E489,$D$6:$AN$1141,3,))*$F489)</f>
        <v>0</v>
      </c>
      <c r="H489" s="77">
        <f t="shared" si="224"/>
        <v>0</v>
      </c>
      <c r="I489" s="77">
        <f t="shared" si="224"/>
        <v>0</v>
      </c>
      <c r="J489" s="77">
        <f t="shared" si="224"/>
        <v>0</v>
      </c>
      <c r="K489" s="77">
        <f t="shared" si="224"/>
        <v>0</v>
      </c>
      <c r="L489" s="77">
        <f t="shared" si="224"/>
        <v>0</v>
      </c>
      <c r="M489" s="77">
        <f t="shared" si="224"/>
        <v>0</v>
      </c>
      <c r="N489" s="77">
        <f t="shared" si="224"/>
        <v>0</v>
      </c>
      <c r="O489" s="77">
        <f t="shared" si="224"/>
        <v>0</v>
      </c>
      <c r="P489" s="77">
        <f t="shared" si="224"/>
        <v>0</v>
      </c>
      <c r="Q489" s="77">
        <f t="shared" ref="Q489:Z493" si="225">IF(VLOOKUP($E489,$D$6:$AN$1141,3,)=0,0,(VLOOKUP($E489,$D$6:$AN$1141,Q$2,)/VLOOKUP($E489,$D$6:$AN$1141,3,))*$F489)</f>
        <v>0</v>
      </c>
      <c r="R489" s="77">
        <f t="shared" si="225"/>
        <v>0</v>
      </c>
      <c r="S489" s="77">
        <f t="shared" si="225"/>
        <v>0</v>
      </c>
      <c r="T489" s="77">
        <f t="shared" si="225"/>
        <v>0</v>
      </c>
      <c r="U489" s="77">
        <f t="shared" si="225"/>
        <v>0</v>
      </c>
      <c r="V489" s="77">
        <f t="shared" si="225"/>
        <v>0</v>
      </c>
      <c r="W489" s="77">
        <f t="shared" si="225"/>
        <v>0</v>
      </c>
      <c r="X489" s="63">
        <f t="shared" si="225"/>
        <v>0</v>
      </c>
      <c r="Y489" s="63">
        <f t="shared" si="225"/>
        <v>0</v>
      </c>
      <c r="Z489" s="63">
        <f t="shared" si="225"/>
        <v>0</v>
      </c>
      <c r="AA489" s="65">
        <f t="shared" ref="AA489:AA494" si="226">SUM(G489:Z489)</f>
        <v>0</v>
      </c>
      <c r="AB489" s="59" t="str">
        <f t="shared" ref="AB489:AB494" si="227">IF(ABS(F489-AA489)&lt;0.01,"ok","err")</f>
        <v>ok</v>
      </c>
    </row>
    <row r="490" spans="1:28" x14ac:dyDescent="0.25">
      <c r="A490" s="69" t="s">
        <v>630</v>
      </c>
      <c r="C490" s="61" t="s">
        <v>1097</v>
      </c>
      <c r="D490" s="61" t="s">
        <v>553</v>
      </c>
      <c r="E490" s="61" t="s">
        <v>133</v>
      </c>
      <c r="F490" s="80">
        <f>VLOOKUP(C490,'Functional Assignment'!$C$2:$AP$778,'Functional Assignment'!$T$2,)</f>
        <v>1627323.4708356638</v>
      </c>
      <c r="G490" s="80">
        <f t="shared" si="224"/>
        <v>781319.62934301409</v>
      </c>
      <c r="H490" s="80">
        <f t="shared" si="224"/>
        <v>217374.7827896974</v>
      </c>
      <c r="I490" s="80">
        <f t="shared" si="224"/>
        <v>0</v>
      </c>
      <c r="J490" s="80">
        <f t="shared" si="224"/>
        <v>18322.115600475263</v>
      </c>
      <c r="K490" s="80">
        <f t="shared" si="224"/>
        <v>230822.2880947727</v>
      </c>
      <c r="L490" s="80">
        <f t="shared" si="224"/>
        <v>0</v>
      </c>
      <c r="M490" s="80">
        <f t="shared" si="224"/>
        <v>0</v>
      </c>
      <c r="N490" s="80">
        <f t="shared" si="224"/>
        <v>222329.34197131905</v>
      </c>
      <c r="O490" s="80">
        <f t="shared" si="224"/>
        <v>116480.30649620367</v>
      </c>
      <c r="P490" s="80">
        <f t="shared" si="224"/>
        <v>0</v>
      </c>
      <c r="Q490" s="80">
        <f t="shared" si="225"/>
        <v>12904.236314946318</v>
      </c>
      <c r="R490" s="80">
        <f t="shared" si="225"/>
        <v>6649.9504973676294</v>
      </c>
      <c r="S490" s="80">
        <f t="shared" si="225"/>
        <v>20308.995798632324</v>
      </c>
      <c r="T490" s="80">
        <f t="shared" si="225"/>
        <v>587.49367479130194</v>
      </c>
      <c r="U490" s="80">
        <f t="shared" si="225"/>
        <v>224.33025444437064</v>
      </c>
      <c r="V490" s="80">
        <f t="shared" si="225"/>
        <v>0</v>
      </c>
      <c r="W490" s="80">
        <f t="shared" si="225"/>
        <v>0</v>
      </c>
      <c r="X490" s="64">
        <f t="shared" si="225"/>
        <v>0</v>
      </c>
      <c r="Y490" s="64">
        <f t="shared" si="225"/>
        <v>0</v>
      </c>
      <c r="Z490" s="64">
        <f t="shared" si="225"/>
        <v>0</v>
      </c>
      <c r="AA490" s="64">
        <f t="shared" si="226"/>
        <v>1627323.4708356641</v>
      </c>
      <c r="AB490" s="59" t="str">
        <f t="shared" si="227"/>
        <v>ok</v>
      </c>
    </row>
    <row r="491" spans="1:28" x14ac:dyDescent="0.25">
      <c r="A491" s="69" t="s">
        <v>631</v>
      </c>
      <c r="C491" s="61" t="s">
        <v>1097</v>
      </c>
      <c r="D491" s="61" t="s">
        <v>554</v>
      </c>
      <c r="E491" s="61" t="s">
        <v>707</v>
      </c>
      <c r="F491" s="80">
        <f>VLOOKUP(C491,'Functional Assignment'!$C$2:$AP$778,'Functional Assignment'!$U$2,)</f>
        <v>2644278.4381637168</v>
      </c>
      <c r="G491" s="80">
        <f t="shared" si="224"/>
        <v>2275000.3259166321</v>
      </c>
      <c r="H491" s="80">
        <f t="shared" si="224"/>
        <v>280647.22365297086</v>
      </c>
      <c r="I491" s="80">
        <f t="shared" si="224"/>
        <v>0</v>
      </c>
      <c r="J491" s="80">
        <f t="shared" si="224"/>
        <v>459.38107128576428</v>
      </c>
      <c r="K491" s="80">
        <f t="shared" si="224"/>
        <v>17591.777873689782</v>
      </c>
      <c r="L491" s="80">
        <f t="shared" si="224"/>
        <v>0</v>
      </c>
      <c r="M491" s="80">
        <f t="shared" si="224"/>
        <v>0</v>
      </c>
      <c r="N491" s="80">
        <f t="shared" si="224"/>
        <v>690.12042215989254</v>
      </c>
      <c r="O491" s="80">
        <f t="shared" si="224"/>
        <v>2008.4811678361616</v>
      </c>
      <c r="P491" s="80">
        <f t="shared" si="224"/>
        <v>0</v>
      </c>
      <c r="Q491" s="80">
        <f t="shared" si="225"/>
        <v>6.2928913874762227</v>
      </c>
      <c r="R491" s="80">
        <f t="shared" si="225"/>
        <v>12.585782774952445</v>
      </c>
      <c r="S491" s="80">
        <f t="shared" si="225"/>
        <v>67120.387411411328</v>
      </c>
      <c r="T491" s="80">
        <f t="shared" si="225"/>
        <v>109.07678404958786</v>
      </c>
      <c r="U491" s="80">
        <f t="shared" si="225"/>
        <v>632.78518951844251</v>
      </c>
      <c r="V491" s="80">
        <f t="shared" si="225"/>
        <v>0</v>
      </c>
      <c r="W491" s="80">
        <f t="shared" si="225"/>
        <v>0</v>
      </c>
      <c r="X491" s="64">
        <f t="shared" si="225"/>
        <v>0</v>
      </c>
      <c r="Y491" s="64">
        <f t="shared" si="225"/>
        <v>0</v>
      </c>
      <c r="Z491" s="64">
        <f t="shared" si="225"/>
        <v>0</v>
      </c>
      <c r="AA491" s="64">
        <f t="shared" si="226"/>
        <v>2644278.4381637159</v>
      </c>
      <c r="AB491" s="59" t="str">
        <f t="shared" si="227"/>
        <v>ok</v>
      </c>
    </row>
    <row r="492" spans="1:28" x14ac:dyDescent="0.25">
      <c r="A492" s="69" t="s">
        <v>632</v>
      </c>
      <c r="C492" s="61" t="s">
        <v>1097</v>
      </c>
      <c r="D492" s="61" t="s">
        <v>555</v>
      </c>
      <c r="E492" s="61" t="s">
        <v>685</v>
      </c>
      <c r="F492" s="80">
        <f>VLOOKUP(C492,'Functional Assignment'!$C$2:$AP$778,'Functional Assignment'!$V$2,)</f>
        <v>542441.15694522136</v>
      </c>
      <c r="G492" s="80">
        <f t="shared" si="224"/>
        <v>459959.91536696383</v>
      </c>
      <c r="H492" s="80">
        <f t="shared" si="224"/>
        <v>77197.815314043648</v>
      </c>
      <c r="I492" s="80">
        <f t="shared" si="224"/>
        <v>0</v>
      </c>
      <c r="J492" s="80">
        <f t="shared" si="224"/>
        <v>0</v>
      </c>
      <c r="K492" s="80">
        <f t="shared" si="224"/>
        <v>0</v>
      </c>
      <c r="L492" s="80">
        <f t="shared" si="224"/>
        <v>0</v>
      </c>
      <c r="M492" s="80">
        <f t="shared" si="224"/>
        <v>0</v>
      </c>
      <c r="N492" s="80">
        <f t="shared" si="224"/>
        <v>0</v>
      </c>
      <c r="O492" s="80">
        <f t="shared" si="224"/>
        <v>0</v>
      </c>
      <c r="P492" s="80">
        <f t="shared" si="224"/>
        <v>0</v>
      </c>
      <c r="Q492" s="80">
        <f t="shared" si="225"/>
        <v>0</v>
      </c>
      <c r="R492" s="80">
        <f t="shared" si="225"/>
        <v>0</v>
      </c>
      <c r="S492" s="80">
        <f t="shared" si="225"/>
        <v>5080.3464631025809</v>
      </c>
      <c r="T492" s="80">
        <f t="shared" si="225"/>
        <v>146.96302281091252</v>
      </c>
      <c r="U492" s="80">
        <f t="shared" si="225"/>
        <v>56.116778300289475</v>
      </c>
      <c r="V492" s="80">
        <f t="shared" si="225"/>
        <v>0</v>
      </c>
      <c r="W492" s="80">
        <f t="shared" si="225"/>
        <v>0</v>
      </c>
      <c r="X492" s="64">
        <f t="shared" si="225"/>
        <v>0</v>
      </c>
      <c r="Y492" s="64">
        <f t="shared" si="225"/>
        <v>0</v>
      </c>
      <c r="Z492" s="64">
        <f t="shared" si="225"/>
        <v>0</v>
      </c>
      <c r="AA492" s="64">
        <f t="shared" si="226"/>
        <v>542441.15694522124</v>
      </c>
      <c r="AB492" s="59" t="str">
        <f t="shared" si="227"/>
        <v>ok</v>
      </c>
    </row>
    <row r="493" spans="1:28" x14ac:dyDescent="0.25">
      <c r="A493" s="69" t="s">
        <v>633</v>
      </c>
      <c r="C493" s="61" t="s">
        <v>1097</v>
      </c>
      <c r="D493" s="61" t="s">
        <v>556</v>
      </c>
      <c r="E493" s="61" t="s">
        <v>706</v>
      </c>
      <c r="F493" s="80">
        <f>VLOOKUP(C493,'Functional Assignment'!$C$2:$AP$778,'Functional Assignment'!$W$2,)</f>
        <v>881426.14605457243</v>
      </c>
      <c r="G493" s="80">
        <f t="shared" si="224"/>
        <v>764336.67994861095</v>
      </c>
      <c r="H493" s="80">
        <f t="shared" si="224"/>
        <v>94289.642388195309</v>
      </c>
      <c r="I493" s="80">
        <f t="shared" si="224"/>
        <v>0</v>
      </c>
      <c r="J493" s="80">
        <f t="shared" si="224"/>
        <v>0</v>
      </c>
      <c r="K493" s="80">
        <f t="shared" si="224"/>
        <v>0</v>
      </c>
      <c r="L493" s="80">
        <f t="shared" si="224"/>
        <v>0</v>
      </c>
      <c r="M493" s="80">
        <f t="shared" si="224"/>
        <v>0</v>
      </c>
      <c r="N493" s="80">
        <f t="shared" si="224"/>
        <v>0</v>
      </c>
      <c r="O493" s="80">
        <f t="shared" si="224"/>
        <v>0</v>
      </c>
      <c r="P493" s="80">
        <f t="shared" si="224"/>
        <v>0</v>
      </c>
      <c r="Q493" s="80">
        <f t="shared" si="225"/>
        <v>0</v>
      </c>
      <c r="R493" s="80">
        <f t="shared" si="225"/>
        <v>0</v>
      </c>
      <c r="S493" s="80">
        <f t="shared" si="225"/>
        <v>22550.57877859076</v>
      </c>
      <c r="T493" s="80">
        <f t="shared" si="225"/>
        <v>36.646758257646397</v>
      </c>
      <c r="U493" s="80">
        <f t="shared" si="225"/>
        <v>212.59818091775637</v>
      </c>
      <c r="V493" s="80">
        <f t="shared" si="225"/>
        <v>0</v>
      </c>
      <c r="W493" s="80">
        <f t="shared" si="225"/>
        <v>0</v>
      </c>
      <c r="X493" s="64">
        <f t="shared" si="225"/>
        <v>0</v>
      </c>
      <c r="Y493" s="64">
        <f t="shared" si="225"/>
        <v>0</v>
      </c>
      <c r="Z493" s="64">
        <f t="shared" si="225"/>
        <v>0</v>
      </c>
      <c r="AA493" s="64">
        <f t="shared" si="226"/>
        <v>881426.14605457243</v>
      </c>
      <c r="AB493" s="59" t="str">
        <f t="shared" si="227"/>
        <v>ok</v>
      </c>
    </row>
    <row r="494" spans="1:28" x14ac:dyDescent="0.25">
      <c r="A494" s="61" t="s">
        <v>383</v>
      </c>
      <c r="D494" s="61" t="s">
        <v>557</v>
      </c>
      <c r="F494" s="77">
        <f>SUM(F489:F493)</f>
        <v>5695469.2119991742</v>
      </c>
      <c r="G494" s="77">
        <f t="shared" ref="G494:W494" si="228">SUM(G489:G493)</f>
        <v>4280616.550575221</v>
      </c>
      <c r="H494" s="77">
        <f t="shared" si="228"/>
        <v>669509.46414490719</v>
      </c>
      <c r="I494" s="77">
        <f t="shared" si="228"/>
        <v>0</v>
      </c>
      <c r="J494" s="77">
        <f t="shared" si="228"/>
        <v>18781.496671761026</v>
      </c>
      <c r="K494" s="77">
        <f t="shared" si="228"/>
        <v>248414.06596846247</v>
      </c>
      <c r="L494" s="77">
        <f t="shared" si="228"/>
        <v>0</v>
      </c>
      <c r="M494" s="77">
        <f t="shared" si="228"/>
        <v>0</v>
      </c>
      <c r="N494" s="77">
        <f t="shared" si="228"/>
        <v>223019.46239347896</v>
      </c>
      <c r="O494" s="77">
        <f>SUM(O489:O493)</f>
        <v>118488.78766403983</v>
      </c>
      <c r="P494" s="77">
        <f t="shared" si="228"/>
        <v>0</v>
      </c>
      <c r="Q494" s="77">
        <f t="shared" si="228"/>
        <v>12910.529206333795</v>
      </c>
      <c r="R494" s="77">
        <f t="shared" si="228"/>
        <v>6662.5362801425817</v>
      </c>
      <c r="S494" s="77">
        <f t="shared" si="228"/>
        <v>115060.308451737</v>
      </c>
      <c r="T494" s="77">
        <f t="shared" si="228"/>
        <v>880.1802399094488</v>
      </c>
      <c r="U494" s="77">
        <f t="shared" si="228"/>
        <v>1125.8304031808591</v>
      </c>
      <c r="V494" s="77">
        <f t="shared" si="228"/>
        <v>0</v>
      </c>
      <c r="W494" s="77">
        <f t="shared" si="228"/>
        <v>0</v>
      </c>
      <c r="X494" s="63">
        <f>SUM(X489:X493)</f>
        <v>0</v>
      </c>
      <c r="Y494" s="63">
        <f>SUM(Y489:Y493)</f>
        <v>0</v>
      </c>
      <c r="Z494" s="63">
        <f>SUM(Z489:Z493)</f>
        <v>0</v>
      </c>
      <c r="AA494" s="65">
        <f t="shared" si="226"/>
        <v>5695469.2119991733</v>
      </c>
      <c r="AB494" s="59" t="str">
        <f t="shared" si="227"/>
        <v>ok</v>
      </c>
    </row>
    <row r="495" spans="1:28" x14ac:dyDescent="0.25">
      <c r="F495" s="80"/>
    </row>
    <row r="496" spans="1:28" x14ac:dyDescent="0.25">
      <c r="A496" s="66" t="s">
        <v>640</v>
      </c>
      <c r="F496" s="80"/>
    </row>
    <row r="497" spans="1:28" x14ac:dyDescent="0.25">
      <c r="A497" s="69" t="s">
        <v>1113</v>
      </c>
      <c r="C497" s="61" t="s">
        <v>1097</v>
      </c>
      <c r="D497" s="61" t="s">
        <v>558</v>
      </c>
      <c r="E497" s="61" t="s">
        <v>1379</v>
      </c>
      <c r="F497" s="77">
        <f>VLOOKUP(C497,'Functional Assignment'!$C$2:$AP$778,'Functional Assignment'!$X$2,)</f>
        <v>672406.44803047192</v>
      </c>
      <c r="G497" s="77">
        <f t="shared" ref="G497:P498" si="229">IF(VLOOKUP($E497,$D$6:$AN$1141,3,)=0,0,(VLOOKUP($E497,$D$6:$AN$1141,G$2,)/VLOOKUP($E497,$D$6:$AN$1141,3,))*$F497)</f>
        <v>474752.36232513236</v>
      </c>
      <c r="H497" s="77">
        <f t="shared" si="229"/>
        <v>79680.519893655583</v>
      </c>
      <c r="I497" s="77">
        <f t="shared" si="229"/>
        <v>0</v>
      </c>
      <c r="J497" s="77">
        <f t="shared" si="229"/>
        <v>0</v>
      </c>
      <c r="K497" s="77">
        <f t="shared" si="229"/>
        <v>73959.963599566036</v>
      </c>
      <c r="L497" s="77">
        <f t="shared" si="229"/>
        <v>0</v>
      </c>
      <c r="M497" s="77">
        <f t="shared" si="229"/>
        <v>0</v>
      </c>
      <c r="N497" s="77">
        <f t="shared" si="229"/>
        <v>0</v>
      </c>
      <c r="O497" s="77">
        <f t="shared" si="229"/>
        <v>38560.259396136018</v>
      </c>
      <c r="P497" s="77">
        <f t="shared" si="229"/>
        <v>0</v>
      </c>
      <c r="Q497" s="77">
        <f t="shared" ref="Q497:Z498" si="230">IF(VLOOKUP($E497,$D$6:$AN$1141,3,)=0,0,(VLOOKUP($E497,$D$6:$AN$1141,Q$2,)/VLOOKUP($E497,$D$6:$AN$1141,3,))*$F497)</f>
        <v>0</v>
      </c>
      <c r="R497" s="77">
        <f t="shared" si="230"/>
        <v>0</v>
      </c>
      <c r="S497" s="77">
        <f t="shared" si="230"/>
        <v>5243.7319083855837</v>
      </c>
      <c r="T497" s="77">
        <f t="shared" si="230"/>
        <v>151.68939710378567</v>
      </c>
      <c r="U497" s="77">
        <f t="shared" si="230"/>
        <v>57.921510492676411</v>
      </c>
      <c r="V497" s="77">
        <f t="shared" si="230"/>
        <v>0</v>
      </c>
      <c r="W497" s="77">
        <f t="shared" si="230"/>
        <v>0</v>
      </c>
      <c r="X497" s="63">
        <f t="shared" si="230"/>
        <v>0</v>
      </c>
      <c r="Y497" s="63">
        <f t="shared" si="230"/>
        <v>0</v>
      </c>
      <c r="Z497" s="63">
        <f t="shared" si="230"/>
        <v>0</v>
      </c>
      <c r="AA497" s="65">
        <f>SUM(G497:Z497)</f>
        <v>672406.44803047192</v>
      </c>
      <c r="AB497" s="59" t="str">
        <f>IF(ABS(F497-AA497)&lt;0.01,"ok","err")</f>
        <v>ok</v>
      </c>
    </row>
    <row r="498" spans="1:28" x14ac:dyDescent="0.25">
      <c r="A498" s="69" t="s">
        <v>1116</v>
      </c>
      <c r="C498" s="61" t="s">
        <v>1097</v>
      </c>
      <c r="D498" s="61" t="s">
        <v>559</v>
      </c>
      <c r="E498" s="61" t="s">
        <v>1377</v>
      </c>
      <c r="F498" s="80">
        <f>VLOOKUP(C498,'Functional Assignment'!$C$2:$AP$778,'Functional Assignment'!$Y$2,)</f>
        <v>510296.07665196335</v>
      </c>
      <c r="G498" s="80">
        <f t="shared" si="229"/>
        <v>439226.4095038696</v>
      </c>
      <c r="H498" s="80">
        <f t="shared" si="229"/>
        <v>54183.584493623064</v>
      </c>
      <c r="I498" s="80">
        <f t="shared" si="229"/>
        <v>0</v>
      </c>
      <c r="J498" s="80">
        <f t="shared" si="229"/>
        <v>0</v>
      </c>
      <c r="K498" s="80">
        <f t="shared" si="229"/>
        <v>3396.383439697815</v>
      </c>
      <c r="L498" s="80">
        <f t="shared" si="229"/>
        <v>0</v>
      </c>
      <c r="M498" s="80">
        <f t="shared" si="229"/>
        <v>0</v>
      </c>
      <c r="N498" s="80">
        <f t="shared" si="229"/>
        <v>0</v>
      </c>
      <c r="O498" s="80">
        <f t="shared" si="229"/>
        <v>387.77048154899637</v>
      </c>
      <c r="P498" s="80">
        <f t="shared" si="229"/>
        <v>0</v>
      </c>
      <c r="Q498" s="80">
        <f t="shared" si="230"/>
        <v>0</v>
      </c>
      <c r="R498" s="80">
        <f t="shared" si="230"/>
        <v>0</v>
      </c>
      <c r="S498" s="80">
        <f t="shared" si="230"/>
        <v>12958.700019238266</v>
      </c>
      <c r="T498" s="80">
        <f t="shared" si="230"/>
        <v>21.059075760363243</v>
      </c>
      <c r="U498" s="80">
        <f t="shared" si="230"/>
        <v>122.16963822518422</v>
      </c>
      <c r="V498" s="80">
        <f t="shared" si="230"/>
        <v>0</v>
      </c>
      <c r="W498" s="80">
        <f t="shared" si="230"/>
        <v>0</v>
      </c>
      <c r="X498" s="64">
        <f t="shared" si="230"/>
        <v>0</v>
      </c>
      <c r="Y498" s="64">
        <f t="shared" si="230"/>
        <v>0</v>
      </c>
      <c r="Z498" s="64">
        <f t="shared" si="230"/>
        <v>0</v>
      </c>
      <c r="AA498" s="64">
        <f>SUM(G498:Z498)</f>
        <v>510296.07665196323</v>
      </c>
      <c r="AB498" s="59" t="str">
        <f>IF(ABS(F498-AA498)&lt;0.01,"ok","err")</f>
        <v>ok</v>
      </c>
    </row>
    <row r="499" spans="1:28" x14ac:dyDescent="0.25">
      <c r="A499" s="61" t="s">
        <v>721</v>
      </c>
      <c r="D499" s="61" t="s">
        <v>560</v>
      </c>
      <c r="F499" s="77">
        <f>F497+F498</f>
        <v>1182702.5246824352</v>
      </c>
      <c r="G499" s="77">
        <f t="shared" ref="G499:W499" si="231">G497+G498</f>
        <v>913978.77182900195</v>
      </c>
      <c r="H499" s="77">
        <f t="shared" si="231"/>
        <v>133864.10438727864</v>
      </c>
      <c r="I499" s="77">
        <f t="shared" si="231"/>
        <v>0</v>
      </c>
      <c r="J499" s="77">
        <f t="shared" si="231"/>
        <v>0</v>
      </c>
      <c r="K499" s="77">
        <f t="shared" si="231"/>
        <v>77356.347039263856</v>
      </c>
      <c r="L499" s="77">
        <f t="shared" si="231"/>
        <v>0</v>
      </c>
      <c r="M499" s="77">
        <f t="shared" si="231"/>
        <v>0</v>
      </c>
      <c r="N499" s="77">
        <f t="shared" si="231"/>
        <v>0</v>
      </c>
      <c r="O499" s="77">
        <f>O497+O498</f>
        <v>38948.029877685018</v>
      </c>
      <c r="P499" s="77">
        <f t="shared" si="231"/>
        <v>0</v>
      </c>
      <c r="Q499" s="77">
        <f t="shared" si="231"/>
        <v>0</v>
      </c>
      <c r="R499" s="77">
        <f t="shared" si="231"/>
        <v>0</v>
      </c>
      <c r="S499" s="77">
        <f t="shared" si="231"/>
        <v>18202.431927623849</v>
      </c>
      <c r="T499" s="77">
        <f t="shared" si="231"/>
        <v>172.74847286414891</v>
      </c>
      <c r="U499" s="77">
        <f t="shared" si="231"/>
        <v>180.09114871786062</v>
      </c>
      <c r="V499" s="77">
        <f t="shared" si="231"/>
        <v>0</v>
      </c>
      <c r="W499" s="77">
        <f t="shared" si="231"/>
        <v>0</v>
      </c>
      <c r="X499" s="63">
        <f>X497+X498</f>
        <v>0</v>
      </c>
      <c r="Y499" s="63">
        <f>Y497+Y498</f>
        <v>0</v>
      </c>
      <c r="Z499" s="63">
        <f>Z497+Z498</f>
        <v>0</v>
      </c>
      <c r="AA499" s="65">
        <f>SUM(G499:Z499)</f>
        <v>1182702.5246824352</v>
      </c>
      <c r="AB499" s="59" t="str">
        <f>IF(ABS(F499-AA499)&lt;0.01,"ok","err")</f>
        <v>ok</v>
      </c>
    </row>
    <row r="500" spans="1:28" x14ac:dyDescent="0.25">
      <c r="F500" s="80"/>
    </row>
    <row r="501" spans="1:28" x14ac:dyDescent="0.25">
      <c r="A501" s="66" t="s">
        <v>356</v>
      </c>
      <c r="F501" s="80"/>
    </row>
    <row r="502" spans="1:28" x14ac:dyDescent="0.25">
      <c r="A502" s="69" t="s">
        <v>1116</v>
      </c>
      <c r="C502" s="61" t="s">
        <v>1097</v>
      </c>
      <c r="D502" s="61" t="s">
        <v>561</v>
      </c>
      <c r="E502" s="61" t="s">
        <v>1118</v>
      </c>
      <c r="F502" s="77">
        <f>VLOOKUP(C502,'Functional Assignment'!$C$2:$AP$778,'Functional Assignment'!$Z$2,)</f>
        <v>242170.12239850126</v>
      </c>
      <c r="G502" s="77">
        <f t="shared" ref="G502:Z502" si="232">IF(VLOOKUP($E502,$D$6:$AN$1141,3,)=0,0,(VLOOKUP($E502,$D$6:$AN$1141,G$2,)/VLOOKUP($E502,$D$6:$AN$1141,3,))*$F502)</f>
        <v>195509.83106799019</v>
      </c>
      <c r="H502" s="77">
        <f t="shared" si="232"/>
        <v>41746.176775673142</v>
      </c>
      <c r="I502" s="77">
        <f t="shared" si="232"/>
        <v>0</v>
      </c>
      <c r="J502" s="77">
        <f t="shared" si="232"/>
        <v>0</v>
      </c>
      <c r="K502" s="77">
        <f t="shared" si="232"/>
        <v>4176.602523660471</v>
      </c>
      <c r="L502" s="77">
        <f t="shared" si="232"/>
        <v>0</v>
      </c>
      <c r="M502" s="77">
        <f t="shared" si="232"/>
        <v>0</v>
      </c>
      <c r="N502" s="77">
        <f t="shared" si="232"/>
        <v>0</v>
      </c>
      <c r="O502" s="77">
        <f t="shared" si="232"/>
        <v>737.51203117746763</v>
      </c>
      <c r="P502" s="77">
        <f t="shared" si="232"/>
        <v>0</v>
      </c>
      <c r="Q502" s="77">
        <f t="shared" si="232"/>
        <v>0</v>
      </c>
      <c r="R502" s="77">
        <f t="shared" si="232"/>
        <v>0</v>
      </c>
      <c r="S502" s="77">
        <f t="shared" si="232"/>
        <v>0</v>
      </c>
      <c r="T502" s="77">
        <f t="shared" si="232"/>
        <v>0</v>
      </c>
      <c r="U502" s="77">
        <f t="shared" si="232"/>
        <v>0</v>
      </c>
      <c r="V502" s="77">
        <f t="shared" si="232"/>
        <v>0</v>
      </c>
      <c r="W502" s="77">
        <f t="shared" si="232"/>
        <v>0</v>
      </c>
      <c r="X502" s="63">
        <f t="shared" si="232"/>
        <v>0</v>
      </c>
      <c r="Y502" s="63">
        <f t="shared" si="232"/>
        <v>0</v>
      </c>
      <c r="Z502" s="63">
        <f t="shared" si="232"/>
        <v>0</v>
      </c>
      <c r="AA502" s="65">
        <f>SUM(G502:Z502)</f>
        <v>242170.12239850126</v>
      </c>
      <c r="AB502" s="59" t="str">
        <f>IF(ABS(F502-AA502)&lt;0.01,"ok","err")</f>
        <v>ok</v>
      </c>
    </row>
    <row r="503" spans="1:28" x14ac:dyDescent="0.25">
      <c r="F503" s="80"/>
    </row>
    <row r="504" spans="1:28" x14ac:dyDescent="0.25">
      <c r="A504" s="66" t="s">
        <v>355</v>
      </c>
      <c r="F504" s="80"/>
    </row>
    <row r="505" spans="1:28" x14ac:dyDescent="0.25">
      <c r="A505" s="69" t="s">
        <v>1116</v>
      </c>
      <c r="C505" s="61" t="s">
        <v>1097</v>
      </c>
      <c r="D505" s="61" t="s">
        <v>562</v>
      </c>
      <c r="E505" s="61" t="s">
        <v>1119</v>
      </c>
      <c r="F505" s="77">
        <f>VLOOKUP(C505,'Functional Assignment'!$C$2:$AP$778,'Functional Assignment'!$AA$2,)</f>
        <v>319826.03683591523</v>
      </c>
      <c r="G505" s="77">
        <f t="shared" ref="G505:Z505" si="233">IF(VLOOKUP($E505,$D$6:$AN$1141,3,)=0,0,(VLOOKUP($E505,$D$6:$AN$1141,G$2,)/VLOOKUP($E505,$D$6:$AN$1141,3,))*$F505)</f>
        <v>219093.78402467075</v>
      </c>
      <c r="H505" s="77">
        <f t="shared" si="233"/>
        <v>71707.077887743304</v>
      </c>
      <c r="I505" s="77">
        <f t="shared" si="233"/>
        <v>0</v>
      </c>
      <c r="J505" s="77">
        <f t="shared" si="233"/>
        <v>2602.5837820995766</v>
      </c>
      <c r="K505" s="77">
        <f t="shared" si="233"/>
        <v>16877.831129412458</v>
      </c>
      <c r="L505" s="77">
        <f t="shared" si="233"/>
        <v>0</v>
      </c>
      <c r="M505" s="77">
        <f t="shared" si="233"/>
        <v>0</v>
      </c>
      <c r="N505" s="77">
        <f t="shared" si="233"/>
        <v>3738.5794933693392</v>
      </c>
      <c r="O505" s="77">
        <f t="shared" si="233"/>
        <v>2116.1990730726916</v>
      </c>
      <c r="P505" s="77">
        <f t="shared" si="233"/>
        <v>2944.7054768305293</v>
      </c>
      <c r="Q505" s="77">
        <f t="shared" si="233"/>
        <v>34.090390517045641</v>
      </c>
      <c r="R505" s="77">
        <f t="shared" si="233"/>
        <v>68.180781034091282</v>
      </c>
      <c r="S505" s="77">
        <f t="shared" si="233"/>
        <v>0</v>
      </c>
      <c r="T505" s="77">
        <f t="shared" si="233"/>
        <v>94.54170439001345</v>
      </c>
      <c r="U505" s="77">
        <f t="shared" si="233"/>
        <v>548.46309277539865</v>
      </c>
      <c r="V505" s="77">
        <f t="shared" si="233"/>
        <v>0</v>
      </c>
      <c r="W505" s="77">
        <f t="shared" si="233"/>
        <v>0</v>
      </c>
      <c r="X505" s="63">
        <f t="shared" si="233"/>
        <v>0</v>
      </c>
      <c r="Y505" s="63">
        <f t="shared" si="233"/>
        <v>0</v>
      </c>
      <c r="Z505" s="63">
        <f t="shared" si="233"/>
        <v>0</v>
      </c>
      <c r="AA505" s="65">
        <f>SUM(G505:Z505)</f>
        <v>319826.03683591523</v>
      </c>
      <c r="AB505" s="59" t="str">
        <f>IF(ABS(F505-AA505)&lt;0.01,"ok","err")</f>
        <v>ok</v>
      </c>
    </row>
    <row r="506" spans="1:28" x14ac:dyDescent="0.25"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63"/>
      <c r="Y506" s="63"/>
      <c r="Z506" s="63"/>
      <c r="AA506" s="65"/>
    </row>
    <row r="507" spans="1:28" x14ac:dyDescent="0.25">
      <c r="A507" s="66" t="s">
        <v>376</v>
      </c>
      <c r="F507" s="80"/>
    </row>
    <row r="508" spans="1:28" x14ac:dyDescent="0.25">
      <c r="A508" s="69" t="s">
        <v>1116</v>
      </c>
      <c r="C508" s="61" t="s">
        <v>1097</v>
      </c>
      <c r="D508" s="61" t="s">
        <v>563</v>
      </c>
      <c r="E508" s="61" t="s">
        <v>1120</v>
      </c>
      <c r="F508" s="77">
        <f>VLOOKUP(C508,'Functional Assignment'!$C$2:$AP$778,'Functional Assignment'!$AB$2,)</f>
        <v>754096.30996026448</v>
      </c>
      <c r="G508" s="77">
        <f t="shared" ref="G508:Z508" si="234">IF(VLOOKUP($E508,$D$6:$AN$1141,3,)=0,0,(VLOOKUP($E508,$D$6:$AN$1141,G$2,)/VLOOKUP($E508,$D$6:$AN$1141,3,))*$F508)</f>
        <v>0</v>
      </c>
      <c r="H508" s="77">
        <f t="shared" si="234"/>
        <v>0</v>
      </c>
      <c r="I508" s="77">
        <f t="shared" si="234"/>
        <v>0</v>
      </c>
      <c r="J508" s="77">
        <f t="shared" si="234"/>
        <v>0</v>
      </c>
      <c r="K508" s="77">
        <f t="shared" si="234"/>
        <v>0</v>
      </c>
      <c r="L508" s="77">
        <f t="shared" si="234"/>
        <v>0</v>
      </c>
      <c r="M508" s="77">
        <f t="shared" si="234"/>
        <v>0</v>
      </c>
      <c r="N508" s="77">
        <f t="shared" si="234"/>
        <v>0</v>
      </c>
      <c r="O508" s="77">
        <f t="shared" si="234"/>
        <v>0</v>
      </c>
      <c r="P508" s="77">
        <f t="shared" si="234"/>
        <v>0</v>
      </c>
      <c r="Q508" s="77">
        <f t="shared" si="234"/>
        <v>0</v>
      </c>
      <c r="R508" s="77">
        <f t="shared" si="234"/>
        <v>0</v>
      </c>
      <c r="S508" s="77">
        <f t="shared" si="234"/>
        <v>754096.30996026448</v>
      </c>
      <c r="T508" s="77">
        <f t="shared" si="234"/>
        <v>0</v>
      </c>
      <c r="U508" s="77">
        <f t="shared" si="234"/>
        <v>0</v>
      </c>
      <c r="V508" s="77">
        <f t="shared" si="234"/>
        <v>0</v>
      </c>
      <c r="W508" s="77">
        <f t="shared" si="234"/>
        <v>0</v>
      </c>
      <c r="X508" s="63">
        <f t="shared" si="234"/>
        <v>0</v>
      </c>
      <c r="Y508" s="63">
        <f t="shared" si="234"/>
        <v>0</v>
      </c>
      <c r="Z508" s="63">
        <f t="shared" si="234"/>
        <v>0</v>
      </c>
      <c r="AA508" s="65">
        <f>SUM(G508:Z508)</f>
        <v>754096.30996026448</v>
      </c>
      <c r="AB508" s="59" t="str">
        <f>IF(ABS(F508-AA508)&lt;0.01,"ok","err")</f>
        <v>ok</v>
      </c>
    </row>
    <row r="509" spans="1:28" x14ac:dyDescent="0.25"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63"/>
      <c r="Y509" s="63"/>
      <c r="Z509" s="63"/>
      <c r="AA509" s="65"/>
    </row>
    <row r="510" spans="1:28" x14ac:dyDescent="0.25">
      <c r="A510" s="66" t="s">
        <v>1047</v>
      </c>
      <c r="F510" s="80"/>
    </row>
    <row r="511" spans="1:28" x14ac:dyDescent="0.25">
      <c r="A511" s="69" t="s">
        <v>1116</v>
      </c>
      <c r="C511" s="61" t="s">
        <v>1097</v>
      </c>
      <c r="D511" s="61" t="s">
        <v>564</v>
      </c>
      <c r="E511" s="61" t="s">
        <v>1121</v>
      </c>
      <c r="F511" s="77">
        <f>VLOOKUP(C511,'Functional Assignment'!$C$2:$AP$778,'Functional Assignment'!$AC$2,)</f>
        <v>0</v>
      </c>
      <c r="G511" s="77">
        <f t="shared" ref="G511:Z511" si="235">IF(VLOOKUP($E511,$D$6:$AN$1141,3,)=0,0,(VLOOKUP($E511,$D$6:$AN$1141,G$2,)/VLOOKUP($E511,$D$6:$AN$1141,3,))*$F511)</f>
        <v>0</v>
      </c>
      <c r="H511" s="77">
        <f t="shared" si="235"/>
        <v>0</v>
      </c>
      <c r="I511" s="77">
        <f t="shared" si="235"/>
        <v>0</v>
      </c>
      <c r="J511" s="77">
        <f t="shared" si="235"/>
        <v>0</v>
      </c>
      <c r="K511" s="77">
        <f t="shared" si="235"/>
        <v>0</v>
      </c>
      <c r="L511" s="77">
        <f t="shared" si="235"/>
        <v>0</v>
      </c>
      <c r="M511" s="77">
        <f t="shared" si="235"/>
        <v>0</v>
      </c>
      <c r="N511" s="77">
        <f t="shared" si="235"/>
        <v>0</v>
      </c>
      <c r="O511" s="77">
        <f t="shared" si="235"/>
        <v>0</v>
      </c>
      <c r="P511" s="77">
        <f t="shared" si="235"/>
        <v>0</v>
      </c>
      <c r="Q511" s="77">
        <f t="shared" si="235"/>
        <v>0</v>
      </c>
      <c r="R511" s="77">
        <f t="shared" si="235"/>
        <v>0</v>
      </c>
      <c r="S511" s="77">
        <f t="shared" si="235"/>
        <v>0</v>
      </c>
      <c r="T511" s="77">
        <f t="shared" si="235"/>
        <v>0</v>
      </c>
      <c r="U511" s="77">
        <f t="shared" si="235"/>
        <v>0</v>
      </c>
      <c r="V511" s="77">
        <f t="shared" si="235"/>
        <v>0</v>
      </c>
      <c r="W511" s="77">
        <f t="shared" si="235"/>
        <v>0</v>
      </c>
      <c r="X511" s="63">
        <f t="shared" si="235"/>
        <v>0</v>
      </c>
      <c r="Y511" s="63">
        <f t="shared" si="235"/>
        <v>0</v>
      </c>
      <c r="Z511" s="63">
        <f t="shared" si="235"/>
        <v>0</v>
      </c>
      <c r="AA511" s="65">
        <f>SUM(G511:Z511)</f>
        <v>0</v>
      </c>
      <c r="AB511" s="59" t="str">
        <f>IF(ABS(F511-AA511)&lt;0.01,"ok","err")</f>
        <v>ok</v>
      </c>
    </row>
    <row r="512" spans="1:28" x14ac:dyDescent="0.25"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63"/>
      <c r="Y512" s="63"/>
      <c r="Z512" s="63"/>
      <c r="AA512" s="65"/>
    </row>
    <row r="513" spans="1:28" x14ac:dyDescent="0.25">
      <c r="A513" s="66" t="s">
        <v>353</v>
      </c>
      <c r="F513" s="80"/>
    </row>
    <row r="514" spans="1:28" x14ac:dyDescent="0.25">
      <c r="A514" s="69" t="s">
        <v>1116</v>
      </c>
      <c r="C514" s="61" t="s">
        <v>1097</v>
      </c>
      <c r="D514" s="61" t="s">
        <v>565</v>
      </c>
      <c r="E514" s="61" t="s">
        <v>1121</v>
      </c>
      <c r="F514" s="77">
        <f>VLOOKUP(C514,'Functional Assignment'!$C$2:$AP$778,'Functional Assignment'!$AD$2,)</f>
        <v>0</v>
      </c>
      <c r="G514" s="77">
        <f t="shared" ref="G514:Z514" si="236">IF(VLOOKUP($E514,$D$6:$AN$1141,3,)=0,0,(VLOOKUP($E514,$D$6:$AN$1141,G$2,)/VLOOKUP($E514,$D$6:$AN$1141,3,))*$F514)</f>
        <v>0</v>
      </c>
      <c r="H514" s="77">
        <f t="shared" si="236"/>
        <v>0</v>
      </c>
      <c r="I514" s="77">
        <f t="shared" si="236"/>
        <v>0</v>
      </c>
      <c r="J514" s="77">
        <f t="shared" si="236"/>
        <v>0</v>
      </c>
      <c r="K514" s="77">
        <f t="shared" si="236"/>
        <v>0</v>
      </c>
      <c r="L514" s="77">
        <f t="shared" si="236"/>
        <v>0</v>
      </c>
      <c r="M514" s="77">
        <f t="shared" si="236"/>
        <v>0</v>
      </c>
      <c r="N514" s="77">
        <f t="shared" si="236"/>
        <v>0</v>
      </c>
      <c r="O514" s="77">
        <f t="shared" si="236"/>
        <v>0</v>
      </c>
      <c r="P514" s="77">
        <f t="shared" si="236"/>
        <v>0</v>
      </c>
      <c r="Q514" s="77">
        <f t="shared" si="236"/>
        <v>0</v>
      </c>
      <c r="R514" s="77">
        <f t="shared" si="236"/>
        <v>0</v>
      </c>
      <c r="S514" s="77">
        <f t="shared" si="236"/>
        <v>0</v>
      </c>
      <c r="T514" s="77">
        <f t="shared" si="236"/>
        <v>0</v>
      </c>
      <c r="U514" s="77">
        <f t="shared" si="236"/>
        <v>0</v>
      </c>
      <c r="V514" s="77">
        <f t="shared" si="236"/>
        <v>0</v>
      </c>
      <c r="W514" s="77">
        <f t="shared" si="236"/>
        <v>0</v>
      </c>
      <c r="X514" s="63">
        <f t="shared" si="236"/>
        <v>0</v>
      </c>
      <c r="Y514" s="63">
        <f t="shared" si="236"/>
        <v>0</v>
      </c>
      <c r="Z514" s="63">
        <f t="shared" si="236"/>
        <v>0</v>
      </c>
      <c r="AA514" s="65">
        <f>SUM(G514:Z514)</f>
        <v>0</v>
      </c>
      <c r="AB514" s="59" t="str">
        <f>IF(ABS(F514-AA514)&lt;0.01,"ok","err")</f>
        <v>ok</v>
      </c>
    </row>
    <row r="515" spans="1:28" x14ac:dyDescent="0.25"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63"/>
      <c r="Y515" s="63"/>
      <c r="Z515" s="63"/>
      <c r="AA515" s="65"/>
    </row>
    <row r="516" spans="1:28" x14ac:dyDescent="0.25">
      <c r="A516" s="66" t="s">
        <v>352</v>
      </c>
      <c r="F516" s="80"/>
    </row>
    <row r="517" spans="1:28" x14ac:dyDescent="0.25">
      <c r="A517" s="69" t="s">
        <v>1116</v>
      </c>
      <c r="C517" s="61" t="s">
        <v>1097</v>
      </c>
      <c r="D517" s="61" t="s">
        <v>566</v>
      </c>
      <c r="E517" s="61" t="s">
        <v>1122</v>
      </c>
      <c r="F517" s="77">
        <f>VLOOKUP(C517,'Functional Assignment'!$C$2:$AP$778,'Functional Assignment'!$AE$2,)</f>
        <v>0</v>
      </c>
      <c r="G517" s="77">
        <f t="shared" ref="G517:Z517" si="237">IF(VLOOKUP($E517,$D$6:$AN$1141,3,)=0,0,(VLOOKUP($E517,$D$6:$AN$1141,G$2,)/VLOOKUP($E517,$D$6:$AN$1141,3,))*$F517)</f>
        <v>0</v>
      </c>
      <c r="H517" s="77">
        <f t="shared" si="237"/>
        <v>0</v>
      </c>
      <c r="I517" s="77">
        <f t="shared" si="237"/>
        <v>0</v>
      </c>
      <c r="J517" s="77">
        <f t="shared" si="237"/>
        <v>0</v>
      </c>
      <c r="K517" s="77">
        <f t="shared" si="237"/>
        <v>0</v>
      </c>
      <c r="L517" s="77">
        <f t="shared" si="237"/>
        <v>0</v>
      </c>
      <c r="M517" s="77">
        <f t="shared" si="237"/>
        <v>0</v>
      </c>
      <c r="N517" s="77">
        <f t="shared" si="237"/>
        <v>0</v>
      </c>
      <c r="O517" s="77">
        <f t="shared" si="237"/>
        <v>0</v>
      </c>
      <c r="P517" s="77">
        <f t="shared" si="237"/>
        <v>0</v>
      </c>
      <c r="Q517" s="77">
        <f t="shared" si="237"/>
        <v>0</v>
      </c>
      <c r="R517" s="77">
        <f t="shared" si="237"/>
        <v>0</v>
      </c>
      <c r="S517" s="77">
        <f t="shared" si="237"/>
        <v>0</v>
      </c>
      <c r="T517" s="77">
        <f t="shared" si="237"/>
        <v>0</v>
      </c>
      <c r="U517" s="77">
        <f t="shared" si="237"/>
        <v>0</v>
      </c>
      <c r="V517" s="77">
        <f t="shared" si="237"/>
        <v>0</v>
      </c>
      <c r="W517" s="77">
        <f t="shared" si="237"/>
        <v>0</v>
      </c>
      <c r="X517" s="63">
        <f t="shared" si="237"/>
        <v>0</v>
      </c>
      <c r="Y517" s="63">
        <f t="shared" si="237"/>
        <v>0</v>
      </c>
      <c r="Z517" s="63">
        <f t="shared" si="237"/>
        <v>0</v>
      </c>
      <c r="AA517" s="65">
        <f>SUM(G517:Z517)</f>
        <v>0</v>
      </c>
      <c r="AB517" s="59" t="str">
        <f>IF(ABS(F517-AA517)&lt;0.01,"ok","err")</f>
        <v>ok</v>
      </c>
    </row>
    <row r="518" spans="1:28" x14ac:dyDescent="0.25"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63"/>
      <c r="Y518" s="63"/>
      <c r="Z518" s="63"/>
      <c r="AA518" s="65"/>
    </row>
    <row r="519" spans="1:28" x14ac:dyDescent="0.25">
      <c r="A519" s="61" t="s">
        <v>944</v>
      </c>
      <c r="D519" s="61" t="s">
        <v>1132</v>
      </c>
      <c r="F519" s="77">
        <f>F474+F480+F483+F486+F494+F499+F502+F505+F508+F511+F514+F517</f>
        <v>29879058.309999939</v>
      </c>
      <c r="G519" s="77">
        <f t="shared" ref="G519:Z519" si="238">G474+G480+G483+G486+G494+G499+G502+G505+G508+G511+G514+G517</f>
        <v>16414296.583951592</v>
      </c>
      <c r="H519" s="77">
        <f t="shared" si="238"/>
        <v>3611227.0656116605</v>
      </c>
      <c r="I519" s="77">
        <f t="shared" si="238"/>
        <v>0</v>
      </c>
      <c r="J519" s="77">
        <f t="shared" si="238"/>
        <v>263837.64154841821</v>
      </c>
      <c r="K519" s="77">
        <f t="shared" si="238"/>
        <v>3428636.19106049</v>
      </c>
      <c r="L519" s="77">
        <f t="shared" si="238"/>
        <v>0</v>
      </c>
      <c r="M519" s="77">
        <f t="shared" si="238"/>
        <v>0</v>
      </c>
      <c r="N519" s="77">
        <f t="shared" si="238"/>
        <v>2753018.1697498355</v>
      </c>
      <c r="O519" s="77">
        <f>O474+O480+O483+O486+O494+O499+O502+O505+O508+O511+O514+O517</f>
        <v>1688885.7973745184</v>
      </c>
      <c r="P519" s="77">
        <f t="shared" si="238"/>
        <v>575927.75559176644</v>
      </c>
      <c r="Q519" s="77">
        <f t="shared" si="238"/>
        <v>144453.8635107188</v>
      </c>
      <c r="R519" s="77">
        <f t="shared" si="238"/>
        <v>91223.45848465478</v>
      </c>
      <c r="S519" s="77">
        <f t="shared" si="238"/>
        <v>901197.73793493735</v>
      </c>
      <c r="T519" s="77">
        <f t="shared" si="238"/>
        <v>1547.7925950925746</v>
      </c>
      <c r="U519" s="77">
        <f t="shared" si="238"/>
        <v>4806.2525862550283</v>
      </c>
      <c r="V519" s="77">
        <f t="shared" si="238"/>
        <v>0</v>
      </c>
      <c r="W519" s="77">
        <f t="shared" si="238"/>
        <v>0</v>
      </c>
      <c r="X519" s="63">
        <f t="shared" si="238"/>
        <v>0</v>
      </c>
      <c r="Y519" s="63">
        <f t="shared" si="238"/>
        <v>0</v>
      </c>
      <c r="Z519" s="63">
        <f t="shared" si="238"/>
        <v>0</v>
      </c>
      <c r="AA519" s="65">
        <f>SUM(G519:Z519)</f>
        <v>29879058.309999935</v>
      </c>
      <c r="AB519" s="59" t="str">
        <f>IF(ABS(F519-AA519)&lt;0.01,"ok","err")</f>
        <v>ok</v>
      </c>
    </row>
    <row r="520" spans="1:28" x14ac:dyDescent="0.25"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63"/>
      <c r="Y520" s="63"/>
      <c r="Z520" s="63"/>
      <c r="AA520" s="65"/>
    </row>
    <row r="522" spans="1:28" x14ac:dyDescent="0.25">
      <c r="A522" s="66" t="s">
        <v>644</v>
      </c>
    </row>
    <row r="524" spans="1:28" x14ac:dyDescent="0.25">
      <c r="A524" s="66" t="s">
        <v>369</v>
      </c>
    </row>
    <row r="525" spans="1:28" x14ac:dyDescent="0.25">
      <c r="A525" s="69" t="s">
        <v>361</v>
      </c>
      <c r="C525" s="61" t="s">
        <v>538</v>
      </c>
      <c r="D525" s="61" t="s">
        <v>567</v>
      </c>
      <c r="E525" s="61" t="s">
        <v>1399</v>
      </c>
      <c r="F525" s="77">
        <f>VLOOKUP(C525,'Functional Assignment'!$C$2:$AP$778,'Functional Assignment'!$H$2,)</f>
        <v>-248642.75139272146</v>
      </c>
      <c r="G525" s="77">
        <f t="shared" ref="G525:P530" si="239">IF(VLOOKUP($E525,$D$6:$AN$1141,3,)=0,0,(VLOOKUP($E525,$D$6:$AN$1141,G$2,)/VLOOKUP($E525,$D$6:$AN$1141,3,))*$F525)</f>
        <v>-124136.9560198932</v>
      </c>
      <c r="H525" s="77">
        <f t="shared" si="239"/>
        <v>-30769.647917079732</v>
      </c>
      <c r="I525" s="77">
        <f t="shared" si="239"/>
        <v>0</v>
      </c>
      <c r="J525" s="77">
        <f t="shared" si="239"/>
        <v>-2778.978950297711</v>
      </c>
      <c r="K525" s="77">
        <f t="shared" si="239"/>
        <v>-35340.455520968717</v>
      </c>
      <c r="L525" s="77">
        <f t="shared" si="239"/>
        <v>0</v>
      </c>
      <c r="M525" s="77">
        <f t="shared" si="239"/>
        <v>0</v>
      </c>
      <c r="N525" s="77">
        <f t="shared" si="239"/>
        <v>-28697.019035435056</v>
      </c>
      <c r="O525" s="77">
        <f t="shared" si="239"/>
        <v>-17512.663157709638</v>
      </c>
      <c r="P525" s="77">
        <f t="shared" si="239"/>
        <v>-6924.0183931840565</v>
      </c>
      <c r="Q525" s="77">
        <f t="shared" ref="Q525:Z530" si="240">IF(VLOOKUP($E525,$D$6:$AN$1141,3,)=0,0,(VLOOKUP($E525,$D$6:$AN$1141,Q$2,)/VLOOKUP($E525,$D$6:$AN$1141,3,))*$F525)</f>
        <v>-1482.9222136606381</v>
      </c>
      <c r="R525" s="77">
        <f t="shared" si="240"/>
        <v>-966.26652885176395</v>
      </c>
      <c r="S525" s="77">
        <f t="shared" si="240"/>
        <v>0</v>
      </c>
      <c r="T525" s="77">
        <f t="shared" si="240"/>
        <v>0</v>
      </c>
      <c r="U525" s="77">
        <f t="shared" si="240"/>
        <v>-33.82365564099392</v>
      </c>
      <c r="V525" s="77">
        <f t="shared" si="240"/>
        <v>0</v>
      </c>
      <c r="W525" s="77">
        <f t="shared" si="240"/>
        <v>0</v>
      </c>
      <c r="X525" s="63">
        <f t="shared" si="240"/>
        <v>0</v>
      </c>
      <c r="Y525" s="63">
        <f t="shared" si="240"/>
        <v>0</v>
      </c>
      <c r="Z525" s="63">
        <f t="shared" si="240"/>
        <v>0</v>
      </c>
      <c r="AA525" s="65">
        <f t="shared" ref="AA525:AA531" si="241">SUM(G525:Z525)</f>
        <v>-248642.75139272152</v>
      </c>
      <c r="AB525" s="59" t="str">
        <f t="shared" ref="AB525:AB531" si="242">IF(ABS(F525-AA525)&lt;0.01,"ok","err")</f>
        <v>ok</v>
      </c>
    </row>
    <row r="526" spans="1:28" x14ac:dyDescent="0.25">
      <c r="A526" s="69" t="s">
        <v>1285</v>
      </c>
      <c r="C526" s="61" t="s">
        <v>538</v>
      </c>
      <c r="D526" s="61" t="s">
        <v>568</v>
      </c>
      <c r="E526" s="61" t="s">
        <v>1399</v>
      </c>
      <c r="F526" s="80">
        <f>VLOOKUP(C526,'Functional Assignment'!$C$2:$AP$778,'Functional Assignment'!$I$2,)</f>
        <v>-242293.43118347583</v>
      </c>
      <c r="G526" s="80">
        <f t="shared" si="239"/>
        <v>-120967.00524048586</v>
      </c>
      <c r="H526" s="80">
        <f t="shared" si="239"/>
        <v>-29983.916797805257</v>
      </c>
      <c r="I526" s="80">
        <f t="shared" si="239"/>
        <v>0</v>
      </c>
      <c r="J526" s="80">
        <f t="shared" si="239"/>
        <v>-2708.0151795408292</v>
      </c>
      <c r="K526" s="80">
        <f t="shared" si="239"/>
        <v>-34438.004646425339</v>
      </c>
      <c r="L526" s="80">
        <f t="shared" si="239"/>
        <v>0</v>
      </c>
      <c r="M526" s="80">
        <f t="shared" si="239"/>
        <v>0</v>
      </c>
      <c r="N526" s="80">
        <f t="shared" si="239"/>
        <v>-27964.214391478206</v>
      </c>
      <c r="O526" s="80">
        <f t="shared" si="239"/>
        <v>-17065.461276769493</v>
      </c>
      <c r="P526" s="80">
        <f t="shared" si="239"/>
        <v>-6747.207246803222</v>
      </c>
      <c r="Q526" s="80">
        <f t="shared" si="240"/>
        <v>-1445.0544377966908</v>
      </c>
      <c r="R526" s="80">
        <f t="shared" si="240"/>
        <v>-941.592028731445</v>
      </c>
      <c r="S526" s="80">
        <f t="shared" si="240"/>
        <v>0</v>
      </c>
      <c r="T526" s="80">
        <f t="shared" si="240"/>
        <v>0</v>
      </c>
      <c r="U526" s="80">
        <f t="shared" si="240"/>
        <v>-32.959937639527929</v>
      </c>
      <c r="V526" s="80">
        <f t="shared" si="240"/>
        <v>0</v>
      </c>
      <c r="W526" s="80">
        <f t="shared" si="240"/>
        <v>0</v>
      </c>
      <c r="X526" s="64">
        <f t="shared" si="240"/>
        <v>0</v>
      </c>
      <c r="Y526" s="64">
        <f t="shared" si="240"/>
        <v>0</v>
      </c>
      <c r="Z526" s="64">
        <f t="shared" si="240"/>
        <v>0</v>
      </c>
      <c r="AA526" s="64">
        <f t="shared" si="241"/>
        <v>-242293.43118347588</v>
      </c>
      <c r="AB526" s="59" t="str">
        <f t="shared" si="242"/>
        <v>ok</v>
      </c>
    </row>
    <row r="527" spans="1:28" x14ac:dyDescent="0.25">
      <c r="A527" s="69" t="s">
        <v>1286</v>
      </c>
      <c r="C527" s="61" t="s">
        <v>538</v>
      </c>
      <c r="D527" s="61" t="s">
        <v>569</v>
      </c>
      <c r="E527" s="61" t="s">
        <v>1399</v>
      </c>
      <c r="F527" s="80">
        <f>VLOOKUP(C527,'Functional Assignment'!$C$2:$AP$778,'Functional Assignment'!$J$2,)</f>
        <v>-219676.40703610098</v>
      </c>
      <c r="G527" s="80">
        <f t="shared" si="239"/>
        <v>-109675.26833620334</v>
      </c>
      <c r="H527" s="80">
        <f t="shared" si="239"/>
        <v>-27185.050287324768</v>
      </c>
      <c r="I527" s="80">
        <f t="shared" si="239"/>
        <v>0</v>
      </c>
      <c r="J527" s="80">
        <f t="shared" si="239"/>
        <v>-2455.2338952609707</v>
      </c>
      <c r="K527" s="80">
        <f t="shared" si="239"/>
        <v>-31223.368661986286</v>
      </c>
      <c r="L527" s="80">
        <f t="shared" si="239"/>
        <v>0</v>
      </c>
      <c r="M527" s="80">
        <f t="shared" si="239"/>
        <v>0</v>
      </c>
      <c r="N527" s="80">
        <f t="shared" si="239"/>
        <v>-25353.878200913074</v>
      </c>
      <c r="O527" s="80">
        <f t="shared" si="239"/>
        <v>-15472.475664664675</v>
      </c>
      <c r="P527" s="80">
        <f t="shared" si="239"/>
        <v>-6117.3851815375156</v>
      </c>
      <c r="Q527" s="80">
        <f t="shared" si="240"/>
        <v>-1310.1649735867843</v>
      </c>
      <c r="R527" s="80">
        <f t="shared" si="240"/>
        <v>-853.69856192644352</v>
      </c>
      <c r="S527" s="80">
        <f t="shared" si="240"/>
        <v>0</v>
      </c>
      <c r="T527" s="80">
        <f t="shared" si="240"/>
        <v>0</v>
      </c>
      <c r="U527" s="80">
        <f t="shared" si="240"/>
        <v>-29.883272697156137</v>
      </c>
      <c r="V527" s="80">
        <f t="shared" si="240"/>
        <v>0</v>
      </c>
      <c r="W527" s="80">
        <f t="shared" si="240"/>
        <v>0</v>
      </c>
      <c r="X527" s="64">
        <f t="shared" si="240"/>
        <v>0</v>
      </c>
      <c r="Y527" s="64">
        <f t="shared" si="240"/>
        <v>0</v>
      </c>
      <c r="Z527" s="64">
        <f t="shared" si="240"/>
        <v>0</v>
      </c>
      <c r="AA527" s="64">
        <f t="shared" si="241"/>
        <v>-219676.40703610101</v>
      </c>
      <c r="AB527" s="59" t="str">
        <f t="shared" si="242"/>
        <v>ok</v>
      </c>
    </row>
    <row r="528" spans="1:28" x14ac:dyDescent="0.25">
      <c r="A528" s="69" t="s">
        <v>1287</v>
      </c>
      <c r="C528" s="61" t="s">
        <v>538</v>
      </c>
      <c r="D528" s="61" t="s">
        <v>570</v>
      </c>
      <c r="E528" s="61" t="s">
        <v>1114</v>
      </c>
      <c r="F528" s="80">
        <f>VLOOKUP(C528,'Functional Assignment'!$C$2:$AP$778,'Functional Assignment'!$K$2,)</f>
        <v>0</v>
      </c>
      <c r="G528" s="80">
        <f t="shared" si="239"/>
        <v>0</v>
      </c>
      <c r="H528" s="80">
        <f t="shared" si="239"/>
        <v>0</v>
      </c>
      <c r="I528" s="80">
        <f t="shared" si="239"/>
        <v>0</v>
      </c>
      <c r="J528" s="80">
        <f t="shared" si="239"/>
        <v>0</v>
      </c>
      <c r="K528" s="80">
        <f t="shared" si="239"/>
        <v>0</v>
      </c>
      <c r="L528" s="80">
        <f t="shared" si="239"/>
        <v>0</v>
      </c>
      <c r="M528" s="80">
        <f t="shared" si="239"/>
        <v>0</v>
      </c>
      <c r="N528" s="80">
        <f t="shared" si="239"/>
        <v>0</v>
      </c>
      <c r="O528" s="80">
        <f t="shared" si="239"/>
        <v>0</v>
      </c>
      <c r="P528" s="80">
        <f t="shared" si="239"/>
        <v>0</v>
      </c>
      <c r="Q528" s="80">
        <f t="shared" si="240"/>
        <v>0</v>
      </c>
      <c r="R528" s="80">
        <f t="shared" si="240"/>
        <v>0</v>
      </c>
      <c r="S528" s="80">
        <f t="shared" si="240"/>
        <v>0</v>
      </c>
      <c r="T528" s="80">
        <f t="shared" si="240"/>
        <v>0</v>
      </c>
      <c r="U528" s="80">
        <f t="shared" si="240"/>
        <v>0</v>
      </c>
      <c r="V528" s="80">
        <f t="shared" si="240"/>
        <v>0</v>
      </c>
      <c r="W528" s="80">
        <f t="shared" si="240"/>
        <v>0</v>
      </c>
      <c r="X528" s="64">
        <f t="shared" si="240"/>
        <v>0</v>
      </c>
      <c r="Y528" s="64">
        <f t="shared" si="240"/>
        <v>0</v>
      </c>
      <c r="Z528" s="64">
        <f t="shared" si="240"/>
        <v>0</v>
      </c>
      <c r="AA528" s="64">
        <f t="shared" si="241"/>
        <v>0</v>
      </c>
      <c r="AB528" s="59" t="str">
        <f t="shared" si="242"/>
        <v>ok</v>
      </c>
    </row>
    <row r="529" spans="1:28" x14ac:dyDescent="0.25">
      <c r="A529" s="69" t="s">
        <v>1288</v>
      </c>
      <c r="C529" s="61" t="s">
        <v>538</v>
      </c>
      <c r="D529" s="61" t="s">
        <v>571</v>
      </c>
      <c r="E529" s="61" t="s">
        <v>1114</v>
      </c>
      <c r="F529" s="80">
        <f>VLOOKUP(C529,'Functional Assignment'!$C$2:$AP$778,'Functional Assignment'!$L$2,)</f>
        <v>0</v>
      </c>
      <c r="G529" s="80">
        <f t="shared" si="239"/>
        <v>0</v>
      </c>
      <c r="H529" s="80">
        <f t="shared" si="239"/>
        <v>0</v>
      </c>
      <c r="I529" s="80">
        <f t="shared" si="239"/>
        <v>0</v>
      </c>
      <c r="J529" s="80">
        <f t="shared" si="239"/>
        <v>0</v>
      </c>
      <c r="K529" s="80">
        <f t="shared" si="239"/>
        <v>0</v>
      </c>
      <c r="L529" s="80">
        <f t="shared" si="239"/>
        <v>0</v>
      </c>
      <c r="M529" s="80">
        <f t="shared" si="239"/>
        <v>0</v>
      </c>
      <c r="N529" s="80">
        <f t="shared" si="239"/>
        <v>0</v>
      </c>
      <c r="O529" s="80">
        <f t="shared" si="239"/>
        <v>0</v>
      </c>
      <c r="P529" s="80">
        <f t="shared" si="239"/>
        <v>0</v>
      </c>
      <c r="Q529" s="80">
        <f t="shared" si="240"/>
        <v>0</v>
      </c>
      <c r="R529" s="80">
        <f t="shared" si="240"/>
        <v>0</v>
      </c>
      <c r="S529" s="80">
        <f t="shared" si="240"/>
        <v>0</v>
      </c>
      <c r="T529" s="80">
        <f t="shared" si="240"/>
        <v>0</v>
      </c>
      <c r="U529" s="80">
        <f t="shared" si="240"/>
        <v>0</v>
      </c>
      <c r="V529" s="80">
        <f t="shared" si="240"/>
        <v>0</v>
      </c>
      <c r="W529" s="80">
        <f t="shared" si="240"/>
        <v>0</v>
      </c>
      <c r="X529" s="64">
        <f t="shared" si="240"/>
        <v>0</v>
      </c>
      <c r="Y529" s="64">
        <f t="shared" si="240"/>
        <v>0</v>
      </c>
      <c r="Z529" s="64">
        <f t="shared" si="240"/>
        <v>0</v>
      </c>
      <c r="AA529" s="64">
        <f t="shared" si="241"/>
        <v>0</v>
      </c>
      <c r="AB529" s="59" t="str">
        <f t="shared" si="242"/>
        <v>ok</v>
      </c>
    </row>
    <row r="530" spans="1:28" x14ac:dyDescent="0.25">
      <c r="A530" s="69" t="s">
        <v>1288</v>
      </c>
      <c r="C530" s="61" t="s">
        <v>538</v>
      </c>
      <c r="D530" s="61" t="s">
        <v>572</v>
      </c>
      <c r="E530" s="61" t="s">
        <v>1114</v>
      </c>
      <c r="F530" s="80">
        <f>VLOOKUP(C530,'Functional Assignment'!$C$2:$AP$778,'Functional Assignment'!$M$2,)</f>
        <v>0</v>
      </c>
      <c r="G530" s="80">
        <f t="shared" si="239"/>
        <v>0</v>
      </c>
      <c r="H530" s="80">
        <f t="shared" si="239"/>
        <v>0</v>
      </c>
      <c r="I530" s="80">
        <f t="shared" si="239"/>
        <v>0</v>
      </c>
      <c r="J530" s="80">
        <f t="shared" si="239"/>
        <v>0</v>
      </c>
      <c r="K530" s="80">
        <f t="shared" si="239"/>
        <v>0</v>
      </c>
      <c r="L530" s="80">
        <f t="shared" si="239"/>
        <v>0</v>
      </c>
      <c r="M530" s="80">
        <f t="shared" si="239"/>
        <v>0</v>
      </c>
      <c r="N530" s="80">
        <f t="shared" si="239"/>
        <v>0</v>
      </c>
      <c r="O530" s="80">
        <f t="shared" si="239"/>
        <v>0</v>
      </c>
      <c r="P530" s="80">
        <f t="shared" si="239"/>
        <v>0</v>
      </c>
      <c r="Q530" s="80">
        <f t="shared" si="240"/>
        <v>0</v>
      </c>
      <c r="R530" s="80">
        <f t="shared" si="240"/>
        <v>0</v>
      </c>
      <c r="S530" s="80">
        <f t="shared" si="240"/>
        <v>0</v>
      </c>
      <c r="T530" s="80">
        <f t="shared" si="240"/>
        <v>0</v>
      </c>
      <c r="U530" s="80">
        <f t="shared" si="240"/>
        <v>0</v>
      </c>
      <c r="V530" s="80">
        <f t="shared" si="240"/>
        <v>0</v>
      </c>
      <c r="W530" s="80">
        <f t="shared" si="240"/>
        <v>0</v>
      </c>
      <c r="X530" s="64">
        <f t="shared" si="240"/>
        <v>0</v>
      </c>
      <c r="Y530" s="64">
        <f t="shared" si="240"/>
        <v>0</v>
      </c>
      <c r="Z530" s="64">
        <f t="shared" si="240"/>
        <v>0</v>
      </c>
      <c r="AA530" s="64">
        <f t="shared" si="241"/>
        <v>0</v>
      </c>
      <c r="AB530" s="59" t="str">
        <f t="shared" si="242"/>
        <v>ok</v>
      </c>
    </row>
    <row r="531" spans="1:28" x14ac:dyDescent="0.25">
      <c r="A531" s="61" t="s">
        <v>392</v>
      </c>
      <c r="D531" s="61" t="s">
        <v>1133</v>
      </c>
      <c r="F531" s="77">
        <f>SUM(F525:F530)</f>
        <v>-710612.5896122983</v>
      </c>
      <c r="G531" s="77">
        <f t="shared" ref="G531:P531" si="243">SUM(G525:G530)</f>
        <v>-354779.22959658242</v>
      </c>
      <c r="H531" s="77">
        <f t="shared" si="243"/>
        <v>-87938.615002209757</v>
      </c>
      <c r="I531" s="77">
        <f t="shared" si="243"/>
        <v>0</v>
      </c>
      <c r="J531" s="77">
        <f t="shared" si="243"/>
        <v>-7942.2280250995109</v>
      </c>
      <c r="K531" s="77">
        <f t="shared" si="243"/>
        <v>-101001.82882938033</v>
      </c>
      <c r="L531" s="77">
        <f t="shared" si="243"/>
        <v>0</v>
      </c>
      <c r="M531" s="77">
        <f t="shared" si="243"/>
        <v>0</v>
      </c>
      <c r="N531" s="77">
        <f t="shared" si="243"/>
        <v>-82015.111627826336</v>
      </c>
      <c r="O531" s="77">
        <f>SUM(O525:O530)</f>
        <v>-50050.600099143805</v>
      </c>
      <c r="P531" s="77">
        <f t="shared" si="243"/>
        <v>-19788.610821524795</v>
      </c>
      <c r="Q531" s="77">
        <f t="shared" ref="Q531:W531" si="244">SUM(Q525:Q530)</f>
        <v>-4238.1416250441134</v>
      </c>
      <c r="R531" s="77">
        <f t="shared" si="244"/>
        <v>-2761.5571195096527</v>
      </c>
      <c r="S531" s="77">
        <f t="shared" si="244"/>
        <v>0</v>
      </c>
      <c r="T531" s="77">
        <f t="shared" si="244"/>
        <v>0</v>
      </c>
      <c r="U531" s="77">
        <f t="shared" si="244"/>
        <v>-96.666865977677986</v>
      </c>
      <c r="V531" s="77">
        <f t="shared" si="244"/>
        <v>0</v>
      </c>
      <c r="W531" s="77">
        <f t="shared" si="244"/>
        <v>0</v>
      </c>
      <c r="X531" s="63">
        <f>SUM(X525:X530)</f>
        <v>0</v>
      </c>
      <c r="Y531" s="63">
        <f>SUM(Y525:Y530)</f>
        <v>0</v>
      </c>
      <c r="Z531" s="63">
        <f>SUM(Z525:Z530)</f>
        <v>0</v>
      </c>
      <c r="AA531" s="65">
        <f t="shared" si="241"/>
        <v>-710612.58961229841</v>
      </c>
      <c r="AB531" s="59" t="str">
        <f t="shared" si="242"/>
        <v>ok</v>
      </c>
    </row>
    <row r="532" spans="1:28" x14ac:dyDescent="0.25">
      <c r="F532" s="80"/>
      <c r="G532" s="80"/>
    </row>
    <row r="533" spans="1:28" x14ac:dyDescent="0.25">
      <c r="A533" s="66" t="s">
        <v>1154</v>
      </c>
      <c r="F533" s="80"/>
      <c r="G533" s="80"/>
    </row>
    <row r="534" spans="1:28" x14ac:dyDescent="0.25">
      <c r="A534" s="69" t="s">
        <v>362</v>
      </c>
      <c r="C534" s="61" t="s">
        <v>538</v>
      </c>
      <c r="D534" s="61" t="s">
        <v>573</v>
      </c>
      <c r="E534" s="61" t="s">
        <v>1399</v>
      </c>
      <c r="F534" s="77">
        <f>VLOOKUP(C534,'Functional Assignment'!$C$2:$AP$778,'Functional Assignment'!$N$2,)</f>
        <v>-44083.932180534837</v>
      </c>
      <c r="G534" s="77">
        <f t="shared" ref="G534:P536" si="245">IF(VLOOKUP($E534,$D$6:$AN$1141,3,)=0,0,(VLOOKUP($E534,$D$6:$AN$1141,G$2,)/VLOOKUP($E534,$D$6:$AN$1141,3,))*$F534)</f>
        <v>-22009.268798813668</v>
      </c>
      <c r="H534" s="77">
        <f t="shared" si="245"/>
        <v>-5455.405654890872</v>
      </c>
      <c r="I534" s="77">
        <f t="shared" si="245"/>
        <v>0</v>
      </c>
      <c r="J534" s="77">
        <f t="shared" si="245"/>
        <v>-492.70818831376715</v>
      </c>
      <c r="K534" s="77">
        <f t="shared" si="245"/>
        <v>-6265.8019817150353</v>
      </c>
      <c r="L534" s="77">
        <f t="shared" si="245"/>
        <v>0</v>
      </c>
      <c r="M534" s="77">
        <f t="shared" si="245"/>
        <v>0</v>
      </c>
      <c r="N534" s="77">
        <f t="shared" si="245"/>
        <v>-5087.932118895741</v>
      </c>
      <c r="O534" s="77">
        <f t="shared" si="245"/>
        <v>-3104.96505778138</v>
      </c>
      <c r="P534" s="77">
        <f t="shared" si="245"/>
        <v>-1227.6165524720661</v>
      </c>
      <c r="Q534" s="77">
        <f t="shared" ref="Q534:Z536" si="246">IF(VLOOKUP($E534,$D$6:$AN$1141,3,)=0,0,(VLOOKUP($E534,$D$6:$AN$1141,Q$2,)/VLOOKUP($E534,$D$6:$AN$1141,3,))*$F534)</f>
        <v>-262.91955799978263</v>
      </c>
      <c r="R534" s="77">
        <f t="shared" si="246"/>
        <v>-171.31739368079127</v>
      </c>
      <c r="S534" s="77">
        <f t="shared" si="246"/>
        <v>0</v>
      </c>
      <c r="T534" s="77">
        <f t="shared" si="246"/>
        <v>0</v>
      </c>
      <c r="U534" s="77">
        <f t="shared" si="246"/>
        <v>-5.9968759717440498</v>
      </c>
      <c r="V534" s="77">
        <f t="shared" si="246"/>
        <v>0</v>
      </c>
      <c r="W534" s="77">
        <f t="shared" si="246"/>
        <v>0</v>
      </c>
      <c r="X534" s="63">
        <f t="shared" si="246"/>
        <v>0</v>
      </c>
      <c r="Y534" s="63">
        <f t="shared" si="246"/>
        <v>0</v>
      </c>
      <c r="Z534" s="63">
        <f t="shared" si="246"/>
        <v>0</v>
      </c>
      <c r="AA534" s="65">
        <f>SUM(G534:Z534)</f>
        <v>-44083.932180534852</v>
      </c>
      <c r="AB534" s="59" t="str">
        <f>IF(ABS(F534-AA534)&lt;0.01,"ok","err")</f>
        <v>ok</v>
      </c>
    </row>
    <row r="535" spans="1:28" x14ac:dyDescent="0.25">
      <c r="A535" s="69" t="s">
        <v>364</v>
      </c>
      <c r="C535" s="61" t="s">
        <v>538</v>
      </c>
      <c r="D535" s="61" t="s">
        <v>574</v>
      </c>
      <c r="E535" s="61" t="s">
        <v>1399</v>
      </c>
      <c r="F535" s="80">
        <f>VLOOKUP(C535,'Functional Assignment'!$C$2:$AP$778,'Functional Assignment'!$O$2,)</f>
        <v>-42958.208627649961</v>
      </c>
      <c r="G535" s="80">
        <f t="shared" si="245"/>
        <v>-21447.241977632348</v>
      </c>
      <c r="H535" s="80">
        <f t="shared" si="245"/>
        <v>-5316.0968788247555</v>
      </c>
      <c r="I535" s="80">
        <f t="shared" si="245"/>
        <v>0</v>
      </c>
      <c r="J535" s="80">
        <f t="shared" si="245"/>
        <v>-480.12643380936856</v>
      </c>
      <c r="K535" s="80">
        <f t="shared" si="245"/>
        <v>-6105.7989937863895</v>
      </c>
      <c r="L535" s="80">
        <f t="shared" si="245"/>
        <v>0</v>
      </c>
      <c r="M535" s="80">
        <f t="shared" si="245"/>
        <v>0</v>
      </c>
      <c r="N535" s="80">
        <f t="shared" si="245"/>
        <v>-4958.0071158750397</v>
      </c>
      <c r="O535" s="80">
        <f t="shared" si="245"/>
        <v>-3025.676933434514</v>
      </c>
      <c r="P535" s="80">
        <f t="shared" si="245"/>
        <v>-1196.2682403167514</v>
      </c>
      <c r="Q535" s="80">
        <f t="shared" si="246"/>
        <v>-256.20566646800307</v>
      </c>
      <c r="R535" s="80">
        <f t="shared" si="246"/>
        <v>-166.94264724720355</v>
      </c>
      <c r="S535" s="80">
        <f t="shared" si="246"/>
        <v>0</v>
      </c>
      <c r="T535" s="80">
        <f t="shared" si="246"/>
        <v>0</v>
      </c>
      <c r="U535" s="80">
        <f t="shared" si="246"/>
        <v>-5.8437402555952422</v>
      </c>
      <c r="V535" s="80">
        <f t="shared" si="246"/>
        <v>0</v>
      </c>
      <c r="W535" s="80">
        <f t="shared" si="246"/>
        <v>0</v>
      </c>
      <c r="X535" s="64">
        <f t="shared" si="246"/>
        <v>0</v>
      </c>
      <c r="Y535" s="64">
        <f t="shared" si="246"/>
        <v>0</v>
      </c>
      <c r="Z535" s="64">
        <f t="shared" si="246"/>
        <v>0</v>
      </c>
      <c r="AA535" s="64">
        <f>SUM(G535:Z535)</f>
        <v>-42958.208627649961</v>
      </c>
      <c r="AB535" s="59" t="str">
        <f>IF(ABS(F535-AA535)&lt;0.01,"ok","err")</f>
        <v>ok</v>
      </c>
    </row>
    <row r="536" spans="1:28" x14ac:dyDescent="0.25">
      <c r="A536" s="69" t="s">
        <v>363</v>
      </c>
      <c r="C536" s="61" t="s">
        <v>538</v>
      </c>
      <c r="D536" s="61" t="s">
        <v>575</v>
      </c>
      <c r="E536" s="61" t="s">
        <v>1399</v>
      </c>
      <c r="F536" s="80">
        <f>VLOOKUP(C536,'Functional Assignment'!$C$2:$AP$778,'Functional Assignment'!$P$2,)</f>
        <v>-38948.249145406313</v>
      </c>
      <c r="G536" s="80">
        <f t="shared" si="245"/>
        <v>-19445.236445194354</v>
      </c>
      <c r="H536" s="80">
        <f t="shared" si="245"/>
        <v>-4819.8626602952536</v>
      </c>
      <c r="I536" s="80">
        <f t="shared" si="245"/>
        <v>0</v>
      </c>
      <c r="J536" s="80">
        <f t="shared" si="245"/>
        <v>-435.30874686581905</v>
      </c>
      <c r="K536" s="80">
        <f t="shared" si="245"/>
        <v>-5535.8495626071672</v>
      </c>
      <c r="L536" s="80">
        <f t="shared" si="245"/>
        <v>0</v>
      </c>
      <c r="M536" s="80">
        <f t="shared" si="245"/>
        <v>0</v>
      </c>
      <c r="N536" s="80">
        <f t="shared" si="245"/>
        <v>-4495.1989988126816</v>
      </c>
      <c r="O536" s="80">
        <f t="shared" si="245"/>
        <v>-2743.2433241889385</v>
      </c>
      <c r="P536" s="80">
        <f t="shared" si="245"/>
        <v>-1084.6018713779517</v>
      </c>
      <c r="Q536" s="80">
        <f t="shared" si="246"/>
        <v>-232.28999646037025</v>
      </c>
      <c r="R536" s="80">
        <f t="shared" si="246"/>
        <v>-151.35928675090713</v>
      </c>
      <c r="S536" s="80">
        <f t="shared" si="246"/>
        <v>0</v>
      </c>
      <c r="T536" s="80">
        <f t="shared" si="246"/>
        <v>0</v>
      </c>
      <c r="U536" s="80">
        <f t="shared" si="246"/>
        <v>-5.2982528528777477</v>
      </c>
      <c r="V536" s="80">
        <f t="shared" si="246"/>
        <v>0</v>
      </c>
      <c r="W536" s="80">
        <f t="shared" si="246"/>
        <v>0</v>
      </c>
      <c r="X536" s="64">
        <f t="shared" si="246"/>
        <v>0</v>
      </c>
      <c r="Y536" s="64">
        <f t="shared" si="246"/>
        <v>0</v>
      </c>
      <c r="Z536" s="64">
        <f t="shared" si="246"/>
        <v>0</v>
      </c>
      <c r="AA536" s="64">
        <f>SUM(G536:Z536)</f>
        <v>-38948.24914540632</v>
      </c>
      <c r="AB536" s="59" t="str">
        <f>IF(ABS(F536-AA536)&lt;0.01,"ok","err")</f>
        <v>ok</v>
      </c>
    </row>
    <row r="537" spans="1:28" x14ac:dyDescent="0.25">
      <c r="A537" s="61" t="s">
        <v>1156</v>
      </c>
      <c r="D537" s="61" t="s">
        <v>576</v>
      </c>
      <c r="F537" s="77">
        <f>SUM(F534:F536)</f>
        <v>-125990.38995359112</v>
      </c>
      <c r="G537" s="77">
        <f t="shared" ref="G537:W537" si="247">SUM(G534:G536)</f>
        <v>-62901.747221640369</v>
      </c>
      <c r="H537" s="77">
        <f t="shared" si="247"/>
        <v>-15591.365194010881</v>
      </c>
      <c r="I537" s="77">
        <f t="shared" si="247"/>
        <v>0</v>
      </c>
      <c r="J537" s="77">
        <f t="shared" si="247"/>
        <v>-1408.1433689889548</v>
      </c>
      <c r="K537" s="77">
        <f t="shared" si="247"/>
        <v>-17907.450538108591</v>
      </c>
      <c r="L537" s="77">
        <f t="shared" si="247"/>
        <v>0</v>
      </c>
      <c r="M537" s="77">
        <f t="shared" si="247"/>
        <v>0</v>
      </c>
      <c r="N537" s="77">
        <f t="shared" si="247"/>
        <v>-14541.138233583461</v>
      </c>
      <c r="O537" s="77">
        <f>SUM(O534:O536)</f>
        <v>-8873.8853154048338</v>
      </c>
      <c r="P537" s="77">
        <f t="shared" si="247"/>
        <v>-3508.4866641667691</v>
      </c>
      <c r="Q537" s="77">
        <f t="shared" si="247"/>
        <v>-751.41522092815603</v>
      </c>
      <c r="R537" s="77">
        <f t="shared" si="247"/>
        <v>-489.61932767890198</v>
      </c>
      <c r="S537" s="77">
        <f t="shared" si="247"/>
        <v>0</v>
      </c>
      <c r="T537" s="77">
        <f t="shared" si="247"/>
        <v>0</v>
      </c>
      <c r="U537" s="77">
        <f t="shared" si="247"/>
        <v>-17.138869080217042</v>
      </c>
      <c r="V537" s="77">
        <f t="shared" si="247"/>
        <v>0</v>
      </c>
      <c r="W537" s="77">
        <f t="shared" si="247"/>
        <v>0</v>
      </c>
      <c r="X537" s="63">
        <f>SUM(X534:X536)</f>
        <v>0</v>
      </c>
      <c r="Y537" s="63">
        <f>SUM(Y534:Y536)</f>
        <v>0</v>
      </c>
      <c r="Z537" s="63">
        <f>SUM(Z534:Z536)</f>
        <v>0</v>
      </c>
      <c r="AA537" s="65">
        <f>SUM(G537:Z537)</f>
        <v>-125990.38995359115</v>
      </c>
      <c r="AB537" s="59" t="str">
        <f>IF(ABS(F537-AA537)&lt;0.01,"ok","err")</f>
        <v>ok</v>
      </c>
    </row>
    <row r="538" spans="1:28" x14ac:dyDescent="0.25">
      <c r="F538" s="80"/>
      <c r="G538" s="80"/>
    </row>
    <row r="539" spans="1:28" x14ac:dyDescent="0.25">
      <c r="A539" s="66" t="s">
        <v>350</v>
      </c>
      <c r="F539" s="80"/>
      <c r="G539" s="80"/>
    </row>
    <row r="540" spans="1:28" x14ac:dyDescent="0.25">
      <c r="A540" s="69" t="s">
        <v>377</v>
      </c>
      <c r="C540" s="61" t="s">
        <v>538</v>
      </c>
      <c r="D540" s="61" t="s">
        <v>577</v>
      </c>
      <c r="E540" s="61" t="s">
        <v>133</v>
      </c>
      <c r="F540" s="77">
        <f>VLOOKUP(C540,'Functional Assignment'!$C$2:$AP$778,'Functional Assignment'!$Q$2,)</f>
        <v>0</v>
      </c>
      <c r="G540" s="77">
        <f t="shared" ref="G540:Z540" si="248">IF(VLOOKUP($E540,$D$6:$AN$1141,3,)=0,0,(VLOOKUP($E540,$D$6:$AN$1141,G$2,)/VLOOKUP($E540,$D$6:$AN$1141,3,))*$F540)</f>
        <v>0</v>
      </c>
      <c r="H540" s="77">
        <f t="shared" si="248"/>
        <v>0</v>
      </c>
      <c r="I540" s="77">
        <f t="shared" si="248"/>
        <v>0</v>
      </c>
      <c r="J540" s="77">
        <f t="shared" si="248"/>
        <v>0</v>
      </c>
      <c r="K540" s="77">
        <f t="shared" si="248"/>
        <v>0</v>
      </c>
      <c r="L540" s="77">
        <f t="shared" si="248"/>
        <v>0</v>
      </c>
      <c r="M540" s="77">
        <f t="shared" si="248"/>
        <v>0</v>
      </c>
      <c r="N540" s="77">
        <f t="shared" si="248"/>
        <v>0</v>
      </c>
      <c r="O540" s="77">
        <f t="shared" si="248"/>
        <v>0</v>
      </c>
      <c r="P540" s="77">
        <f t="shared" si="248"/>
        <v>0</v>
      </c>
      <c r="Q540" s="77">
        <f t="shared" si="248"/>
        <v>0</v>
      </c>
      <c r="R540" s="77">
        <f t="shared" si="248"/>
        <v>0</v>
      </c>
      <c r="S540" s="77">
        <f t="shared" si="248"/>
        <v>0</v>
      </c>
      <c r="T540" s="77">
        <f t="shared" si="248"/>
        <v>0</v>
      </c>
      <c r="U540" s="77">
        <f t="shared" si="248"/>
        <v>0</v>
      </c>
      <c r="V540" s="77">
        <f t="shared" si="248"/>
        <v>0</v>
      </c>
      <c r="W540" s="77">
        <f t="shared" si="248"/>
        <v>0</v>
      </c>
      <c r="X540" s="63">
        <f t="shared" si="248"/>
        <v>0</v>
      </c>
      <c r="Y540" s="63">
        <f t="shared" si="248"/>
        <v>0</v>
      </c>
      <c r="Z540" s="63">
        <f t="shared" si="248"/>
        <v>0</v>
      </c>
      <c r="AA540" s="65">
        <f>SUM(G540:Z540)</f>
        <v>0</v>
      </c>
      <c r="AB540" s="59" t="str">
        <f>IF(ABS(F540-AA540)&lt;0.01,"ok","err")</f>
        <v>ok</v>
      </c>
    </row>
    <row r="541" spans="1:28" x14ac:dyDescent="0.25">
      <c r="F541" s="80"/>
    </row>
    <row r="542" spans="1:28" x14ac:dyDescent="0.25">
      <c r="A542" s="66" t="s">
        <v>351</v>
      </c>
      <c r="F542" s="80"/>
      <c r="G542" s="80"/>
    </row>
    <row r="543" spans="1:28" x14ac:dyDescent="0.25">
      <c r="A543" s="69" t="s">
        <v>379</v>
      </c>
      <c r="C543" s="61" t="s">
        <v>538</v>
      </c>
      <c r="D543" s="61" t="s">
        <v>578</v>
      </c>
      <c r="E543" s="61" t="s">
        <v>133</v>
      </c>
      <c r="F543" s="77">
        <f>VLOOKUP(C543,'Functional Assignment'!$C$2:$AP$778,'Functional Assignment'!$R$2,)</f>
        <v>-45085.862886920739</v>
      </c>
      <c r="G543" s="77">
        <f t="shared" ref="G543:Z543" si="249">IF(VLOOKUP($E543,$D$6:$AN$1141,3,)=0,0,(VLOOKUP($E543,$D$6:$AN$1141,G$2,)/VLOOKUP($E543,$D$6:$AN$1141,3,))*$F543)</f>
        <v>-21646.876180879608</v>
      </c>
      <c r="H543" s="77">
        <f t="shared" si="249"/>
        <v>-6022.4840528464219</v>
      </c>
      <c r="I543" s="77">
        <f t="shared" si="249"/>
        <v>0</v>
      </c>
      <c r="J543" s="77">
        <f t="shared" si="249"/>
        <v>-507.6239644826951</v>
      </c>
      <c r="K543" s="77">
        <f t="shared" si="249"/>
        <v>-6395.0543446301572</v>
      </c>
      <c r="L543" s="77">
        <f t="shared" si="249"/>
        <v>0</v>
      </c>
      <c r="M543" s="77">
        <f t="shared" si="249"/>
        <v>0</v>
      </c>
      <c r="N543" s="77">
        <f t="shared" si="249"/>
        <v>-6159.7527519901869</v>
      </c>
      <c r="O543" s="77">
        <f t="shared" si="249"/>
        <v>-3227.1488870110934</v>
      </c>
      <c r="P543" s="77">
        <f t="shared" si="249"/>
        <v>0</v>
      </c>
      <c r="Q543" s="77">
        <f t="shared" si="249"/>
        <v>-357.51873526246601</v>
      </c>
      <c r="R543" s="77">
        <f t="shared" si="249"/>
        <v>-184.24041790238806</v>
      </c>
      <c r="S543" s="77">
        <f t="shared" si="249"/>
        <v>-562.6715378706989</v>
      </c>
      <c r="T543" s="77">
        <f t="shared" si="249"/>
        <v>-16.276824948006119</v>
      </c>
      <c r="U543" s="77">
        <f t="shared" si="249"/>
        <v>-6.2151890970226882</v>
      </c>
      <c r="V543" s="77">
        <f t="shared" si="249"/>
        <v>0</v>
      </c>
      <c r="W543" s="77">
        <f t="shared" si="249"/>
        <v>0</v>
      </c>
      <c r="X543" s="63">
        <f t="shared" si="249"/>
        <v>0</v>
      </c>
      <c r="Y543" s="63">
        <f t="shared" si="249"/>
        <v>0</v>
      </c>
      <c r="Z543" s="63">
        <f t="shared" si="249"/>
        <v>0</v>
      </c>
      <c r="AA543" s="65">
        <f>SUM(G543:Z543)</f>
        <v>-45085.862886920739</v>
      </c>
      <c r="AB543" s="59" t="str">
        <f>IF(ABS(F543-AA543)&lt;0.01,"ok","err")</f>
        <v>ok</v>
      </c>
    </row>
    <row r="544" spans="1:28" x14ac:dyDescent="0.25">
      <c r="F544" s="80"/>
    </row>
    <row r="545" spans="1:28" x14ac:dyDescent="0.25">
      <c r="A545" s="66" t="s">
        <v>378</v>
      </c>
      <c r="F545" s="80"/>
    </row>
    <row r="546" spans="1:28" x14ac:dyDescent="0.25">
      <c r="A546" s="69" t="s">
        <v>629</v>
      </c>
      <c r="C546" s="61" t="s">
        <v>538</v>
      </c>
      <c r="D546" s="61" t="s">
        <v>579</v>
      </c>
      <c r="E546" s="61" t="s">
        <v>133</v>
      </c>
      <c r="F546" s="77">
        <f>VLOOKUP(C546,'Functional Assignment'!$C$2:$AP$778,'Functional Assignment'!$S$2,)</f>
        <v>0</v>
      </c>
      <c r="G546" s="77">
        <f t="shared" ref="G546:P550" si="250">IF(VLOOKUP($E546,$D$6:$AN$1141,3,)=0,0,(VLOOKUP($E546,$D$6:$AN$1141,G$2,)/VLOOKUP($E546,$D$6:$AN$1141,3,))*$F546)</f>
        <v>0</v>
      </c>
      <c r="H546" s="77">
        <f t="shared" si="250"/>
        <v>0</v>
      </c>
      <c r="I546" s="77">
        <f t="shared" si="250"/>
        <v>0</v>
      </c>
      <c r="J546" s="77">
        <f t="shared" si="250"/>
        <v>0</v>
      </c>
      <c r="K546" s="77">
        <f t="shared" si="250"/>
        <v>0</v>
      </c>
      <c r="L546" s="77">
        <f t="shared" si="250"/>
        <v>0</v>
      </c>
      <c r="M546" s="77">
        <f t="shared" si="250"/>
        <v>0</v>
      </c>
      <c r="N546" s="77">
        <f t="shared" si="250"/>
        <v>0</v>
      </c>
      <c r="O546" s="77">
        <f t="shared" si="250"/>
        <v>0</v>
      </c>
      <c r="P546" s="77">
        <f t="shared" si="250"/>
        <v>0</v>
      </c>
      <c r="Q546" s="77">
        <f t="shared" ref="Q546:Z550" si="251">IF(VLOOKUP($E546,$D$6:$AN$1141,3,)=0,0,(VLOOKUP($E546,$D$6:$AN$1141,Q$2,)/VLOOKUP($E546,$D$6:$AN$1141,3,))*$F546)</f>
        <v>0</v>
      </c>
      <c r="R546" s="77">
        <f t="shared" si="251"/>
        <v>0</v>
      </c>
      <c r="S546" s="77">
        <f t="shared" si="251"/>
        <v>0</v>
      </c>
      <c r="T546" s="77">
        <f t="shared" si="251"/>
        <v>0</v>
      </c>
      <c r="U546" s="77">
        <f t="shared" si="251"/>
        <v>0</v>
      </c>
      <c r="V546" s="77">
        <f t="shared" si="251"/>
        <v>0</v>
      </c>
      <c r="W546" s="77">
        <f t="shared" si="251"/>
        <v>0</v>
      </c>
      <c r="X546" s="63">
        <f t="shared" si="251"/>
        <v>0</v>
      </c>
      <c r="Y546" s="63">
        <f t="shared" si="251"/>
        <v>0</v>
      </c>
      <c r="Z546" s="63">
        <f t="shared" si="251"/>
        <v>0</v>
      </c>
      <c r="AA546" s="65">
        <f t="shared" ref="AA546:AA551" si="252">SUM(G546:Z546)</f>
        <v>0</v>
      </c>
      <c r="AB546" s="59" t="str">
        <f t="shared" ref="AB546:AB551" si="253">IF(ABS(F546-AA546)&lt;0.01,"ok","err")</f>
        <v>ok</v>
      </c>
    </row>
    <row r="547" spans="1:28" x14ac:dyDescent="0.25">
      <c r="A547" s="69" t="s">
        <v>630</v>
      </c>
      <c r="C547" s="61" t="s">
        <v>538</v>
      </c>
      <c r="D547" s="61" t="s">
        <v>580</v>
      </c>
      <c r="E547" s="61" t="s">
        <v>133</v>
      </c>
      <c r="F547" s="80">
        <f>VLOOKUP(C547,'Functional Assignment'!$C$2:$AP$778,'Functional Assignment'!$T$2,)</f>
        <v>-66165.855225922627</v>
      </c>
      <c r="G547" s="80">
        <f t="shared" si="250"/>
        <v>-31767.919781636341</v>
      </c>
      <c r="H547" s="80">
        <f t="shared" si="250"/>
        <v>-8838.3094483628629</v>
      </c>
      <c r="I547" s="80">
        <f t="shared" si="250"/>
        <v>0</v>
      </c>
      <c r="J547" s="80">
        <f t="shared" si="250"/>
        <v>-744.96464285070783</v>
      </c>
      <c r="K547" s="80">
        <f t="shared" si="250"/>
        <v>-9385.0757828449223</v>
      </c>
      <c r="L547" s="80">
        <f t="shared" si="250"/>
        <v>0</v>
      </c>
      <c r="M547" s="80">
        <f t="shared" si="250"/>
        <v>0</v>
      </c>
      <c r="N547" s="80">
        <f t="shared" si="250"/>
        <v>-9039.7584235632894</v>
      </c>
      <c r="O547" s="80">
        <f t="shared" si="250"/>
        <v>-4736.0093026503182</v>
      </c>
      <c r="P547" s="80">
        <f t="shared" si="250"/>
        <v>0</v>
      </c>
      <c r="Q547" s="80">
        <f t="shared" si="251"/>
        <v>-524.6773902777777</v>
      </c>
      <c r="R547" s="80">
        <f t="shared" si="251"/>
        <v>-270.38242227430658</v>
      </c>
      <c r="S547" s="80">
        <f t="shared" si="251"/>
        <v>-825.74982778692925</v>
      </c>
      <c r="T547" s="80">
        <f t="shared" si="251"/>
        <v>-23.887089524017604</v>
      </c>
      <c r="U547" s="80">
        <f t="shared" si="251"/>
        <v>-9.1211141511640754</v>
      </c>
      <c r="V547" s="80">
        <f t="shared" si="251"/>
        <v>0</v>
      </c>
      <c r="W547" s="80">
        <f t="shared" si="251"/>
        <v>0</v>
      </c>
      <c r="X547" s="64">
        <f t="shared" si="251"/>
        <v>0</v>
      </c>
      <c r="Y547" s="64">
        <f t="shared" si="251"/>
        <v>0</v>
      </c>
      <c r="Z547" s="64">
        <f t="shared" si="251"/>
        <v>0</v>
      </c>
      <c r="AA547" s="64">
        <f t="shared" si="252"/>
        <v>-66165.855225922627</v>
      </c>
      <c r="AB547" s="59" t="str">
        <f t="shared" si="253"/>
        <v>ok</v>
      </c>
    </row>
    <row r="548" spans="1:28" x14ac:dyDescent="0.25">
      <c r="A548" s="69" t="s">
        <v>631</v>
      </c>
      <c r="C548" s="61" t="s">
        <v>538</v>
      </c>
      <c r="D548" s="61" t="s">
        <v>581</v>
      </c>
      <c r="E548" s="61" t="s">
        <v>707</v>
      </c>
      <c r="F548" s="80">
        <f>VLOOKUP(C548,'Functional Assignment'!$C$2:$AP$778,'Functional Assignment'!$U$2,)</f>
        <v>-107514.54609495877</v>
      </c>
      <c r="G548" s="80">
        <f t="shared" si="250"/>
        <v>-92499.951546958153</v>
      </c>
      <c r="H548" s="80">
        <f t="shared" si="250"/>
        <v>-11410.923459638852</v>
      </c>
      <c r="I548" s="80">
        <f t="shared" si="250"/>
        <v>0</v>
      </c>
      <c r="J548" s="80">
        <f t="shared" si="250"/>
        <v>-18.678119010115729</v>
      </c>
      <c r="K548" s="80">
        <f t="shared" si="250"/>
        <v>-715.26961222984278</v>
      </c>
      <c r="L548" s="80">
        <f t="shared" si="250"/>
        <v>0</v>
      </c>
      <c r="M548" s="80">
        <f t="shared" si="250"/>
        <v>0</v>
      </c>
      <c r="N548" s="80">
        <f t="shared" si="250"/>
        <v>-28.059822622502626</v>
      </c>
      <c r="O548" s="80">
        <f t="shared" si="250"/>
        <v>-81.663465535095028</v>
      </c>
      <c r="P548" s="80">
        <f t="shared" si="250"/>
        <v>0</v>
      </c>
      <c r="Q548" s="80">
        <f t="shared" si="251"/>
        <v>-0.25586464397418807</v>
      </c>
      <c r="R548" s="80">
        <f t="shared" si="251"/>
        <v>-0.51172928794837613</v>
      </c>
      <c r="S548" s="80">
        <f t="shared" si="251"/>
        <v>-2729.0688764482065</v>
      </c>
      <c r="T548" s="80">
        <f t="shared" si="251"/>
        <v>-4.4349871622192589</v>
      </c>
      <c r="U548" s="80">
        <f t="shared" si="251"/>
        <v>-25.728611421848914</v>
      </c>
      <c r="V548" s="80">
        <f t="shared" si="251"/>
        <v>0</v>
      </c>
      <c r="W548" s="80">
        <f t="shared" si="251"/>
        <v>0</v>
      </c>
      <c r="X548" s="64">
        <f t="shared" si="251"/>
        <v>0</v>
      </c>
      <c r="Y548" s="64">
        <f t="shared" si="251"/>
        <v>0</v>
      </c>
      <c r="Z548" s="64">
        <f t="shared" si="251"/>
        <v>0</v>
      </c>
      <c r="AA548" s="64">
        <f t="shared" si="252"/>
        <v>-107514.54609495874</v>
      </c>
      <c r="AB548" s="59" t="str">
        <f t="shared" si="253"/>
        <v>ok</v>
      </c>
    </row>
    <row r="549" spans="1:28" x14ac:dyDescent="0.25">
      <c r="A549" s="69" t="s">
        <v>632</v>
      </c>
      <c r="C549" s="61" t="s">
        <v>538</v>
      </c>
      <c r="D549" s="61" t="s">
        <v>582</v>
      </c>
      <c r="E549" s="61" t="s">
        <v>685</v>
      </c>
      <c r="F549" s="80">
        <f>VLOOKUP(C549,'Functional Assignment'!$C$2:$AP$778,'Functional Assignment'!$V$2,)</f>
        <v>-22055.285075307544</v>
      </c>
      <c r="G549" s="80">
        <f t="shared" si="250"/>
        <v>-18701.654413101936</v>
      </c>
      <c r="H549" s="80">
        <f t="shared" si="250"/>
        <v>-3138.8101771822503</v>
      </c>
      <c r="I549" s="80">
        <f t="shared" si="250"/>
        <v>0</v>
      </c>
      <c r="J549" s="80">
        <f t="shared" si="250"/>
        <v>0</v>
      </c>
      <c r="K549" s="80">
        <f t="shared" si="250"/>
        <v>0</v>
      </c>
      <c r="L549" s="80">
        <f t="shared" si="250"/>
        <v>0</v>
      </c>
      <c r="M549" s="80">
        <f t="shared" si="250"/>
        <v>0</v>
      </c>
      <c r="N549" s="80">
        <f t="shared" si="250"/>
        <v>0</v>
      </c>
      <c r="O549" s="80">
        <f t="shared" si="250"/>
        <v>0</v>
      </c>
      <c r="P549" s="80">
        <f t="shared" si="250"/>
        <v>0</v>
      </c>
      <c r="Q549" s="80">
        <f t="shared" si="251"/>
        <v>0</v>
      </c>
      <c r="R549" s="80">
        <f t="shared" si="251"/>
        <v>0</v>
      </c>
      <c r="S549" s="80">
        <f t="shared" si="251"/>
        <v>-206.56339971705552</v>
      </c>
      <c r="T549" s="80">
        <f t="shared" si="251"/>
        <v>-5.9754156227325605</v>
      </c>
      <c r="U549" s="80">
        <f t="shared" si="251"/>
        <v>-2.2816696835666241</v>
      </c>
      <c r="V549" s="80">
        <f t="shared" si="251"/>
        <v>0</v>
      </c>
      <c r="W549" s="80">
        <f t="shared" si="251"/>
        <v>0</v>
      </c>
      <c r="X549" s="64">
        <f t="shared" si="251"/>
        <v>0</v>
      </c>
      <c r="Y549" s="64">
        <f t="shared" si="251"/>
        <v>0</v>
      </c>
      <c r="Z549" s="64">
        <f t="shared" si="251"/>
        <v>0</v>
      </c>
      <c r="AA549" s="64">
        <f t="shared" si="252"/>
        <v>-22055.28507530754</v>
      </c>
      <c r="AB549" s="59" t="str">
        <f t="shared" si="253"/>
        <v>ok</v>
      </c>
    </row>
    <row r="550" spans="1:28" x14ac:dyDescent="0.25">
      <c r="A550" s="69" t="s">
        <v>633</v>
      </c>
      <c r="C550" s="61" t="s">
        <v>538</v>
      </c>
      <c r="D550" s="61" t="s">
        <v>583</v>
      </c>
      <c r="E550" s="61" t="s">
        <v>706</v>
      </c>
      <c r="F550" s="80">
        <f>VLOOKUP(C550,'Functional Assignment'!$C$2:$AP$778,'Functional Assignment'!$W$2,)</f>
        <v>-35838.182031652934</v>
      </c>
      <c r="G550" s="80">
        <f t="shared" si="250"/>
        <v>-31077.404717435737</v>
      </c>
      <c r="H550" s="80">
        <f t="shared" si="250"/>
        <v>-3833.7521331008766</v>
      </c>
      <c r="I550" s="80">
        <f t="shared" si="250"/>
        <v>0</v>
      </c>
      <c r="J550" s="80">
        <f t="shared" si="250"/>
        <v>0</v>
      </c>
      <c r="K550" s="80">
        <f t="shared" si="250"/>
        <v>0</v>
      </c>
      <c r="L550" s="80">
        <f t="shared" si="250"/>
        <v>0</v>
      </c>
      <c r="M550" s="80">
        <f t="shared" si="250"/>
        <v>0</v>
      </c>
      <c r="N550" s="80">
        <f t="shared" si="250"/>
        <v>0</v>
      </c>
      <c r="O550" s="80">
        <f t="shared" si="250"/>
        <v>0</v>
      </c>
      <c r="P550" s="80">
        <f t="shared" si="250"/>
        <v>0</v>
      </c>
      <c r="Q550" s="80">
        <f t="shared" si="251"/>
        <v>0</v>
      </c>
      <c r="R550" s="80">
        <f t="shared" si="251"/>
        <v>0</v>
      </c>
      <c r="S550" s="80">
        <f t="shared" si="251"/>
        <v>-916.89105298701725</v>
      </c>
      <c r="T550" s="80">
        <f t="shared" si="251"/>
        <v>-1.4900320340919375</v>
      </c>
      <c r="U550" s="80">
        <f t="shared" si="251"/>
        <v>-8.6440960952128449</v>
      </c>
      <c r="V550" s="80">
        <f t="shared" si="251"/>
        <v>0</v>
      </c>
      <c r="W550" s="80">
        <f t="shared" si="251"/>
        <v>0</v>
      </c>
      <c r="X550" s="64">
        <f t="shared" si="251"/>
        <v>0</v>
      </c>
      <c r="Y550" s="64">
        <f t="shared" si="251"/>
        <v>0</v>
      </c>
      <c r="Z550" s="64">
        <f t="shared" si="251"/>
        <v>0</v>
      </c>
      <c r="AA550" s="64">
        <f t="shared" si="252"/>
        <v>-35838.182031652934</v>
      </c>
      <c r="AB550" s="59" t="str">
        <f t="shared" si="253"/>
        <v>ok</v>
      </c>
    </row>
    <row r="551" spans="1:28" x14ac:dyDescent="0.25">
      <c r="A551" s="61" t="s">
        <v>383</v>
      </c>
      <c r="D551" s="61" t="s">
        <v>584</v>
      </c>
      <c r="F551" s="77">
        <f>SUM(F546:F550)</f>
        <v>-231573.86842784187</v>
      </c>
      <c r="G551" s="77">
        <f t="shared" ref="G551:W551" si="254">SUM(G546:G550)</f>
        <v>-174046.93045913219</v>
      </c>
      <c r="H551" s="77">
        <f t="shared" si="254"/>
        <v>-27221.795218284842</v>
      </c>
      <c r="I551" s="77">
        <f t="shared" si="254"/>
        <v>0</v>
      </c>
      <c r="J551" s="77">
        <f t="shared" si="254"/>
        <v>-763.64276186082361</v>
      </c>
      <c r="K551" s="77">
        <f t="shared" si="254"/>
        <v>-10100.345395074764</v>
      </c>
      <c r="L551" s="77">
        <f t="shared" si="254"/>
        <v>0</v>
      </c>
      <c r="M551" s="77">
        <f t="shared" si="254"/>
        <v>0</v>
      </c>
      <c r="N551" s="77">
        <f t="shared" si="254"/>
        <v>-9067.8182461857923</v>
      </c>
      <c r="O551" s="77">
        <f>SUM(O546:O550)</f>
        <v>-4817.6727681854136</v>
      </c>
      <c r="P551" s="77">
        <f t="shared" si="254"/>
        <v>0</v>
      </c>
      <c r="Q551" s="77">
        <f t="shared" si="254"/>
        <v>-524.93325492175188</v>
      </c>
      <c r="R551" s="77">
        <f t="shared" si="254"/>
        <v>-270.89415156225493</v>
      </c>
      <c r="S551" s="77">
        <f t="shared" si="254"/>
        <v>-4678.2731569392081</v>
      </c>
      <c r="T551" s="77">
        <f t="shared" si="254"/>
        <v>-35.787524343061364</v>
      </c>
      <c r="U551" s="77">
        <f t="shared" si="254"/>
        <v>-45.775491351792461</v>
      </c>
      <c r="V551" s="77">
        <f t="shared" si="254"/>
        <v>0</v>
      </c>
      <c r="W551" s="77">
        <f t="shared" si="254"/>
        <v>0</v>
      </c>
      <c r="X551" s="63">
        <f>SUM(X546:X550)</f>
        <v>0</v>
      </c>
      <c r="Y551" s="63">
        <f>SUM(Y546:Y550)</f>
        <v>0</v>
      </c>
      <c r="Z551" s="63">
        <f>SUM(Z546:Z550)</f>
        <v>0</v>
      </c>
      <c r="AA551" s="65">
        <f t="shared" si="252"/>
        <v>-231573.86842784187</v>
      </c>
      <c r="AB551" s="59" t="str">
        <f t="shared" si="253"/>
        <v>ok</v>
      </c>
    </row>
    <row r="552" spans="1:28" x14ac:dyDescent="0.25">
      <c r="F552" s="80"/>
    </row>
    <row r="553" spans="1:28" x14ac:dyDescent="0.25">
      <c r="A553" s="66" t="s">
        <v>640</v>
      </c>
      <c r="F553" s="80"/>
    </row>
    <row r="554" spans="1:28" x14ac:dyDescent="0.25">
      <c r="A554" s="69" t="s">
        <v>1113</v>
      </c>
      <c r="C554" s="61" t="s">
        <v>538</v>
      </c>
      <c r="D554" s="61" t="s">
        <v>585</v>
      </c>
      <c r="E554" s="61" t="s">
        <v>1379</v>
      </c>
      <c r="F554" s="77">
        <f>VLOOKUP(C554,'Functional Assignment'!$C$2:$AP$778,'Functional Assignment'!$X$2,)</f>
        <v>-27339.584594398042</v>
      </c>
      <c r="G554" s="77">
        <f t="shared" ref="G554:P555" si="255">IF(VLOOKUP($E554,$D$6:$AN$1141,3,)=0,0,(VLOOKUP($E554,$D$6:$AN$1141,G$2,)/VLOOKUP($E554,$D$6:$AN$1141,3,))*$F554)</f>
        <v>-19303.105151945336</v>
      </c>
      <c r="H554" s="77">
        <f t="shared" si="255"/>
        <v>-3239.7552411030588</v>
      </c>
      <c r="I554" s="77">
        <f t="shared" si="255"/>
        <v>0</v>
      </c>
      <c r="J554" s="77">
        <f t="shared" si="255"/>
        <v>0</v>
      </c>
      <c r="K554" s="77">
        <f t="shared" si="255"/>
        <v>-3007.1613491387898</v>
      </c>
      <c r="L554" s="77">
        <f t="shared" si="255"/>
        <v>0</v>
      </c>
      <c r="M554" s="77">
        <f t="shared" si="255"/>
        <v>0</v>
      </c>
      <c r="N554" s="77">
        <f t="shared" si="255"/>
        <v>0</v>
      </c>
      <c r="O554" s="77">
        <f t="shared" si="255"/>
        <v>-1567.8336768341308</v>
      </c>
      <c r="P554" s="77">
        <f t="shared" si="255"/>
        <v>0</v>
      </c>
      <c r="Q554" s="77">
        <f t="shared" ref="Q554:Z555" si="256">IF(VLOOKUP($E554,$D$6:$AN$1141,3,)=0,0,(VLOOKUP($E554,$D$6:$AN$1141,Q$2,)/VLOOKUP($E554,$D$6:$AN$1141,3,))*$F554)</f>
        <v>0</v>
      </c>
      <c r="R554" s="77">
        <f t="shared" si="256"/>
        <v>0</v>
      </c>
      <c r="S554" s="77">
        <f t="shared" si="256"/>
        <v>-213.20653976410875</v>
      </c>
      <c r="T554" s="77">
        <f t="shared" si="256"/>
        <v>-6.1675867569970828</v>
      </c>
      <c r="U554" s="77">
        <f t="shared" si="256"/>
        <v>-2.3550488556261997</v>
      </c>
      <c r="V554" s="77">
        <f t="shared" si="256"/>
        <v>0</v>
      </c>
      <c r="W554" s="77">
        <f t="shared" si="256"/>
        <v>0</v>
      </c>
      <c r="X554" s="63">
        <f t="shared" si="256"/>
        <v>0</v>
      </c>
      <c r="Y554" s="63">
        <f t="shared" si="256"/>
        <v>0</v>
      </c>
      <c r="Z554" s="63">
        <f t="shared" si="256"/>
        <v>0</v>
      </c>
      <c r="AA554" s="65">
        <f>SUM(G554:Z554)</f>
        <v>-27339.584594398049</v>
      </c>
      <c r="AB554" s="59" t="str">
        <f>IF(ABS(F554-AA554)&lt;0.01,"ok","err")</f>
        <v>ok</v>
      </c>
    </row>
    <row r="555" spans="1:28" x14ac:dyDescent="0.25">
      <c r="A555" s="69" t="s">
        <v>1116</v>
      </c>
      <c r="C555" s="61" t="s">
        <v>538</v>
      </c>
      <c r="D555" s="61" t="s">
        <v>586</v>
      </c>
      <c r="E555" s="61" t="s">
        <v>1377</v>
      </c>
      <c r="F555" s="80">
        <f>VLOOKUP(C555,'Functional Assignment'!$C$2:$AP$778,'Functional Assignment'!$Y$2,)</f>
        <v>-20748.288177009777</v>
      </c>
      <c r="G555" s="80">
        <f t="shared" si="255"/>
        <v>-17858.644297504674</v>
      </c>
      <c r="H555" s="80">
        <f t="shared" si="255"/>
        <v>-2203.0673504546617</v>
      </c>
      <c r="I555" s="80">
        <f t="shared" si="255"/>
        <v>0</v>
      </c>
      <c r="J555" s="80">
        <f t="shared" si="255"/>
        <v>0</v>
      </c>
      <c r="K555" s="80">
        <f t="shared" si="255"/>
        <v>-138.09461916466185</v>
      </c>
      <c r="L555" s="80">
        <f t="shared" si="255"/>
        <v>0</v>
      </c>
      <c r="M555" s="80">
        <f t="shared" si="255"/>
        <v>0</v>
      </c>
      <c r="N555" s="80">
        <f t="shared" si="255"/>
        <v>0</v>
      </c>
      <c r="O555" s="80">
        <f t="shared" si="255"/>
        <v>-15.766481589478772</v>
      </c>
      <c r="P555" s="80">
        <f t="shared" si="255"/>
        <v>0</v>
      </c>
      <c r="Q555" s="80">
        <f t="shared" si="256"/>
        <v>0</v>
      </c>
      <c r="R555" s="80">
        <f t="shared" si="256"/>
        <v>0</v>
      </c>
      <c r="S555" s="80">
        <f t="shared" si="256"/>
        <v>-526.89184710694019</v>
      </c>
      <c r="T555" s="80">
        <f t="shared" si="256"/>
        <v>-0.85624756412835101</v>
      </c>
      <c r="U555" s="80">
        <f t="shared" si="256"/>
        <v>-4.9673336252317801</v>
      </c>
      <c r="V555" s="80">
        <f t="shared" si="256"/>
        <v>0</v>
      </c>
      <c r="W555" s="80">
        <f t="shared" si="256"/>
        <v>0</v>
      </c>
      <c r="X555" s="64">
        <f t="shared" si="256"/>
        <v>0</v>
      </c>
      <c r="Y555" s="64">
        <f t="shared" si="256"/>
        <v>0</v>
      </c>
      <c r="Z555" s="64">
        <f t="shared" si="256"/>
        <v>0</v>
      </c>
      <c r="AA555" s="64">
        <f>SUM(G555:Z555)</f>
        <v>-20748.288177009774</v>
      </c>
      <c r="AB555" s="59" t="str">
        <f>IF(ABS(F555-AA555)&lt;0.01,"ok","err")</f>
        <v>ok</v>
      </c>
    </row>
    <row r="556" spans="1:28" x14ac:dyDescent="0.25">
      <c r="A556" s="61" t="s">
        <v>721</v>
      </c>
      <c r="D556" s="61" t="s">
        <v>587</v>
      </c>
      <c r="F556" s="77">
        <f>F554+F555</f>
        <v>-48087.87277140782</v>
      </c>
      <c r="G556" s="77">
        <f t="shared" ref="G556:W556" si="257">G554+G555</f>
        <v>-37161.749449450013</v>
      </c>
      <c r="H556" s="77">
        <f t="shared" si="257"/>
        <v>-5442.8225915577204</v>
      </c>
      <c r="I556" s="77">
        <f t="shared" si="257"/>
        <v>0</v>
      </c>
      <c r="J556" s="77">
        <f t="shared" si="257"/>
        <v>0</v>
      </c>
      <c r="K556" s="77">
        <f t="shared" si="257"/>
        <v>-3145.2559683034515</v>
      </c>
      <c r="L556" s="77">
        <f t="shared" si="257"/>
        <v>0</v>
      </c>
      <c r="M556" s="77">
        <f t="shared" si="257"/>
        <v>0</v>
      </c>
      <c r="N556" s="77">
        <f t="shared" si="257"/>
        <v>0</v>
      </c>
      <c r="O556" s="77">
        <f>O554+O555</f>
        <v>-1583.6001584236096</v>
      </c>
      <c r="P556" s="77">
        <f t="shared" si="257"/>
        <v>0</v>
      </c>
      <c r="Q556" s="77">
        <f t="shared" si="257"/>
        <v>0</v>
      </c>
      <c r="R556" s="77">
        <f t="shared" si="257"/>
        <v>0</v>
      </c>
      <c r="S556" s="77">
        <f t="shared" si="257"/>
        <v>-740.09838687104889</v>
      </c>
      <c r="T556" s="77">
        <f t="shared" si="257"/>
        <v>-7.0238343211254337</v>
      </c>
      <c r="U556" s="77">
        <f t="shared" si="257"/>
        <v>-7.3223824808579803</v>
      </c>
      <c r="V556" s="77">
        <f t="shared" si="257"/>
        <v>0</v>
      </c>
      <c r="W556" s="77">
        <f t="shared" si="257"/>
        <v>0</v>
      </c>
      <c r="X556" s="63">
        <f>X554+X555</f>
        <v>0</v>
      </c>
      <c r="Y556" s="63">
        <f>Y554+Y555</f>
        <v>0</v>
      </c>
      <c r="Z556" s="63">
        <f>Z554+Z555</f>
        <v>0</v>
      </c>
      <c r="AA556" s="65">
        <f>SUM(G556:Z556)</f>
        <v>-48087.87277140782</v>
      </c>
      <c r="AB556" s="59" t="str">
        <f>IF(ABS(F556-AA556)&lt;0.01,"ok","err")</f>
        <v>ok</v>
      </c>
    </row>
    <row r="557" spans="1:28" x14ac:dyDescent="0.25">
      <c r="F557" s="80"/>
    </row>
    <row r="558" spans="1:28" x14ac:dyDescent="0.25">
      <c r="A558" s="66" t="s">
        <v>356</v>
      </c>
      <c r="F558" s="80"/>
    </row>
    <row r="559" spans="1:28" x14ac:dyDescent="0.25">
      <c r="A559" s="69" t="s">
        <v>1116</v>
      </c>
      <c r="C559" s="61" t="s">
        <v>538</v>
      </c>
      <c r="D559" s="61" t="s">
        <v>588</v>
      </c>
      <c r="E559" s="61" t="s">
        <v>1118</v>
      </c>
      <c r="F559" s="77">
        <f>VLOOKUP(C559,'Functional Assignment'!$C$2:$AP$778,'Functional Assignment'!$Z$2,)</f>
        <v>-9846.470935759844</v>
      </c>
      <c r="G559" s="77">
        <f t="shared" ref="G559:Z559" si="258">IF(VLOOKUP($E559,$D$6:$AN$1141,3,)=0,0,(VLOOKUP($E559,$D$6:$AN$1141,G$2,)/VLOOKUP($E559,$D$6:$AN$1141,3,))*$F559)</f>
        <v>-7949.2955208507437</v>
      </c>
      <c r="H559" s="77">
        <f t="shared" si="258"/>
        <v>-1697.3708904699388</v>
      </c>
      <c r="I559" s="77">
        <f t="shared" si="258"/>
        <v>0</v>
      </c>
      <c r="J559" s="77">
        <f t="shared" si="258"/>
        <v>0</v>
      </c>
      <c r="K559" s="77">
        <f t="shared" si="258"/>
        <v>-169.81779152661713</v>
      </c>
      <c r="L559" s="77">
        <f t="shared" si="258"/>
        <v>0</v>
      </c>
      <c r="M559" s="77">
        <f t="shared" si="258"/>
        <v>0</v>
      </c>
      <c r="N559" s="77">
        <f t="shared" si="258"/>
        <v>0</v>
      </c>
      <c r="O559" s="77">
        <f t="shared" si="258"/>
        <v>-29.986732912544809</v>
      </c>
      <c r="P559" s="77">
        <f t="shared" si="258"/>
        <v>0</v>
      </c>
      <c r="Q559" s="77">
        <f t="shared" si="258"/>
        <v>0</v>
      </c>
      <c r="R559" s="77">
        <f t="shared" si="258"/>
        <v>0</v>
      </c>
      <c r="S559" s="77">
        <f t="shared" si="258"/>
        <v>0</v>
      </c>
      <c r="T559" s="77">
        <f t="shared" si="258"/>
        <v>0</v>
      </c>
      <c r="U559" s="77">
        <f t="shared" si="258"/>
        <v>0</v>
      </c>
      <c r="V559" s="77">
        <f t="shared" si="258"/>
        <v>0</v>
      </c>
      <c r="W559" s="77">
        <f t="shared" si="258"/>
        <v>0</v>
      </c>
      <c r="X559" s="63">
        <f t="shared" si="258"/>
        <v>0</v>
      </c>
      <c r="Y559" s="63">
        <f t="shared" si="258"/>
        <v>0</v>
      </c>
      <c r="Z559" s="63">
        <f t="shared" si="258"/>
        <v>0</v>
      </c>
      <c r="AA559" s="65">
        <f>SUM(G559:Z559)</f>
        <v>-9846.470935759844</v>
      </c>
      <c r="AB559" s="59" t="str">
        <f>IF(ABS(F559-AA559)&lt;0.01,"ok","err")</f>
        <v>ok</v>
      </c>
    </row>
    <row r="560" spans="1:28" x14ac:dyDescent="0.25">
      <c r="F560" s="80"/>
    </row>
    <row r="561" spans="1:28" x14ac:dyDescent="0.25">
      <c r="A561" s="66" t="s">
        <v>355</v>
      </c>
      <c r="F561" s="80"/>
    </row>
    <row r="562" spans="1:28" x14ac:dyDescent="0.25">
      <c r="A562" s="69" t="s">
        <v>1116</v>
      </c>
      <c r="C562" s="61" t="s">
        <v>538</v>
      </c>
      <c r="D562" s="61" t="s">
        <v>589</v>
      </c>
      <c r="E562" s="61" t="s">
        <v>1119</v>
      </c>
      <c r="F562" s="77">
        <f>VLOOKUP(C562,'Functional Assignment'!$C$2:$AP$778,'Functional Assignment'!$AA$2,)</f>
        <v>-13003.907108829979</v>
      </c>
      <c r="G562" s="77">
        <f t="shared" ref="G562:Z562" si="259">IF(VLOOKUP($E562,$D$6:$AN$1141,3,)=0,0,(VLOOKUP($E562,$D$6:$AN$1141,G$2,)/VLOOKUP($E562,$D$6:$AN$1141,3,))*$F562)</f>
        <v>-8908.2028585451808</v>
      </c>
      <c r="H562" s="77">
        <f t="shared" si="259"/>
        <v>-2915.5605626200131</v>
      </c>
      <c r="I562" s="77">
        <f t="shared" si="259"/>
        <v>0</v>
      </c>
      <c r="J562" s="77">
        <f t="shared" si="259"/>
        <v>-105.81927000125268</v>
      </c>
      <c r="K562" s="77">
        <f t="shared" si="259"/>
        <v>-686.24102770594709</v>
      </c>
      <c r="L562" s="77">
        <f t="shared" si="259"/>
        <v>0</v>
      </c>
      <c r="M562" s="77">
        <f t="shared" si="259"/>
        <v>0</v>
      </c>
      <c r="N562" s="77">
        <f t="shared" si="259"/>
        <v>-152.00807580182644</v>
      </c>
      <c r="O562" s="77">
        <f t="shared" si="259"/>
        <v>-86.043201617596139</v>
      </c>
      <c r="P562" s="77">
        <f t="shared" si="259"/>
        <v>-119.72970325493829</v>
      </c>
      <c r="Q562" s="77">
        <f t="shared" si="259"/>
        <v>-1.3860918766123989</v>
      </c>
      <c r="R562" s="77">
        <f t="shared" si="259"/>
        <v>-2.7721837532247977</v>
      </c>
      <c r="S562" s="77">
        <f t="shared" si="259"/>
        <v>0</v>
      </c>
      <c r="T562" s="77">
        <f t="shared" si="259"/>
        <v>-3.8440008010634239</v>
      </c>
      <c r="U562" s="77">
        <f t="shared" si="259"/>
        <v>-22.30013285232307</v>
      </c>
      <c r="V562" s="77">
        <f t="shared" si="259"/>
        <v>0</v>
      </c>
      <c r="W562" s="77">
        <f t="shared" si="259"/>
        <v>0</v>
      </c>
      <c r="X562" s="63">
        <f t="shared" si="259"/>
        <v>0</v>
      </c>
      <c r="Y562" s="63">
        <f t="shared" si="259"/>
        <v>0</v>
      </c>
      <c r="Z562" s="63">
        <f t="shared" si="259"/>
        <v>0</v>
      </c>
      <c r="AA562" s="65">
        <f>SUM(G562:Z562)</f>
        <v>-13003.907108829979</v>
      </c>
      <c r="AB562" s="59" t="str">
        <f>IF(ABS(F562-AA562)&lt;0.01,"ok","err")</f>
        <v>ok</v>
      </c>
    </row>
    <row r="563" spans="1:28" x14ac:dyDescent="0.25"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63"/>
      <c r="Y563" s="63"/>
      <c r="Z563" s="63"/>
      <c r="AA563" s="65"/>
    </row>
    <row r="564" spans="1:28" x14ac:dyDescent="0.25">
      <c r="A564" s="66" t="s">
        <v>376</v>
      </c>
      <c r="F564" s="80"/>
    </row>
    <row r="565" spans="1:28" x14ac:dyDescent="0.25">
      <c r="A565" s="69" t="s">
        <v>1116</v>
      </c>
      <c r="C565" s="61" t="s">
        <v>538</v>
      </c>
      <c r="D565" s="61" t="s">
        <v>590</v>
      </c>
      <c r="E565" s="61" t="s">
        <v>1120</v>
      </c>
      <c r="F565" s="77">
        <f>VLOOKUP(C565,'Functional Assignment'!$C$2:$AP$778,'Functional Assignment'!$AB$2,)</f>
        <v>-30661.038303350357</v>
      </c>
      <c r="G565" s="77">
        <f t="shared" ref="G565:Z565" si="260">IF(VLOOKUP($E565,$D$6:$AN$1141,3,)=0,0,(VLOOKUP($E565,$D$6:$AN$1141,G$2,)/VLOOKUP($E565,$D$6:$AN$1141,3,))*$F565)</f>
        <v>0</v>
      </c>
      <c r="H565" s="77">
        <f t="shared" si="260"/>
        <v>0</v>
      </c>
      <c r="I565" s="77">
        <f t="shared" si="260"/>
        <v>0</v>
      </c>
      <c r="J565" s="77">
        <f t="shared" si="260"/>
        <v>0</v>
      </c>
      <c r="K565" s="77">
        <f t="shared" si="260"/>
        <v>0</v>
      </c>
      <c r="L565" s="77">
        <f t="shared" si="260"/>
        <v>0</v>
      </c>
      <c r="M565" s="77">
        <f t="shared" si="260"/>
        <v>0</v>
      </c>
      <c r="N565" s="77">
        <f t="shared" si="260"/>
        <v>0</v>
      </c>
      <c r="O565" s="77">
        <f t="shared" si="260"/>
        <v>0</v>
      </c>
      <c r="P565" s="77">
        <f t="shared" si="260"/>
        <v>0</v>
      </c>
      <c r="Q565" s="77">
        <f t="shared" si="260"/>
        <v>0</v>
      </c>
      <c r="R565" s="77">
        <f t="shared" si="260"/>
        <v>0</v>
      </c>
      <c r="S565" s="77">
        <f t="shared" si="260"/>
        <v>-30661.038303350357</v>
      </c>
      <c r="T565" s="77">
        <f t="shared" si="260"/>
        <v>0</v>
      </c>
      <c r="U565" s="77">
        <f t="shared" si="260"/>
        <v>0</v>
      </c>
      <c r="V565" s="77">
        <f t="shared" si="260"/>
        <v>0</v>
      </c>
      <c r="W565" s="77">
        <f t="shared" si="260"/>
        <v>0</v>
      </c>
      <c r="X565" s="63">
        <f t="shared" si="260"/>
        <v>0</v>
      </c>
      <c r="Y565" s="63">
        <f t="shared" si="260"/>
        <v>0</v>
      </c>
      <c r="Z565" s="63">
        <f t="shared" si="260"/>
        <v>0</v>
      </c>
      <c r="AA565" s="65">
        <f>SUM(G565:Z565)</f>
        <v>-30661.038303350357</v>
      </c>
      <c r="AB565" s="59" t="str">
        <f>IF(ABS(F565-AA565)&lt;0.01,"ok","err")</f>
        <v>ok</v>
      </c>
    </row>
    <row r="566" spans="1:28" x14ac:dyDescent="0.25"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63"/>
      <c r="Y566" s="63"/>
      <c r="Z566" s="63"/>
      <c r="AA566" s="65"/>
    </row>
    <row r="567" spans="1:28" x14ac:dyDescent="0.25">
      <c r="A567" s="66" t="s">
        <v>1047</v>
      </c>
      <c r="F567" s="80"/>
    </row>
    <row r="568" spans="1:28" x14ac:dyDescent="0.25">
      <c r="A568" s="69" t="s">
        <v>1116</v>
      </c>
      <c r="C568" s="61" t="s">
        <v>538</v>
      </c>
      <c r="D568" s="61" t="s">
        <v>591</v>
      </c>
      <c r="E568" s="61" t="s">
        <v>1121</v>
      </c>
      <c r="F568" s="77">
        <f>VLOOKUP(C568,'Functional Assignment'!$C$2:$AP$778,'Functional Assignment'!$AC$2,)</f>
        <v>0</v>
      </c>
      <c r="G568" s="77">
        <f t="shared" ref="G568:Z568" si="261">IF(VLOOKUP($E568,$D$6:$AN$1141,3,)=0,0,(VLOOKUP($E568,$D$6:$AN$1141,G$2,)/VLOOKUP($E568,$D$6:$AN$1141,3,))*$F568)</f>
        <v>0</v>
      </c>
      <c r="H568" s="77">
        <f t="shared" si="261"/>
        <v>0</v>
      </c>
      <c r="I568" s="77">
        <f t="shared" si="261"/>
        <v>0</v>
      </c>
      <c r="J568" s="77">
        <f t="shared" si="261"/>
        <v>0</v>
      </c>
      <c r="K568" s="77">
        <f t="shared" si="261"/>
        <v>0</v>
      </c>
      <c r="L568" s="77">
        <f t="shared" si="261"/>
        <v>0</v>
      </c>
      <c r="M568" s="77">
        <f t="shared" si="261"/>
        <v>0</v>
      </c>
      <c r="N568" s="77">
        <f t="shared" si="261"/>
        <v>0</v>
      </c>
      <c r="O568" s="77">
        <f t="shared" si="261"/>
        <v>0</v>
      </c>
      <c r="P568" s="77">
        <f t="shared" si="261"/>
        <v>0</v>
      </c>
      <c r="Q568" s="77">
        <f t="shared" si="261"/>
        <v>0</v>
      </c>
      <c r="R568" s="77">
        <f t="shared" si="261"/>
        <v>0</v>
      </c>
      <c r="S568" s="77">
        <f t="shared" si="261"/>
        <v>0</v>
      </c>
      <c r="T568" s="77">
        <f t="shared" si="261"/>
        <v>0</v>
      </c>
      <c r="U568" s="77">
        <f t="shared" si="261"/>
        <v>0</v>
      </c>
      <c r="V568" s="77">
        <f t="shared" si="261"/>
        <v>0</v>
      </c>
      <c r="W568" s="77">
        <f t="shared" si="261"/>
        <v>0</v>
      </c>
      <c r="X568" s="63">
        <f t="shared" si="261"/>
        <v>0</v>
      </c>
      <c r="Y568" s="63">
        <f t="shared" si="261"/>
        <v>0</v>
      </c>
      <c r="Z568" s="63">
        <f t="shared" si="261"/>
        <v>0</v>
      </c>
      <c r="AA568" s="65">
        <f>SUM(G568:Z568)</f>
        <v>0</v>
      </c>
      <c r="AB568" s="59" t="str">
        <f>IF(ABS(F568-AA568)&lt;0.01,"ok","err")</f>
        <v>ok</v>
      </c>
    </row>
    <row r="569" spans="1:28" x14ac:dyDescent="0.25"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63"/>
      <c r="Y569" s="63"/>
      <c r="Z569" s="63"/>
      <c r="AA569" s="65"/>
    </row>
    <row r="570" spans="1:28" x14ac:dyDescent="0.25">
      <c r="A570" s="66" t="s">
        <v>353</v>
      </c>
      <c r="F570" s="80"/>
    </row>
    <row r="571" spans="1:28" x14ac:dyDescent="0.25">
      <c r="A571" s="69" t="s">
        <v>1116</v>
      </c>
      <c r="C571" s="61" t="s">
        <v>538</v>
      </c>
      <c r="D571" s="61" t="s">
        <v>592</v>
      </c>
      <c r="E571" s="61" t="s">
        <v>1121</v>
      </c>
      <c r="F571" s="77">
        <f>VLOOKUP(C571,'Functional Assignment'!$C$2:$AP$778,'Functional Assignment'!$AD$2,)</f>
        <v>0</v>
      </c>
      <c r="G571" s="77">
        <f t="shared" ref="G571:Z571" si="262">IF(VLOOKUP($E571,$D$6:$AN$1141,3,)=0,0,(VLOOKUP($E571,$D$6:$AN$1141,G$2,)/VLOOKUP($E571,$D$6:$AN$1141,3,))*$F571)</f>
        <v>0</v>
      </c>
      <c r="H571" s="77">
        <f t="shared" si="262"/>
        <v>0</v>
      </c>
      <c r="I571" s="77">
        <f t="shared" si="262"/>
        <v>0</v>
      </c>
      <c r="J571" s="77">
        <f t="shared" si="262"/>
        <v>0</v>
      </c>
      <c r="K571" s="77">
        <f t="shared" si="262"/>
        <v>0</v>
      </c>
      <c r="L571" s="77">
        <f t="shared" si="262"/>
        <v>0</v>
      </c>
      <c r="M571" s="77">
        <f t="shared" si="262"/>
        <v>0</v>
      </c>
      <c r="N571" s="77">
        <f t="shared" si="262"/>
        <v>0</v>
      </c>
      <c r="O571" s="77">
        <f t="shared" si="262"/>
        <v>0</v>
      </c>
      <c r="P571" s="77">
        <f t="shared" si="262"/>
        <v>0</v>
      </c>
      <c r="Q571" s="77">
        <f t="shared" si="262"/>
        <v>0</v>
      </c>
      <c r="R571" s="77">
        <f t="shared" si="262"/>
        <v>0</v>
      </c>
      <c r="S571" s="77">
        <f t="shared" si="262"/>
        <v>0</v>
      </c>
      <c r="T571" s="77">
        <f t="shared" si="262"/>
        <v>0</v>
      </c>
      <c r="U571" s="77">
        <f t="shared" si="262"/>
        <v>0</v>
      </c>
      <c r="V571" s="77">
        <f t="shared" si="262"/>
        <v>0</v>
      </c>
      <c r="W571" s="77">
        <f t="shared" si="262"/>
        <v>0</v>
      </c>
      <c r="X571" s="63">
        <f t="shared" si="262"/>
        <v>0</v>
      </c>
      <c r="Y571" s="63">
        <f t="shared" si="262"/>
        <v>0</v>
      </c>
      <c r="Z571" s="63">
        <f t="shared" si="262"/>
        <v>0</v>
      </c>
      <c r="AA571" s="65">
        <f>SUM(G571:Z571)</f>
        <v>0</v>
      </c>
      <c r="AB571" s="59" t="str">
        <f>IF(ABS(F571-AA571)&lt;0.01,"ok","err")</f>
        <v>ok</v>
      </c>
    </row>
    <row r="572" spans="1:28" x14ac:dyDescent="0.25"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63"/>
      <c r="Y572" s="63"/>
      <c r="Z572" s="63"/>
      <c r="AA572" s="65"/>
    </row>
    <row r="573" spans="1:28" x14ac:dyDescent="0.25">
      <c r="A573" s="66" t="s">
        <v>352</v>
      </c>
      <c r="F573" s="80"/>
    </row>
    <row r="574" spans="1:28" x14ac:dyDescent="0.25">
      <c r="A574" s="69" t="s">
        <v>1116</v>
      </c>
      <c r="C574" s="61" t="s">
        <v>538</v>
      </c>
      <c r="D574" s="61" t="s">
        <v>593</v>
      </c>
      <c r="E574" s="61" t="s">
        <v>1122</v>
      </c>
      <c r="F574" s="77">
        <f>VLOOKUP(C574,'Functional Assignment'!$C$2:$AP$778,'Functional Assignment'!$AE$2,)</f>
        <v>0</v>
      </c>
      <c r="G574" s="77">
        <f t="shared" ref="G574:Z574" si="263">IF(VLOOKUP($E574,$D$6:$AN$1141,3,)=0,0,(VLOOKUP($E574,$D$6:$AN$1141,G$2,)/VLOOKUP($E574,$D$6:$AN$1141,3,))*$F574)</f>
        <v>0</v>
      </c>
      <c r="H574" s="77">
        <f t="shared" si="263"/>
        <v>0</v>
      </c>
      <c r="I574" s="77">
        <f t="shared" si="263"/>
        <v>0</v>
      </c>
      <c r="J574" s="77">
        <f t="shared" si="263"/>
        <v>0</v>
      </c>
      <c r="K574" s="77">
        <f t="shared" si="263"/>
        <v>0</v>
      </c>
      <c r="L574" s="77">
        <f t="shared" si="263"/>
        <v>0</v>
      </c>
      <c r="M574" s="77">
        <f t="shared" si="263"/>
        <v>0</v>
      </c>
      <c r="N574" s="77">
        <f t="shared" si="263"/>
        <v>0</v>
      </c>
      <c r="O574" s="77">
        <f t="shared" si="263"/>
        <v>0</v>
      </c>
      <c r="P574" s="77">
        <f t="shared" si="263"/>
        <v>0</v>
      </c>
      <c r="Q574" s="77">
        <f t="shared" si="263"/>
        <v>0</v>
      </c>
      <c r="R574" s="77">
        <f t="shared" si="263"/>
        <v>0</v>
      </c>
      <c r="S574" s="77">
        <f t="shared" si="263"/>
        <v>0</v>
      </c>
      <c r="T574" s="77">
        <f t="shared" si="263"/>
        <v>0</v>
      </c>
      <c r="U574" s="77">
        <f t="shared" si="263"/>
        <v>0</v>
      </c>
      <c r="V574" s="77">
        <f t="shared" si="263"/>
        <v>0</v>
      </c>
      <c r="W574" s="77">
        <f t="shared" si="263"/>
        <v>0</v>
      </c>
      <c r="X574" s="63">
        <f t="shared" si="263"/>
        <v>0</v>
      </c>
      <c r="Y574" s="63">
        <f t="shared" si="263"/>
        <v>0</v>
      </c>
      <c r="Z574" s="63">
        <f t="shared" si="263"/>
        <v>0</v>
      </c>
      <c r="AA574" s="65">
        <f>SUM(G574:Z574)</f>
        <v>0</v>
      </c>
      <c r="AB574" s="59" t="str">
        <f>IF(ABS(F574-AA574)&lt;0.01,"ok","err")</f>
        <v>ok</v>
      </c>
    </row>
    <row r="575" spans="1:28" x14ac:dyDescent="0.25"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63"/>
      <c r="Y575" s="63"/>
      <c r="Z575" s="63"/>
      <c r="AA575" s="65"/>
    </row>
    <row r="576" spans="1:28" x14ac:dyDescent="0.25">
      <c r="A576" s="61" t="s">
        <v>944</v>
      </c>
      <c r="D576" s="61" t="s">
        <v>1134</v>
      </c>
      <c r="F576" s="77">
        <f>F531+F537+F540+F543+F551+F556+F559+F562+F565+F568+F571+F574</f>
        <v>-1214862</v>
      </c>
      <c r="G576" s="77">
        <f t="shared" ref="G576:Z576" si="264">G531+G537+G540+G543+G551+G556+G559+G562+G565+G568+G571+G574</f>
        <v>-667394.03128708049</v>
      </c>
      <c r="H576" s="77">
        <f t="shared" si="264"/>
        <v>-146830.0135119996</v>
      </c>
      <c r="I576" s="77">
        <f t="shared" si="264"/>
        <v>0</v>
      </c>
      <c r="J576" s="77">
        <f t="shared" si="264"/>
        <v>-10727.457390433237</v>
      </c>
      <c r="K576" s="77">
        <f t="shared" si="264"/>
        <v>-139405.99389472985</v>
      </c>
      <c r="L576" s="77">
        <f t="shared" si="264"/>
        <v>0</v>
      </c>
      <c r="M576" s="77">
        <f t="shared" si="264"/>
        <v>0</v>
      </c>
      <c r="N576" s="77">
        <f t="shared" si="264"/>
        <v>-111935.82893538762</v>
      </c>
      <c r="O576" s="77">
        <f>O531+O537+O540+O543+O551+O556+O559+O562+O565+O568+O571+O574</f>
        <v>-68668.937162698887</v>
      </c>
      <c r="P576" s="77">
        <f t="shared" si="264"/>
        <v>-23416.827188946503</v>
      </c>
      <c r="Q576" s="77">
        <f t="shared" si="264"/>
        <v>-5873.3949280330989</v>
      </c>
      <c r="R576" s="77">
        <f t="shared" si="264"/>
        <v>-3709.0832004064223</v>
      </c>
      <c r="S576" s="77">
        <f t="shared" si="264"/>
        <v>-36642.081385031313</v>
      </c>
      <c r="T576" s="77">
        <f t="shared" si="264"/>
        <v>-62.932184413256344</v>
      </c>
      <c r="U576" s="77">
        <f t="shared" si="264"/>
        <v>-195.4189308398912</v>
      </c>
      <c r="V576" s="77">
        <f t="shared" si="264"/>
        <v>0</v>
      </c>
      <c r="W576" s="77">
        <f t="shared" si="264"/>
        <v>0</v>
      </c>
      <c r="X576" s="63">
        <f t="shared" si="264"/>
        <v>0</v>
      </c>
      <c r="Y576" s="63">
        <f t="shared" si="264"/>
        <v>0</v>
      </c>
      <c r="Z576" s="63">
        <f t="shared" si="264"/>
        <v>0</v>
      </c>
      <c r="AA576" s="65">
        <f>SUM(G576:Z576)</f>
        <v>-1214862.0000000005</v>
      </c>
      <c r="AB576" s="59" t="str">
        <f>IF(ABS(F576-AA576)&lt;0.01,"ok","err")</f>
        <v>ok</v>
      </c>
    </row>
    <row r="577" spans="1:28" x14ac:dyDescent="0.25"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63"/>
      <c r="Y577" s="63"/>
      <c r="Z577" s="63"/>
      <c r="AA577" s="65"/>
      <c r="AB577" s="59"/>
    </row>
    <row r="578" spans="1:28" x14ac:dyDescent="0.25"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63"/>
      <c r="Y578" s="63"/>
      <c r="Z578" s="63"/>
      <c r="AA578" s="65"/>
      <c r="AB578" s="59"/>
    </row>
    <row r="579" spans="1:28" x14ac:dyDescent="0.25"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63"/>
      <c r="Y579" s="63"/>
      <c r="Z579" s="63"/>
      <c r="AA579" s="65"/>
      <c r="AB579" s="59"/>
    </row>
    <row r="580" spans="1:28" x14ac:dyDescent="0.25">
      <c r="A580" s="66" t="s">
        <v>1093</v>
      </c>
    </row>
    <row r="582" spans="1:28" x14ac:dyDescent="0.25">
      <c r="A582" s="66" t="s">
        <v>369</v>
      </c>
    </row>
    <row r="583" spans="1:28" x14ac:dyDescent="0.25">
      <c r="A583" s="69" t="s">
        <v>361</v>
      </c>
      <c r="C583" s="61" t="s">
        <v>1098</v>
      </c>
      <c r="D583" s="61" t="s">
        <v>567</v>
      </c>
      <c r="E583" s="61" t="s">
        <v>1399</v>
      </c>
      <c r="F583" s="77">
        <f>VLOOKUP(C583,'Functional Assignment'!$C$2:$AP$778,'Functional Assignment'!$H$2,)</f>
        <v>0</v>
      </c>
      <c r="G583" s="77">
        <f t="shared" ref="G583:P588" si="265">IF(VLOOKUP($E583,$D$6:$AN$1141,3,)=0,0,(VLOOKUP($E583,$D$6:$AN$1141,G$2,)/VLOOKUP($E583,$D$6:$AN$1141,3,))*$F583)</f>
        <v>0</v>
      </c>
      <c r="H583" s="77">
        <f t="shared" si="265"/>
        <v>0</v>
      </c>
      <c r="I583" s="77">
        <f t="shared" si="265"/>
        <v>0</v>
      </c>
      <c r="J583" s="77">
        <f t="shared" si="265"/>
        <v>0</v>
      </c>
      <c r="K583" s="77">
        <f t="shared" si="265"/>
        <v>0</v>
      </c>
      <c r="L583" s="77">
        <f t="shared" si="265"/>
        <v>0</v>
      </c>
      <c r="M583" s="77">
        <f t="shared" si="265"/>
        <v>0</v>
      </c>
      <c r="N583" s="77">
        <f t="shared" si="265"/>
        <v>0</v>
      </c>
      <c r="O583" s="77">
        <f t="shared" si="265"/>
        <v>0</v>
      </c>
      <c r="P583" s="77">
        <f t="shared" si="265"/>
        <v>0</v>
      </c>
      <c r="Q583" s="77">
        <f t="shared" ref="Q583:Z588" si="266">IF(VLOOKUP($E583,$D$6:$AN$1141,3,)=0,0,(VLOOKUP($E583,$D$6:$AN$1141,Q$2,)/VLOOKUP($E583,$D$6:$AN$1141,3,))*$F583)</f>
        <v>0</v>
      </c>
      <c r="R583" s="77">
        <f t="shared" si="266"/>
        <v>0</v>
      </c>
      <c r="S583" s="77">
        <f t="shared" si="266"/>
        <v>0</v>
      </c>
      <c r="T583" s="77">
        <f t="shared" si="266"/>
        <v>0</v>
      </c>
      <c r="U583" s="77">
        <f t="shared" si="266"/>
        <v>0</v>
      </c>
      <c r="V583" s="77">
        <f t="shared" si="266"/>
        <v>0</v>
      </c>
      <c r="W583" s="77">
        <f t="shared" si="266"/>
        <v>0</v>
      </c>
      <c r="X583" s="63">
        <f t="shared" si="266"/>
        <v>0</v>
      </c>
      <c r="Y583" s="63">
        <f t="shared" si="266"/>
        <v>0</v>
      </c>
      <c r="Z583" s="63">
        <f t="shared" si="266"/>
        <v>0</v>
      </c>
      <c r="AA583" s="65">
        <f t="shared" ref="AA583:AA589" si="267">SUM(G583:Z583)</f>
        <v>0</v>
      </c>
      <c r="AB583" s="59" t="str">
        <f t="shared" ref="AB583:AB589" si="268">IF(ABS(F583-AA583)&lt;0.01,"ok","err")</f>
        <v>ok</v>
      </c>
    </row>
    <row r="584" spans="1:28" x14ac:dyDescent="0.25">
      <c r="A584" s="69" t="s">
        <v>1285</v>
      </c>
      <c r="C584" s="61" t="s">
        <v>1098</v>
      </c>
      <c r="D584" s="61" t="s">
        <v>568</v>
      </c>
      <c r="E584" s="61" t="s">
        <v>1399</v>
      </c>
      <c r="F584" s="80">
        <f>VLOOKUP(C584,'Functional Assignment'!$C$2:$AP$778,'Functional Assignment'!$I$2,)</f>
        <v>0</v>
      </c>
      <c r="G584" s="80">
        <f t="shared" si="265"/>
        <v>0</v>
      </c>
      <c r="H584" s="80">
        <f t="shared" si="265"/>
        <v>0</v>
      </c>
      <c r="I584" s="80">
        <f t="shared" si="265"/>
        <v>0</v>
      </c>
      <c r="J584" s="80">
        <f t="shared" si="265"/>
        <v>0</v>
      </c>
      <c r="K584" s="80">
        <f t="shared" si="265"/>
        <v>0</v>
      </c>
      <c r="L584" s="80">
        <f t="shared" si="265"/>
        <v>0</v>
      </c>
      <c r="M584" s="80">
        <f t="shared" si="265"/>
        <v>0</v>
      </c>
      <c r="N584" s="80">
        <f t="shared" si="265"/>
        <v>0</v>
      </c>
      <c r="O584" s="80">
        <f t="shared" si="265"/>
        <v>0</v>
      </c>
      <c r="P584" s="80">
        <f t="shared" si="265"/>
        <v>0</v>
      </c>
      <c r="Q584" s="80">
        <f t="shared" si="266"/>
        <v>0</v>
      </c>
      <c r="R584" s="80">
        <f t="shared" si="266"/>
        <v>0</v>
      </c>
      <c r="S584" s="80">
        <f t="shared" si="266"/>
        <v>0</v>
      </c>
      <c r="T584" s="80">
        <f t="shared" si="266"/>
        <v>0</v>
      </c>
      <c r="U584" s="80">
        <f t="shared" si="266"/>
        <v>0</v>
      </c>
      <c r="V584" s="80">
        <f t="shared" si="266"/>
        <v>0</v>
      </c>
      <c r="W584" s="80">
        <f t="shared" si="266"/>
        <v>0</v>
      </c>
      <c r="X584" s="64">
        <f t="shared" si="266"/>
        <v>0</v>
      </c>
      <c r="Y584" s="64">
        <f t="shared" si="266"/>
        <v>0</v>
      </c>
      <c r="Z584" s="64">
        <f t="shared" si="266"/>
        <v>0</v>
      </c>
      <c r="AA584" s="64">
        <f t="shared" si="267"/>
        <v>0</v>
      </c>
      <c r="AB584" s="59" t="str">
        <f t="shared" si="268"/>
        <v>ok</v>
      </c>
    </row>
    <row r="585" spans="1:28" x14ac:dyDescent="0.25">
      <c r="A585" s="69" t="s">
        <v>1286</v>
      </c>
      <c r="C585" s="61" t="s">
        <v>1098</v>
      </c>
      <c r="D585" s="61" t="s">
        <v>569</v>
      </c>
      <c r="E585" s="61" t="s">
        <v>1399</v>
      </c>
      <c r="F585" s="80">
        <f>VLOOKUP(C585,'Functional Assignment'!$C$2:$AP$778,'Functional Assignment'!$J$2,)</f>
        <v>0</v>
      </c>
      <c r="G585" s="80">
        <f t="shared" si="265"/>
        <v>0</v>
      </c>
      <c r="H585" s="80">
        <f t="shared" si="265"/>
        <v>0</v>
      </c>
      <c r="I585" s="80">
        <f t="shared" si="265"/>
        <v>0</v>
      </c>
      <c r="J585" s="80">
        <f t="shared" si="265"/>
        <v>0</v>
      </c>
      <c r="K585" s="80">
        <f t="shared" si="265"/>
        <v>0</v>
      </c>
      <c r="L585" s="80">
        <f t="shared" si="265"/>
        <v>0</v>
      </c>
      <c r="M585" s="80">
        <f t="shared" si="265"/>
        <v>0</v>
      </c>
      <c r="N585" s="80">
        <f t="shared" si="265"/>
        <v>0</v>
      </c>
      <c r="O585" s="80">
        <f t="shared" si="265"/>
        <v>0</v>
      </c>
      <c r="P585" s="80">
        <f t="shared" si="265"/>
        <v>0</v>
      </c>
      <c r="Q585" s="80">
        <f t="shared" si="266"/>
        <v>0</v>
      </c>
      <c r="R585" s="80">
        <f t="shared" si="266"/>
        <v>0</v>
      </c>
      <c r="S585" s="80">
        <f t="shared" si="266"/>
        <v>0</v>
      </c>
      <c r="T585" s="80">
        <f t="shared" si="266"/>
        <v>0</v>
      </c>
      <c r="U585" s="80">
        <f t="shared" si="266"/>
        <v>0</v>
      </c>
      <c r="V585" s="80">
        <f t="shared" si="266"/>
        <v>0</v>
      </c>
      <c r="W585" s="80">
        <f t="shared" si="266"/>
        <v>0</v>
      </c>
      <c r="X585" s="64">
        <f t="shared" si="266"/>
        <v>0</v>
      </c>
      <c r="Y585" s="64">
        <f t="shared" si="266"/>
        <v>0</v>
      </c>
      <c r="Z585" s="64">
        <f t="shared" si="266"/>
        <v>0</v>
      </c>
      <c r="AA585" s="64">
        <f t="shared" si="267"/>
        <v>0</v>
      </c>
      <c r="AB585" s="59" t="str">
        <f t="shared" si="268"/>
        <v>ok</v>
      </c>
    </row>
    <row r="586" spans="1:28" x14ac:dyDescent="0.25">
      <c r="A586" s="69" t="s">
        <v>1287</v>
      </c>
      <c r="C586" s="61" t="s">
        <v>1098</v>
      </c>
      <c r="D586" s="61" t="s">
        <v>570</v>
      </c>
      <c r="E586" s="61" t="s">
        <v>1114</v>
      </c>
      <c r="F586" s="80">
        <f>VLOOKUP(C586,'Functional Assignment'!$C$2:$AP$778,'Functional Assignment'!$K$2,)</f>
        <v>0</v>
      </c>
      <c r="G586" s="80">
        <f t="shared" si="265"/>
        <v>0</v>
      </c>
      <c r="H586" s="80">
        <f t="shared" si="265"/>
        <v>0</v>
      </c>
      <c r="I586" s="80">
        <f t="shared" si="265"/>
        <v>0</v>
      </c>
      <c r="J586" s="80">
        <f t="shared" si="265"/>
        <v>0</v>
      </c>
      <c r="K586" s="80">
        <f t="shared" si="265"/>
        <v>0</v>
      </c>
      <c r="L586" s="80">
        <f t="shared" si="265"/>
        <v>0</v>
      </c>
      <c r="M586" s="80">
        <f t="shared" si="265"/>
        <v>0</v>
      </c>
      <c r="N586" s="80">
        <f t="shared" si="265"/>
        <v>0</v>
      </c>
      <c r="O586" s="80">
        <f t="shared" si="265"/>
        <v>0</v>
      </c>
      <c r="P586" s="80">
        <f t="shared" si="265"/>
        <v>0</v>
      </c>
      <c r="Q586" s="80">
        <f t="shared" si="266"/>
        <v>0</v>
      </c>
      <c r="R586" s="80">
        <f t="shared" si="266"/>
        <v>0</v>
      </c>
      <c r="S586" s="80">
        <f t="shared" si="266"/>
        <v>0</v>
      </c>
      <c r="T586" s="80">
        <f t="shared" si="266"/>
        <v>0</v>
      </c>
      <c r="U586" s="80">
        <f t="shared" si="266"/>
        <v>0</v>
      </c>
      <c r="V586" s="80">
        <f t="shared" si="266"/>
        <v>0</v>
      </c>
      <c r="W586" s="80">
        <f t="shared" si="266"/>
        <v>0</v>
      </c>
      <c r="X586" s="64">
        <f t="shared" si="266"/>
        <v>0</v>
      </c>
      <c r="Y586" s="64">
        <f t="shared" si="266"/>
        <v>0</v>
      </c>
      <c r="Z586" s="64">
        <f t="shared" si="266"/>
        <v>0</v>
      </c>
      <c r="AA586" s="64">
        <f t="shared" si="267"/>
        <v>0</v>
      </c>
      <c r="AB586" s="59" t="str">
        <f t="shared" si="268"/>
        <v>ok</v>
      </c>
    </row>
    <row r="587" spans="1:28" x14ac:dyDescent="0.25">
      <c r="A587" s="69" t="s">
        <v>1288</v>
      </c>
      <c r="C587" s="61" t="s">
        <v>1098</v>
      </c>
      <c r="D587" s="61" t="s">
        <v>571</v>
      </c>
      <c r="E587" s="61" t="s">
        <v>1114</v>
      </c>
      <c r="F587" s="80">
        <f>VLOOKUP(C587,'Functional Assignment'!$C$2:$AP$778,'Functional Assignment'!$L$2,)</f>
        <v>0</v>
      </c>
      <c r="G587" s="80">
        <f t="shared" si="265"/>
        <v>0</v>
      </c>
      <c r="H587" s="80">
        <f t="shared" si="265"/>
        <v>0</v>
      </c>
      <c r="I587" s="80">
        <f t="shared" si="265"/>
        <v>0</v>
      </c>
      <c r="J587" s="80">
        <f t="shared" si="265"/>
        <v>0</v>
      </c>
      <c r="K587" s="80">
        <f t="shared" si="265"/>
        <v>0</v>
      </c>
      <c r="L587" s="80">
        <f t="shared" si="265"/>
        <v>0</v>
      </c>
      <c r="M587" s="80">
        <f t="shared" si="265"/>
        <v>0</v>
      </c>
      <c r="N587" s="80">
        <f t="shared" si="265"/>
        <v>0</v>
      </c>
      <c r="O587" s="80">
        <f t="shared" si="265"/>
        <v>0</v>
      </c>
      <c r="P587" s="80">
        <f t="shared" si="265"/>
        <v>0</v>
      </c>
      <c r="Q587" s="80">
        <f t="shared" si="266"/>
        <v>0</v>
      </c>
      <c r="R587" s="80">
        <f t="shared" si="266"/>
        <v>0</v>
      </c>
      <c r="S587" s="80">
        <f t="shared" si="266"/>
        <v>0</v>
      </c>
      <c r="T587" s="80">
        <f t="shared" si="266"/>
        <v>0</v>
      </c>
      <c r="U587" s="80">
        <f t="shared" si="266"/>
        <v>0</v>
      </c>
      <c r="V587" s="80">
        <f t="shared" si="266"/>
        <v>0</v>
      </c>
      <c r="W587" s="80">
        <f t="shared" si="266"/>
        <v>0</v>
      </c>
      <c r="X587" s="64">
        <f t="shared" si="266"/>
        <v>0</v>
      </c>
      <c r="Y587" s="64">
        <f t="shared" si="266"/>
        <v>0</v>
      </c>
      <c r="Z587" s="64">
        <f t="shared" si="266"/>
        <v>0</v>
      </c>
      <c r="AA587" s="64">
        <f t="shared" si="267"/>
        <v>0</v>
      </c>
      <c r="AB587" s="59" t="str">
        <f t="shared" si="268"/>
        <v>ok</v>
      </c>
    </row>
    <row r="588" spans="1:28" x14ac:dyDescent="0.25">
      <c r="A588" s="69" t="s">
        <v>1288</v>
      </c>
      <c r="C588" s="61" t="s">
        <v>1098</v>
      </c>
      <c r="D588" s="61" t="s">
        <v>572</v>
      </c>
      <c r="E588" s="61" t="s">
        <v>1114</v>
      </c>
      <c r="F588" s="80">
        <f>VLOOKUP(C588,'Functional Assignment'!$C$2:$AP$778,'Functional Assignment'!$M$2,)</f>
        <v>0</v>
      </c>
      <c r="G588" s="80">
        <f t="shared" si="265"/>
        <v>0</v>
      </c>
      <c r="H588" s="80">
        <f t="shared" si="265"/>
        <v>0</v>
      </c>
      <c r="I588" s="80">
        <f t="shared" si="265"/>
        <v>0</v>
      </c>
      <c r="J588" s="80">
        <f t="shared" si="265"/>
        <v>0</v>
      </c>
      <c r="K588" s="80">
        <f t="shared" si="265"/>
        <v>0</v>
      </c>
      <c r="L588" s="80">
        <f t="shared" si="265"/>
        <v>0</v>
      </c>
      <c r="M588" s="80">
        <f t="shared" si="265"/>
        <v>0</v>
      </c>
      <c r="N588" s="80">
        <f t="shared" si="265"/>
        <v>0</v>
      </c>
      <c r="O588" s="80">
        <f t="shared" si="265"/>
        <v>0</v>
      </c>
      <c r="P588" s="80">
        <f t="shared" si="265"/>
        <v>0</v>
      </c>
      <c r="Q588" s="80">
        <f t="shared" si="266"/>
        <v>0</v>
      </c>
      <c r="R588" s="80">
        <f t="shared" si="266"/>
        <v>0</v>
      </c>
      <c r="S588" s="80">
        <f t="shared" si="266"/>
        <v>0</v>
      </c>
      <c r="T588" s="80">
        <f t="shared" si="266"/>
        <v>0</v>
      </c>
      <c r="U588" s="80">
        <f t="shared" si="266"/>
        <v>0</v>
      </c>
      <c r="V588" s="80">
        <f t="shared" si="266"/>
        <v>0</v>
      </c>
      <c r="W588" s="80">
        <f t="shared" si="266"/>
        <v>0</v>
      </c>
      <c r="X588" s="64">
        <f t="shared" si="266"/>
        <v>0</v>
      </c>
      <c r="Y588" s="64">
        <f t="shared" si="266"/>
        <v>0</v>
      </c>
      <c r="Z588" s="64">
        <f t="shared" si="266"/>
        <v>0</v>
      </c>
      <c r="AA588" s="64">
        <f t="shared" si="267"/>
        <v>0</v>
      </c>
      <c r="AB588" s="59" t="str">
        <f t="shared" si="268"/>
        <v>ok</v>
      </c>
    </row>
    <row r="589" spans="1:28" x14ac:dyDescent="0.25">
      <c r="A589" s="61" t="s">
        <v>392</v>
      </c>
      <c r="D589" s="61" t="s">
        <v>1133</v>
      </c>
      <c r="F589" s="77">
        <f>SUM(F583:F588)</f>
        <v>0</v>
      </c>
      <c r="G589" s="77">
        <f t="shared" ref="G589:P589" si="269">SUM(G583:G588)</f>
        <v>0</v>
      </c>
      <c r="H589" s="77">
        <f t="shared" si="269"/>
        <v>0</v>
      </c>
      <c r="I589" s="77">
        <f t="shared" si="269"/>
        <v>0</v>
      </c>
      <c r="J589" s="77">
        <f t="shared" si="269"/>
        <v>0</v>
      </c>
      <c r="K589" s="77">
        <f t="shared" si="269"/>
        <v>0</v>
      </c>
      <c r="L589" s="77">
        <f t="shared" si="269"/>
        <v>0</v>
      </c>
      <c r="M589" s="77">
        <f t="shared" si="269"/>
        <v>0</v>
      </c>
      <c r="N589" s="77">
        <f t="shared" si="269"/>
        <v>0</v>
      </c>
      <c r="O589" s="77">
        <f>SUM(O583:O588)</f>
        <v>0</v>
      </c>
      <c r="P589" s="77">
        <f t="shared" si="269"/>
        <v>0</v>
      </c>
      <c r="Q589" s="77">
        <f t="shared" ref="Q589:W589" si="270">SUM(Q583:Q588)</f>
        <v>0</v>
      </c>
      <c r="R589" s="77">
        <f t="shared" si="270"/>
        <v>0</v>
      </c>
      <c r="S589" s="77">
        <f t="shared" si="270"/>
        <v>0</v>
      </c>
      <c r="T589" s="77">
        <f t="shared" si="270"/>
        <v>0</v>
      </c>
      <c r="U589" s="77">
        <f t="shared" si="270"/>
        <v>0</v>
      </c>
      <c r="V589" s="77">
        <f t="shared" si="270"/>
        <v>0</v>
      </c>
      <c r="W589" s="77">
        <f t="shared" si="270"/>
        <v>0</v>
      </c>
      <c r="X589" s="63">
        <f>SUM(X583:X588)</f>
        <v>0</v>
      </c>
      <c r="Y589" s="63">
        <f>SUM(Y583:Y588)</f>
        <v>0</v>
      </c>
      <c r="Z589" s="63">
        <f>SUM(Z583:Z588)</f>
        <v>0</v>
      </c>
      <c r="AA589" s="65">
        <f t="shared" si="267"/>
        <v>0</v>
      </c>
      <c r="AB589" s="59" t="str">
        <f t="shared" si="268"/>
        <v>ok</v>
      </c>
    </row>
    <row r="590" spans="1:28" x14ac:dyDescent="0.25">
      <c r="F590" s="80"/>
      <c r="G590" s="80"/>
    </row>
    <row r="591" spans="1:28" x14ac:dyDescent="0.25">
      <c r="A591" s="66" t="s">
        <v>1154</v>
      </c>
      <c r="F591" s="80"/>
      <c r="G591" s="80"/>
    </row>
    <row r="592" spans="1:28" x14ac:dyDescent="0.25">
      <c r="A592" s="69" t="s">
        <v>362</v>
      </c>
      <c r="C592" s="61" t="s">
        <v>1098</v>
      </c>
      <c r="D592" s="61" t="s">
        <v>573</v>
      </c>
      <c r="E592" s="61" t="s">
        <v>1399</v>
      </c>
      <c r="F592" s="77">
        <f>VLOOKUP(C592,'Functional Assignment'!$C$2:$AP$778,'Functional Assignment'!$N$2,)</f>
        <v>0</v>
      </c>
      <c r="G592" s="77">
        <f t="shared" ref="G592:P594" si="271">IF(VLOOKUP($E592,$D$6:$AN$1141,3,)=0,0,(VLOOKUP($E592,$D$6:$AN$1141,G$2,)/VLOOKUP($E592,$D$6:$AN$1141,3,))*$F592)</f>
        <v>0</v>
      </c>
      <c r="H592" s="77">
        <f t="shared" si="271"/>
        <v>0</v>
      </c>
      <c r="I592" s="77">
        <f t="shared" si="271"/>
        <v>0</v>
      </c>
      <c r="J592" s="77">
        <f t="shared" si="271"/>
        <v>0</v>
      </c>
      <c r="K592" s="77">
        <f t="shared" si="271"/>
        <v>0</v>
      </c>
      <c r="L592" s="77">
        <f t="shared" si="271"/>
        <v>0</v>
      </c>
      <c r="M592" s="77">
        <f t="shared" si="271"/>
        <v>0</v>
      </c>
      <c r="N592" s="77">
        <f t="shared" si="271"/>
        <v>0</v>
      </c>
      <c r="O592" s="77">
        <f t="shared" si="271"/>
        <v>0</v>
      </c>
      <c r="P592" s="77">
        <f t="shared" si="271"/>
        <v>0</v>
      </c>
      <c r="Q592" s="77">
        <f t="shared" ref="Q592:Z594" si="272">IF(VLOOKUP($E592,$D$6:$AN$1141,3,)=0,0,(VLOOKUP($E592,$D$6:$AN$1141,Q$2,)/VLOOKUP($E592,$D$6:$AN$1141,3,))*$F592)</f>
        <v>0</v>
      </c>
      <c r="R592" s="77">
        <f t="shared" si="272"/>
        <v>0</v>
      </c>
      <c r="S592" s="77">
        <f t="shared" si="272"/>
        <v>0</v>
      </c>
      <c r="T592" s="77">
        <f t="shared" si="272"/>
        <v>0</v>
      </c>
      <c r="U592" s="77">
        <f t="shared" si="272"/>
        <v>0</v>
      </c>
      <c r="V592" s="77">
        <f t="shared" si="272"/>
        <v>0</v>
      </c>
      <c r="W592" s="77">
        <f t="shared" si="272"/>
        <v>0</v>
      </c>
      <c r="X592" s="63">
        <f t="shared" si="272"/>
        <v>0</v>
      </c>
      <c r="Y592" s="63">
        <f t="shared" si="272"/>
        <v>0</v>
      </c>
      <c r="Z592" s="63">
        <f t="shared" si="272"/>
        <v>0</v>
      </c>
      <c r="AA592" s="65">
        <f>SUM(G592:Z592)</f>
        <v>0</v>
      </c>
      <c r="AB592" s="59" t="str">
        <f>IF(ABS(F592-AA592)&lt;0.01,"ok","err")</f>
        <v>ok</v>
      </c>
    </row>
    <row r="593" spans="1:28" x14ac:dyDescent="0.25">
      <c r="A593" s="69" t="s">
        <v>364</v>
      </c>
      <c r="C593" s="61" t="s">
        <v>1098</v>
      </c>
      <c r="D593" s="61" t="s">
        <v>574</v>
      </c>
      <c r="E593" s="61" t="s">
        <v>1399</v>
      </c>
      <c r="F593" s="80">
        <f>VLOOKUP(C593,'Functional Assignment'!$C$2:$AP$778,'Functional Assignment'!$O$2,)</f>
        <v>0</v>
      </c>
      <c r="G593" s="80">
        <f t="shared" si="271"/>
        <v>0</v>
      </c>
      <c r="H593" s="80">
        <f t="shared" si="271"/>
        <v>0</v>
      </c>
      <c r="I593" s="80">
        <f t="shared" si="271"/>
        <v>0</v>
      </c>
      <c r="J593" s="80">
        <f t="shared" si="271"/>
        <v>0</v>
      </c>
      <c r="K593" s="80">
        <f t="shared" si="271"/>
        <v>0</v>
      </c>
      <c r="L593" s="80">
        <f t="shared" si="271"/>
        <v>0</v>
      </c>
      <c r="M593" s="80">
        <f t="shared" si="271"/>
        <v>0</v>
      </c>
      <c r="N593" s="80">
        <f t="shared" si="271"/>
        <v>0</v>
      </c>
      <c r="O593" s="80">
        <f t="shared" si="271"/>
        <v>0</v>
      </c>
      <c r="P593" s="80">
        <f t="shared" si="271"/>
        <v>0</v>
      </c>
      <c r="Q593" s="80">
        <f t="shared" si="272"/>
        <v>0</v>
      </c>
      <c r="R593" s="80">
        <f t="shared" si="272"/>
        <v>0</v>
      </c>
      <c r="S593" s="80">
        <f t="shared" si="272"/>
        <v>0</v>
      </c>
      <c r="T593" s="80">
        <f t="shared" si="272"/>
        <v>0</v>
      </c>
      <c r="U593" s="80">
        <f t="shared" si="272"/>
        <v>0</v>
      </c>
      <c r="V593" s="80">
        <f t="shared" si="272"/>
        <v>0</v>
      </c>
      <c r="W593" s="80">
        <f t="shared" si="272"/>
        <v>0</v>
      </c>
      <c r="X593" s="64">
        <f t="shared" si="272"/>
        <v>0</v>
      </c>
      <c r="Y593" s="64">
        <f t="shared" si="272"/>
        <v>0</v>
      </c>
      <c r="Z593" s="64">
        <f t="shared" si="272"/>
        <v>0</v>
      </c>
      <c r="AA593" s="64">
        <f>SUM(G593:Z593)</f>
        <v>0</v>
      </c>
      <c r="AB593" s="59" t="str">
        <f>IF(ABS(F593-AA593)&lt;0.01,"ok","err")</f>
        <v>ok</v>
      </c>
    </row>
    <row r="594" spans="1:28" x14ac:dyDescent="0.25">
      <c r="A594" s="69" t="s">
        <v>363</v>
      </c>
      <c r="C594" s="61" t="s">
        <v>1098</v>
      </c>
      <c r="D594" s="61" t="s">
        <v>575</v>
      </c>
      <c r="E594" s="61" t="s">
        <v>1399</v>
      </c>
      <c r="F594" s="80">
        <f>VLOOKUP(C594,'Functional Assignment'!$C$2:$AP$778,'Functional Assignment'!$P$2,)</f>
        <v>0</v>
      </c>
      <c r="G594" s="80">
        <f t="shared" si="271"/>
        <v>0</v>
      </c>
      <c r="H594" s="80">
        <f t="shared" si="271"/>
        <v>0</v>
      </c>
      <c r="I594" s="80">
        <f t="shared" si="271"/>
        <v>0</v>
      </c>
      <c r="J594" s="80">
        <f t="shared" si="271"/>
        <v>0</v>
      </c>
      <c r="K594" s="80">
        <f t="shared" si="271"/>
        <v>0</v>
      </c>
      <c r="L594" s="80">
        <f t="shared" si="271"/>
        <v>0</v>
      </c>
      <c r="M594" s="80">
        <f t="shared" si="271"/>
        <v>0</v>
      </c>
      <c r="N594" s="80">
        <f t="shared" si="271"/>
        <v>0</v>
      </c>
      <c r="O594" s="80">
        <f t="shared" si="271"/>
        <v>0</v>
      </c>
      <c r="P594" s="80">
        <f t="shared" si="271"/>
        <v>0</v>
      </c>
      <c r="Q594" s="80">
        <f t="shared" si="272"/>
        <v>0</v>
      </c>
      <c r="R594" s="80">
        <f t="shared" si="272"/>
        <v>0</v>
      </c>
      <c r="S594" s="80">
        <f t="shared" si="272"/>
        <v>0</v>
      </c>
      <c r="T594" s="80">
        <f t="shared" si="272"/>
        <v>0</v>
      </c>
      <c r="U594" s="80">
        <f t="shared" si="272"/>
        <v>0</v>
      </c>
      <c r="V594" s="80">
        <f t="shared" si="272"/>
        <v>0</v>
      </c>
      <c r="W594" s="80">
        <f t="shared" si="272"/>
        <v>0</v>
      </c>
      <c r="X594" s="64">
        <f t="shared" si="272"/>
        <v>0</v>
      </c>
      <c r="Y594" s="64">
        <f t="shared" si="272"/>
        <v>0</v>
      </c>
      <c r="Z594" s="64">
        <f t="shared" si="272"/>
        <v>0</v>
      </c>
      <c r="AA594" s="64">
        <f>SUM(G594:Z594)</f>
        <v>0</v>
      </c>
      <c r="AB594" s="59" t="str">
        <f>IF(ABS(F594-AA594)&lt;0.01,"ok","err")</f>
        <v>ok</v>
      </c>
    </row>
    <row r="595" spans="1:28" x14ac:dyDescent="0.25">
      <c r="A595" s="61" t="s">
        <v>1156</v>
      </c>
      <c r="D595" s="61" t="s">
        <v>576</v>
      </c>
      <c r="F595" s="77">
        <f>SUM(F592:F594)</f>
        <v>0</v>
      </c>
      <c r="G595" s="77">
        <f t="shared" ref="G595:W595" si="273">SUM(G592:G594)</f>
        <v>0</v>
      </c>
      <c r="H595" s="77">
        <f t="shared" si="273"/>
        <v>0</v>
      </c>
      <c r="I595" s="77">
        <f t="shared" si="273"/>
        <v>0</v>
      </c>
      <c r="J595" s="77">
        <f t="shared" si="273"/>
        <v>0</v>
      </c>
      <c r="K595" s="77">
        <f t="shared" si="273"/>
        <v>0</v>
      </c>
      <c r="L595" s="77">
        <f t="shared" si="273"/>
        <v>0</v>
      </c>
      <c r="M595" s="77">
        <f t="shared" si="273"/>
        <v>0</v>
      </c>
      <c r="N595" s="77">
        <f t="shared" si="273"/>
        <v>0</v>
      </c>
      <c r="O595" s="77">
        <f>SUM(O592:O594)</f>
        <v>0</v>
      </c>
      <c r="P595" s="77">
        <f t="shared" si="273"/>
        <v>0</v>
      </c>
      <c r="Q595" s="77">
        <f t="shared" si="273"/>
        <v>0</v>
      </c>
      <c r="R595" s="77">
        <f t="shared" si="273"/>
        <v>0</v>
      </c>
      <c r="S595" s="77">
        <f t="shared" si="273"/>
        <v>0</v>
      </c>
      <c r="T595" s="77">
        <f t="shared" si="273"/>
        <v>0</v>
      </c>
      <c r="U595" s="77">
        <f t="shared" si="273"/>
        <v>0</v>
      </c>
      <c r="V595" s="77">
        <f t="shared" si="273"/>
        <v>0</v>
      </c>
      <c r="W595" s="77">
        <f t="shared" si="273"/>
        <v>0</v>
      </c>
      <c r="X595" s="63">
        <f>SUM(X592:X594)</f>
        <v>0</v>
      </c>
      <c r="Y595" s="63">
        <f>SUM(Y592:Y594)</f>
        <v>0</v>
      </c>
      <c r="Z595" s="63">
        <f>SUM(Z592:Z594)</f>
        <v>0</v>
      </c>
      <c r="AA595" s="65">
        <f>SUM(G595:Z595)</f>
        <v>0</v>
      </c>
      <c r="AB595" s="59" t="str">
        <f>IF(ABS(F595-AA595)&lt;0.01,"ok","err")</f>
        <v>ok</v>
      </c>
    </row>
    <row r="596" spans="1:28" x14ac:dyDescent="0.25">
      <c r="F596" s="80"/>
      <c r="G596" s="80"/>
    </row>
    <row r="597" spans="1:28" x14ac:dyDescent="0.25">
      <c r="A597" s="66" t="s">
        <v>350</v>
      </c>
      <c r="F597" s="80"/>
      <c r="G597" s="80"/>
    </row>
    <row r="598" spans="1:28" x14ac:dyDescent="0.25">
      <c r="A598" s="69" t="s">
        <v>377</v>
      </c>
      <c r="C598" s="61" t="s">
        <v>1098</v>
      </c>
      <c r="D598" s="61" t="s">
        <v>577</v>
      </c>
      <c r="E598" s="61" t="s">
        <v>133</v>
      </c>
      <c r="F598" s="77">
        <f>VLOOKUP(C598,'Functional Assignment'!$C$2:$AP$778,'Functional Assignment'!$Q$2,)</f>
        <v>0</v>
      </c>
      <c r="G598" s="77">
        <f t="shared" ref="G598:Z598" si="274">IF(VLOOKUP($E598,$D$6:$AN$1141,3,)=0,0,(VLOOKUP($E598,$D$6:$AN$1141,G$2,)/VLOOKUP($E598,$D$6:$AN$1141,3,))*$F598)</f>
        <v>0</v>
      </c>
      <c r="H598" s="77">
        <f t="shared" si="274"/>
        <v>0</v>
      </c>
      <c r="I598" s="77">
        <f t="shared" si="274"/>
        <v>0</v>
      </c>
      <c r="J598" s="77">
        <f t="shared" si="274"/>
        <v>0</v>
      </c>
      <c r="K598" s="77">
        <f t="shared" si="274"/>
        <v>0</v>
      </c>
      <c r="L598" s="77">
        <f t="shared" si="274"/>
        <v>0</v>
      </c>
      <c r="M598" s="77">
        <f t="shared" si="274"/>
        <v>0</v>
      </c>
      <c r="N598" s="77">
        <f t="shared" si="274"/>
        <v>0</v>
      </c>
      <c r="O598" s="77">
        <f t="shared" si="274"/>
        <v>0</v>
      </c>
      <c r="P598" s="77">
        <f t="shared" si="274"/>
        <v>0</v>
      </c>
      <c r="Q598" s="77">
        <f t="shared" si="274"/>
        <v>0</v>
      </c>
      <c r="R598" s="77">
        <f t="shared" si="274"/>
        <v>0</v>
      </c>
      <c r="S598" s="77">
        <f t="shared" si="274"/>
        <v>0</v>
      </c>
      <c r="T598" s="77">
        <f t="shared" si="274"/>
        <v>0</v>
      </c>
      <c r="U598" s="77">
        <f t="shared" si="274"/>
        <v>0</v>
      </c>
      <c r="V598" s="77">
        <f t="shared" si="274"/>
        <v>0</v>
      </c>
      <c r="W598" s="77">
        <f t="shared" si="274"/>
        <v>0</v>
      </c>
      <c r="X598" s="63">
        <f t="shared" si="274"/>
        <v>0</v>
      </c>
      <c r="Y598" s="63">
        <f t="shared" si="274"/>
        <v>0</v>
      </c>
      <c r="Z598" s="63">
        <f t="shared" si="274"/>
        <v>0</v>
      </c>
      <c r="AA598" s="65">
        <f>SUM(G598:Z598)</f>
        <v>0</v>
      </c>
      <c r="AB598" s="59" t="str">
        <f>IF(ABS(F598-AA598)&lt;0.01,"ok","err")</f>
        <v>ok</v>
      </c>
    </row>
    <row r="599" spans="1:28" x14ac:dyDescent="0.25">
      <c r="F599" s="80"/>
    </row>
    <row r="600" spans="1:28" x14ac:dyDescent="0.25">
      <c r="A600" s="66" t="s">
        <v>351</v>
      </c>
      <c r="F600" s="80"/>
      <c r="G600" s="80"/>
    </row>
    <row r="601" spans="1:28" x14ac:dyDescent="0.25">
      <c r="A601" s="69" t="s">
        <v>379</v>
      </c>
      <c r="C601" s="61" t="s">
        <v>1098</v>
      </c>
      <c r="D601" s="61" t="s">
        <v>578</v>
      </c>
      <c r="E601" s="61" t="s">
        <v>133</v>
      </c>
      <c r="F601" s="77">
        <f>VLOOKUP(C601,'Functional Assignment'!$C$2:$AP$778,'Functional Assignment'!$R$2,)</f>
        <v>0</v>
      </c>
      <c r="G601" s="77">
        <f t="shared" ref="G601:Z601" si="275">IF(VLOOKUP($E601,$D$6:$AN$1141,3,)=0,0,(VLOOKUP($E601,$D$6:$AN$1141,G$2,)/VLOOKUP($E601,$D$6:$AN$1141,3,))*$F601)</f>
        <v>0</v>
      </c>
      <c r="H601" s="77">
        <f t="shared" si="275"/>
        <v>0</v>
      </c>
      <c r="I601" s="77">
        <f t="shared" si="275"/>
        <v>0</v>
      </c>
      <c r="J601" s="77">
        <f t="shared" si="275"/>
        <v>0</v>
      </c>
      <c r="K601" s="77">
        <f t="shared" si="275"/>
        <v>0</v>
      </c>
      <c r="L601" s="77">
        <f t="shared" si="275"/>
        <v>0</v>
      </c>
      <c r="M601" s="77">
        <f t="shared" si="275"/>
        <v>0</v>
      </c>
      <c r="N601" s="77">
        <f t="shared" si="275"/>
        <v>0</v>
      </c>
      <c r="O601" s="77">
        <f t="shared" si="275"/>
        <v>0</v>
      </c>
      <c r="P601" s="77">
        <f t="shared" si="275"/>
        <v>0</v>
      </c>
      <c r="Q601" s="77">
        <f t="shared" si="275"/>
        <v>0</v>
      </c>
      <c r="R601" s="77">
        <f t="shared" si="275"/>
        <v>0</v>
      </c>
      <c r="S601" s="77">
        <f t="shared" si="275"/>
        <v>0</v>
      </c>
      <c r="T601" s="77">
        <f t="shared" si="275"/>
        <v>0</v>
      </c>
      <c r="U601" s="77">
        <f t="shared" si="275"/>
        <v>0</v>
      </c>
      <c r="V601" s="77">
        <f t="shared" si="275"/>
        <v>0</v>
      </c>
      <c r="W601" s="77">
        <f t="shared" si="275"/>
        <v>0</v>
      </c>
      <c r="X601" s="63">
        <f t="shared" si="275"/>
        <v>0</v>
      </c>
      <c r="Y601" s="63">
        <f t="shared" si="275"/>
        <v>0</v>
      </c>
      <c r="Z601" s="63">
        <f t="shared" si="275"/>
        <v>0</v>
      </c>
      <c r="AA601" s="65">
        <f>SUM(G601:Z601)</f>
        <v>0</v>
      </c>
      <c r="AB601" s="59" t="str">
        <f>IF(ABS(F601-AA601)&lt;0.01,"ok","err")</f>
        <v>ok</v>
      </c>
    </row>
    <row r="602" spans="1:28" x14ac:dyDescent="0.25">
      <c r="F602" s="80"/>
    </row>
    <row r="603" spans="1:28" x14ac:dyDescent="0.25">
      <c r="A603" s="66" t="s">
        <v>378</v>
      </c>
      <c r="F603" s="80"/>
    </row>
    <row r="604" spans="1:28" x14ac:dyDescent="0.25">
      <c r="A604" s="69" t="s">
        <v>629</v>
      </c>
      <c r="C604" s="61" t="s">
        <v>1098</v>
      </c>
      <c r="D604" s="61" t="s">
        <v>579</v>
      </c>
      <c r="E604" s="61" t="s">
        <v>133</v>
      </c>
      <c r="F604" s="77">
        <f>VLOOKUP(C604,'Functional Assignment'!$C$2:$AP$778,'Functional Assignment'!$S$2,)</f>
        <v>0</v>
      </c>
      <c r="G604" s="77">
        <f t="shared" ref="G604:P608" si="276">IF(VLOOKUP($E604,$D$6:$AN$1141,3,)=0,0,(VLOOKUP($E604,$D$6:$AN$1141,G$2,)/VLOOKUP($E604,$D$6:$AN$1141,3,))*$F604)</f>
        <v>0</v>
      </c>
      <c r="H604" s="77">
        <f t="shared" si="276"/>
        <v>0</v>
      </c>
      <c r="I604" s="77">
        <f t="shared" si="276"/>
        <v>0</v>
      </c>
      <c r="J604" s="77">
        <f t="shared" si="276"/>
        <v>0</v>
      </c>
      <c r="K604" s="77">
        <f t="shared" si="276"/>
        <v>0</v>
      </c>
      <c r="L604" s="77">
        <f t="shared" si="276"/>
        <v>0</v>
      </c>
      <c r="M604" s="77">
        <f t="shared" si="276"/>
        <v>0</v>
      </c>
      <c r="N604" s="77">
        <f t="shared" si="276"/>
        <v>0</v>
      </c>
      <c r="O604" s="77">
        <f t="shared" si="276"/>
        <v>0</v>
      </c>
      <c r="P604" s="77">
        <f t="shared" si="276"/>
        <v>0</v>
      </c>
      <c r="Q604" s="77">
        <f t="shared" ref="Q604:Z608" si="277">IF(VLOOKUP($E604,$D$6:$AN$1141,3,)=0,0,(VLOOKUP($E604,$D$6:$AN$1141,Q$2,)/VLOOKUP($E604,$D$6:$AN$1141,3,))*$F604)</f>
        <v>0</v>
      </c>
      <c r="R604" s="77">
        <f t="shared" si="277"/>
        <v>0</v>
      </c>
      <c r="S604" s="77">
        <f t="shared" si="277"/>
        <v>0</v>
      </c>
      <c r="T604" s="77">
        <f t="shared" si="277"/>
        <v>0</v>
      </c>
      <c r="U604" s="77">
        <f t="shared" si="277"/>
        <v>0</v>
      </c>
      <c r="V604" s="77">
        <f t="shared" si="277"/>
        <v>0</v>
      </c>
      <c r="W604" s="77">
        <f t="shared" si="277"/>
        <v>0</v>
      </c>
      <c r="X604" s="63">
        <f t="shared" si="277"/>
        <v>0</v>
      </c>
      <c r="Y604" s="63">
        <f t="shared" si="277"/>
        <v>0</v>
      </c>
      <c r="Z604" s="63">
        <f t="shared" si="277"/>
        <v>0</v>
      </c>
      <c r="AA604" s="65">
        <f t="shared" ref="AA604:AA609" si="278">SUM(G604:Z604)</f>
        <v>0</v>
      </c>
      <c r="AB604" s="59" t="str">
        <f t="shared" ref="AB604:AB609" si="279">IF(ABS(F604-AA604)&lt;0.01,"ok","err")</f>
        <v>ok</v>
      </c>
    </row>
    <row r="605" spans="1:28" x14ac:dyDescent="0.25">
      <c r="A605" s="69" t="s">
        <v>630</v>
      </c>
      <c r="C605" s="61" t="s">
        <v>1098</v>
      </c>
      <c r="D605" s="61" t="s">
        <v>580</v>
      </c>
      <c r="E605" s="61" t="s">
        <v>133</v>
      </c>
      <c r="F605" s="80">
        <f>VLOOKUP(C605,'Functional Assignment'!$C$2:$AP$778,'Functional Assignment'!$T$2,)</f>
        <v>0</v>
      </c>
      <c r="G605" s="80">
        <f t="shared" si="276"/>
        <v>0</v>
      </c>
      <c r="H605" s="80">
        <f t="shared" si="276"/>
        <v>0</v>
      </c>
      <c r="I605" s="80">
        <f t="shared" si="276"/>
        <v>0</v>
      </c>
      <c r="J605" s="80">
        <f t="shared" si="276"/>
        <v>0</v>
      </c>
      <c r="K605" s="80">
        <f t="shared" si="276"/>
        <v>0</v>
      </c>
      <c r="L605" s="80">
        <f t="shared" si="276"/>
        <v>0</v>
      </c>
      <c r="M605" s="80">
        <f t="shared" si="276"/>
        <v>0</v>
      </c>
      <c r="N605" s="80">
        <f t="shared" si="276"/>
        <v>0</v>
      </c>
      <c r="O605" s="80">
        <f t="shared" si="276"/>
        <v>0</v>
      </c>
      <c r="P605" s="80">
        <f t="shared" si="276"/>
        <v>0</v>
      </c>
      <c r="Q605" s="80">
        <f t="shared" si="277"/>
        <v>0</v>
      </c>
      <c r="R605" s="80">
        <f t="shared" si="277"/>
        <v>0</v>
      </c>
      <c r="S605" s="80">
        <f t="shared" si="277"/>
        <v>0</v>
      </c>
      <c r="T605" s="80">
        <f t="shared" si="277"/>
        <v>0</v>
      </c>
      <c r="U605" s="80">
        <f t="shared" si="277"/>
        <v>0</v>
      </c>
      <c r="V605" s="80">
        <f t="shared" si="277"/>
        <v>0</v>
      </c>
      <c r="W605" s="80">
        <f t="shared" si="277"/>
        <v>0</v>
      </c>
      <c r="X605" s="64">
        <f t="shared" si="277"/>
        <v>0</v>
      </c>
      <c r="Y605" s="64">
        <f t="shared" si="277"/>
        <v>0</v>
      </c>
      <c r="Z605" s="64">
        <f t="shared" si="277"/>
        <v>0</v>
      </c>
      <c r="AA605" s="64">
        <f t="shared" si="278"/>
        <v>0</v>
      </c>
      <c r="AB605" s="59" t="str">
        <f t="shared" si="279"/>
        <v>ok</v>
      </c>
    </row>
    <row r="606" spans="1:28" x14ac:dyDescent="0.25">
      <c r="A606" s="69" t="s">
        <v>631</v>
      </c>
      <c r="C606" s="61" t="s">
        <v>1098</v>
      </c>
      <c r="D606" s="61" t="s">
        <v>581</v>
      </c>
      <c r="E606" s="61" t="s">
        <v>707</v>
      </c>
      <c r="F606" s="80">
        <f>VLOOKUP(C606,'Functional Assignment'!$C$2:$AP$778,'Functional Assignment'!$U$2,)</f>
        <v>0</v>
      </c>
      <c r="G606" s="80">
        <f t="shared" si="276"/>
        <v>0</v>
      </c>
      <c r="H606" s="80">
        <f t="shared" si="276"/>
        <v>0</v>
      </c>
      <c r="I606" s="80">
        <f t="shared" si="276"/>
        <v>0</v>
      </c>
      <c r="J606" s="80">
        <f t="shared" si="276"/>
        <v>0</v>
      </c>
      <c r="K606" s="80">
        <f t="shared" si="276"/>
        <v>0</v>
      </c>
      <c r="L606" s="80">
        <f t="shared" si="276"/>
        <v>0</v>
      </c>
      <c r="M606" s="80">
        <f t="shared" si="276"/>
        <v>0</v>
      </c>
      <c r="N606" s="80">
        <f t="shared" si="276"/>
        <v>0</v>
      </c>
      <c r="O606" s="80">
        <f t="shared" si="276"/>
        <v>0</v>
      </c>
      <c r="P606" s="80">
        <f t="shared" si="276"/>
        <v>0</v>
      </c>
      <c r="Q606" s="80">
        <f t="shared" si="277"/>
        <v>0</v>
      </c>
      <c r="R606" s="80">
        <f t="shared" si="277"/>
        <v>0</v>
      </c>
      <c r="S606" s="80">
        <f t="shared" si="277"/>
        <v>0</v>
      </c>
      <c r="T606" s="80">
        <f t="shared" si="277"/>
        <v>0</v>
      </c>
      <c r="U606" s="80">
        <f t="shared" si="277"/>
        <v>0</v>
      </c>
      <c r="V606" s="80">
        <f t="shared" si="277"/>
        <v>0</v>
      </c>
      <c r="W606" s="80">
        <f t="shared" si="277"/>
        <v>0</v>
      </c>
      <c r="X606" s="64">
        <f t="shared" si="277"/>
        <v>0</v>
      </c>
      <c r="Y606" s="64">
        <f t="shared" si="277"/>
        <v>0</v>
      </c>
      <c r="Z606" s="64">
        <f t="shared" si="277"/>
        <v>0</v>
      </c>
      <c r="AA606" s="64">
        <f t="shared" si="278"/>
        <v>0</v>
      </c>
      <c r="AB606" s="59" t="str">
        <f t="shared" si="279"/>
        <v>ok</v>
      </c>
    </row>
    <row r="607" spans="1:28" x14ac:dyDescent="0.25">
      <c r="A607" s="69" t="s">
        <v>632</v>
      </c>
      <c r="C607" s="61" t="s">
        <v>1098</v>
      </c>
      <c r="D607" s="61" t="s">
        <v>582</v>
      </c>
      <c r="E607" s="61" t="s">
        <v>685</v>
      </c>
      <c r="F607" s="80">
        <f>VLOOKUP(C607,'Functional Assignment'!$C$2:$AP$778,'Functional Assignment'!$V$2,)</f>
        <v>0</v>
      </c>
      <c r="G607" s="80">
        <f t="shared" si="276"/>
        <v>0</v>
      </c>
      <c r="H607" s="80">
        <f t="shared" si="276"/>
        <v>0</v>
      </c>
      <c r="I607" s="80">
        <f t="shared" si="276"/>
        <v>0</v>
      </c>
      <c r="J607" s="80">
        <f t="shared" si="276"/>
        <v>0</v>
      </c>
      <c r="K607" s="80">
        <f t="shared" si="276"/>
        <v>0</v>
      </c>
      <c r="L607" s="80">
        <f t="shared" si="276"/>
        <v>0</v>
      </c>
      <c r="M607" s="80">
        <f t="shared" si="276"/>
        <v>0</v>
      </c>
      <c r="N607" s="80">
        <f t="shared" si="276"/>
        <v>0</v>
      </c>
      <c r="O607" s="80">
        <f t="shared" si="276"/>
        <v>0</v>
      </c>
      <c r="P607" s="80">
        <f t="shared" si="276"/>
        <v>0</v>
      </c>
      <c r="Q607" s="80">
        <f t="shared" si="277"/>
        <v>0</v>
      </c>
      <c r="R607" s="80">
        <f t="shared" si="277"/>
        <v>0</v>
      </c>
      <c r="S607" s="80">
        <f t="shared" si="277"/>
        <v>0</v>
      </c>
      <c r="T607" s="80">
        <f t="shared" si="277"/>
        <v>0</v>
      </c>
      <c r="U607" s="80">
        <f t="shared" si="277"/>
        <v>0</v>
      </c>
      <c r="V607" s="80">
        <f t="shared" si="277"/>
        <v>0</v>
      </c>
      <c r="W607" s="80">
        <f t="shared" si="277"/>
        <v>0</v>
      </c>
      <c r="X607" s="64">
        <f t="shared" si="277"/>
        <v>0</v>
      </c>
      <c r="Y607" s="64">
        <f t="shared" si="277"/>
        <v>0</v>
      </c>
      <c r="Z607" s="64">
        <f t="shared" si="277"/>
        <v>0</v>
      </c>
      <c r="AA607" s="64">
        <f t="shared" si="278"/>
        <v>0</v>
      </c>
      <c r="AB607" s="59" t="str">
        <f t="shared" si="279"/>
        <v>ok</v>
      </c>
    </row>
    <row r="608" spans="1:28" x14ac:dyDescent="0.25">
      <c r="A608" s="69" t="s">
        <v>633</v>
      </c>
      <c r="C608" s="61" t="s">
        <v>1098</v>
      </c>
      <c r="D608" s="61" t="s">
        <v>583</v>
      </c>
      <c r="E608" s="61" t="s">
        <v>706</v>
      </c>
      <c r="F608" s="80">
        <f>VLOOKUP(C608,'Functional Assignment'!$C$2:$AP$778,'Functional Assignment'!$W$2,)</f>
        <v>0</v>
      </c>
      <c r="G608" s="80">
        <f t="shared" si="276"/>
        <v>0</v>
      </c>
      <c r="H608" s="80">
        <f t="shared" si="276"/>
        <v>0</v>
      </c>
      <c r="I608" s="80">
        <f t="shared" si="276"/>
        <v>0</v>
      </c>
      <c r="J608" s="80">
        <f t="shared" si="276"/>
        <v>0</v>
      </c>
      <c r="K608" s="80">
        <f t="shared" si="276"/>
        <v>0</v>
      </c>
      <c r="L608" s="80">
        <f t="shared" si="276"/>
        <v>0</v>
      </c>
      <c r="M608" s="80">
        <f t="shared" si="276"/>
        <v>0</v>
      </c>
      <c r="N608" s="80">
        <f t="shared" si="276"/>
        <v>0</v>
      </c>
      <c r="O608" s="80">
        <f t="shared" si="276"/>
        <v>0</v>
      </c>
      <c r="P608" s="80">
        <f t="shared" si="276"/>
        <v>0</v>
      </c>
      <c r="Q608" s="80">
        <f t="shared" si="277"/>
        <v>0</v>
      </c>
      <c r="R608" s="80">
        <f t="shared" si="277"/>
        <v>0</v>
      </c>
      <c r="S608" s="80">
        <f t="shared" si="277"/>
        <v>0</v>
      </c>
      <c r="T608" s="80">
        <f t="shared" si="277"/>
        <v>0</v>
      </c>
      <c r="U608" s="80">
        <f t="shared" si="277"/>
        <v>0</v>
      </c>
      <c r="V608" s="80">
        <f t="shared" si="277"/>
        <v>0</v>
      </c>
      <c r="W608" s="80">
        <f t="shared" si="277"/>
        <v>0</v>
      </c>
      <c r="X608" s="64">
        <f t="shared" si="277"/>
        <v>0</v>
      </c>
      <c r="Y608" s="64">
        <f t="shared" si="277"/>
        <v>0</v>
      </c>
      <c r="Z608" s="64">
        <f t="shared" si="277"/>
        <v>0</v>
      </c>
      <c r="AA608" s="64">
        <f t="shared" si="278"/>
        <v>0</v>
      </c>
      <c r="AB608" s="59" t="str">
        <f t="shared" si="279"/>
        <v>ok</v>
      </c>
    </row>
    <row r="609" spans="1:28" x14ac:dyDescent="0.25">
      <c r="A609" s="61" t="s">
        <v>383</v>
      </c>
      <c r="D609" s="61" t="s">
        <v>584</v>
      </c>
      <c r="F609" s="77">
        <f>SUM(F604:F608)</f>
        <v>0</v>
      </c>
      <c r="G609" s="77">
        <f t="shared" ref="G609:W609" si="280">SUM(G604:G608)</f>
        <v>0</v>
      </c>
      <c r="H609" s="77">
        <f t="shared" si="280"/>
        <v>0</v>
      </c>
      <c r="I609" s="77">
        <f t="shared" si="280"/>
        <v>0</v>
      </c>
      <c r="J609" s="77">
        <f t="shared" si="280"/>
        <v>0</v>
      </c>
      <c r="K609" s="77">
        <f t="shared" si="280"/>
        <v>0</v>
      </c>
      <c r="L609" s="77">
        <f t="shared" si="280"/>
        <v>0</v>
      </c>
      <c r="M609" s="77">
        <f t="shared" si="280"/>
        <v>0</v>
      </c>
      <c r="N609" s="77">
        <f t="shared" si="280"/>
        <v>0</v>
      </c>
      <c r="O609" s="77">
        <f>SUM(O604:O608)</f>
        <v>0</v>
      </c>
      <c r="P609" s="77">
        <f t="shared" si="280"/>
        <v>0</v>
      </c>
      <c r="Q609" s="77">
        <f t="shared" si="280"/>
        <v>0</v>
      </c>
      <c r="R609" s="77">
        <f t="shared" si="280"/>
        <v>0</v>
      </c>
      <c r="S609" s="77">
        <f t="shared" si="280"/>
        <v>0</v>
      </c>
      <c r="T609" s="77">
        <f t="shared" si="280"/>
        <v>0</v>
      </c>
      <c r="U609" s="77">
        <f t="shared" si="280"/>
        <v>0</v>
      </c>
      <c r="V609" s="77">
        <f t="shared" si="280"/>
        <v>0</v>
      </c>
      <c r="W609" s="77">
        <f t="shared" si="280"/>
        <v>0</v>
      </c>
      <c r="X609" s="63">
        <f>SUM(X604:X608)</f>
        <v>0</v>
      </c>
      <c r="Y609" s="63">
        <f>SUM(Y604:Y608)</f>
        <v>0</v>
      </c>
      <c r="Z609" s="63">
        <f>SUM(Z604:Z608)</f>
        <v>0</v>
      </c>
      <c r="AA609" s="65">
        <f t="shared" si="278"/>
        <v>0</v>
      </c>
      <c r="AB609" s="59" t="str">
        <f t="shared" si="279"/>
        <v>ok</v>
      </c>
    </row>
    <row r="610" spans="1:28" x14ac:dyDescent="0.25">
      <c r="F610" s="80"/>
    </row>
    <row r="611" spans="1:28" x14ac:dyDescent="0.25">
      <c r="A611" s="66" t="s">
        <v>640</v>
      </c>
      <c r="F611" s="80"/>
    </row>
    <row r="612" spans="1:28" x14ac:dyDescent="0.25">
      <c r="A612" s="69" t="s">
        <v>1113</v>
      </c>
      <c r="C612" s="61" t="s">
        <v>1098</v>
      </c>
      <c r="D612" s="61" t="s">
        <v>585</v>
      </c>
      <c r="E612" s="61" t="s">
        <v>1379</v>
      </c>
      <c r="F612" s="77">
        <f>VLOOKUP(C612,'Functional Assignment'!$C$2:$AP$778,'Functional Assignment'!$X$2,)</f>
        <v>0</v>
      </c>
      <c r="G612" s="77">
        <f t="shared" ref="G612:P613" si="281">IF(VLOOKUP($E612,$D$6:$AN$1141,3,)=0,0,(VLOOKUP($E612,$D$6:$AN$1141,G$2,)/VLOOKUP($E612,$D$6:$AN$1141,3,))*$F612)</f>
        <v>0</v>
      </c>
      <c r="H612" s="77">
        <f t="shared" si="281"/>
        <v>0</v>
      </c>
      <c r="I612" s="77">
        <f t="shared" si="281"/>
        <v>0</v>
      </c>
      <c r="J612" s="77">
        <f t="shared" si="281"/>
        <v>0</v>
      </c>
      <c r="K612" s="77">
        <f t="shared" si="281"/>
        <v>0</v>
      </c>
      <c r="L612" s="77">
        <f t="shared" si="281"/>
        <v>0</v>
      </c>
      <c r="M612" s="77">
        <f t="shared" si="281"/>
        <v>0</v>
      </c>
      <c r="N612" s="77">
        <f t="shared" si="281"/>
        <v>0</v>
      </c>
      <c r="O612" s="77">
        <f t="shared" si="281"/>
        <v>0</v>
      </c>
      <c r="P612" s="77">
        <f t="shared" si="281"/>
        <v>0</v>
      </c>
      <c r="Q612" s="77">
        <f t="shared" ref="Q612:Z613" si="282">IF(VLOOKUP($E612,$D$6:$AN$1141,3,)=0,0,(VLOOKUP($E612,$D$6:$AN$1141,Q$2,)/VLOOKUP($E612,$D$6:$AN$1141,3,))*$F612)</f>
        <v>0</v>
      </c>
      <c r="R612" s="77">
        <f t="shared" si="282"/>
        <v>0</v>
      </c>
      <c r="S612" s="77">
        <f t="shared" si="282"/>
        <v>0</v>
      </c>
      <c r="T612" s="77">
        <f t="shared" si="282"/>
        <v>0</v>
      </c>
      <c r="U612" s="77">
        <f t="shared" si="282"/>
        <v>0</v>
      </c>
      <c r="V612" s="77">
        <f t="shared" si="282"/>
        <v>0</v>
      </c>
      <c r="W612" s="77">
        <f t="shared" si="282"/>
        <v>0</v>
      </c>
      <c r="X612" s="63">
        <f t="shared" si="282"/>
        <v>0</v>
      </c>
      <c r="Y612" s="63">
        <f t="shared" si="282"/>
        <v>0</v>
      </c>
      <c r="Z612" s="63">
        <f t="shared" si="282"/>
        <v>0</v>
      </c>
      <c r="AA612" s="65">
        <f>SUM(G612:Z612)</f>
        <v>0</v>
      </c>
      <c r="AB612" s="59" t="str">
        <f>IF(ABS(F612-AA612)&lt;0.01,"ok","err")</f>
        <v>ok</v>
      </c>
    </row>
    <row r="613" spans="1:28" x14ac:dyDescent="0.25">
      <c r="A613" s="69" t="s">
        <v>1116</v>
      </c>
      <c r="C613" s="61" t="s">
        <v>1098</v>
      </c>
      <c r="D613" s="61" t="s">
        <v>586</v>
      </c>
      <c r="E613" s="61" t="s">
        <v>1377</v>
      </c>
      <c r="F613" s="80">
        <f>VLOOKUP(C613,'Functional Assignment'!$C$2:$AP$778,'Functional Assignment'!$Y$2,)</f>
        <v>0</v>
      </c>
      <c r="G613" s="80">
        <f t="shared" si="281"/>
        <v>0</v>
      </c>
      <c r="H613" s="80">
        <f t="shared" si="281"/>
        <v>0</v>
      </c>
      <c r="I613" s="80">
        <f t="shared" si="281"/>
        <v>0</v>
      </c>
      <c r="J613" s="80">
        <f t="shared" si="281"/>
        <v>0</v>
      </c>
      <c r="K613" s="80">
        <f t="shared" si="281"/>
        <v>0</v>
      </c>
      <c r="L613" s="80">
        <f t="shared" si="281"/>
        <v>0</v>
      </c>
      <c r="M613" s="80">
        <f t="shared" si="281"/>
        <v>0</v>
      </c>
      <c r="N613" s="80">
        <f t="shared" si="281"/>
        <v>0</v>
      </c>
      <c r="O613" s="80">
        <f t="shared" si="281"/>
        <v>0</v>
      </c>
      <c r="P613" s="80">
        <f t="shared" si="281"/>
        <v>0</v>
      </c>
      <c r="Q613" s="80">
        <f t="shared" si="282"/>
        <v>0</v>
      </c>
      <c r="R613" s="80">
        <f t="shared" si="282"/>
        <v>0</v>
      </c>
      <c r="S613" s="80">
        <f t="shared" si="282"/>
        <v>0</v>
      </c>
      <c r="T613" s="80">
        <f t="shared" si="282"/>
        <v>0</v>
      </c>
      <c r="U613" s="80">
        <f t="shared" si="282"/>
        <v>0</v>
      </c>
      <c r="V613" s="80">
        <f t="shared" si="282"/>
        <v>0</v>
      </c>
      <c r="W613" s="80">
        <f t="shared" si="282"/>
        <v>0</v>
      </c>
      <c r="X613" s="64">
        <f t="shared" si="282"/>
        <v>0</v>
      </c>
      <c r="Y613" s="64">
        <f t="shared" si="282"/>
        <v>0</v>
      </c>
      <c r="Z613" s="64">
        <f t="shared" si="282"/>
        <v>0</v>
      </c>
      <c r="AA613" s="64">
        <f>SUM(G613:Z613)</f>
        <v>0</v>
      </c>
      <c r="AB613" s="59" t="str">
        <f>IF(ABS(F613-AA613)&lt;0.01,"ok","err")</f>
        <v>ok</v>
      </c>
    </row>
    <row r="614" spans="1:28" x14ac:dyDescent="0.25">
      <c r="A614" s="61" t="s">
        <v>721</v>
      </c>
      <c r="D614" s="61" t="s">
        <v>587</v>
      </c>
      <c r="F614" s="77">
        <f>F612+F613</f>
        <v>0</v>
      </c>
      <c r="G614" s="77">
        <f t="shared" ref="G614:W614" si="283">G612+G613</f>
        <v>0</v>
      </c>
      <c r="H614" s="77">
        <f t="shared" si="283"/>
        <v>0</v>
      </c>
      <c r="I614" s="77">
        <f t="shared" si="283"/>
        <v>0</v>
      </c>
      <c r="J614" s="77">
        <f t="shared" si="283"/>
        <v>0</v>
      </c>
      <c r="K614" s="77">
        <f t="shared" si="283"/>
        <v>0</v>
      </c>
      <c r="L614" s="77">
        <f t="shared" si="283"/>
        <v>0</v>
      </c>
      <c r="M614" s="77">
        <f t="shared" si="283"/>
        <v>0</v>
      </c>
      <c r="N614" s="77">
        <f t="shared" si="283"/>
        <v>0</v>
      </c>
      <c r="O614" s="77">
        <f>O612+O613</f>
        <v>0</v>
      </c>
      <c r="P614" s="77">
        <f t="shared" si="283"/>
        <v>0</v>
      </c>
      <c r="Q614" s="77">
        <f t="shared" si="283"/>
        <v>0</v>
      </c>
      <c r="R614" s="77">
        <f t="shared" si="283"/>
        <v>0</v>
      </c>
      <c r="S614" s="77">
        <f t="shared" si="283"/>
        <v>0</v>
      </c>
      <c r="T614" s="77">
        <f t="shared" si="283"/>
        <v>0</v>
      </c>
      <c r="U614" s="77">
        <f t="shared" si="283"/>
        <v>0</v>
      </c>
      <c r="V614" s="77">
        <f t="shared" si="283"/>
        <v>0</v>
      </c>
      <c r="W614" s="77">
        <f t="shared" si="283"/>
        <v>0</v>
      </c>
      <c r="X614" s="63">
        <f>X612+X613</f>
        <v>0</v>
      </c>
      <c r="Y614" s="63">
        <f>Y612+Y613</f>
        <v>0</v>
      </c>
      <c r="Z614" s="63">
        <f>Z612+Z613</f>
        <v>0</v>
      </c>
      <c r="AA614" s="65">
        <f>SUM(G614:Z614)</f>
        <v>0</v>
      </c>
      <c r="AB614" s="59" t="str">
        <f>IF(ABS(F614-AA614)&lt;0.01,"ok","err")</f>
        <v>ok</v>
      </c>
    </row>
    <row r="615" spans="1:28" x14ac:dyDescent="0.25">
      <c r="F615" s="80"/>
    </row>
    <row r="616" spans="1:28" x14ac:dyDescent="0.25">
      <c r="A616" s="66" t="s">
        <v>356</v>
      </c>
      <c r="F616" s="80"/>
    </row>
    <row r="617" spans="1:28" x14ac:dyDescent="0.25">
      <c r="A617" s="69" t="s">
        <v>1116</v>
      </c>
      <c r="C617" s="61" t="s">
        <v>1098</v>
      </c>
      <c r="D617" s="61" t="s">
        <v>588</v>
      </c>
      <c r="E617" s="61" t="s">
        <v>1118</v>
      </c>
      <c r="F617" s="77">
        <f>VLOOKUP(C617,'Functional Assignment'!$C$2:$AP$778,'Functional Assignment'!$Z$2,)</f>
        <v>0</v>
      </c>
      <c r="G617" s="77">
        <f t="shared" ref="G617:Z617" si="284">IF(VLOOKUP($E617,$D$6:$AN$1141,3,)=0,0,(VLOOKUP($E617,$D$6:$AN$1141,G$2,)/VLOOKUP($E617,$D$6:$AN$1141,3,))*$F617)</f>
        <v>0</v>
      </c>
      <c r="H617" s="77">
        <f t="shared" si="284"/>
        <v>0</v>
      </c>
      <c r="I617" s="77">
        <f t="shared" si="284"/>
        <v>0</v>
      </c>
      <c r="J617" s="77">
        <f t="shared" si="284"/>
        <v>0</v>
      </c>
      <c r="K617" s="77">
        <f t="shared" si="284"/>
        <v>0</v>
      </c>
      <c r="L617" s="77">
        <f t="shared" si="284"/>
        <v>0</v>
      </c>
      <c r="M617" s="77">
        <f t="shared" si="284"/>
        <v>0</v>
      </c>
      <c r="N617" s="77">
        <f t="shared" si="284"/>
        <v>0</v>
      </c>
      <c r="O617" s="77">
        <f t="shared" si="284"/>
        <v>0</v>
      </c>
      <c r="P617" s="77">
        <f t="shared" si="284"/>
        <v>0</v>
      </c>
      <c r="Q617" s="77">
        <f t="shared" si="284"/>
        <v>0</v>
      </c>
      <c r="R617" s="77">
        <f t="shared" si="284"/>
        <v>0</v>
      </c>
      <c r="S617" s="77">
        <f t="shared" si="284"/>
        <v>0</v>
      </c>
      <c r="T617" s="77">
        <f t="shared" si="284"/>
        <v>0</v>
      </c>
      <c r="U617" s="77">
        <f t="shared" si="284"/>
        <v>0</v>
      </c>
      <c r="V617" s="77">
        <f t="shared" si="284"/>
        <v>0</v>
      </c>
      <c r="W617" s="77">
        <f t="shared" si="284"/>
        <v>0</v>
      </c>
      <c r="X617" s="63">
        <f t="shared" si="284"/>
        <v>0</v>
      </c>
      <c r="Y617" s="63">
        <f t="shared" si="284"/>
        <v>0</v>
      </c>
      <c r="Z617" s="63">
        <f t="shared" si="284"/>
        <v>0</v>
      </c>
      <c r="AA617" s="65">
        <f>SUM(G617:Z617)</f>
        <v>0</v>
      </c>
      <c r="AB617" s="59" t="str">
        <f>IF(ABS(F617-AA617)&lt;0.01,"ok","err")</f>
        <v>ok</v>
      </c>
    </row>
    <row r="618" spans="1:28" x14ac:dyDescent="0.25">
      <c r="F618" s="80"/>
    </row>
    <row r="619" spans="1:28" x14ac:dyDescent="0.25">
      <c r="A619" s="66" t="s">
        <v>355</v>
      </c>
      <c r="F619" s="80"/>
    </row>
    <row r="620" spans="1:28" x14ac:dyDescent="0.25">
      <c r="A620" s="69" t="s">
        <v>1116</v>
      </c>
      <c r="C620" s="61" t="s">
        <v>1098</v>
      </c>
      <c r="D620" s="61" t="s">
        <v>589</v>
      </c>
      <c r="E620" s="61" t="s">
        <v>1119</v>
      </c>
      <c r="F620" s="77">
        <f>VLOOKUP(C620,'Functional Assignment'!$C$2:$AP$778,'Functional Assignment'!$AA$2,)</f>
        <v>0</v>
      </c>
      <c r="G620" s="77">
        <f t="shared" ref="G620:Z620" si="285">IF(VLOOKUP($E620,$D$6:$AN$1141,3,)=0,0,(VLOOKUP($E620,$D$6:$AN$1141,G$2,)/VLOOKUP($E620,$D$6:$AN$1141,3,))*$F620)</f>
        <v>0</v>
      </c>
      <c r="H620" s="77">
        <f t="shared" si="285"/>
        <v>0</v>
      </c>
      <c r="I620" s="77">
        <f t="shared" si="285"/>
        <v>0</v>
      </c>
      <c r="J620" s="77">
        <f t="shared" si="285"/>
        <v>0</v>
      </c>
      <c r="K620" s="77">
        <f t="shared" si="285"/>
        <v>0</v>
      </c>
      <c r="L620" s="77">
        <f t="shared" si="285"/>
        <v>0</v>
      </c>
      <c r="M620" s="77">
        <f t="shared" si="285"/>
        <v>0</v>
      </c>
      <c r="N620" s="77">
        <f t="shared" si="285"/>
        <v>0</v>
      </c>
      <c r="O620" s="77">
        <f t="shared" si="285"/>
        <v>0</v>
      </c>
      <c r="P620" s="77">
        <f t="shared" si="285"/>
        <v>0</v>
      </c>
      <c r="Q620" s="77">
        <f t="shared" si="285"/>
        <v>0</v>
      </c>
      <c r="R620" s="77">
        <f t="shared" si="285"/>
        <v>0</v>
      </c>
      <c r="S620" s="77">
        <f t="shared" si="285"/>
        <v>0</v>
      </c>
      <c r="T620" s="77">
        <f t="shared" si="285"/>
        <v>0</v>
      </c>
      <c r="U620" s="77">
        <f t="shared" si="285"/>
        <v>0</v>
      </c>
      <c r="V620" s="77">
        <f t="shared" si="285"/>
        <v>0</v>
      </c>
      <c r="W620" s="77">
        <f t="shared" si="285"/>
        <v>0</v>
      </c>
      <c r="X620" s="63">
        <f t="shared" si="285"/>
        <v>0</v>
      </c>
      <c r="Y620" s="63">
        <f t="shared" si="285"/>
        <v>0</v>
      </c>
      <c r="Z620" s="63">
        <f t="shared" si="285"/>
        <v>0</v>
      </c>
      <c r="AA620" s="65">
        <f>SUM(G620:Z620)</f>
        <v>0</v>
      </c>
      <c r="AB620" s="59" t="str">
        <f>IF(ABS(F620-AA620)&lt;0.01,"ok","err")</f>
        <v>ok</v>
      </c>
    </row>
    <row r="621" spans="1:28" x14ac:dyDescent="0.25"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63"/>
      <c r="Y621" s="63"/>
      <c r="Z621" s="63"/>
      <c r="AA621" s="65"/>
    </row>
    <row r="622" spans="1:28" x14ac:dyDescent="0.25">
      <c r="A622" s="66" t="s">
        <v>376</v>
      </c>
      <c r="F622" s="80"/>
    </row>
    <row r="623" spans="1:28" x14ac:dyDescent="0.25">
      <c r="A623" s="69" t="s">
        <v>1116</v>
      </c>
      <c r="C623" s="61" t="s">
        <v>1098</v>
      </c>
      <c r="D623" s="61" t="s">
        <v>590</v>
      </c>
      <c r="E623" s="61" t="s">
        <v>1120</v>
      </c>
      <c r="F623" s="77">
        <f>VLOOKUP(C623,'Functional Assignment'!$C$2:$AP$778,'Functional Assignment'!$AB$2,)</f>
        <v>0</v>
      </c>
      <c r="G623" s="77">
        <f t="shared" ref="G623:Z623" si="286">IF(VLOOKUP($E623,$D$6:$AN$1141,3,)=0,0,(VLOOKUP($E623,$D$6:$AN$1141,G$2,)/VLOOKUP($E623,$D$6:$AN$1141,3,))*$F623)</f>
        <v>0</v>
      </c>
      <c r="H623" s="77">
        <f t="shared" si="286"/>
        <v>0</v>
      </c>
      <c r="I623" s="77">
        <f t="shared" si="286"/>
        <v>0</v>
      </c>
      <c r="J623" s="77">
        <f t="shared" si="286"/>
        <v>0</v>
      </c>
      <c r="K623" s="77">
        <f t="shared" si="286"/>
        <v>0</v>
      </c>
      <c r="L623" s="77">
        <f t="shared" si="286"/>
        <v>0</v>
      </c>
      <c r="M623" s="77">
        <f t="shared" si="286"/>
        <v>0</v>
      </c>
      <c r="N623" s="77">
        <f t="shared" si="286"/>
        <v>0</v>
      </c>
      <c r="O623" s="77">
        <f t="shared" si="286"/>
        <v>0</v>
      </c>
      <c r="P623" s="77">
        <f t="shared" si="286"/>
        <v>0</v>
      </c>
      <c r="Q623" s="77">
        <f t="shared" si="286"/>
        <v>0</v>
      </c>
      <c r="R623" s="77">
        <f t="shared" si="286"/>
        <v>0</v>
      </c>
      <c r="S623" s="77">
        <f t="shared" si="286"/>
        <v>0</v>
      </c>
      <c r="T623" s="77">
        <f t="shared" si="286"/>
        <v>0</v>
      </c>
      <c r="U623" s="77">
        <f t="shared" si="286"/>
        <v>0</v>
      </c>
      <c r="V623" s="77">
        <f t="shared" si="286"/>
        <v>0</v>
      </c>
      <c r="W623" s="77">
        <f t="shared" si="286"/>
        <v>0</v>
      </c>
      <c r="X623" s="63">
        <f t="shared" si="286"/>
        <v>0</v>
      </c>
      <c r="Y623" s="63">
        <f t="shared" si="286"/>
        <v>0</v>
      </c>
      <c r="Z623" s="63">
        <f t="shared" si="286"/>
        <v>0</v>
      </c>
      <c r="AA623" s="65">
        <f>SUM(G623:Z623)</f>
        <v>0</v>
      </c>
      <c r="AB623" s="59" t="str">
        <f>IF(ABS(F623-AA623)&lt;0.01,"ok","err")</f>
        <v>ok</v>
      </c>
    </row>
    <row r="624" spans="1:28" x14ac:dyDescent="0.25"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63"/>
      <c r="Y624" s="63"/>
      <c r="Z624" s="63"/>
      <c r="AA624" s="65"/>
    </row>
    <row r="625" spans="1:28" x14ac:dyDescent="0.25">
      <c r="A625" s="66" t="s">
        <v>1047</v>
      </c>
      <c r="F625" s="80"/>
    </row>
    <row r="626" spans="1:28" x14ac:dyDescent="0.25">
      <c r="A626" s="69" t="s">
        <v>1116</v>
      </c>
      <c r="C626" s="61" t="s">
        <v>1098</v>
      </c>
      <c r="D626" s="61" t="s">
        <v>591</v>
      </c>
      <c r="E626" s="61" t="s">
        <v>1121</v>
      </c>
      <c r="F626" s="77">
        <f>VLOOKUP(C626,'Functional Assignment'!$C$2:$AP$778,'Functional Assignment'!$AC$2,)</f>
        <v>0</v>
      </c>
      <c r="G626" s="77">
        <f t="shared" ref="G626:Z626" si="287">IF(VLOOKUP($E626,$D$6:$AN$1141,3,)=0,0,(VLOOKUP($E626,$D$6:$AN$1141,G$2,)/VLOOKUP($E626,$D$6:$AN$1141,3,))*$F626)</f>
        <v>0</v>
      </c>
      <c r="H626" s="77">
        <f t="shared" si="287"/>
        <v>0</v>
      </c>
      <c r="I626" s="77">
        <f t="shared" si="287"/>
        <v>0</v>
      </c>
      <c r="J626" s="77">
        <f t="shared" si="287"/>
        <v>0</v>
      </c>
      <c r="K626" s="77">
        <f t="shared" si="287"/>
        <v>0</v>
      </c>
      <c r="L626" s="77">
        <f t="shared" si="287"/>
        <v>0</v>
      </c>
      <c r="M626" s="77">
        <f t="shared" si="287"/>
        <v>0</v>
      </c>
      <c r="N626" s="77">
        <f t="shared" si="287"/>
        <v>0</v>
      </c>
      <c r="O626" s="77">
        <f t="shared" si="287"/>
        <v>0</v>
      </c>
      <c r="P626" s="77">
        <f t="shared" si="287"/>
        <v>0</v>
      </c>
      <c r="Q626" s="77">
        <f t="shared" si="287"/>
        <v>0</v>
      </c>
      <c r="R626" s="77">
        <f t="shared" si="287"/>
        <v>0</v>
      </c>
      <c r="S626" s="77">
        <f t="shared" si="287"/>
        <v>0</v>
      </c>
      <c r="T626" s="77">
        <f t="shared" si="287"/>
        <v>0</v>
      </c>
      <c r="U626" s="77">
        <f t="shared" si="287"/>
        <v>0</v>
      </c>
      <c r="V626" s="77">
        <f t="shared" si="287"/>
        <v>0</v>
      </c>
      <c r="W626" s="77">
        <f t="shared" si="287"/>
        <v>0</v>
      </c>
      <c r="X626" s="63">
        <f t="shared" si="287"/>
        <v>0</v>
      </c>
      <c r="Y626" s="63">
        <f t="shared" si="287"/>
        <v>0</v>
      </c>
      <c r="Z626" s="63">
        <f t="shared" si="287"/>
        <v>0</v>
      </c>
      <c r="AA626" s="65">
        <f>SUM(G626:Z626)</f>
        <v>0</v>
      </c>
      <c r="AB626" s="59" t="str">
        <f>IF(ABS(F626-AA626)&lt;0.01,"ok","err")</f>
        <v>ok</v>
      </c>
    </row>
    <row r="627" spans="1:28" x14ac:dyDescent="0.25"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63"/>
      <c r="Y627" s="63"/>
      <c r="Z627" s="63"/>
      <c r="AA627" s="65"/>
    </row>
    <row r="628" spans="1:28" x14ac:dyDescent="0.25">
      <c r="A628" s="66" t="s">
        <v>353</v>
      </c>
      <c r="F628" s="80"/>
    </row>
    <row r="629" spans="1:28" x14ac:dyDescent="0.25">
      <c r="A629" s="69" t="s">
        <v>1116</v>
      </c>
      <c r="C629" s="61" t="s">
        <v>1098</v>
      </c>
      <c r="D629" s="61" t="s">
        <v>592</v>
      </c>
      <c r="E629" s="61" t="s">
        <v>1121</v>
      </c>
      <c r="F629" s="77">
        <f>VLOOKUP(C629,'Functional Assignment'!$C$2:$AP$778,'Functional Assignment'!$AD$2,)</f>
        <v>0</v>
      </c>
      <c r="G629" s="77">
        <f t="shared" ref="G629:Z629" si="288">IF(VLOOKUP($E629,$D$6:$AN$1141,3,)=0,0,(VLOOKUP($E629,$D$6:$AN$1141,G$2,)/VLOOKUP($E629,$D$6:$AN$1141,3,))*$F629)</f>
        <v>0</v>
      </c>
      <c r="H629" s="77">
        <f t="shared" si="288"/>
        <v>0</v>
      </c>
      <c r="I629" s="77">
        <f t="shared" si="288"/>
        <v>0</v>
      </c>
      <c r="J629" s="77">
        <f t="shared" si="288"/>
        <v>0</v>
      </c>
      <c r="K629" s="77">
        <f t="shared" si="288"/>
        <v>0</v>
      </c>
      <c r="L629" s="77">
        <f t="shared" si="288"/>
        <v>0</v>
      </c>
      <c r="M629" s="77">
        <f t="shared" si="288"/>
        <v>0</v>
      </c>
      <c r="N629" s="77">
        <f t="shared" si="288"/>
        <v>0</v>
      </c>
      <c r="O629" s="77">
        <f t="shared" si="288"/>
        <v>0</v>
      </c>
      <c r="P629" s="77">
        <f t="shared" si="288"/>
        <v>0</v>
      </c>
      <c r="Q629" s="77">
        <f t="shared" si="288"/>
        <v>0</v>
      </c>
      <c r="R629" s="77">
        <f t="shared" si="288"/>
        <v>0</v>
      </c>
      <c r="S629" s="77">
        <f t="shared" si="288"/>
        <v>0</v>
      </c>
      <c r="T629" s="77">
        <f t="shared" si="288"/>
        <v>0</v>
      </c>
      <c r="U629" s="77">
        <f t="shared" si="288"/>
        <v>0</v>
      </c>
      <c r="V629" s="77">
        <f t="shared" si="288"/>
        <v>0</v>
      </c>
      <c r="W629" s="77">
        <f t="shared" si="288"/>
        <v>0</v>
      </c>
      <c r="X629" s="63">
        <f t="shared" si="288"/>
        <v>0</v>
      </c>
      <c r="Y629" s="63">
        <f t="shared" si="288"/>
        <v>0</v>
      </c>
      <c r="Z629" s="63">
        <f t="shared" si="288"/>
        <v>0</v>
      </c>
      <c r="AA629" s="65">
        <f>SUM(G629:Z629)</f>
        <v>0</v>
      </c>
      <c r="AB629" s="59" t="str">
        <f>IF(ABS(F629-AA629)&lt;0.01,"ok","err")</f>
        <v>ok</v>
      </c>
    </row>
    <row r="630" spans="1:28" x14ac:dyDescent="0.25"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63"/>
      <c r="Y630" s="63"/>
      <c r="Z630" s="63"/>
      <c r="AA630" s="65"/>
    </row>
    <row r="631" spans="1:28" x14ac:dyDescent="0.25">
      <c r="A631" s="66" t="s">
        <v>352</v>
      </c>
      <c r="F631" s="80"/>
    </row>
    <row r="632" spans="1:28" x14ac:dyDescent="0.25">
      <c r="A632" s="69" t="s">
        <v>1116</v>
      </c>
      <c r="C632" s="61" t="s">
        <v>1098</v>
      </c>
      <c r="D632" s="61" t="s">
        <v>593</v>
      </c>
      <c r="E632" s="61" t="s">
        <v>1122</v>
      </c>
      <c r="F632" s="77">
        <f>VLOOKUP(C632,'Functional Assignment'!$C$2:$AP$778,'Functional Assignment'!$AE$2,)</f>
        <v>0</v>
      </c>
      <c r="G632" s="77">
        <f t="shared" ref="G632:Z632" si="289">IF(VLOOKUP($E632,$D$6:$AN$1141,3,)=0,0,(VLOOKUP($E632,$D$6:$AN$1141,G$2,)/VLOOKUP($E632,$D$6:$AN$1141,3,))*$F632)</f>
        <v>0</v>
      </c>
      <c r="H632" s="77">
        <f t="shared" si="289"/>
        <v>0</v>
      </c>
      <c r="I632" s="77">
        <f t="shared" si="289"/>
        <v>0</v>
      </c>
      <c r="J632" s="77">
        <f t="shared" si="289"/>
        <v>0</v>
      </c>
      <c r="K632" s="77">
        <f t="shared" si="289"/>
        <v>0</v>
      </c>
      <c r="L632" s="77">
        <f t="shared" si="289"/>
        <v>0</v>
      </c>
      <c r="M632" s="77">
        <f t="shared" si="289"/>
        <v>0</v>
      </c>
      <c r="N632" s="77">
        <f t="shared" si="289"/>
        <v>0</v>
      </c>
      <c r="O632" s="77">
        <f t="shared" si="289"/>
        <v>0</v>
      </c>
      <c r="P632" s="77">
        <f t="shared" si="289"/>
        <v>0</v>
      </c>
      <c r="Q632" s="77">
        <f t="shared" si="289"/>
        <v>0</v>
      </c>
      <c r="R632" s="77">
        <f t="shared" si="289"/>
        <v>0</v>
      </c>
      <c r="S632" s="77">
        <f t="shared" si="289"/>
        <v>0</v>
      </c>
      <c r="T632" s="77">
        <f t="shared" si="289"/>
        <v>0</v>
      </c>
      <c r="U632" s="77">
        <f t="shared" si="289"/>
        <v>0</v>
      </c>
      <c r="V632" s="77">
        <f t="shared" si="289"/>
        <v>0</v>
      </c>
      <c r="W632" s="77">
        <f t="shared" si="289"/>
        <v>0</v>
      </c>
      <c r="X632" s="63">
        <f t="shared" si="289"/>
        <v>0</v>
      </c>
      <c r="Y632" s="63">
        <f t="shared" si="289"/>
        <v>0</v>
      </c>
      <c r="Z632" s="63">
        <f t="shared" si="289"/>
        <v>0</v>
      </c>
      <c r="AA632" s="65">
        <f>SUM(G632:Z632)</f>
        <v>0</v>
      </c>
      <c r="AB632" s="59" t="str">
        <f>IF(ABS(F632-AA632)&lt;0.01,"ok","err")</f>
        <v>ok</v>
      </c>
    </row>
    <row r="633" spans="1:28" x14ac:dyDescent="0.25"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63"/>
      <c r="Y633" s="63"/>
      <c r="Z633" s="63"/>
      <c r="AA633" s="65"/>
    </row>
    <row r="634" spans="1:28" x14ac:dyDescent="0.25">
      <c r="A634" s="61" t="s">
        <v>944</v>
      </c>
      <c r="D634" s="61" t="s">
        <v>1134</v>
      </c>
      <c r="F634" s="77">
        <f>F589+F595+F598+F601+F609+F614+F617+F620+F623+F626+F629+F632</f>
        <v>0</v>
      </c>
      <c r="G634" s="77">
        <f t="shared" ref="G634:Z634" si="290">G589+G595+G598+G601+G609+G614+G617+G620+G623+G626+G629+G632</f>
        <v>0</v>
      </c>
      <c r="H634" s="77">
        <f t="shared" si="290"/>
        <v>0</v>
      </c>
      <c r="I634" s="77">
        <f t="shared" si="290"/>
        <v>0</v>
      </c>
      <c r="J634" s="77">
        <f t="shared" si="290"/>
        <v>0</v>
      </c>
      <c r="K634" s="77">
        <f t="shared" si="290"/>
        <v>0</v>
      </c>
      <c r="L634" s="77">
        <f t="shared" si="290"/>
        <v>0</v>
      </c>
      <c r="M634" s="77">
        <f t="shared" si="290"/>
        <v>0</v>
      </c>
      <c r="N634" s="77">
        <f t="shared" si="290"/>
        <v>0</v>
      </c>
      <c r="O634" s="77">
        <f>O589+O595+O598+O601+O609+O614+O617+O620+O623+O626+O629+O632</f>
        <v>0</v>
      </c>
      <c r="P634" s="77">
        <f t="shared" si="290"/>
        <v>0</v>
      </c>
      <c r="Q634" s="77">
        <f t="shared" si="290"/>
        <v>0</v>
      </c>
      <c r="R634" s="77">
        <f t="shared" si="290"/>
        <v>0</v>
      </c>
      <c r="S634" s="77">
        <f t="shared" si="290"/>
        <v>0</v>
      </c>
      <c r="T634" s="77">
        <f t="shared" si="290"/>
        <v>0</v>
      </c>
      <c r="U634" s="77">
        <f t="shared" si="290"/>
        <v>0</v>
      </c>
      <c r="V634" s="77">
        <f t="shared" si="290"/>
        <v>0</v>
      </c>
      <c r="W634" s="77">
        <f t="shared" si="290"/>
        <v>0</v>
      </c>
      <c r="X634" s="63">
        <f t="shared" si="290"/>
        <v>0</v>
      </c>
      <c r="Y634" s="63">
        <f t="shared" si="290"/>
        <v>0</v>
      </c>
      <c r="Z634" s="63">
        <f t="shared" si="290"/>
        <v>0</v>
      </c>
      <c r="AA634" s="65">
        <f>SUM(G634:Z634)</f>
        <v>0</v>
      </c>
      <c r="AB634" s="59" t="str">
        <f>IF(ABS(F634-AA634)&lt;0.01,"ok","err")</f>
        <v>ok</v>
      </c>
    </row>
    <row r="635" spans="1:28" x14ac:dyDescent="0.25"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63"/>
      <c r="Y635" s="63"/>
      <c r="Z635" s="63"/>
      <c r="AA635" s="65"/>
      <c r="AB635" s="59"/>
    </row>
    <row r="636" spans="1:28" x14ac:dyDescent="0.25"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63"/>
      <c r="Y636" s="63"/>
      <c r="Z636" s="63"/>
      <c r="AA636" s="65"/>
      <c r="AB636" s="59"/>
    </row>
    <row r="637" spans="1:28" x14ac:dyDescent="0.25">
      <c r="A637" s="66" t="s">
        <v>817</v>
      </c>
    </row>
    <row r="639" spans="1:28" x14ac:dyDescent="0.25">
      <c r="A639" s="66" t="s">
        <v>369</v>
      </c>
    </row>
    <row r="640" spans="1:28" x14ac:dyDescent="0.25">
      <c r="A640" s="69" t="s">
        <v>361</v>
      </c>
      <c r="C640" s="61" t="s">
        <v>1099</v>
      </c>
      <c r="D640" s="61" t="s">
        <v>818</v>
      </c>
      <c r="E640" s="61" t="s">
        <v>1399</v>
      </c>
      <c r="F640" s="77">
        <f>VLOOKUP(C640,'Functional Assignment'!$C$2:$AP$778,'Functional Assignment'!$H$2,)</f>
        <v>11186713.919649633</v>
      </c>
      <c r="G640" s="77">
        <f t="shared" ref="G640:P645" si="291">IF(VLOOKUP($E640,$D$6:$AN$1141,3,)=0,0,(VLOOKUP($E640,$D$6:$AN$1141,G$2,)/VLOOKUP($E640,$D$6:$AN$1141,3,))*$F640)</f>
        <v>5585059.7134734113</v>
      </c>
      <c r="H640" s="77">
        <f t="shared" si="291"/>
        <v>1384360.6810521735</v>
      </c>
      <c r="I640" s="77">
        <f t="shared" si="291"/>
        <v>0</v>
      </c>
      <c r="J640" s="77">
        <f t="shared" si="291"/>
        <v>125029.35368747999</v>
      </c>
      <c r="K640" s="77">
        <f t="shared" si="291"/>
        <v>1590006.3986934805</v>
      </c>
      <c r="L640" s="77">
        <f t="shared" si="291"/>
        <v>0</v>
      </c>
      <c r="M640" s="77">
        <f t="shared" si="291"/>
        <v>0</v>
      </c>
      <c r="N640" s="77">
        <f t="shared" si="291"/>
        <v>1291110.8025389605</v>
      </c>
      <c r="O640" s="77">
        <f t="shared" si="291"/>
        <v>787914.19262834196</v>
      </c>
      <c r="P640" s="77">
        <f t="shared" si="291"/>
        <v>311519.28823616443</v>
      </c>
      <c r="Q640" s="77">
        <f t="shared" ref="Q640:Z645" si="292">IF(VLOOKUP($E640,$D$6:$AN$1141,3,)=0,0,(VLOOKUP($E640,$D$6:$AN$1141,Q$2,)/VLOOKUP($E640,$D$6:$AN$1141,3,))*$F640)</f>
        <v>66718.319663030881</v>
      </c>
      <c r="R640" s="77">
        <f t="shared" si="292"/>
        <v>43473.405791446625</v>
      </c>
      <c r="S640" s="77">
        <f t="shared" si="292"/>
        <v>0</v>
      </c>
      <c r="T640" s="77">
        <f t="shared" si="292"/>
        <v>0</v>
      </c>
      <c r="U640" s="77">
        <f t="shared" si="292"/>
        <v>1521.7638851450497</v>
      </c>
      <c r="V640" s="77">
        <f t="shared" si="292"/>
        <v>0</v>
      </c>
      <c r="W640" s="77">
        <f t="shared" si="292"/>
        <v>0</v>
      </c>
      <c r="X640" s="63">
        <f t="shared" si="292"/>
        <v>0</v>
      </c>
      <c r="Y640" s="63">
        <f t="shared" si="292"/>
        <v>0</v>
      </c>
      <c r="Z640" s="63">
        <f t="shared" si="292"/>
        <v>0</v>
      </c>
      <c r="AA640" s="65">
        <f t="shared" ref="AA640:AA646" si="293">SUM(G640:Z640)</f>
        <v>11186713.919649635</v>
      </c>
      <c r="AB640" s="59" t="str">
        <f t="shared" ref="AB640:AB646" si="294">IF(ABS(F640-AA640)&lt;0.01,"ok","err")</f>
        <v>ok</v>
      </c>
    </row>
    <row r="641" spans="1:28" x14ac:dyDescent="0.25">
      <c r="A641" s="69" t="s">
        <v>1285</v>
      </c>
      <c r="C641" s="61" t="s">
        <v>1099</v>
      </c>
      <c r="D641" s="61" t="s">
        <v>819</v>
      </c>
      <c r="E641" s="61" t="s">
        <v>1399</v>
      </c>
      <c r="F641" s="80">
        <f>VLOOKUP(C641,'Functional Assignment'!$C$2:$AP$778,'Functional Assignment'!$I$2,)</f>
        <v>10901050.941874363</v>
      </c>
      <c r="G641" s="80">
        <f t="shared" si="291"/>
        <v>5442440.1023648186</v>
      </c>
      <c r="H641" s="80">
        <f t="shared" si="291"/>
        <v>1349009.764124752</v>
      </c>
      <c r="I641" s="80">
        <f t="shared" si="291"/>
        <v>0</v>
      </c>
      <c r="J641" s="80">
        <f t="shared" si="291"/>
        <v>121836.6147169279</v>
      </c>
      <c r="K641" s="80">
        <f t="shared" si="291"/>
        <v>1549404.1301636049</v>
      </c>
      <c r="L641" s="80">
        <f t="shared" si="291"/>
        <v>0</v>
      </c>
      <c r="M641" s="80">
        <f t="shared" si="291"/>
        <v>0</v>
      </c>
      <c r="N641" s="80">
        <f t="shared" si="291"/>
        <v>1258141.1065996322</v>
      </c>
      <c r="O641" s="80">
        <f t="shared" si="291"/>
        <v>767794.082637663</v>
      </c>
      <c r="P641" s="80">
        <f t="shared" si="291"/>
        <v>303564.35811538395</v>
      </c>
      <c r="Q641" s="80">
        <f t="shared" si="292"/>
        <v>65014.606311281859</v>
      </c>
      <c r="R641" s="80">
        <f t="shared" si="292"/>
        <v>42363.272588647582</v>
      </c>
      <c r="S641" s="80">
        <f t="shared" si="292"/>
        <v>0</v>
      </c>
      <c r="T641" s="80">
        <f t="shared" si="292"/>
        <v>0</v>
      </c>
      <c r="U641" s="80">
        <f t="shared" si="292"/>
        <v>1482.9042516526958</v>
      </c>
      <c r="V641" s="80">
        <f t="shared" si="292"/>
        <v>0</v>
      </c>
      <c r="W641" s="80">
        <f t="shared" si="292"/>
        <v>0</v>
      </c>
      <c r="X641" s="64">
        <f t="shared" si="292"/>
        <v>0</v>
      </c>
      <c r="Y641" s="64">
        <f t="shared" si="292"/>
        <v>0</v>
      </c>
      <c r="Z641" s="64">
        <f t="shared" si="292"/>
        <v>0</v>
      </c>
      <c r="AA641" s="64">
        <f t="shared" si="293"/>
        <v>10901050.941874364</v>
      </c>
      <c r="AB641" s="59" t="str">
        <f t="shared" si="294"/>
        <v>ok</v>
      </c>
    </row>
    <row r="642" spans="1:28" x14ac:dyDescent="0.25">
      <c r="A642" s="69" t="s">
        <v>1286</v>
      </c>
      <c r="C642" s="61" t="s">
        <v>1099</v>
      </c>
      <c r="D642" s="61" t="s">
        <v>820</v>
      </c>
      <c r="E642" s="61" t="s">
        <v>1399</v>
      </c>
      <c r="F642" s="80">
        <f>VLOOKUP(C642,'Functional Assignment'!$C$2:$AP$778,'Functional Assignment'!$J$2,)</f>
        <v>9883485.8713733908</v>
      </c>
      <c r="G642" s="80">
        <f t="shared" si="291"/>
        <v>4934412.3006427996</v>
      </c>
      <c r="H642" s="80">
        <f t="shared" si="291"/>
        <v>1223085.6469861823</v>
      </c>
      <c r="I642" s="80">
        <f t="shared" si="291"/>
        <v>0</v>
      </c>
      <c r="J642" s="80">
        <f t="shared" si="291"/>
        <v>110463.70359990916</v>
      </c>
      <c r="K642" s="80">
        <f t="shared" si="291"/>
        <v>1404774.081982825</v>
      </c>
      <c r="L642" s="80">
        <f t="shared" si="291"/>
        <v>0</v>
      </c>
      <c r="M642" s="80">
        <f t="shared" si="291"/>
        <v>0</v>
      </c>
      <c r="N642" s="80">
        <f t="shared" si="291"/>
        <v>1140699.1782329443</v>
      </c>
      <c r="O642" s="80">
        <f t="shared" si="291"/>
        <v>696123.88826876238</v>
      </c>
      <c r="P642" s="80">
        <f t="shared" si="291"/>
        <v>275227.96292611881</v>
      </c>
      <c r="Q642" s="80">
        <f t="shared" si="292"/>
        <v>58945.779295658605</v>
      </c>
      <c r="R642" s="80">
        <f t="shared" si="292"/>
        <v>38408.847764089609</v>
      </c>
      <c r="S642" s="80">
        <f t="shared" si="292"/>
        <v>0</v>
      </c>
      <c r="T642" s="80">
        <f t="shared" si="292"/>
        <v>0</v>
      </c>
      <c r="U642" s="80">
        <f t="shared" si="292"/>
        <v>1344.4816741025984</v>
      </c>
      <c r="V642" s="80">
        <f t="shared" si="292"/>
        <v>0</v>
      </c>
      <c r="W642" s="80">
        <f t="shared" si="292"/>
        <v>0</v>
      </c>
      <c r="X642" s="64">
        <f t="shared" si="292"/>
        <v>0</v>
      </c>
      <c r="Y642" s="64">
        <f t="shared" si="292"/>
        <v>0</v>
      </c>
      <c r="Z642" s="64">
        <f t="shared" si="292"/>
        <v>0</v>
      </c>
      <c r="AA642" s="64">
        <f t="shared" si="293"/>
        <v>9883485.8713733945</v>
      </c>
      <c r="AB642" s="59" t="str">
        <f t="shared" si="294"/>
        <v>ok</v>
      </c>
    </row>
    <row r="643" spans="1:28" x14ac:dyDescent="0.25">
      <c r="A643" s="69" t="s">
        <v>1287</v>
      </c>
      <c r="C643" s="61" t="s">
        <v>1099</v>
      </c>
      <c r="D643" s="61" t="s">
        <v>821</v>
      </c>
      <c r="E643" s="61" t="s">
        <v>1114</v>
      </c>
      <c r="F643" s="80">
        <f>VLOOKUP(C643,'Functional Assignment'!$C$2:$AP$778,'Functional Assignment'!$K$2,)</f>
        <v>0</v>
      </c>
      <c r="G643" s="80">
        <f t="shared" si="291"/>
        <v>0</v>
      </c>
      <c r="H643" s="80">
        <f t="shared" si="291"/>
        <v>0</v>
      </c>
      <c r="I643" s="80">
        <f t="shared" si="291"/>
        <v>0</v>
      </c>
      <c r="J643" s="80">
        <f t="shared" si="291"/>
        <v>0</v>
      </c>
      <c r="K643" s="80">
        <f t="shared" si="291"/>
        <v>0</v>
      </c>
      <c r="L643" s="80">
        <f t="shared" si="291"/>
        <v>0</v>
      </c>
      <c r="M643" s="80">
        <f t="shared" si="291"/>
        <v>0</v>
      </c>
      <c r="N643" s="80">
        <f t="shared" si="291"/>
        <v>0</v>
      </c>
      <c r="O643" s="80">
        <f t="shared" si="291"/>
        <v>0</v>
      </c>
      <c r="P643" s="80">
        <f t="shared" si="291"/>
        <v>0</v>
      </c>
      <c r="Q643" s="80">
        <f t="shared" si="292"/>
        <v>0</v>
      </c>
      <c r="R643" s="80">
        <f t="shared" si="292"/>
        <v>0</v>
      </c>
      <c r="S643" s="80">
        <f t="shared" si="292"/>
        <v>0</v>
      </c>
      <c r="T643" s="80">
        <f t="shared" si="292"/>
        <v>0</v>
      </c>
      <c r="U643" s="80">
        <f t="shared" si="292"/>
        <v>0</v>
      </c>
      <c r="V643" s="80">
        <f t="shared" si="292"/>
        <v>0</v>
      </c>
      <c r="W643" s="80">
        <f t="shared" si="292"/>
        <v>0</v>
      </c>
      <c r="X643" s="64">
        <f t="shared" si="292"/>
        <v>0</v>
      </c>
      <c r="Y643" s="64">
        <f t="shared" si="292"/>
        <v>0</v>
      </c>
      <c r="Z643" s="64">
        <f t="shared" si="292"/>
        <v>0</v>
      </c>
      <c r="AA643" s="64">
        <f t="shared" si="293"/>
        <v>0</v>
      </c>
      <c r="AB643" s="59" t="str">
        <f t="shared" si="294"/>
        <v>ok</v>
      </c>
    </row>
    <row r="644" spans="1:28" x14ac:dyDescent="0.25">
      <c r="A644" s="69" t="s">
        <v>1288</v>
      </c>
      <c r="C644" s="61" t="s">
        <v>1099</v>
      </c>
      <c r="D644" s="61" t="s">
        <v>822</v>
      </c>
      <c r="E644" s="61" t="s">
        <v>1114</v>
      </c>
      <c r="F644" s="80">
        <f>VLOOKUP(C644,'Functional Assignment'!$C$2:$AP$778,'Functional Assignment'!$L$2,)</f>
        <v>0</v>
      </c>
      <c r="G644" s="80">
        <f t="shared" si="291"/>
        <v>0</v>
      </c>
      <c r="H644" s="80">
        <f t="shared" si="291"/>
        <v>0</v>
      </c>
      <c r="I644" s="80">
        <f t="shared" si="291"/>
        <v>0</v>
      </c>
      <c r="J644" s="80">
        <f t="shared" si="291"/>
        <v>0</v>
      </c>
      <c r="K644" s="80">
        <f t="shared" si="291"/>
        <v>0</v>
      </c>
      <c r="L644" s="80">
        <f t="shared" si="291"/>
        <v>0</v>
      </c>
      <c r="M644" s="80">
        <f t="shared" si="291"/>
        <v>0</v>
      </c>
      <c r="N644" s="80">
        <f t="shared" si="291"/>
        <v>0</v>
      </c>
      <c r="O644" s="80">
        <f t="shared" si="291"/>
        <v>0</v>
      </c>
      <c r="P644" s="80">
        <f t="shared" si="291"/>
        <v>0</v>
      </c>
      <c r="Q644" s="80">
        <f t="shared" si="292"/>
        <v>0</v>
      </c>
      <c r="R644" s="80">
        <f t="shared" si="292"/>
        <v>0</v>
      </c>
      <c r="S644" s="80">
        <f t="shared" si="292"/>
        <v>0</v>
      </c>
      <c r="T644" s="80">
        <f t="shared" si="292"/>
        <v>0</v>
      </c>
      <c r="U644" s="80">
        <f t="shared" si="292"/>
        <v>0</v>
      </c>
      <c r="V644" s="80">
        <f t="shared" si="292"/>
        <v>0</v>
      </c>
      <c r="W644" s="80">
        <f t="shared" si="292"/>
        <v>0</v>
      </c>
      <c r="X644" s="64">
        <f t="shared" si="292"/>
        <v>0</v>
      </c>
      <c r="Y644" s="64">
        <f t="shared" si="292"/>
        <v>0</v>
      </c>
      <c r="Z644" s="64">
        <f t="shared" si="292"/>
        <v>0</v>
      </c>
      <c r="AA644" s="64">
        <f t="shared" si="293"/>
        <v>0</v>
      </c>
      <c r="AB644" s="59" t="str">
        <f t="shared" si="294"/>
        <v>ok</v>
      </c>
    </row>
    <row r="645" spans="1:28" x14ac:dyDescent="0.25">
      <c r="A645" s="69" t="s">
        <v>1288</v>
      </c>
      <c r="C645" s="61" t="s">
        <v>1099</v>
      </c>
      <c r="D645" s="61" t="s">
        <v>823</v>
      </c>
      <c r="E645" s="61" t="s">
        <v>1114</v>
      </c>
      <c r="F645" s="80">
        <f>VLOOKUP(C645,'Functional Assignment'!$C$2:$AP$778,'Functional Assignment'!$M$2,)</f>
        <v>0</v>
      </c>
      <c r="G645" s="80">
        <f t="shared" si="291"/>
        <v>0</v>
      </c>
      <c r="H645" s="80">
        <f t="shared" si="291"/>
        <v>0</v>
      </c>
      <c r="I645" s="80">
        <f t="shared" si="291"/>
        <v>0</v>
      </c>
      <c r="J645" s="80">
        <f t="shared" si="291"/>
        <v>0</v>
      </c>
      <c r="K645" s="80">
        <f t="shared" si="291"/>
        <v>0</v>
      </c>
      <c r="L645" s="80">
        <f t="shared" si="291"/>
        <v>0</v>
      </c>
      <c r="M645" s="80">
        <f t="shared" si="291"/>
        <v>0</v>
      </c>
      <c r="N645" s="80">
        <f t="shared" si="291"/>
        <v>0</v>
      </c>
      <c r="O645" s="80">
        <f t="shared" si="291"/>
        <v>0</v>
      </c>
      <c r="P645" s="80">
        <f t="shared" si="291"/>
        <v>0</v>
      </c>
      <c r="Q645" s="80">
        <f t="shared" si="292"/>
        <v>0</v>
      </c>
      <c r="R645" s="80">
        <f t="shared" si="292"/>
        <v>0</v>
      </c>
      <c r="S645" s="80">
        <f t="shared" si="292"/>
        <v>0</v>
      </c>
      <c r="T645" s="80">
        <f t="shared" si="292"/>
        <v>0</v>
      </c>
      <c r="U645" s="80">
        <f t="shared" si="292"/>
        <v>0</v>
      </c>
      <c r="V645" s="80">
        <f t="shared" si="292"/>
        <v>0</v>
      </c>
      <c r="W645" s="80">
        <f t="shared" si="292"/>
        <v>0</v>
      </c>
      <c r="X645" s="64">
        <f t="shared" si="292"/>
        <v>0</v>
      </c>
      <c r="Y645" s="64">
        <f t="shared" si="292"/>
        <v>0</v>
      </c>
      <c r="Z645" s="64">
        <f t="shared" si="292"/>
        <v>0</v>
      </c>
      <c r="AA645" s="64">
        <f t="shared" si="293"/>
        <v>0</v>
      </c>
      <c r="AB645" s="59" t="str">
        <f t="shared" si="294"/>
        <v>ok</v>
      </c>
    </row>
    <row r="646" spans="1:28" x14ac:dyDescent="0.25">
      <c r="A646" s="61" t="s">
        <v>392</v>
      </c>
      <c r="D646" s="61" t="s">
        <v>824</v>
      </c>
      <c r="F646" s="77">
        <f>SUM(F640:F645)</f>
        <v>31971250.732897386</v>
      </c>
      <c r="G646" s="77">
        <f t="shared" ref="G646:W646" si="295">SUM(G640:G645)</f>
        <v>15961912.116481028</v>
      </c>
      <c r="H646" s="77">
        <f t="shared" si="295"/>
        <v>3956456.0921631078</v>
      </c>
      <c r="I646" s="77">
        <f t="shared" si="295"/>
        <v>0</v>
      </c>
      <c r="J646" s="77">
        <f t="shared" si="295"/>
        <v>357329.67200431705</v>
      </c>
      <c r="K646" s="77">
        <f t="shared" si="295"/>
        <v>4544184.6108399108</v>
      </c>
      <c r="L646" s="77">
        <f t="shared" si="295"/>
        <v>0</v>
      </c>
      <c r="M646" s="77">
        <f t="shared" si="295"/>
        <v>0</v>
      </c>
      <c r="N646" s="77">
        <f t="shared" si="295"/>
        <v>3689951.0873715375</v>
      </c>
      <c r="O646" s="77">
        <f>SUM(O640:O645)</f>
        <v>2251832.1635347675</v>
      </c>
      <c r="P646" s="77">
        <f t="shared" si="295"/>
        <v>890311.60927766724</v>
      </c>
      <c r="Q646" s="77">
        <f t="shared" si="295"/>
        <v>190678.70526997134</v>
      </c>
      <c r="R646" s="77">
        <f t="shared" si="295"/>
        <v>124245.52614418382</v>
      </c>
      <c r="S646" s="77">
        <f t="shared" si="295"/>
        <v>0</v>
      </c>
      <c r="T646" s="77">
        <f t="shared" si="295"/>
        <v>0</v>
      </c>
      <c r="U646" s="77">
        <f t="shared" si="295"/>
        <v>4349.1498109003442</v>
      </c>
      <c r="V646" s="77">
        <f t="shared" si="295"/>
        <v>0</v>
      </c>
      <c r="W646" s="77">
        <f t="shared" si="295"/>
        <v>0</v>
      </c>
      <c r="X646" s="63">
        <f>SUM(X640:X645)</f>
        <v>0</v>
      </c>
      <c r="Y646" s="63">
        <f>SUM(Y640:Y645)</f>
        <v>0</v>
      </c>
      <c r="Z646" s="63">
        <f>SUM(Z640:Z645)</f>
        <v>0</v>
      </c>
      <c r="AA646" s="65">
        <f t="shared" si="293"/>
        <v>31971250.73289739</v>
      </c>
      <c r="AB646" s="59" t="str">
        <f t="shared" si="294"/>
        <v>ok</v>
      </c>
    </row>
    <row r="647" spans="1:28" x14ac:dyDescent="0.25">
      <c r="F647" s="80"/>
      <c r="G647" s="80"/>
    </row>
    <row r="648" spans="1:28" x14ac:dyDescent="0.25">
      <c r="A648" s="66" t="s">
        <v>1154</v>
      </c>
      <c r="F648" s="80"/>
      <c r="G648" s="80"/>
    </row>
    <row r="649" spans="1:28" x14ac:dyDescent="0.25">
      <c r="A649" s="69" t="s">
        <v>362</v>
      </c>
      <c r="C649" s="61" t="s">
        <v>1099</v>
      </c>
      <c r="D649" s="61" t="s">
        <v>825</v>
      </c>
      <c r="E649" s="61" t="s">
        <v>1399</v>
      </c>
      <c r="F649" s="77">
        <f>VLOOKUP(C649,'Functional Assignment'!$C$2:$AP$778,'Functional Assignment'!$N$2,)</f>
        <v>1983385.1378919207</v>
      </c>
      <c r="G649" s="77">
        <f t="shared" ref="G649:P651" si="296">IF(VLOOKUP($E649,$D$6:$AN$1141,3,)=0,0,(VLOOKUP($E649,$D$6:$AN$1141,G$2,)/VLOOKUP($E649,$D$6:$AN$1141,3,))*$F649)</f>
        <v>990221.48143831454</v>
      </c>
      <c r="H649" s="77">
        <f t="shared" si="296"/>
        <v>245444.76778456979</v>
      </c>
      <c r="I649" s="77">
        <f t="shared" si="296"/>
        <v>0</v>
      </c>
      <c r="J649" s="77">
        <f t="shared" si="296"/>
        <v>22167.489370439449</v>
      </c>
      <c r="K649" s="77">
        <f t="shared" si="296"/>
        <v>281905.39983170282</v>
      </c>
      <c r="L649" s="77">
        <f t="shared" si="296"/>
        <v>0</v>
      </c>
      <c r="M649" s="77">
        <f t="shared" si="296"/>
        <v>0</v>
      </c>
      <c r="N649" s="77">
        <f t="shared" si="296"/>
        <v>228911.72470491563</v>
      </c>
      <c r="O649" s="77">
        <f t="shared" si="296"/>
        <v>139695.83121708277</v>
      </c>
      <c r="P649" s="77">
        <f t="shared" si="296"/>
        <v>55231.834021337825</v>
      </c>
      <c r="Q649" s="77">
        <f t="shared" ref="Q649:Z651" si="297">IF(VLOOKUP($E649,$D$6:$AN$1141,3,)=0,0,(VLOOKUP($E649,$D$6:$AN$1141,Q$2,)/VLOOKUP($E649,$D$6:$AN$1141,3,))*$F649)</f>
        <v>11829.043327222429</v>
      </c>
      <c r="R649" s="77">
        <f t="shared" si="297"/>
        <v>7707.760076785833</v>
      </c>
      <c r="S649" s="77">
        <f t="shared" si="297"/>
        <v>0</v>
      </c>
      <c r="T649" s="77">
        <f t="shared" si="297"/>
        <v>0</v>
      </c>
      <c r="U649" s="77">
        <f t="shared" si="297"/>
        <v>269.80611955006452</v>
      </c>
      <c r="V649" s="77">
        <f t="shared" si="297"/>
        <v>0</v>
      </c>
      <c r="W649" s="77">
        <f t="shared" si="297"/>
        <v>0</v>
      </c>
      <c r="X649" s="63">
        <f t="shared" si="297"/>
        <v>0</v>
      </c>
      <c r="Y649" s="63">
        <f t="shared" si="297"/>
        <v>0</v>
      </c>
      <c r="Z649" s="63">
        <f t="shared" si="297"/>
        <v>0</v>
      </c>
      <c r="AA649" s="65">
        <f>SUM(G649:Z649)</f>
        <v>1983385.137891921</v>
      </c>
      <c r="AB649" s="59" t="str">
        <f>IF(ABS(F649-AA649)&lt;0.01,"ok","err")</f>
        <v>ok</v>
      </c>
    </row>
    <row r="650" spans="1:28" x14ac:dyDescent="0.25">
      <c r="A650" s="69" t="s">
        <v>364</v>
      </c>
      <c r="C650" s="61" t="s">
        <v>1099</v>
      </c>
      <c r="D650" s="61" t="s">
        <v>826</v>
      </c>
      <c r="E650" s="61" t="s">
        <v>1399</v>
      </c>
      <c r="F650" s="80">
        <f>VLOOKUP(C650,'Functional Assignment'!$C$2:$AP$778,'Functional Assignment'!$O$2,)</f>
        <v>1932737.5832449552</v>
      </c>
      <c r="G650" s="80">
        <f t="shared" si="296"/>
        <v>964935.26968064671</v>
      </c>
      <c r="H650" s="80">
        <f t="shared" si="296"/>
        <v>239177.1110134832</v>
      </c>
      <c r="I650" s="80">
        <f t="shared" si="296"/>
        <v>0</v>
      </c>
      <c r="J650" s="80">
        <f t="shared" si="296"/>
        <v>21601.42224216164</v>
      </c>
      <c r="K650" s="80">
        <f t="shared" si="296"/>
        <v>274706.68745331612</v>
      </c>
      <c r="L650" s="80">
        <f t="shared" si="296"/>
        <v>0</v>
      </c>
      <c r="M650" s="80">
        <f t="shared" si="296"/>
        <v>0</v>
      </c>
      <c r="N650" s="80">
        <f t="shared" si="296"/>
        <v>223066.2543195491</v>
      </c>
      <c r="O650" s="80">
        <f t="shared" si="296"/>
        <v>136128.57032037133</v>
      </c>
      <c r="P650" s="80">
        <f t="shared" si="296"/>
        <v>53821.438592630991</v>
      </c>
      <c r="Q650" s="80">
        <f t="shared" si="297"/>
        <v>11526.977880178896</v>
      </c>
      <c r="R650" s="80">
        <f t="shared" si="297"/>
        <v>7510.9353692508994</v>
      </c>
      <c r="S650" s="80">
        <f t="shared" si="297"/>
        <v>0</v>
      </c>
      <c r="T650" s="80">
        <f t="shared" si="297"/>
        <v>0</v>
      </c>
      <c r="U650" s="80">
        <f t="shared" si="297"/>
        <v>262.9163733666673</v>
      </c>
      <c r="V650" s="80">
        <f t="shared" si="297"/>
        <v>0</v>
      </c>
      <c r="W650" s="80">
        <f t="shared" si="297"/>
        <v>0</v>
      </c>
      <c r="X650" s="64">
        <f t="shared" si="297"/>
        <v>0</v>
      </c>
      <c r="Y650" s="64">
        <f t="shared" si="297"/>
        <v>0</v>
      </c>
      <c r="Z650" s="64">
        <f t="shared" si="297"/>
        <v>0</v>
      </c>
      <c r="AA650" s="64">
        <f>SUM(G650:Z650)</f>
        <v>1932737.5832449554</v>
      </c>
      <c r="AB650" s="59" t="str">
        <f>IF(ABS(F650-AA650)&lt;0.01,"ok","err")</f>
        <v>ok</v>
      </c>
    </row>
    <row r="651" spans="1:28" x14ac:dyDescent="0.25">
      <c r="A651" s="69" t="s">
        <v>363</v>
      </c>
      <c r="C651" s="61" t="s">
        <v>1099</v>
      </c>
      <c r="D651" s="61" t="s">
        <v>827</v>
      </c>
      <c r="E651" s="61" t="s">
        <v>1399</v>
      </c>
      <c r="F651" s="80">
        <f>VLOOKUP(C651,'Functional Assignment'!$C$2:$AP$778,'Functional Assignment'!$P$2,)</f>
        <v>1752325.046358271</v>
      </c>
      <c r="G651" s="80">
        <f t="shared" si="296"/>
        <v>874862.8141938335</v>
      </c>
      <c r="H651" s="80">
        <f t="shared" si="296"/>
        <v>216850.98162207182</v>
      </c>
      <c r="I651" s="80">
        <f t="shared" si="296"/>
        <v>0</v>
      </c>
      <c r="J651" s="80">
        <f t="shared" si="296"/>
        <v>19585.024661417283</v>
      </c>
      <c r="K651" s="80">
        <f t="shared" si="296"/>
        <v>249064.0286605063</v>
      </c>
      <c r="L651" s="80">
        <f t="shared" si="296"/>
        <v>0</v>
      </c>
      <c r="M651" s="80">
        <f t="shared" si="296"/>
        <v>0</v>
      </c>
      <c r="N651" s="80">
        <f t="shared" si="296"/>
        <v>202244.00240885108</v>
      </c>
      <c r="O651" s="80">
        <f t="shared" si="296"/>
        <v>123421.56812454197</v>
      </c>
      <c r="P651" s="80">
        <f t="shared" si="296"/>
        <v>48797.444461423169</v>
      </c>
      <c r="Q651" s="80">
        <f t="shared" si="297"/>
        <v>10450.985288102213</v>
      </c>
      <c r="R651" s="80">
        <f t="shared" si="297"/>
        <v>6809.8226490835814</v>
      </c>
      <c r="S651" s="80">
        <f t="shared" si="297"/>
        <v>0</v>
      </c>
      <c r="T651" s="80">
        <f t="shared" si="297"/>
        <v>0</v>
      </c>
      <c r="U651" s="80">
        <f t="shared" si="297"/>
        <v>238.37428844043063</v>
      </c>
      <c r="V651" s="80">
        <f t="shared" si="297"/>
        <v>0</v>
      </c>
      <c r="W651" s="80">
        <f t="shared" si="297"/>
        <v>0</v>
      </c>
      <c r="X651" s="64">
        <f t="shared" si="297"/>
        <v>0</v>
      </c>
      <c r="Y651" s="64">
        <f t="shared" si="297"/>
        <v>0</v>
      </c>
      <c r="Z651" s="64">
        <f t="shared" si="297"/>
        <v>0</v>
      </c>
      <c r="AA651" s="64">
        <f>SUM(G651:Z651)</f>
        <v>1752325.0463582715</v>
      </c>
      <c r="AB651" s="59" t="str">
        <f>IF(ABS(F651-AA651)&lt;0.01,"ok","err")</f>
        <v>ok</v>
      </c>
    </row>
    <row r="652" spans="1:28" x14ac:dyDescent="0.25">
      <c r="A652" s="61" t="s">
        <v>1156</v>
      </c>
      <c r="D652" s="61" t="s">
        <v>828</v>
      </c>
      <c r="F652" s="77">
        <f>SUM(F649:F651)</f>
        <v>5668447.767495147</v>
      </c>
      <c r="G652" s="77">
        <f t="shared" ref="G652:W652" si="298">SUM(G649:G651)</f>
        <v>2830019.5653127949</v>
      </c>
      <c r="H652" s="77">
        <f t="shared" si="298"/>
        <v>701472.86042012484</v>
      </c>
      <c r="I652" s="77">
        <f t="shared" si="298"/>
        <v>0</v>
      </c>
      <c r="J652" s="77">
        <f t="shared" si="298"/>
        <v>63353.936274018371</v>
      </c>
      <c r="K652" s="77">
        <f t="shared" si="298"/>
        <v>805676.11594552523</v>
      </c>
      <c r="L652" s="77">
        <f t="shared" si="298"/>
        <v>0</v>
      </c>
      <c r="M652" s="77">
        <f t="shared" si="298"/>
        <v>0</v>
      </c>
      <c r="N652" s="77">
        <f t="shared" si="298"/>
        <v>654221.98143331578</v>
      </c>
      <c r="O652" s="77">
        <f>SUM(O649:O651)</f>
        <v>399245.96966199606</v>
      </c>
      <c r="P652" s="77">
        <f t="shared" si="298"/>
        <v>157850.71707539199</v>
      </c>
      <c r="Q652" s="77">
        <f t="shared" si="298"/>
        <v>33807.006495503534</v>
      </c>
      <c r="R652" s="77">
        <f t="shared" si="298"/>
        <v>22028.518095120315</v>
      </c>
      <c r="S652" s="77">
        <f t="shared" si="298"/>
        <v>0</v>
      </c>
      <c r="T652" s="77">
        <f t="shared" si="298"/>
        <v>0</v>
      </c>
      <c r="U652" s="77">
        <f t="shared" si="298"/>
        <v>771.09678135716251</v>
      </c>
      <c r="V652" s="77">
        <f t="shared" si="298"/>
        <v>0</v>
      </c>
      <c r="W652" s="77">
        <f t="shared" si="298"/>
        <v>0</v>
      </c>
      <c r="X652" s="63">
        <f>SUM(X649:X651)</f>
        <v>0</v>
      </c>
      <c r="Y652" s="63">
        <f>SUM(Y649:Y651)</f>
        <v>0</v>
      </c>
      <c r="Z652" s="63">
        <f>SUM(Z649:Z651)</f>
        <v>0</v>
      </c>
      <c r="AA652" s="65">
        <f>SUM(G652:Z652)</f>
        <v>5668447.7674951479</v>
      </c>
      <c r="AB652" s="59" t="str">
        <f>IF(ABS(F652-AA652)&lt;0.01,"ok","err")</f>
        <v>ok</v>
      </c>
    </row>
    <row r="653" spans="1:28" x14ac:dyDescent="0.25">
      <c r="F653" s="80"/>
      <c r="G653" s="80"/>
    </row>
    <row r="654" spans="1:28" x14ac:dyDescent="0.25">
      <c r="A654" s="66" t="s">
        <v>350</v>
      </c>
      <c r="F654" s="80"/>
      <c r="G654" s="80"/>
    </row>
    <row r="655" spans="1:28" x14ac:dyDescent="0.25">
      <c r="A655" s="69" t="s">
        <v>377</v>
      </c>
      <c r="C655" s="61" t="s">
        <v>1099</v>
      </c>
      <c r="D655" s="61" t="s">
        <v>829</v>
      </c>
      <c r="E655" s="61" t="s">
        <v>133</v>
      </c>
      <c r="F655" s="77">
        <f>VLOOKUP(C655,'Functional Assignment'!$C$2:$AP$778,'Functional Assignment'!$Q$2,)</f>
        <v>0</v>
      </c>
      <c r="G655" s="77">
        <f t="shared" ref="G655:Z655" si="299">IF(VLOOKUP($E655,$D$6:$AN$1141,3,)=0,0,(VLOOKUP($E655,$D$6:$AN$1141,G$2,)/VLOOKUP($E655,$D$6:$AN$1141,3,))*$F655)</f>
        <v>0</v>
      </c>
      <c r="H655" s="77">
        <f t="shared" si="299"/>
        <v>0</v>
      </c>
      <c r="I655" s="77">
        <f t="shared" si="299"/>
        <v>0</v>
      </c>
      <c r="J655" s="77">
        <f t="shared" si="299"/>
        <v>0</v>
      </c>
      <c r="K655" s="77">
        <f t="shared" si="299"/>
        <v>0</v>
      </c>
      <c r="L655" s="77">
        <f t="shared" si="299"/>
        <v>0</v>
      </c>
      <c r="M655" s="77">
        <f t="shared" si="299"/>
        <v>0</v>
      </c>
      <c r="N655" s="77">
        <f t="shared" si="299"/>
        <v>0</v>
      </c>
      <c r="O655" s="77">
        <f t="shared" si="299"/>
        <v>0</v>
      </c>
      <c r="P655" s="77">
        <f t="shared" si="299"/>
        <v>0</v>
      </c>
      <c r="Q655" s="77">
        <f t="shared" si="299"/>
        <v>0</v>
      </c>
      <c r="R655" s="77">
        <f t="shared" si="299"/>
        <v>0</v>
      </c>
      <c r="S655" s="77">
        <f t="shared" si="299"/>
        <v>0</v>
      </c>
      <c r="T655" s="77">
        <f t="shared" si="299"/>
        <v>0</v>
      </c>
      <c r="U655" s="77">
        <f t="shared" si="299"/>
        <v>0</v>
      </c>
      <c r="V655" s="77">
        <f t="shared" si="299"/>
        <v>0</v>
      </c>
      <c r="W655" s="77">
        <f t="shared" si="299"/>
        <v>0</v>
      </c>
      <c r="X655" s="63">
        <f t="shared" si="299"/>
        <v>0</v>
      </c>
      <c r="Y655" s="63">
        <f t="shared" si="299"/>
        <v>0</v>
      </c>
      <c r="Z655" s="63">
        <f t="shared" si="299"/>
        <v>0</v>
      </c>
      <c r="AA655" s="65">
        <f>SUM(G655:Z655)</f>
        <v>0</v>
      </c>
      <c r="AB655" s="59" t="str">
        <f>IF(ABS(F655-AA655)&lt;0.01,"ok","err")</f>
        <v>ok</v>
      </c>
    </row>
    <row r="656" spans="1:28" x14ac:dyDescent="0.25">
      <c r="F656" s="80"/>
    </row>
    <row r="657" spans="1:28" x14ac:dyDescent="0.25">
      <c r="A657" s="66" t="s">
        <v>351</v>
      </c>
      <c r="F657" s="80"/>
      <c r="G657" s="80"/>
    </row>
    <row r="658" spans="1:28" x14ac:dyDescent="0.25">
      <c r="A658" s="69" t="s">
        <v>379</v>
      </c>
      <c r="C658" s="61" t="s">
        <v>1099</v>
      </c>
      <c r="D658" s="61" t="s">
        <v>830</v>
      </c>
      <c r="E658" s="61" t="s">
        <v>133</v>
      </c>
      <c r="F658" s="77">
        <f>VLOOKUP(C658,'Functional Assignment'!$C$2:$AP$778,'Functional Assignment'!$R$2,)</f>
        <v>2028463.1146954692</v>
      </c>
      <c r="G658" s="77">
        <f t="shared" ref="G658:Z658" si="300">IF(VLOOKUP($E658,$D$6:$AN$1141,3,)=0,0,(VLOOKUP($E658,$D$6:$AN$1141,G$2,)/VLOOKUP($E658,$D$6:$AN$1141,3,))*$F658)</f>
        <v>973917.03451310296</v>
      </c>
      <c r="H658" s="77">
        <f t="shared" si="300"/>
        <v>270958.25559955247</v>
      </c>
      <c r="I658" s="77">
        <f t="shared" si="300"/>
        <v>0</v>
      </c>
      <c r="J658" s="77">
        <f t="shared" si="300"/>
        <v>22838.566729247217</v>
      </c>
      <c r="K658" s="77">
        <f t="shared" si="300"/>
        <v>287720.60739062517</v>
      </c>
      <c r="L658" s="77">
        <f t="shared" si="300"/>
        <v>0</v>
      </c>
      <c r="M658" s="77">
        <f t="shared" si="300"/>
        <v>0</v>
      </c>
      <c r="N658" s="77">
        <f t="shared" si="300"/>
        <v>277134.12704097788</v>
      </c>
      <c r="O658" s="77">
        <f t="shared" si="300"/>
        <v>145193.01758404533</v>
      </c>
      <c r="P658" s="77">
        <f t="shared" si="300"/>
        <v>0</v>
      </c>
      <c r="Q658" s="77">
        <f t="shared" si="300"/>
        <v>16085.16552320148</v>
      </c>
      <c r="R658" s="77">
        <f t="shared" si="300"/>
        <v>8289.1813091923614</v>
      </c>
      <c r="S658" s="77">
        <f t="shared" si="300"/>
        <v>25315.218278561366</v>
      </c>
      <c r="T658" s="77">
        <f t="shared" si="300"/>
        <v>732.31245710423161</v>
      </c>
      <c r="U658" s="77">
        <f t="shared" si="300"/>
        <v>279.62826985896049</v>
      </c>
      <c r="V658" s="77">
        <f t="shared" si="300"/>
        <v>0</v>
      </c>
      <c r="W658" s="77">
        <f t="shared" si="300"/>
        <v>0</v>
      </c>
      <c r="X658" s="63">
        <f t="shared" si="300"/>
        <v>0</v>
      </c>
      <c r="Y658" s="63">
        <f t="shared" si="300"/>
        <v>0</v>
      </c>
      <c r="Z658" s="63">
        <f t="shared" si="300"/>
        <v>0</v>
      </c>
      <c r="AA658" s="65">
        <f>SUM(G658:Z658)</f>
        <v>2028463.1146954692</v>
      </c>
      <c r="AB658" s="59" t="str">
        <f>IF(ABS(F658-AA658)&lt;0.01,"ok","err")</f>
        <v>ok</v>
      </c>
    </row>
    <row r="659" spans="1:28" x14ac:dyDescent="0.25">
      <c r="F659" s="80"/>
    </row>
    <row r="660" spans="1:28" x14ac:dyDescent="0.25">
      <c r="A660" s="66" t="s">
        <v>378</v>
      </c>
      <c r="F660" s="80"/>
    </row>
    <row r="661" spans="1:28" x14ac:dyDescent="0.25">
      <c r="A661" s="69" t="s">
        <v>629</v>
      </c>
      <c r="C661" s="61" t="s">
        <v>1099</v>
      </c>
      <c r="D661" s="61" t="s">
        <v>831</v>
      </c>
      <c r="E661" s="61" t="s">
        <v>133</v>
      </c>
      <c r="F661" s="77">
        <f>VLOOKUP(C661,'Functional Assignment'!$C$2:$AP$778,'Functional Assignment'!$S$2,)</f>
        <v>0</v>
      </c>
      <c r="G661" s="77">
        <f t="shared" ref="G661:P665" si="301">IF(VLOOKUP($E661,$D$6:$AN$1141,3,)=0,0,(VLOOKUP($E661,$D$6:$AN$1141,G$2,)/VLOOKUP($E661,$D$6:$AN$1141,3,))*$F661)</f>
        <v>0</v>
      </c>
      <c r="H661" s="77">
        <f t="shared" si="301"/>
        <v>0</v>
      </c>
      <c r="I661" s="77">
        <f t="shared" si="301"/>
        <v>0</v>
      </c>
      <c r="J661" s="77">
        <f t="shared" si="301"/>
        <v>0</v>
      </c>
      <c r="K661" s="77">
        <f t="shared" si="301"/>
        <v>0</v>
      </c>
      <c r="L661" s="77">
        <f t="shared" si="301"/>
        <v>0</v>
      </c>
      <c r="M661" s="77">
        <f t="shared" si="301"/>
        <v>0</v>
      </c>
      <c r="N661" s="77">
        <f t="shared" si="301"/>
        <v>0</v>
      </c>
      <c r="O661" s="77">
        <f t="shared" si="301"/>
        <v>0</v>
      </c>
      <c r="P661" s="77">
        <f t="shared" si="301"/>
        <v>0</v>
      </c>
      <c r="Q661" s="77">
        <f t="shared" ref="Q661:Z665" si="302">IF(VLOOKUP($E661,$D$6:$AN$1141,3,)=0,0,(VLOOKUP($E661,$D$6:$AN$1141,Q$2,)/VLOOKUP($E661,$D$6:$AN$1141,3,))*$F661)</f>
        <v>0</v>
      </c>
      <c r="R661" s="77">
        <f t="shared" si="302"/>
        <v>0</v>
      </c>
      <c r="S661" s="77">
        <f t="shared" si="302"/>
        <v>0</v>
      </c>
      <c r="T661" s="77">
        <f t="shared" si="302"/>
        <v>0</v>
      </c>
      <c r="U661" s="77">
        <f t="shared" si="302"/>
        <v>0</v>
      </c>
      <c r="V661" s="77">
        <f t="shared" si="302"/>
        <v>0</v>
      </c>
      <c r="W661" s="77">
        <f t="shared" si="302"/>
        <v>0</v>
      </c>
      <c r="X661" s="63">
        <f t="shared" si="302"/>
        <v>0</v>
      </c>
      <c r="Y661" s="63">
        <f t="shared" si="302"/>
        <v>0</v>
      </c>
      <c r="Z661" s="63">
        <f t="shared" si="302"/>
        <v>0</v>
      </c>
      <c r="AA661" s="65">
        <f t="shared" ref="AA661:AA666" si="303">SUM(G661:Z661)</f>
        <v>0</v>
      </c>
      <c r="AB661" s="59" t="str">
        <f t="shared" ref="AB661:AB666" si="304">IF(ABS(F661-AA661)&lt;0.01,"ok","err")</f>
        <v>ok</v>
      </c>
    </row>
    <row r="662" spans="1:28" x14ac:dyDescent="0.25">
      <c r="A662" s="69" t="s">
        <v>630</v>
      </c>
      <c r="C662" s="61" t="s">
        <v>1099</v>
      </c>
      <c r="D662" s="61" t="s">
        <v>832</v>
      </c>
      <c r="E662" s="61" t="s">
        <v>133</v>
      </c>
      <c r="F662" s="80">
        <f>VLOOKUP(C662,'Functional Assignment'!$C$2:$AP$778,'Functional Assignment'!$T$2,)</f>
        <v>2976875.4146879115</v>
      </c>
      <c r="G662" s="80">
        <f t="shared" si="301"/>
        <v>1429274.0424925461</v>
      </c>
      <c r="H662" s="80">
        <f t="shared" si="301"/>
        <v>397645.37183715374</v>
      </c>
      <c r="I662" s="80">
        <f t="shared" si="301"/>
        <v>0</v>
      </c>
      <c r="J662" s="80">
        <f t="shared" si="301"/>
        <v>33516.787813621275</v>
      </c>
      <c r="K662" s="80">
        <f t="shared" si="301"/>
        <v>422244.99732587533</v>
      </c>
      <c r="L662" s="80">
        <f t="shared" si="301"/>
        <v>0</v>
      </c>
      <c r="M662" s="80">
        <f t="shared" si="301"/>
        <v>0</v>
      </c>
      <c r="N662" s="80">
        <f t="shared" si="301"/>
        <v>406708.78527812858</v>
      </c>
      <c r="O662" s="80">
        <f t="shared" si="301"/>
        <v>213078.32580193752</v>
      </c>
      <c r="P662" s="80">
        <f t="shared" si="301"/>
        <v>0</v>
      </c>
      <c r="Q662" s="80">
        <f t="shared" si="302"/>
        <v>23605.819322178213</v>
      </c>
      <c r="R662" s="80">
        <f t="shared" si="302"/>
        <v>12164.805890951513</v>
      </c>
      <c r="S662" s="80">
        <f t="shared" si="302"/>
        <v>37151.403131242601</v>
      </c>
      <c r="T662" s="80">
        <f t="shared" si="302"/>
        <v>1074.7067243323102</v>
      </c>
      <c r="U662" s="80">
        <f t="shared" si="302"/>
        <v>410.36906994477255</v>
      </c>
      <c r="V662" s="80">
        <f t="shared" si="302"/>
        <v>0</v>
      </c>
      <c r="W662" s="80">
        <f t="shared" si="302"/>
        <v>0</v>
      </c>
      <c r="X662" s="64">
        <f t="shared" si="302"/>
        <v>0</v>
      </c>
      <c r="Y662" s="64">
        <f t="shared" si="302"/>
        <v>0</v>
      </c>
      <c r="Z662" s="64">
        <f t="shared" si="302"/>
        <v>0</v>
      </c>
      <c r="AA662" s="64">
        <f t="shared" si="303"/>
        <v>2976875.414687911</v>
      </c>
      <c r="AB662" s="59" t="str">
        <f t="shared" si="304"/>
        <v>ok</v>
      </c>
    </row>
    <row r="663" spans="1:28" x14ac:dyDescent="0.25">
      <c r="A663" s="69" t="s">
        <v>631</v>
      </c>
      <c r="C663" s="61" t="s">
        <v>1099</v>
      </c>
      <c r="D663" s="61" t="s">
        <v>833</v>
      </c>
      <c r="E663" s="61" t="s">
        <v>707</v>
      </c>
      <c r="F663" s="80">
        <f>VLOOKUP(C663,'Functional Assignment'!$C$2:$AP$778,'Functional Assignment'!$U$2,)</f>
        <v>4837199.003905871</v>
      </c>
      <c r="G663" s="80">
        <f t="shared" si="301"/>
        <v>4161675.6963201957</v>
      </c>
      <c r="H663" s="80">
        <f t="shared" si="301"/>
        <v>513390.13740392204</v>
      </c>
      <c r="I663" s="80">
        <f t="shared" si="301"/>
        <v>0</v>
      </c>
      <c r="J663" s="80">
        <f t="shared" si="301"/>
        <v>840.34934762007526</v>
      </c>
      <c r="K663" s="80">
        <f t="shared" si="301"/>
        <v>32180.775359889321</v>
      </c>
      <c r="L663" s="80">
        <f t="shared" si="301"/>
        <v>0</v>
      </c>
      <c r="M663" s="80">
        <f t="shared" si="301"/>
        <v>0</v>
      </c>
      <c r="N663" s="80">
        <f t="shared" si="301"/>
        <v>1262.4426272465971</v>
      </c>
      <c r="O663" s="80">
        <f t="shared" si="301"/>
        <v>3674.1301385672245</v>
      </c>
      <c r="P663" s="80">
        <f t="shared" si="301"/>
        <v>0</v>
      </c>
      <c r="Q663" s="80">
        <f t="shared" si="302"/>
        <v>11.51163489890514</v>
      </c>
      <c r="R663" s="80">
        <f t="shared" si="302"/>
        <v>23.023269797810279</v>
      </c>
      <c r="S663" s="80">
        <f t="shared" si="302"/>
        <v>122783.84395620642</v>
      </c>
      <c r="T663" s="80">
        <f t="shared" si="302"/>
        <v>199.53500491435574</v>
      </c>
      <c r="U663" s="80">
        <f t="shared" si="302"/>
        <v>1157.558842612128</v>
      </c>
      <c r="V663" s="80">
        <f t="shared" si="302"/>
        <v>0</v>
      </c>
      <c r="W663" s="80">
        <f t="shared" si="302"/>
        <v>0</v>
      </c>
      <c r="X663" s="64">
        <f t="shared" si="302"/>
        <v>0</v>
      </c>
      <c r="Y663" s="64">
        <f t="shared" si="302"/>
        <v>0</v>
      </c>
      <c r="Z663" s="64">
        <f t="shared" si="302"/>
        <v>0</v>
      </c>
      <c r="AA663" s="64">
        <f t="shared" si="303"/>
        <v>4837199.0039058719</v>
      </c>
      <c r="AB663" s="59" t="str">
        <f t="shared" si="304"/>
        <v>ok</v>
      </c>
    </row>
    <row r="664" spans="1:28" x14ac:dyDescent="0.25">
      <c r="A664" s="69" t="s">
        <v>632</v>
      </c>
      <c r="C664" s="61" t="s">
        <v>1099</v>
      </c>
      <c r="D664" s="61" t="s">
        <v>834</v>
      </c>
      <c r="E664" s="61" t="s">
        <v>685</v>
      </c>
      <c r="F664" s="80">
        <f>VLOOKUP(C664,'Functional Assignment'!$C$2:$AP$778,'Functional Assignment'!$V$2,)</f>
        <v>992291.8048959705</v>
      </c>
      <c r="G664" s="80">
        <f t="shared" si="301"/>
        <v>841408.2315759341</v>
      </c>
      <c r="H664" s="80">
        <f t="shared" si="301"/>
        <v>141218.56078065612</v>
      </c>
      <c r="I664" s="80">
        <f t="shared" si="301"/>
        <v>0</v>
      </c>
      <c r="J664" s="80">
        <f t="shared" si="301"/>
        <v>0</v>
      </c>
      <c r="K664" s="80">
        <f t="shared" si="301"/>
        <v>0</v>
      </c>
      <c r="L664" s="80">
        <f t="shared" si="301"/>
        <v>0</v>
      </c>
      <c r="M664" s="80">
        <f t="shared" si="301"/>
        <v>0</v>
      </c>
      <c r="N664" s="80">
        <f t="shared" si="301"/>
        <v>0</v>
      </c>
      <c r="O664" s="80">
        <f t="shared" si="301"/>
        <v>0</v>
      </c>
      <c r="P664" s="80">
        <f t="shared" si="301"/>
        <v>0</v>
      </c>
      <c r="Q664" s="80">
        <f t="shared" si="302"/>
        <v>0</v>
      </c>
      <c r="R664" s="80">
        <f t="shared" si="302"/>
        <v>0</v>
      </c>
      <c r="S664" s="80">
        <f t="shared" si="302"/>
        <v>9293.5170881180129</v>
      </c>
      <c r="T664" s="80">
        <f t="shared" si="302"/>
        <v>268.8405945803533</v>
      </c>
      <c r="U664" s="80">
        <f t="shared" si="302"/>
        <v>102.65485668183649</v>
      </c>
      <c r="V664" s="80">
        <f t="shared" si="302"/>
        <v>0</v>
      </c>
      <c r="W664" s="80">
        <f t="shared" si="302"/>
        <v>0</v>
      </c>
      <c r="X664" s="64">
        <f t="shared" si="302"/>
        <v>0</v>
      </c>
      <c r="Y664" s="64">
        <f t="shared" si="302"/>
        <v>0</v>
      </c>
      <c r="Z664" s="64">
        <f t="shared" si="302"/>
        <v>0</v>
      </c>
      <c r="AA664" s="64">
        <f t="shared" si="303"/>
        <v>992291.8048959705</v>
      </c>
      <c r="AB664" s="59" t="str">
        <f t="shared" si="304"/>
        <v>ok</v>
      </c>
    </row>
    <row r="665" spans="1:28" x14ac:dyDescent="0.25">
      <c r="A665" s="69" t="s">
        <v>633</v>
      </c>
      <c r="C665" s="61" t="s">
        <v>1099</v>
      </c>
      <c r="D665" s="61" t="s">
        <v>835</v>
      </c>
      <c r="E665" s="61" t="s">
        <v>706</v>
      </c>
      <c r="F665" s="80">
        <f>VLOOKUP(C665,'Functional Assignment'!$C$2:$AP$778,'Functional Assignment'!$W$2,)</f>
        <v>1612399.6679686238</v>
      </c>
      <c r="G665" s="80">
        <f t="shared" si="301"/>
        <v>1398207.0017799053</v>
      </c>
      <c r="H665" s="80">
        <f t="shared" si="301"/>
        <v>172484.77227517311</v>
      </c>
      <c r="I665" s="80">
        <f t="shared" si="301"/>
        <v>0</v>
      </c>
      <c r="J665" s="80">
        <f t="shared" si="301"/>
        <v>0</v>
      </c>
      <c r="K665" s="80">
        <f t="shared" si="301"/>
        <v>0</v>
      </c>
      <c r="L665" s="80">
        <f t="shared" si="301"/>
        <v>0</v>
      </c>
      <c r="M665" s="80">
        <f t="shared" si="301"/>
        <v>0</v>
      </c>
      <c r="N665" s="80">
        <f t="shared" si="301"/>
        <v>0</v>
      </c>
      <c r="O665" s="80">
        <f t="shared" si="301"/>
        <v>0</v>
      </c>
      <c r="P665" s="80">
        <f t="shared" si="301"/>
        <v>0</v>
      </c>
      <c r="Q665" s="80">
        <f t="shared" si="302"/>
        <v>0</v>
      </c>
      <c r="R665" s="80">
        <f t="shared" si="302"/>
        <v>0</v>
      </c>
      <c r="S665" s="80">
        <f t="shared" si="302"/>
        <v>41251.948218074322</v>
      </c>
      <c r="T665" s="80">
        <f t="shared" si="302"/>
        <v>67.0381983916064</v>
      </c>
      <c r="U665" s="80">
        <f t="shared" si="302"/>
        <v>388.90749707951159</v>
      </c>
      <c r="V665" s="80">
        <f t="shared" si="302"/>
        <v>0</v>
      </c>
      <c r="W665" s="80">
        <f t="shared" si="302"/>
        <v>0</v>
      </c>
      <c r="X665" s="64">
        <f t="shared" si="302"/>
        <v>0</v>
      </c>
      <c r="Y665" s="64">
        <f t="shared" si="302"/>
        <v>0</v>
      </c>
      <c r="Z665" s="64">
        <f t="shared" si="302"/>
        <v>0</v>
      </c>
      <c r="AA665" s="64">
        <f t="shared" si="303"/>
        <v>1612399.667968624</v>
      </c>
      <c r="AB665" s="59" t="str">
        <f t="shared" si="304"/>
        <v>ok</v>
      </c>
    </row>
    <row r="666" spans="1:28" x14ac:dyDescent="0.25">
      <c r="A666" s="61" t="s">
        <v>383</v>
      </c>
      <c r="D666" s="61" t="s">
        <v>836</v>
      </c>
      <c r="F666" s="77">
        <f>SUM(F661:F665)</f>
        <v>10418765.891458377</v>
      </c>
      <c r="G666" s="77">
        <f t="shared" ref="G666:W666" si="305">SUM(G661:G665)</f>
        <v>7830564.9721685816</v>
      </c>
      <c r="H666" s="77">
        <f t="shared" si="305"/>
        <v>1224738.8422969049</v>
      </c>
      <c r="I666" s="77">
        <f t="shared" si="305"/>
        <v>0</v>
      </c>
      <c r="J666" s="77">
        <f t="shared" si="305"/>
        <v>34357.13716124135</v>
      </c>
      <c r="K666" s="77">
        <f t="shared" si="305"/>
        <v>454425.77268576465</v>
      </c>
      <c r="L666" s="77">
        <f t="shared" si="305"/>
        <v>0</v>
      </c>
      <c r="M666" s="77">
        <f t="shared" si="305"/>
        <v>0</v>
      </c>
      <c r="N666" s="77">
        <f t="shared" si="305"/>
        <v>407971.22790537518</v>
      </c>
      <c r="O666" s="77">
        <f>SUM(O661:O665)</f>
        <v>216752.45594050473</v>
      </c>
      <c r="P666" s="77">
        <f t="shared" si="305"/>
        <v>0</v>
      </c>
      <c r="Q666" s="77">
        <f t="shared" si="305"/>
        <v>23617.33095707712</v>
      </c>
      <c r="R666" s="77">
        <f t="shared" si="305"/>
        <v>12187.829160749323</v>
      </c>
      <c r="S666" s="77">
        <f t="shared" si="305"/>
        <v>210480.71239364136</v>
      </c>
      <c r="T666" s="77">
        <f t="shared" si="305"/>
        <v>1610.1205222186256</v>
      </c>
      <c r="U666" s="77">
        <f t="shared" si="305"/>
        <v>2059.4902663182484</v>
      </c>
      <c r="V666" s="77">
        <f t="shared" si="305"/>
        <v>0</v>
      </c>
      <c r="W666" s="77">
        <f t="shared" si="305"/>
        <v>0</v>
      </c>
      <c r="X666" s="63">
        <f>SUM(X661:X665)</f>
        <v>0</v>
      </c>
      <c r="Y666" s="63">
        <f>SUM(Y661:Y665)</f>
        <v>0</v>
      </c>
      <c r="Z666" s="63">
        <f>SUM(Z661:Z665)</f>
        <v>0</v>
      </c>
      <c r="AA666" s="65">
        <f t="shared" si="303"/>
        <v>10418765.891458377</v>
      </c>
      <c r="AB666" s="59" t="str">
        <f t="shared" si="304"/>
        <v>ok</v>
      </c>
    </row>
    <row r="667" spans="1:28" x14ac:dyDescent="0.25">
      <c r="F667" s="80"/>
    </row>
    <row r="668" spans="1:28" x14ac:dyDescent="0.25">
      <c r="A668" s="66" t="s">
        <v>640</v>
      </c>
      <c r="F668" s="80"/>
    </row>
    <row r="669" spans="1:28" x14ac:dyDescent="0.25">
      <c r="A669" s="69" t="s">
        <v>1113</v>
      </c>
      <c r="C669" s="61" t="s">
        <v>1099</v>
      </c>
      <c r="D669" s="61" t="s">
        <v>837</v>
      </c>
      <c r="E669" s="61" t="s">
        <v>1379</v>
      </c>
      <c r="F669" s="77">
        <f>VLOOKUP(C669,'Functional Assignment'!$C$2:$AP$778,'Functional Assignment'!$X$2,)</f>
        <v>1230038.3173307504</v>
      </c>
      <c r="G669" s="77">
        <f t="shared" ref="G669:P670" si="306">IF(VLOOKUP($E669,$D$6:$AN$1141,3,)=0,0,(VLOOKUP($E669,$D$6:$AN$1141,G$2,)/VLOOKUP($E669,$D$6:$AN$1141,3,))*$F669)</f>
        <v>868468.16923555243</v>
      </c>
      <c r="H669" s="77">
        <f t="shared" si="306"/>
        <v>145760.19147512683</v>
      </c>
      <c r="I669" s="77">
        <f t="shared" si="306"/>
        <v>0</v>
      </c>
      <c r="J669" s="77">
        <f t="shared" si="306"/>
        <v>0</v>
      </c>
      <c r="K669" s="77">
        <f t="shared" si="306"/>
        <v>135295.53359031893</v>
      </c>
      <c r="L669" s="77">
        <f t="shared" si="306"/>
        <v>0</v>
      </c>
      <c r="M669" s="77">
        <f t="shared" si="306"/>
        <v>0</v>
      </c>
      <c r="N669" s="77">
        <f t="shared" si="306"/>
        <v>0</v>
      </c>
      <c r="O669" s="77">
        <f t="shared" si="306"/>
        <v>70538.580827694503</v>
      </c>
      <c r="P669" s="77">
        <f t="shared" si="306"/>
        <v>0</v>
      </c>
      <c r="Q669" s="77">
        <f t="shared" ref="Q669:Z670" si="307">IF(VLOOKUP($E669,$D$6:$AN$1141,3,)=0,0,(VLOOKUP($E669,$D$6:$AN$1141,Q$2,)/VLOOKUP($E669,$D$6:$AN$1141,3,))*$F669)</f>
        <v>0</v>
      </c>
      <c r="R669" s="77">
        <f t="shared" si="307"/>
        <v>0</v>
      </c>
      <c r="S669" s="77">
        <f t="shared" si="307"/>
        <v>9592.3993471756075</v>
      </c>
      <c r="T669" s="77">
        <f t="shared" si="307"/>
        <v>277.48658763903018</v>
      </c>
      <c r="U669" s="77">
        <f t="shared" si="307"/>
        <v>105.95626724334804</v>
      </c>
      <c r="V669" s="77">
        <f t="shared" si="307"/>
        <v>0</v>
      </c>
      <c r="W669" s="77">
        <f t="shared" si="307"/>
        <v>0</v>
      </c>
      <c r="X669" s="63">
        <f t="shared" si="307"/>
        <v>0</v>
      </c>
      <c r="Y669" s="63">
        <f t="shared" si="307"/>
        <v>0</v>
      </c>
      <c r="Z669" s="63">
        <f t="shared" si="307"/>
        <v>0</v>
      </c>
      <c r="AA669" s="65">
        <f>SUM(G669:Z669)</f>
        <v>1230038.3173307504</v>
      </c>
      <c r="AB669" s="59" t="str">
        <f>IF(ABS(F669-AA669)&lt;0.01,"ok","err")</f>
        <v>ok</v>
      </c>
    </row>
    <row r="670" spans="1:28" x14ac:dyDescent="0.25">
      <c r="A670" s="69" t="s">
        <v>1116</v>
      </c>
      <c r="C670" s="61" t="s">
        <v>1099</v>
      </c>
      <c r="D670" s="61" t="s">
        <v>838</v>
      </c>
      <c r="E670" s="61" t="s">
        <v>1377</v>
      </c>
      <c r="F670" s="80">
        <f>VLOOKUP(C670,'Functional Assignment'!$C$2:$AP$778,'Functional Assignment'!$Y$2,)</f>
        <v>933488.56083102198</v>
      </c>
      <c r="G670" s="80">
        <f t="shared" si="306"/>
        <v>803480.26889962738</v>
      </c>
      <c r="H670" s="80">
        <f t="shared" si="306"/>
        <v>99118.450295503892</v>
      </c>
      <c r="I670" s="80">
        <f t="shared" si="306"/>
        <v>0</v>
      </c>
      <c r="J670" s="80">
        <f t="shared" si="306"/>
        <v>0</v>
      </c>
      <c r="K670" s="80">
        <f t="shared" si="306"/>
        <v>6213.0305017339797</v>
      </c>
      <c r="L670" s="80">
        <f t="shared" si="306"/>
        <v>0</v>
      </c>
      <c r="M670" s="80">
        <f t="shared" si="306"/>
        <v>0</v>
      </c>
      <c r="N670" s="80">
        <f t="shared" si="306"/>
        <v>0</v>
      </c>
      <c r="O670" s="80">
        <f t="shared" si="306"/>
        <v>709.35154181247071</v>
      </c>
      <c r="P670" s="80">
        <f t="shared" si="306"/>
        <v>0</v>
      </c>
      <c r="Q670" s="80">
        <f t="shared" si="307"/>
        <v>0</v>
      </c>
      <c r="R670" s="80">
        <f t="shared" si="307"/>
        <v>0</v>
      </c>
      <c r="S670" s="80">
        <f t="shared" si="307"/>
        <v>23705.450197787883</v>
      </c>
      <c r="T670" s="80">
        <f t="shared" si="307"/>
        <v>38.523530208092403</v>
      </c>
      <c r="U670" s="80">
        <f t="shared" si="307"/>
        <v>223.48586434822838</v>
      </c>
      <c r="V670" s="80">
        <f t="shared" si="307"/>
        <v>0</v>
      </c>
      <c r="W670" s="80">
        <f t="shared" si="307"/>
        <v>0</v>
      </c>
      <c r="X670" s="64">
        <f t="shared" si="307"/>
        <v>0</v>
      </c>
      <c r="Y670" s="64">
        <f t="shared" si="307"/>
        <v>0</v>
      </c>
      <c r="Z670" s="64">
        <f t="shared" si="307"/>
        <v>0</v>
      </c>
      <c r="AA670" s="64">
        <f>SUM(G670:Z670)</f>
        <v>933488.56083102175</v>
      </c>
      <c r="AB670" s="59" t="str">
        <f>IF(ABS(F670-AA670)&lt;0.01,"ok","err")</f>
        <v>ok</v>
      </c>
    </row>
    <row r="671" spans="1:28" x14ac:dyDescent="0.25">
      <c r="A671" s="61" t="s">
        <v>721</v>
      </c>
      <c r="D671" s="61" t="s">
        <v>839</v>
      </c>
      <c r="F671" s="77">
        <f>F669+F670</f>
        <v>2163526.8781617722</v>
      </c>
      <c r="G671" s="77">
        <f t="shared" ref="G671:W671" si="308">G669+G670</f>
        <v>1671948.4381351797</v>
      </c>
      <c r="H671" s="77">
        <f t="shared" si="308"/>
        <v>244878.64177063073</v>
      </c>
      <c r="I671" s="77">
        <f t="shared" si="308"/>
        <v>0</v>
      </c>
      <c r="J671" s="77">
        <f t="shared" si="308"/>
        <v>0</v>
      </c>
      <c r="K671" s="77">
        <f t="shared" si="308"/>
        <v>141508.5640920529</v>
      </c>
      <c r="L671" s="77">
        <f t="shared" si="308"/>
        <v>0</v>
      </c>
      <c r="M671" s="77">
        <f t="shared" si="308"/>
        <v>0</v>
      </c>
      <c r="N671" s="77">
        <f t="shared" si="308"/>
        <v>0</v>
      </c>
      <c r="O671" s="77">
        <f>O669+O670</f>
        <v>71247.932369506976</v>
      </c>
      <c r="P671" s="77">
        <f t="shared" si="308"/>
        <v>0</v>
      </c>
      <c r="Q671" s="77">
        <f t="shared" si="308"/>
        <v>0</v>
      </c>
      <c r="R671" s="77">
        <f t="shared" si="308"/>
        <v>0</v>
      </c>
      <c r="S671" s="77">
        <f t="shared" si="308"/>
        <v>33297.849544963494</v>
      </c>
      <c r="T671" s="77">
        <f t="shared" si="308"/>
        <v>316.01011784712256</v>
      </c>
      <c r="U671" s="77">
        <f t="shared" si="308"/>
        <v>329.44213159157641</v>
      </c>
      <c r="V671" s="77">
        <f t="shared" si="308"/>
        <v>0</v>
      </c>
      <c r="W671" s="77">
        <f t="shared" si="308"/>
        <v>0</v>
      </c>
      <c r="X671" s="63">
        <f>X669+X670</f>
        <v>0</v>
      </c>
      <c r="Y671" s="63">
        <f>Y669+Y670</f>
        <v>0</v>
      </c>
      <c r="Z671" s="63">
        <f>Z669+Z670</f>
        <v>0</v>
      </c>
      <c r="AA671" s="65">
        <f>SUM(G671:Z671)</f>
        <v>2163526.8781617722</v>
      </c>
      <c r="AB671" s="59" t="str">
        <f>IF(ABS(F671-AA671)&lt;0.01,"ok","err")</f>
        <v>ok</v>
      </c>
    </row>
    <row r="672" spans="1:28" x14ac:dyDescent="0.25">
      <c r="F672" s="80"/>
    </row>
    <row r="673" spans="1:28" x14ac:dyDescent="0.25">
      <c r="A673" s="66" t="s">
        <v>356</v>
      </c>
      <c r="F673" s="80"/>
    </row>
    <row r="674" spans="1:28" x14ac:dyDescent="0.25">
      <c r="A674" s="69" t="s">
        <v>1116</v>
      </c>
      <c r="C674" s="61" t="s">
        <v>1099</v>
      </c>
      <c r="D674" s="61" t="s">
        <v>840</v>
      </c>
      <c r="E674" s="61" t="s">
        <v>1118</v>
      </c>
      <c r="F674" s="77">
        <f>VLOOKUP(C674,'Functional Assignment'!$C$2:$AP$778,'Functional Assignment'!$Z$2,)</f>
        <v>443003.67840811546</v>
      </c>
      <c r="G674" s="77">
        <f t="shared" ref="G674:Z674" si="309">IF(VLOOKUP($E674,$D$6:$AN$1141,3,)=0,0,(VLOOKUP($E674,$D$6:$AN$1141,G$2,)/VLOOKUP($E674,$D$6:$AN$1141,3,))*$F674)</f>
        <v>357647.64649846387</v>
      </c>
      <c r="H674" s="77">
        <f t="shared" si="309"/>
        <v>76366.604137344635</v>
      </c>
      <c r="I674" s="77">
        <f t="shared" si="309"/>
        <v>0</v>
      </c>
      <c r="J674" s="77">
        <f t="shared" si="309"/>
        <v>0</v>
      </c>
      <c r="K674" s="77">
        <f t="shared" si="309"/>
        <v>7640.2913080480712</v>
      </c>
      <c r="L674" s="77">
        <f t="shared" si="309"/>
        <v>0</v>
      </c>
      <c r="M674" s="77">
        <f t="shared" si="309"/>
        <v>0</v>
      </c>
      <c r="N674" s="77">
        <f t="shared" si="309"/>
        <v>0</v>
      </c>
      <c r="O674" s="77">
        <f t="shared" si="309"/>
        <v>1349.1364642588994</v>
      </c>
      <c r="P674" s="77">
        <f t="shared" si="309"/>
        <v>0</v>
      </c>
      <c r="Q674" s="77">
        <f t="shared" si="309"/>
        <v>0</v>
      </c>
      <c r="R674" s="77">
        <f t="shared" si="309"/>
        <v>0</v>
      </c>
      <c r="S674" s="77">
        <f t="shared" si="309"/>
        <v>0</v>
      </c>
      <c r="T674" s="77">
        <f t="shared" si="309"/>
        <v>0</v>
      </c>
      <c r="U674" s="77">
        <f t="shared" si="309"/>
        <v>0</v>
      </c>
      <c r="V674" s="77">
        <f t="shared" si="309"/>
        <v>0</v>
      </c>
      <c r="W674" s="77">
        <f t="shared" si="309"/>
        <v>0</v>
      </c>
      <c r="X674" s="63">
        <f t="shared" si="309"/>
        <v>0</v>
      </c>
      <c r="Y674" s="63">
        <f t="shared" si="309"/>
        <v>0</v>
      </c>
      <c r="Z674" s="63">
        <f t="shared" si="309"/>
        <v>0</v>
      </c>
      <c r="AA674" s="65">
        <f>SUM(G674:Z674)</f>
        <v>443003.67840811546</v>
      </c>
      <c r="AB674" s="59" t="str">
        <f>IF(ABS(F674-AA674)&lt;0.01,"ok","err")</f>
        <v>ok</v>
      </c>
    </row>
    <row r="675" spans="1:28" x14ac:dyDescent="0.25">
      <c r="F675" s="80"/>
    </row>
    <row r="676" spans="1:28" x14ac:dyDescent="0.25">
      <c r="A676" s="66" t="s">
        <v>355</v>
      </c>
      <c r="F676" s="80"/>
    </row>
    <row r="677" spans="1:28" x14ac:dyDescent="0.25">
      <c r="A677" s="69" t="s">
        <v>1116</v>
      </c>
      <c r="C677" s="61" t="s">
        <v>1099</v>
      </c>
      <c r="D677" s="61" t="s">
        <v>841</v>
      </c>
      <c r="E677" s="61" t="s">
        <v>1119</v>
      </c>
      <c r="F677" s="77">
        <f>VLOOKUP(C677,'Functional Assignment'!$C$2:$AP$778,'Functional Assignment'!$AA$2,)</f>
        <v>585060.24345915241</v>
      </c>
      <c r="G677" s="77">
        <f t="shared" ref="G677:Z677" si="310">IF(VLOOKUP($E677,$D$6:$AN$1141,3,)=0,0,(VLOOKUP($E677,$D$6:$AN$1141,G$2,)/VLOOKUP($E677,$D$6:$AN$1141,3,))*$F677)</f>
        <v>400789.95409502683</v>
      </c>
      <c r="H677" s="77">
        <f t="shared" si="310"/>
        <v>131174.31232864637</v>
      </c>
      <c r="I677" s="77">
        <f t="shared" si="310"/>
        <v>0</v>
      </c>
      <c r="J677" s="77">
        <f t="shared" si="310"/>
        <v>4760.9266470047132</v>
      </c>
      <c r="K677" s="77">
        <f t="shared" si="310"/>
        <v>30874.747057265347</v>
      </c>
      <c r="L677" s="77">
        <f t="shared" si="310"/>
        <v>0</v>
      </c>
      <c r="M677" s="77">
        <f t="shared" si="310"/>
        <v>0</v>
      </c>
      <c r="N677" s="77">
        <f t="shared" si="310"/>
        <v>6839.0123900520275</v>
      </c>
      <c r="O677" s="77">
        <f t="shared" si="310"/>
        <v>3871.1793359561375</v>
      </c>
      <c r="P677" s="77">
        <f t="shared" si="310"/>
        <v>5386.7725099375075</v>
      </c>
      <c r="Q677" s="77">
        <f t="shared" si="310"/>
        <v>62.361815106857385</v>
      </c>
      <c r="R677" s="77">
        <f t="shared" si="310"/>
        <v>124.72363021371477</v>
      </c>
      <c r="S677" s="77">
        <f t="shared" si="310"/>
        <v>0</v>
      </c>
      <c r="T677" s="77">
        <f t="shared" si="310"/>
        <v>172.94587124513026</v>
      </c>
      <c r="U677" s="77">
        <f t="shared" si="310"/>
        <v>1003.307778697711</v>
      </c>
      <c r="V677" s="77">
        <f t="shared" si="310"/>
        <v>0</v>
      </c>
      <c r="W677" s="77">
        <f t="shared" si="310"/>
        <v>0</v>
      </c>
      <c r="X677" s="63">
        <f t="shared" si="310"/>
        <v>0</v>
      </c>
      <c r="Y677" s="63">
        <f t="shared" si="310"/>
        <v>0</v>
      </c>
      <c r="Z677" s="63">
        <f t="shared" si="310"/>
        <v>0</v>
      </c>
      <c r="AA677" s="65">
        <f>SUM(G677:Z677)</f>
        <v>585060.24345915229</v>
      </c>
      <c r="AB677" s="59" t="str">
        <f>IF(ABS(F677-AA677)&lt;0.01,"ok","err")</f>
        <v>ok</v>
      </c>
    </row>
    <row r="678" spans="1:28" x14ac:dyDescent="0.25"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63"/>
      <c r="Y678" s="63"/>
      <c r="Z678" s="63"/>
      <c r="AA678" s="65"/>
    </row>
    <row r="679" spans="1:28" x14ac:dyDescent="0.25">
      <c r="A679" s="66" t="s">
        <v>376</v>
      </c>
      <c r="F679" s="80"/>
    </row>
    <row r="680" spans="1:28" x14ac:dyDescent="0.25">
      <c r="A680" s="69" t="s">
        <v>1116</v>
      </c>
      <c r="C680" s="61" t="s">
        <v>1099</v>
      </c>
      <c r="D680" s="61" t="s">
        <v>842</v>
      </c>
      <c r="E680" s="61" t="s">
        <v>1120</v>
      </c>
      <c r="F680" s="77">
        <f>VLOOKUP(C680,'Functional Assignment'!$C$2:$AP$778,'Functional Assignment'!$AB$2,)</f>
        <v>1379474.2137374873</v>
      </c>
      <c r="G680" s="77">
        <f t="shared" ref="G680:Z680" si="311">IF(VLOOKUP($E680,$D$6:$AN$1141,3,)=0,0,(VLOOKUP($E680,$D$6:$AN$1141,G$2,)/VLOOKUP($E680,$D$6:$AN$1141,3,))*$F680)</f>
        <v>0</v>
      </c>
      <c r="H680" s="77">
        <f t="shared" si="311"/>
        <v>0</v>
      </c>
      <c r="I680" s="77">
        <f t="shared" si="311"/>
        <v>0</v>
      </c>
      <c r="J680" s="77">
        <f t="shared" si="311"/>
        <v>0</v>
      </c>
      <c r="K680" s="77">
        <f t="shared" si="311"/>
        <v>0</v>
      </c>
      <c r="L680" s="77">
        <f t="shared" si="311"/>
        <v>0</v>
      </c>
      <c r="M680" s="77">
        <f t="shared" si="311"/>
        <v>0</v>
      </c>
      <c r="N680" s="77">
        <f t="shared" si="311"/>
        <v>0</v>
      </c>
      <c r="O680" s="77">
        <f t="shared" si="311"/>
        <v>0</v>
      </c>
      <c r="P680" s="77">
        <f t="shared" si="311"/>
        <v>0</v>
      </c>
      <c r="Q680" s="77">
        <f t="shared" si="311"/>
        <v>0</v>
      </c>
      <c r="R680" s="77">
        <f t="shared" si="311"/>
        <v>0</v>
      </c>
      <c r="S680" s="77">
        <f t="shared" si="311"/>
        <v>1379474.2137374873</v>
      </c>
      <c r="T680" s="77">
        <f t="shared" si="311"/>
        <v>0</v>
      </c>
      <c r="U680" s="77">
        <f t="shared" si="311"/>
        <v>0</v>
      </c>
      <c r="V680" s="77">
        <f t="shared" si="311"/>
        <v>0</v>
      </c>
      <c r="W680" s="77">
        <f t="shared" si="311"/>
        <v>0</v>
      </c>
      <c r="X680" s="63">
        <f t="shared" si="311"/>
        <v>0</v>
      </c>
      <c r="Y680" s="63">
        <f t="shared" si="311"/>
        <v>0</v>
      </c>
      <c r="Z680" s="63">
        <f t="shared" si="311"/>
        <v>0</v>
      </c>
      <c r="AA680" s="65">
        <f>SUM(G680:Z680)</f>
        <v>1379474.2137374873</v>
      </c>
      <c r="AB680" s="59" t="str">
        <f>IF(ABS(F680-AA680)&lt;0.01,"ok","err")</f>
        <v>ok</v>
      </c>
    </row>
    <row r="681" spans="1:28" x14ac:dyDescent="0.25"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63"/>
      <c r="Y681" s="63"/>
      <c r="Z681" s="63"/>
      <c r="AA681" s="65"/>
    </row>
    <row r="682" spans="1:28" x14ac:dyDescent="0.25">
      <c r="A682" s="66" t="s">
        <v>1047</v>
      </c>
      <c r="F682" s="80"/>
    </row>
    <row r="683" spans="1:28" x14ac:dyDescent="0.25">
      <c r="A683" s="69" t="s">
        <v>1116</v>
      </c>
      <c r="C683" s="61" t="s">
        <v>1099</v>
      </c>
      <c r="D683" s="61" t="s">
        <v>843</v>
      </c>
      <c r="E683" s="61" t="s">
        <v>1121</v>
      </c>
      <c r="F683" s="77">
        <f>VLOOKUP(C683,'Functional Assignment'!$C$2:$AP$778,'Functional Assignment'!$AC$2,)</f>
        <v>0</v>
      </c>
      <c r="G683" s="77">
        <f t="shared" ref="G683:Z683" si="312">IF(VLOOKUP($E683,$D$6:$AN$1141,3,)=0,0,(VLOOKUP($E683,$D$6:$AN$1141,G$2,)/VLOOKUP($E683,$D$6:$AN$1141,3,))*$F683)</f>
        <v>0</v>
      </c>
      <c r="H683" s="77">
        <f t="shared" si="312"/>
        <v>0</v>
      </c>
      <c r="I683" s="77">
        <f t="shared" si="312"/>
        <v>0</v>
      </c>
      <c r="J683" s="77">
        <f t="shared" si="312"/>
        <v>0</v>
      </c>
      <c r="K683" s="77">
        <f t="shared" si="312"/>
        <v>0</v>
      </c>
      <c r="L683" s="77">
        <f t="shared" si="312"/>
        <v>0</v>
      </c>
      <c r="M683" s="77">
        <f t="shared" si="312"/>
        <v>0</v>
      </c>
      <c r="N683" s="77">
        <f t="shared" si="312"/>
        <v>0</v>
      </c>
      <c r="O683" s="77">
        <f t="shared" si="312"/>
        <v>0</v>
      </c>
      <c r="P683" s="77">
        <f t="shared" si="312"/>
        <v>0</v>
      </c>
      <c r="Q683" s="77">
        <f t="shared" si="312"/>
        <v>0</v>
      </c>
      <c r="R683" s="77">
        <f t="shared" si="312"/>
        <v>0</v>
      </c>
      <c r="S683" s="77">
        <f t="shared" si="312"/>
        <v>0</v>
      </c>
      <c r="T683" s="77">
        <f t="shared" si="312"/>
        <v>0</v>
      </c>
      <c r="U683" s="77">
        <f t="shared" si="312"/>
        <v>0</v>
      </c>
      <c r="V683" s="77">
        <f t="shared" si="312"/>
        <v>0</v>
      </c>
      <c r="W683" s="77">
        <f t="shared" si="312"/>
        <v>0</v>
      </c>
      <c r="X683" s="63">
        <f t="shared" si="312"/>
        <v>0</v>
      </c>
      <c r="Y683" s="63">
        <f t="shared" si="312"/>
        <v>0</v>
      </c>
      <c r="Z683" s="63">
        <f t="shared" si="312"/>
        <v>0</v>
      </c>
      <c r="AA683" s="65">
        <f>SUM(G683:Z683)</f>
        <v>0</v>
      </c>
      <c r="AB683" s="59" t="str">
        <f>IF(ABS(F683-AA683)&lt;0.01,"ok","err")</f>
        <v>ok</v>
      </c>
    </row>
    <row r="684" spans="1:28" x14ac:dyDescent="0.25"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63"/>
      <c r="Y684" s="63"/>
      <c r="Z684" s="63"/>
      <c r="AA684" s="65"/>
    </row>
    <row r="685" spans="1:28" x14ac:dyDescent="0.25">
      <c r="A685" s="66" t="s">
        <v>353</v>
      </c>
      <c r="F685" s="80"/>
    </row>
    <row r="686" spans="1:28" x14ac:dyDescent="0.25">
      <c r="A686" s="69" t="s">
        <v>1116</v>
      </c>
      <c r="C686" s="61" t="s">
        <v>1099</v>
      </c>
      <c r="D686" s="61" t="s">
        <v>844</v>
      </c>
      <c r="E686" s="61" t="s">
        <v>1121</v>
      </c>
      <c r="F686" s="77">
        <f>VLOOKUP(C686,'Functional Assignment'!$C$2:$AP$778,'Functional Assignment'!$AD$2,)</f>
        <v>0</v>
      </c>
      <c r="G686" s="77">
        <f t="shared" ref="G686:Z686" si="313">IF(VLOOKUP($E686,$D$6:$AN$1141,3,)=0,0,(VLOOKUP($E686,$D$6:$AN$1141,G$2,)/VLOOKUP($E686,$D$6:$AN$1141,3,))*$F686)</f>
        <v>0</v>
      </c>
      <c r="H686" s="77">
        <f t="shared" si="313"/>
        <v>0</v>
      </c>
      <c r="I686" s="77">
        <f t="shared" si="313"/>
        <v>0</v>
      </c>
      <c r="J686" s="77">
        <f t="shared" si="313"/>
        <v>0</v>
      </c>
      <c r="K686" s="77">
        <f t="shared" si="313"/>
        <v>0</v>
      </c>
      <c r="L686" s="77">
        <f t="shared" si="313"/>
        <v>0</v>
      </c>
      <c r="M686" s="77">
        <f t="shared" si="313"/>
        <v>0</v>
      </c>
      <c r="N686" s="77">
        <f t="shared" si="313"/>
        <v>0</v>
      </c>
      <c r="O686" s="77">
        <f t="shared" si="313"/>
        <v>0</v>
      </c>
      <c r="P686" s="77">
        <f t="shared" si="313"/>
        <v>0</v>
      </c>
      <c r="Q686" s="77">
        <f t="shared" si="313"/>
        <v>0</v>
      </c>
      <c r="R686" s="77">
        <f t="shared" si="313"/>
        <v>0</v>
      </c>
      <c r="S686" s="77">
        <f t="shared" si="313"/>
        <v>0</v>
      </c>
      <c r="T686" s="77">
        <f t="shared" si="313"/>
        <v>0</v>
      </c>
      <c r="U686" s="77">
        <f t="shared" si="313"/>
        <v>0</v>
      </c>
      <c r="V686" s="77">
        <f t="shared" si="313"/>
        <v>0</v>
      </c>
      <c r="W686" s="77">
        <f t="shared" si="313"/>
        <v>0</v>
      </c>
      <c r="X686" s="63">
        <f t="shared" si="313"/>
        <v>0</v>
      </c>
      <c r="Y686" s="63">
        <f t="shared" si="313"/>
        <v>0</v>
      </c>
      <c r="Z686" s="63">
        <f t="shared" si="313"/>
        <v>0</v>
      </c>
      <c r="AA686" s="65">
        <f>SUM(G686:Z686)</f>
        <v>0</v>
      </c>
      <c r="AB686" s="59" t="str">
        <f>IF(ABS(F686-AA686)&lt;0.01,"ok","err")</f>
        <v>ok</v>
      </c>
    </row>
    <row r="687" spans="1:28" x14ac:dyDescent="0.25"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63"/>
      <c r="Y687" s="63"/>
      <c r="Z687" s="63"/>
      <c r="AA687" s="65"/>
    </row>
    <row r="688" spans="1:28" x14ac:dyDescent="0.25">
      <c r="A688" s="66" t="s">
        <v>352</v>
      </c>
      <c r="F688" s="80"/>
    </row>
    <row r="689" spans="1:29" x14ac:dyDescent="0.25">
      <c r="A689" s="69" t="s">
        <v>1116</v>
      </c>
      <c r="C689" s="61" t="s">
        <v>1099</v>
      </c>
      <c r="D689" s="61" t="s">
        <v>845</v>
      </c>
      <c r="E689" s="61" t="s">
        <v>1122</v>
      </c>
      <c r="F689" s="77">
        <f>VLOOKUP(C689,'Functional Assignment'!$C$2:$AP$778,'Functional Assignment'!$AE$2,)</f>
        <v>0</v>
      </c>
      <c r="G689" s="77">
        <f t="shared" ref="G689:Z689" si="314">IF(VLOOKUP($E689,$D$6:$AN$1141,3,)=0,0,(VLOOKUP($E689,$D$6:$AN$1141,G$2,)/VLOOKUP($E689,$D$6:$AN$1141,3,))*$F689)</f>
        <v>0</v>
      </c>
      <c r="H689" s="77">
        <f t="shared" si="314"/>
        <v>0</v>
      </c>
      <c r="I689" s="77">
        <f t="shared" si="314"/>
        <v>0</v>
      </c>
      <c r="J689" s="77">
        <f t="shared" si="314"/>
        <v>0</v>
      </c>
      <c r="K689" s="77">
        <f t="shared" si="314"/>
        <v>0</v>
      </c>
      <c r="L689" s="77">
        <f t="shared" si="314"/>
        <v>0</v>
      </c>
      <c r="M689" s="77">
        <f t="shared" si="314"/>
        <v>0</v>
      </c>
      <c r="N689" s="77">
        <f t="shared" si="314"/>
        <v>0</v>
      </c>
      <c r="O689" s="77">
        <f t="shared" si="314"/>
        <v>0</v>
      </c>
      <c r="P689" s="77">
        <f t="shared" si="314"/>
        <v>0</v>
      </c>
      <c r="Q689" s="77">
        <f t="shared" si="314"/>
        <v>0</v>
      </c>
      <c r="R689" s="77">
        <f t="shared" si="314"/>
        <v>0</v>
      </c>
      <c r="S689" s="77">
        <f t="shared" si="314"/>
        <v>0</v>
      </c>
      <c r="T689" s="77">
        <f t="shared" si="314"/>
        <v>0</v>
      </c>
      <c r="U689" s="77">
        <f t="shared" si="314"/>
        <v>0</v>
      </c>
      <c r="V689" s="77">
        <f t="shared" si="314"/>
        <v>0</v>
      </c>
      <c r="W689" s="77">
        <f t="shared" si="314"/>
        <v>0</v>
      </c>
      <c r="X689" s="63">
        <f t="shared" si="314"/>
        <v>0</v>
      </c>
      <c r="Y689" s="63">
        <f t="shared" si="314"/>
        <v>0</v>
      </c>
      <c r="Z689" s="63">
        <f t="shared" si="314"/>
        <v>0</v>
      </c>
      <c r="AA689" s="65">
        <f>SUM(G689:Z689)</f>
        <v>0</v>
      </c>
      <c r="AB689" s="59" t="str">
        <f>IF(ABS(F689-AA689)&lt;0.01,"ok","err")</f>
        <v>ok</v>
      </c>
    </row>
    <row r="690" spans="1:29" x14ac:dyDescent="0.25"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63"/>
      <c r="Y690" s="63"/>
      <c r="Z690" s="63"/>
      <c r="AA690" s="65"/>
    </row>
    <row r="691" spans="1:29" x14ac:dyDescent="0.25">
      <c r="A691" s="61" t="s">
        <v>944</v>
      </c>
      <c r="D691" s="61" t="s">
        <v>846</v>
      </c>
      <c r="F691" s="77">
        <f>F646+F652+F655+F658+F666+F671+F674+F677+F680+F683+F686+F689</f>
        <v>54657992.520312905</v>
      </c>
      <c r="G691" s="77">
        <f t="shared" ref="G691:Z691" si="315">G646+G652+G655+G658+G666+G671+G674+G677+G680+G683+G686+G689</f>
        <v>30026799.727204185</v>
      </c>
      <c r="H691" s="77">
        <f t="shared" si="315"/>
        <v>6606045.6087163119</v>
      </c>
      <c r="I691" s="77">
        <f t="shared" si="315"/>
        <v>0</v>
      </c>
      <c r="J691" s="77">
        <f t="shared" si="315"/>
        <v>482640.23881582875</v>
      </c>
      <c r="K691" s="77">
        <f t="shared" si="315"/>
        <v>6272030.7093191929</v>
      </c>
      <c r="L691" s="77">
        <f t="shared" si="315"/>
        <v>0</v>
      </c>
      <c r="M691" s="77">
        <f t="shared" si="315"/>
        <v>0</v>
      </c>
      <c r="N691" s="77">
        <f t="shared" si="315"/>
        <v>5036117.4361412581</v>
      </c>
      <c r="O691" s="77">
        <f>O646+O652+O655+O658+O666+O671+O674+O677+O680+O683+O686+O689</f>
        <v>3089491.8548910357</v>
      </c>
      <c r="P691" s="77">
        <f t="shared" si="315"/>
        <v>1053549.0988629968</v>
      </c>
      <c r="Q691" s="77">
        <f t="shared" si="315"/>
        <v>264250.57006086037</v>
      </c>
      <c r="R691" s="77">
        <f t="shared" si="315"/>
        <v>166875.77833945953</v>
      </c>
      <c r="S691" s="77">
        <f t="shared" si="315"/>
        <v>1648567.9939546536</v>
      </c>
      <c r="T691" s="77">
        <f t="shared" si="315"/>
        <v>2831.38896841511</v>
      </c>
      <c r="U691" s="77">
        <f t="shared" si="315"/>
        <v>8792.1150387240014</v>
      </c>
      <c r="V691" s="77">
        <f t="shared" si="315"/>
        <v>0</v>
      </c>
      <c r="W691" s="77">
        <f t="shared" si="315"/>
        <v>0</v>
      </c>
      <c r="X691" s="63">
        <f t="shared" si="315"/>
        <v>0</v>
      </c>
      <c r="Y691" s="63">
        <f t="shared" si="315"/>
        <v>0</v>
      </c>
      <c r="Z691" s="63">
        <f t="shared" si="315"/>
        <v>0</v>
      </c>
      <c r="AA691" s="65">
        <f>SUM(G691:Z691)</f>
        <v>54657992.52031292</v>
      </c>
      <c r="AB691" s="59" t="str">
        <f>IF(ABS(F691-AA691)&lt;0.01,"ok","err")</f>
        <v>ok</v>
      </c>
    </row>
    <row r="692" spans="1:29" x14ac:dyDescent="0.25"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63"/>
      <c r="Y692" s="63"/>
      <c r="Z692" s="63"/>
      <c r="AA692" s="65"/>
      <c r="AB692" s="59"/>
    </row>
    <row r="693" spans="1:29" x14ac:dyDescent="0.25"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63"/>
      <c r="Y693" s="63"/>
      <c r="Z693" s="63"/>
      <c r="AA693" s="65"/>
      <c r="AB693" s="59"/>
    </row>
    <row r="694" spans="1:29" x14ac:dyDescent="0.25">
      <c r="A694" s="66" t="s">
        <v>912</v>
      </c>
    </row>
    <row r="695" spans="1:29" x14ac:dyDescent="0.25">
      <c r="F695" s="81"/>
    </row>
    <row r="696" spans="1:29" x14ac:dyDescent="0.25">
      <c r="A696" s="66" t="s">
        <v>1135</v>
      </c>
    </row>
    <row r="697" spans="1:29" s="61" customFormat="1" x14ac:dyDescent="0.25">
      <c r="A697" s="69" t="s">
        <v>193</v>
      </c>
      <c r="D697" s="61" t="s">
        <v>1136</v>
      </c>
      <c r="E697" s="61" t="s">
        <v>130</v>
      </c>
      <c r="F697" s="77">
        <f>'Billing Det'!G35</f>
        <v>966746905</v>
      </c>
      <c r="G697" s="77">
        <f t="shared" ref="G697:P707" si="316">IF(VLOOKUP($E697,$D$6:$AN$1141,3,)=0,0,(VLOOKUP($E697,$D$6:$AN$1141,G$2,)/VLOOKUP($E697,$D$6:$AN$1141,3,))*$F697)</f>
        <v>385524714</v>
      </c>
      <c r="H697" s="77">
        <f t="shared" si="316"/>
        <v>137831152</v>
      </c>
      <c r="I697" s="77">
        <f t="shared" si="316"/>
        <v>0</v>
      </c>
      <c r="J697" s="77">
        <f t="shared" si="316"/>
        <v>11576751</v>
      </c>
      <c r="K697" s="77">
        <f t="shared" si="316"/>
        <v>156526511</v>
      </c>
      <c r="L697" s="77">
        <f t="shared" si="316"/>
        <v>0</v>
      </c>
      <c r="M697" s="77">
        <f t="shared" si="316"/>
        <v>0</v>
      </c>
      <c r="N697" s="77">
        <f t="shared" si="316"/>
        <v>129384948</v>
      </c>
      <c r="O697" s="77">
        <f t="shared" si="316"/>
        <v>74042740</v>
      </c>
      <c r="P697" s="77">
        <f t="shared" si="316"/>
        <v>43858819</v>
      </c>
      <c r="Q697" s="77">
        <f t="shared" ref="Q697:Z707" si="317">IF(VLOOKUP($E697,$D$6:$AN$1141,3,)=0,0,(VLOOKUP($E697,$D$6:$AN$1141,Q$2,)/VLOOKUP($E697,$D$6:$AN$1141,3,))*$F697)</f>
        <v>6233053</v>
      </c>
      <c r="R697" s="77">
        <f t="shared" si="317"/>
        <v>3257226</v>
      </c>
      <c r="S697" s="77">
        <f t="shared" si="317"/>
        <v>18015579</v>
      </c>
      <c r="T697" s="77">
        <f t="shared" si="317"/>
        <v>222435</v>
      </c>
      <c r="U697" s="77">
        <f t="shared" si="317"/>
        <v>272977</v>
      </c>
      <c r="V697" s="77">
        <f t="shared" si="317"/>
        <v>0</v>
      </c>
      <c r="W697" s="77">
        <f t="shared" si="317"/>
        <v>0</v>
      </c>
      <c r="X697" s="77">
        <f t="shared" si="317"/>
        <v>0</v>
      </c>
      <c r="Y697" s="77">
        <f t="shared" si="317"/>
        <v>0</v>
      </c>
      <c r="Z697" s="77">
        <f t="shared" si="317"/>
        <v>0</v>
      </c>
      <c r="AA697" s="81">
        <f t="shared" ref="AA697:AA707" si="318">SUM(G697:Z697)</f>
        <v>966746905</v>
      </c>
      <c r="AB697" s="94" t="str">
        <f t="shared" ref="AB697:AB707" si="319">IF(ABS(F697-AA697)&lt;0.01,"ok","err")</f>
        <v>ok</v>
      </c>
    </row>
    <row r="698" spans="1:29" s="61" customFormat="1" x14ac:dyDescent="0.25">
      <c r="A698" s="61" t="s">
        <v>859</v>
      </c>
      <c r="D698" s="61" t="s">
        <v>861</v>
      </c>
      <c r="E698" s="61" t="s">
        <v>1114</v>
      </c>
      <c r="F698" s="80"/>
      <c r="G698" s="80">
        <f t="shared" si="316"/>
        <v>0</v>
      </c>
      <c r="H698" s="80">
        <f t="shared" si="316"/>
        <v>0</v>
      </c>
      <c r="I698" s="80">
        <f t="shared" si="316"/>
        <v>0</v>
      </c>
      <c r="J698" s="80">
        <f t="shared" si="316"/>
        <v>0</v>
      </c>
      <c r="K698" s="80">
        <f t="shared" si="316"/>
        <v>0</v>
      </c>
      <c r="L698" s="80">
        <f t="shared" si="316"/>
        <v>0</v>
      </c>
      <c r="M698" s="80">
        <f t="shared" si="316"/>
        <v>0</v>
      </c>
      <c r="N698" s="80">
        <f t="shared" si="316"/>
        <v>0</v>
      </c>
      <c r="O698" s="80">
        <f t="shared" si="316"/>
        <v>0</v>
      </c>
      <c r="P698" s="80">
        <f t="shared" si="316"/>
        <v>0</v>
      </c>
      <c r="Q698" s="80">
        <f t="shared" si="317"/>
        <v>0</v>
      </c>
      <c r="R698" s="80">
        <f t="shared" si="317"/>
        <v>0</v>
      </c>
      <c r="S698" s="80">
        <f t="shared" si="317"/>
        <v>0</v>
      </c>
      <c r="T698" s="80">
        <f t="shared" si="317"/>
        <v>0</v>
      </c>
      <c r="U698" s="80">
        <f t="shared" si="317"/>
        <v>0</v>
      </c>
      <c r="V698" s="80">
        <f t="shared" si="317"/>
        <v>0</v>
      </c>
      <c r="W698" s="80">
        <f t="shared" si="317"/>
        <v>0</v>
      </c>
      <c r="X698" s="80">
        <f t="shared" si="317"/>
        <v>0</v>
      </c>
      <c r="Y698" s="80">
        <f t="shared" si="317"/>
        <v>0</v>
      </c>
      <c r="Z698" s="80">
        <f t="shared" si="317"/>
        <v>0</v>
      </c>
      <c r="AA698" s="80">
        <f t="shared" si="318"/>
        <v>0</v>
      </c>
      <c r="AB698" s="94" t="str">
        <f t="shared" si="319"/>
        <v>ok</v>
      </c>
    </row>
    <row r="699" spans="1:29" s="61" customFormat="1" x14ac:dyDescent="0.25">
      <c r="A699" s="61" t="s">
        <v>860</v>
      </c>
      <c r="D699" s="61" t="s">
        <v>686</v>
      </c>
      <c r="E699" s="61" t="s">
        <v>866</v>
      </c>
      <c r="F699" s="80">
        <v>71794397</v>
      </c>
      <c r="G699" s="80">
        <f t="shared" si="316"/>
        <v>40195952.63993454</v>
      </c>
      <c r="H699" s="80">
        <f t="shared" si="316"/>
        <v>9125979.953570487</v>
      </c>
      <c r="I699" s="80">
        <f t="shared" si="316"/>
        <v>0</v>
      </c>
      <c r="J699" s="80">
        <f t="shared" si="316"/>
        <v>736145.87010661233</v>
      </c>
      <c r="K699" s="80">
        <f t="shared" si="316"/>
        <v>9520999.5803872459</v>
      </c>
      <c r="L699" s="80">
        <f t="shared" si="316"/>
        <v>0</v>
      </c>
      <c r="M699" s="80">
        <f t="shared" si="316"/>
        <v>0</v>
      </c>
      <c r="N699" s="80">
        <f t="shared" si="316"/>
        <v>6698982.6649850737</v>
      </c>
      <c r="O699" s="80">
        <f t="shared" si="316"/>
        <v>4548591.4618999343</v>
      </c>
      <c r="P699" s="80">
        <f t="shared" si="316"/>
        <v>696661.85240525473</v>
      </c>
      <c r="Q699" s="80">
        <f t="shared" si="317"/>
        <v>335405.51674586546</v>
      </c>
      <c r="R699" s="80">
        <f t="shared" si="317"/>
        <v>253672.46929614435</v>
      </c>
      <c r="S699" s="80">
        <f t="shared" si="317"/>
        <v>-315168.57450433908</v>
      </c>
      <c r="T699" s="80">
        <f t="shared" si="317"/>
        <v>-8810.8984274565319</v>
      </c>
      <c r="U699" s="80">
        <f t="shared" si="317"/>
        <v>5984.4636006603869</v>
      </c>
      <c r="V699" s="80">
        <f t="shared" si="317"/>
        <v>0</v>
      </c>
      <c r="W699" s="80">
        <f t="shared" si="317"/>
        <v>0</v>
      </c>
      <c r="X699" s="80">
        <f t="shared" si="317"/>
        <v>0</v>
      </c>
      <c r="Y699" s="80">
        <f t="shared" si="317"/>
        <v>0</v>
      </c>
      <c r="Z699" s="80">
        <f t="shared" si="317"/>
        <v>0</v>
      </c>
      <c r="AA699" s="80">
        <f>SUM(G699:Z699)</f>
        <v>71794397.000000015</v>
      </c>
      <c r="AB699" s="94" t="str">
        <f t="shared" si="319"/>
        <v>ok</v>
      </c>
    </row>
    <row r="700" spans="1:29" s="61" customFormat="1" x14ac:dyDescent="0.25">
      <c r="A700" s="69" t="s">
        <v>1194</v>
      </c>
      <c r="D700" s="61" t="s">
        <v>692</v>
      </c>
      <c r="E700" s="61" t="s">
        <v>952</v>
      </c>
      <c r="F700" s="80">
        <v>0</v>
      </c>
      <c r="G700" s="80">
        <f t="shared" si="316"/>
        <v>0</v>
      </c>
      <c r="H700" s="80">
        <f t="shared" si="316"/>
        <v>0</v>
      </c>
      <c r="I700" s="80">
        <f t="shared" si="316"/>
        <v>0</v>
      </c>
      <c r="J700" s="80">
        <f t="shared" si="316"/>
        <v>0</v>
      </c>
      <c r="K700" s="80">
        <f t="shared" si="316"/>
        <v>0</v>
      </c>
      <c r="L700" s="80">
        <f t="shared" si="316"/>
        <v>0</v>
      </c>
      <c r="M700" s="80">
        <f t="shared" si="316"/>
        <v>0</v>
      </c>
      <c r="N700" s="80">
        <f t="shared" si="316"/>
        <v>0</v>
      </c>
      <c r="O700" s="80">
        <f t="shared" si="316"/>
        <v>0</v>
      </c>
      <c r="P700" s="80">
        <f t="shared" si="316"/>
        <v>0</v>
      </c>
      <c r="Q700" s="80">
        <f t="shared" si="317"/>
        <v>0</v>
      </c>
      <c r="R700" s="80">
        <f t="shared" si="317"/>
        <v>0</v>
      </c>
      <c r="S700" s="80">
        <f t="shared" si="317"/>
        <v>0</v>
      </c>
      <c r="T700" s="80">
        <f t="shared" si="317"/>
        <v>0</v>
      </c>
      <c r="U700" s="80">
        <f t="shared" si="317"/>
        <v>0</v>
      </c>
      <c r="V700" s="80">
        <f t="shared" si="317"/>
        <v>0</v>
      </c>
      <c r="W700" s="80">
        <f t="shared" si="317"/>
        <v>0</v>
      </c>
      <c r="X700" s="80">
        <f t="shared" si="317"/>
        <v>0</v>
      </c>
      <c r="Y700" s="80">
        <f t="shared" si="317"/>
        <v>0</v>
      </c>
      <c r="Z700" s="80">
        <f t="shared" si="317"/>
        <v>0</v>
      </c>
      <c r="AA700" s="80">
        <f t="shared" si="318"/>
        <v>0</v>
      </c>
      <c r="AB700" s="94" t="str">
        <f t="shared" si="319"/>
        <v>ok</v>
      </c>
    </row>
    <row r="701" spans="1:29" s="61" customFormat="1" x14ac:dyDescent="0.25">
      <c r="A701" s="61" t="s">
        <v>1195</v>
      </c>
      <c r="E701" s="61" t="s">
        <v>952</v>
      </c>
      <c r="F701" s="80"/>
      <c r="G701" s="80">
        <f t="shared" si="316"/>
        <v>0</v>
      </c>
      <c r="H701" s="80">
        <f t="shared" si="316"/>
        <v>0</v>
      </c>
      <c r="I701" s="80">
        <f t="shared" si="316"/>
        <v>0</v>
      </c>
      <c r="J701" s="80">
        <f t="shared" si="316"/>
        <v>0</v>
      </c>
      <c r="K701" s="80">
        <f t="shared" si="316"/>
        <v>0</v>
      </c>
      <c r="L701" s="80">
        <f t="shared" si="316"/>
        <v>0</v>
      </c>
      <c r="M701" s="80">
        <f t="shared" si="316"/>
        <v>0</v>
      </c>
      <c r="N701" s="80">
        <f t="shared" si="316"/>
        <v>0</v>
      </c>
      <c r="O701" s="80">
        <f t="shared" si="316"/>
        <v>0</v>
      </c>
      <c r="P701" s="80">
        <f t="shared" si="316"/>
        <v>0</v>
      </c>
      <c r="Q701" s="80">
        <f t="shared" si="317"/>
        <v>0</v>
      </c>
      <c r="R701" s="80">
        <f t="shared" si="317"/>
        <v>0</v>
      </c>
      <c r="S701" s="80">
        <f t="shared" si="317"/>
        <v>0</v>
      </c>
      <c r="T701" s="80">
        <f t="shared" si="317"/>
        <v>0</v>
      </c>
      <c r="U701" s="80">
        <f t="shared" si="317"/>
        <v>0</v>
      </c>
      <c r="V701" s="80">
        <f t="shared" si="317"/>
        <v>0</v>
      </c>
      <c r="W701" s="80">
        <f t="shared" si="317"/>
        <v>0</v>
      </c>
      <c r="X701" s="80">
        <f t="shared" si="317"/>
        <v>0</v>
      </c>
      <c r="Y701" s="80">
        <f t="shared" si="317"/>
        <v>0</v>
      </c>
      <c r="Z701" s="80">
        <f t="shared" si="317"/>
        <v>0</v>
      </c>
      <c r="AA701" s="80">
        <f t="shared" si="318"/>
        <v>0</v>
      </c>
      <c r="AB701" s="94" t="str">
        <f t="shared" si="319"/>
        <v>ok</v>
      </c>
    </row>
    <row r="702" spans="1:29" s="61" customFormat="1" x14ac:dyDescent="0.25">
      <c r="A702" s="61" t="s">
        <v>1196</v>
      </c>
      <c r="E702" s="61" t="s">
        <v>952</v>
      </c>
      <c r="F702" s="80"/>
      <c r="G702" s="80">
        <f t="shared" si="316"/>
        <v>0</v>
      </c>
      <c r="H702" s="80">
        <f t="shared" si="316"/>
        <v>0</v>
      </c>
      <c r="I702" s="80">
        <f t="shared" si="316"/>
        <v>0</v>
      </c>
      <c r="J702" s="80">
        <f t="shared" si="316"/>
        <v>0</v>
      </c>
      <c r="K702" s="80">
        <f t="shared" si="316"/>
        <v>0</v>
      </c>
      <c r="L702" s="80">
        <f t="shared" si="316"/>
        <v>0</v>
      </c>
      <c r="M702" s="80">
        <f t="shared" si="316"/>
        <v>0</v>
      </c>
      <c r="N702" s="80">
        <f t="shared" si="316"/>
        <v>0</v>
      </c>
      <c r="O702" s="80">
        <f t="shared" si="316"/>
        <v>0</v>
      </c>
      <c r="P702" s="80">
        <f t="shared" si="316"/>
        <v>0</v>
      </c>
      <c r="Q702" s="80">
        <f t="shared" si="317"/>
        <v>0</v>
      </c>
      <c r="R702" s="80">
        <f t="shared" si="317"/>
        <v>0</v>
      </c>
      <c r="S702" s="80">
        <f t="shared" si="317"/>
        <v>0</v>
      </c>
      <c r="T702" s="80">
        <f t="shared" si="317"/>
        <v>0</v>
      </c>
      <c r="U702" s="80">
        <f t="shared" si="317"/>
        <v>0</v>
      </c>
      <c r="V702" s="80">
        <f t="shared" si="317"/>
        <v>0</v>
      </c>
      <c r="W702" s="80">
        <f t="shared" si="317"/>
        <v>0</v>
      </c>
      <c r="X702" s="80">
        <f t="shared" si="317"/>
        <v>0</v>
      </c>
      <c r="Y702" s="80">
        <f t="shared" si="317"/>
        <v>0</v>
      </c>
      <c r="Z702" s="80">
        <f t="shared" si="317"/>
        <v>0</v>
      </c>
      <c r="AA702" s="80">
        <f t="shared" si="318"/>
        <v>0</v>
      </c>
      <c r="AB702" s="94" t="str">
        <f t="shared" si="319"/>
        <v>ok</v>
      </c>
    </row>
    <row r="703" spans="1:29" s="61" customFormat="1" x14ac:dyDescent="0.25">
      <c r="A703" s="61" t="s">
        <v>687</v>
      </c>
      <c r="D703" s="61" t="s">
        <v>688</v>
      </c>
      <c r="E703" s="61" t="s">
        <v>733</v>
      </c>
      <c r="F703" s="80">
        <v>2474607</v>
      </c>
      <c r="G703" s="80">
        <f t="shared" si="316"/>
        <v>2028704.8900000001</v>
      </c>
      <c r="H703" s="80">
        <f t="shared" si="316"/>
        <v>320131.7900000001</v>
      </c>
      <c r="I703" s="80">
        <f t="shared" si="316"/>
        <v>0</v>
      </c>
      <c r="J703" s="80">
        <f t="shared" si="316"/>
        <v>2958.0900000000006</v>
      </c>
      <c r="K703" s="80">
        <f t="shared" si="316"/>
        <v>71052.520000000019</v>
      </c>
      <c r="L703" s="80">
        <f t="shared" si="316"/>
        <v>0</v>
      </c>
      <c r="M703" s="80">
        <f t="shared" si="316"/>
        <v>0</v>
      </c>
      <c r="N703" s="80">
        <f t="shared" si="316"/>
        <v>25813.200000000001</v>
      </c>
      <c r="O703" s="80">
        <f t="shared" si="316"/>
        <v>25946.510000000006</v>
      </c>
      <c r="P703" s="80">
        <f t="shared" si="316"/>
        <v>0</v>
      </c>
      <c r="Q703" s="80">
        <f t="shared" si="317"/>
        <v>0</v>
      </c>
      <c r="R703" s="80">
        <f t="shared" si="317"/>
        <v>0</v>
      </c>
      <c r="S703" s="80">
        <f t="shared" si="317"/>
        <v>0</v>
      </c>
      <c r="T703" s="80">
        <f t="shared" si="317"/>
        <v>0</v>
      </c>
      <c r="U703" s="80">
        <f t="shared" si="317"/>
        <v>0</v>
      </c>
      <c r="V703" s="80">
        <f t="shared" si="317"/>
        <v>0</v>
      </c>
      <c r="W703" s="80">
        <f t="shared" si="317"/>
        <v>0</v>
      </c>
      <c r="X703" s="80">
        <f t="shared" si="317"/>
        <v>0</v>
      </c>
      <c r="Y703" s="80">
        <f t="shared" si="317"/>
        <v>0</v>
      </c>
      <c r="Z703" s="80">
        <f t="shared" si="317"/>
        <v>0</v>
      </c>
      <c r="AA703" s="80">
        <f t="shared" si="318"/>
        <v>2474607</v>
      </c>
      <c r="AB703" s="94" t="str">
        <f t="shared" si="319"/>
        <v>ok</v>
      </c>
    </row>
    <row r="704" spans="1:29" s="61" customFormat="1" x14ac:dyDescent="0.25">
      <c r="A704" s="61" t="s">
        <v>689</v>
      </c>
      <c r="D704" s="61" t="s">
        <v>43</v>
      </c>
      <c r="E704" s="61" t="s">
        <v>183</v>
      </c>
      <c r="F704" s="80">
        <v>2325202</v>
      </c>
      <c r="G704" s="80">
        <f t="shared" si="316"/>
        <v>1965028.2101999999</v>
      </c>
      <c r="H704" s="80">
        <f t="shared" si="316"/>
        <v>360173.78980000003</v>
      </c>
      <c r="I704" s="80">
        <f t="shared" si="316"/>
        <v>0</v>
      </c>
      <c r="J704" s="80">
        <f t="shared" si="316"/>
        <v>0</v>
      </c>
      <c r="K704" s="80">
        <f t="shared" si="316"/>
        <v>0</v>
      </c>
      <c r="L704" s="80">
        <f t="shared" si="316"/>
        <v>0</v>
      </c>
      <c r="M704" s="80">
        <f t="shared" si="316"/>
        <v>0</v>
      </c>
      <c r="N704" s="80">
        <f t="shared" si="316"/>
        <v>0</v>
      </c>
      <c r="O704" s="80">
        <f t="shared" si="316"/>
        <v>0</v>
      </c>
      <c r="P704" s="80">
        <f t="shared" si="316"/>
        <v>0</v>
      </c>
      <c r="Q704" s="80">
        <f t="shared" si="317"/>
        <v>0</v>
      </c>
      <c r="R704" s="80">
        <f t="shared" si="317"/>
        <v>0</v>
      </c>
      <c r="S704" s="80">
        <f t="shared" si="317"/>
        <v>0</v>
      </c>
      <c r="T704" s="80">
        <f t="shared" si="317"/>
        <v>0</v>
      </c>
      <c r="U704" s="80">
        <f t="shared" si="317"/>
        <v>0</v>
      </c>
      <c r="V704" s="80">
        <f t="shared" si="317"/>
        <v>0</v>
      </c>
      <c r="W704" s="80">
        <f t="shared" si="317"/>
        <v>0</v>
      </c>
      <c r="X704" s="80">
        <f t="shared" si="317"/>
        <v>0</v>
      </c>
      <c r="Y704" s="80">
        <f t="shared" si="317"/>
        <v>0</v>
      </c>
      <c r="Z704" s="80">
        <f t="shared" si="317"/>
        <v>0</v>
      </c>
      <c r="AA704" s="80">
        <f t="shared" si="318"/>
        <v>2325202</v>
      </c>
      <c r="AB704" s="94" t="str">
        <f t="shared" si="319"/>
        <v>ok</v>
      </c>
      <c r="AC704" s="167"/>
    </row>
    <row r="705" spans="1:28" s="61" customFormat="1" x14ac:dyDescent="0.25">
      <c r="A705" s="69" t="s">
        <v>690</v>
      </c>
      <c r="E705" s="61" t="s">
        <v>1127</v>
      </c>
      <c r="F705" s="80">
        <v>3744845</v>
      </c>
      <c r="G705" s="80">
        <f t="shared" si="316"/>
        <v>2040065.7441667011</v>
      </c>
      <c r="H705" s="80">
        <f t="shared" si="316"/>
        <v>452789.16086332034</v>
      </c>
      <c r="I705" s="80">
        <f t="shared" si="316"/>
        <v>0</v>
      </c>
      <c r="J705" s="80">
        <f t="shared" si="316"/>
        <v>33503.473480044056</v>
      </c>
      <c r="K705" s="80">
        <f t="shared" si="316"/>
        <v>434395.19869938551</v>
      </c>
      <c r="L705" s="80">
        <f t="shared" si="316"/>
        <v>0</v>
      </c>
      <c r="M705" s="80">
        <f t="shared" si="316"/>
        <v>0</v>
      </c>
      <c r="N705" s="80">
        <f t="shared" si="316"/>
        <v>351941.36659696599</v>
      </c>
      <c r="O705" s="80">
        <f t="shared" si="316"/>
        <v>214494.70980561926</v>
      </c>
      <c r="P705" s="80">
        <f t="shared" si="316"/>
        <v>76922.064393218752</v>
      </c>
      <c r="Q705" s="80">
        <f t="shared" si="317"/>
        <v>18482.657982008688</v>
      </c>
      <c r="R705" s="80">
        <f t="shared" si="317"/>
        <v>11586.498652265635</v>
      </c>
      <c r="S705" s="80">
        <f t="shared" si="317"/>
        <v>109834.21670595669</v>
      </c>
      <c r="T705" s="80">
        <f t="shared" si="317"/>
        <v>214.99828854475439</v>
      </c>
      <c r="U705" s="80">
        <f t="shared" si="317"/>
        <v>614.91036597035043</v>
      </c>
      <c r="V705" s="80">
        <f t="shared" si="317"/>
        <v>0</v>
      </c>
      <c r="W705" s="80">
        <f t="shared" si="317"/>
        <v>0</v>
      </c>
      <c r="X705" s="80">
        <f t="shared" si="317"/>
        <v>0</v>
      </c>
      <c r="Y705" s="80">
        <f t="shared" si="317"/>
        <v>0</v>
      </c>
      <c r="Z705" s="80">
        <f t="shared" si="317"/>
        <v>0</v>
      </c>
      <c r="AA705" s="80">
        <f t="shared" si="318"/>
        <v>3744845.0000000005</v>
      </c>
      <c r="AB705" s="94" t="str">
        <f t="shared" si="319"/>
        <v>ok</v>
      </c>
    </row>
    <row r="706" spans="1:28" s="61" customFormat="1" x14ac:dyDescent="0.25">
      <c r="A706" s="69" t="s">
        <v>691</v>
      </c>
      <c r="E706" s="61" t="s">
        <v>1127</v>
      </c>
      <c r="F706" s="80">
        <v>6625945</v>
      </c>
      <c r="G706" s="80">
        <f t="shared" si="316"/>
        <v>3609592.2307151919</v>
      </c>
      <c r="H706" s="80">
        <f t="shared" si="316"/>
        <v>801142.92486778845</v>
      </c>
      <c r="I706" s="80">
        <f t="shared" si="316"/>
        <v>0</v>
      </c>
      <c r="J706" s="80">
        <f t="shared" si="316"/>
        <v>59279.402108159491</v>
      </c>
      <c r="K706" s="80">
        <f t="shared" si="316"/>
        <v>768597.5507253838</v>
      </c>
      <c r="L706" s="80">
        <f t="shared" si="316"/>
        <v>0</v>
      </c>
      <c r="M706" s="80">
        <f t="shared" si="316"/>
        <v>0</v>
      </c>
      <c r="N706" s="80">
        <f t="shared" si="316"/>
        <v>622707.7858486356</v>
      </c>
      <c r="O706" s="80">
        <f t="shared" si="316"/>
        <v>379516.41522225726</v>
      </c>
      <c r="P706" s="80">
        <f t="shared" si="316"/>
        <v>136102.12651149134</v>
      </c>
      <c r="Q706" s="80">
        <f t="shared" si="317"/>
        <v>32702.308170992535</v>
      </c>
      <c r="R706" s="80">
        <f t="shared" si="317"/>
        <v>20500.58221701732</v>
      </c>
      <c r="S706" s="80">
        <f t="shared" si="317"/>
        <v>194335.27395973669</v>
      </c>
      <c r="T706" s="80">
        <f t="shared" si="317"/>
        <v>380.40742273489889</v>
      </c>
      <c r="U706" s="80">
        <f t="shared" si="317"/>
        <v>1087.9922306128594</v>
      </c>
      <c r="V706" s="80">
        <f t="shared" si="317"/>
        <v>0</v>
      </c>
      <c r="W706" s="80">
        <f t="shared" si="317"/>
        <v>0</v>
      </c>
      <c r="X706" s="80">
        <f t="shared" si="317"/>
        <v>0</v>
      </c>
      <c r="Y706" s="80">
        <f t="shared" si="317"/>
        <v>0</v>
      </c>
      <c r="Z706" s="80">
        <f t="shared" si="317"/>
        <v>0</v>
      </c>
      <c r="AA706" s="80">
        <f t="shared" si="318"/>
        <v>6625945.0000000019</v>
      </c>
      <c r="AB706" s="94" t="str">
        <f t="shared" si="319"/>
        <v>ok</v>
      </c>
    </row>
    <row r="707" spans="1:28" s="61" customFormat="1" x14ac:dyDescent="0.25">
      <c r="A707" s="69" t="s">
        <v>693</v>
      </c>
      <c r="D707" s="61" t="s">
        <v>694</v>
      </c>
      <c r="E707" s="61" t="s">
        <v>130</v>
      </c>
      <c r="F707" s="151">
        <v>0</v>
      </c>
      <c r="G707" s="151">
        <f t="shared" si="316"/>
        <v>0</v>
      </c>
      <c r="H707" s="151">
        <f t="shared" si="316"/>
        <v>0</v>
      </c>
      <c r="I707" s="151">
        <f t="shared" si="316"/>
        <v>0</v>
      </c>
      <c r="J707" s="151">
        <f t="shared" si="316"/>
        <v>0</v>
      </c>
      <c r="K707" s="151">
        <f t="shared" si="316"/>
        <v>0</v>
      </c>
      <c r="L707" s="151">
        <f t="shared" si="316"/>
        <v>0</v>
      </c>
      <c r="M707" s="151">
        <f t="shared" si="316"/>
        <v>0</v>
      </c>
      <c r="N707" s="151">
        <f t="shared" si="316"/>
        <v>0</v>
      </c>
      <c r="O707" s="151">
        <f t="shared" si="316"/>
        <v>0</v>
      </c>
      <c r="P707" s="151">
        <f t="shared" si="316"/>
        <v>0</v>
      </c>
      <c r="Q707" s="151">
        <f t="shared" si="317"/>
        <v>0</v>
      </c>
      <c r="R707" s="151">
        <f t="shared" si="317"/>
        <v>0</v>
      </c>
      <c r="S707" s="151">
        <f t="shared" si="317"/>
        <v>0</v>
      </c>
      <c r="T707" s="151">
        <f t="shared" si="317"/>
        <v>0</v>
      </c>
      <c r="U707" s="151">
        <f t="shared" si="317"/>
        <v>0</v>
      </c>
      <c r="V707" s="151">
        <f t="shared" si="317"/>
        <v>0</v>
      </c>
      <c r="W707" s="151">
        <f t="shared" si="317"/>
        <v>0</v>
      </c>
      <c r="X707" s="151">
        <f t="shared" si="317"/>
        <v>0</v>
      </c>
      <c r="Y707" s="151">
        <f t="shared" si="317"/>
        <v>0</v>
      </c>
      <c r="Z707" s="151">
        <f t="shared" si="317"/>
        <v>0</v>
      </c>
      <c r="AA707" s="151">
        <f t="shared" si="318"/>
        <v>0</v>
      </c>
      <c r="AB707" s="152" t="str">
        <f t="shared" si="319"/>
        <v>ok</v>
      </c>
    </row>
    <row r="708" spans="1:28" s="61" customFormat="1" x14ac:dyDescent="0.25">
      <c r="AA708" s="81"/>
    </row>
    <row r="709" spans="1:28" s="61" customFormat="1" x14ac:dyDescent="0.25">
      <c r="A709" s="61" t="s">
        <v>1137</v>
      </c>
      <c r="D709" s="61" t="s">
        <v>1138</v>
      </c>
      <c r="F709" s="81">
        <f>SUM(F697:F708)</f>
        <v>1053711901</v>
      </c>
      <c r="G709" s="81">
        <f t="shared" ref="G709:Z709" si="320">SUM(G697:G708)</f>
        <v>435364057.71501642</v>
      </c>
      <c r="H709" s="81">
        <f t="shared" si="320"/>
        <v>148891369.61910155</v>
      </c>
      <c r="I709" s="81">
        <f t="shared" si="320"/>
        <v>0</v>
      </c>
      <c r="J709" s="81">
        <f t="shared" si="320"/>
        <v>12408637.835694814</v>
      </c>
      <c r="K709" s="81">
        <f t="shared" si="320"/>
        <v>167321555.849812</v>
      </c>
      <c r="L709" s="81">
        <f t="shared" si="320"/>
        <v>0</v>
      </c>
      <c r="M709" s="81">
        <f t="shared" si="320"/>
        <v>0</v>
      </c>
      <c r="N709" s="81">
        <f t="shared" si="320"/>
        <v>137084393.01743066</v>
      </c>
      <c r="O709" s="81">
        <f>SUM(O697:O708)</f>
        <v>79211289.096927822</v>
      </c>
      <c r="P709" s="81">
        <f t="shared" si="320"/>
        <v>44768505.043309972</v>
      </c>
      <c r="Q709" s="81">
        <f t="shared" si="320"/>
        <v>6619643.4828988668</v>
      </c>
      <c r="R709" s="81">
        <f t="shared" si="320"/>
        <v>3542985.5501654269</v>
      </c>
      <c r="S709" s="81">
        <f t="shared" si="320"/>
        <v>18004579.916161355</v>
      </c>
      <c r="T709" s="81">
        <f t="shared" si="320"/>
        <v>214219.50728382313</v>
      </c>
      <c r="U709" s="81">
        <f t="shared" si="320"/>
        <v>280664.36619724357</v>
      </c>
      <c r="V709" s="81">
        <f t="shared" si="320"/>
        <v>0</v>
      </c>
      <c r="W709" s="81">
        <f t="shared" si="320"/>
        <v>0</v>
      </c>
      <c r="X709" s="81">
        <f t="shared" si="320"/>
        <v>0</v>
      </c>
      <c r="Y709" s="81">
        <f t="shared" si="320"/>
        <v>0</v>
      </c>
      <c r="Z709" s="81">
        <f t="shared" si="320"/>
        <v>0</v>
      </c>
      <c r="AA709" s="81">
        <f>SUM(G709:Z709)</f>
        <v>1053711900.9999999</v>
      </c>
      <c r="AB709" s="94" t="str">
        <f>IF(ABS(F709-AA709)&lt;0.01,"ok","err")</f>
        <v>ok</v>
      </c>
    </row>
    <row r="710" spans="1:28" s="61" customFormat="1" x14ac:dyDescent="0.25">
      <c r="C710" s="81"/>
      <c r="D710" s="81"/>
      <c r="E710" s="81"/>
      <c r="F710" s="81"/>
      <c r="G710" s="81"/>
      <c r="H710" s="81"/>
      <c r="I710" s="81"/>
    </row>
    <row r="711" spans="1:28" s="61" customFormat="1" x14ac:dyDescent="0.25">
      <c r="A711" s="66" t="s">
        <v>1139</v>
      </c>
      <c r="F711" s="81"/>
      <c r="G711" s="81"/>
    </row>
    <row r="712" spans="1:28" s="61" customFormat="1" x14ac:dyDescent="0.25">
      <c r="A712" s="69" t="s">
        <v>1140</v>
      </c>
      <c r="F712" s="81">
        <f t="shared" ref="F712:Z712" si="321">F233</f>
        <v>698592651.78005099</v>
      </c>
      <c r="G712" s="81">
        <f t="shared" si="321"/>
        <v>299652164.7436952</v>
      </c>
      <c r="H712" s="81">
        <f t="shared" si="321"/>
        <v>84996856.45797278</v>
      </c>
      <c r="I712" s="81">
        <f t="shared" si="321"/>
        <v>0</v>
      </c>
      <c r="J712" s="81">
        <f t="shared" si="321"/>
        <v>8188517.9653387209</v>
      </c>
      <c r="K712" s="81">
        <f t="shared" si="321"/>
        <v>101603566.48833007</v>
      </c>
      <c r="L712" s="81">
        <f t="shared" si="321"/>
        <v>0</v>
      </c>
      <c r="M712" s="81">
        <f t="shared" si="321"/>
        <v>0</v>
      </c>
      <c r="N712" s="81">
        <f t="shared" si="321"/>
        <v>98011703.363990307</v>
      </c>
      <c r="O712" s="81">
        <f>O233</f>
        <v>52756380.98267249</v>
      </c>
      <c r="P712" s="81">
        <f t="shared" si="321"/>
        <v>37347255.706858248</v>
      </c>
      <c r="Q712" s="81">
        <f t="shared" si="321"/>
        <v>5237319.2714944091</v>
      </c>
      <c r="R712" s="81">
        <f t="shared" si="321"/>
        <v>2845881.1464185999</v>
      </c>
      <c r="S712" s="81">
        <f t="shared" si="321"/>
        <v>7622707.4820338823</v>
      </c>
      <c r="T712" s="81">
        <f t="shared" si="321"/>
        <v>151836.21026749411</v>
      </c>
      <c r="U712" s="81">
        <f t="shared" si="321"/>
        <v>178461.96097863239</v>
      </c>
      <c r="V712" s="81">
        <f t="shared" si="321"/>
        <v>0</v>
      </c>
      <c r="W712" s="81">
        <f t="shared" si="321"/>
        <v>0</v>
      </c>
      <c r="X712" s="81">
        <f t="shared" si="321"/>
        <v>0</v>
      </c>
      <c r="Y712" s="81">
        <f t="shared" si="321"/>
        <v>0</v>
      </c>
      <c r="Z712" s="81">
        <f t="shared" si="321"/>
        <v>0</v>
      </c>
      <c r="AA712" s="81">
        <f t="shared" ref="AA712:AA718" si="322">SUM(G712:Z712)</f>
        <v>698592651.78005075</v>
      </c>
      <c r="AB712" s="94" t="str">
        <f t="shared" ref="AB712:AB723" si="323">IF(ABS(F712-AA712)&lt;0.01,"ok","err")</f>
        <v>ok</v>
      </c>
    </row>
    <row r="713" spans="1:28" s="61" customFormat="1" x14ac:dyDescent="0.25">
      <c r="A713" s="69" t="s">
        <v>1322</v>
      </c>
      <c r="F713" s="80">
        <f>F347</f>
        <v>117218434.8450231</v>
      </c>
      <c r="G713" s="80">
        <f t="shared" ref="G713:P713" si="324">G347</f>
        <v>64668068.80177781</v>
      </c>
      <c r="H713" s="80">
        <f t="shared" si="324"/>
        <v>14151439.302020008</v>
      </c>
      <c r="I713" s="80">
        <f t="shared" si="324"/>
        <v>0</v>
      </c>
      <c r="J713" s="80">
        <f t="shared" si="324"/>
        <v>1022265.4769023344</v>
      </c>
      <c r="K713" s="80">
        <f t="shared" si="324"/>
        <v>13301550.216644557</v>
      </c>
      <c r="L713" s="80">
        <f t="shared" si="324"/>
        <v>0</v>
      </c>
      <c r="M713" s="80">
        <f t="shared" si="324"/>
        <v>0</v>
      </c>
      <c r="N713" s="80">
        <f t="shared" si="324"/>
        <v>10673431.354718881</v>
      </c>
      <c r="O713" s="80">
        <f>O347</f>
        <v>6549815.8341149148</v>
      </c>
      <c r="P713" s="80">
        <f t="shared" si="324"/>
        <v>2212676.8668894335</v>
      </c>
      <c r="Q713" s="80">
        <f>Q347</f>
        <v>560547.52191964735</v>
      </c>
      <c r="R713" s="80">
        <f t="shared" ref="R713:Z713" si="325">R347</f>
        <v>353335.64570169331</v>
      </c>
      <c r="S713" s="80">
        <f t="shared" si="325"/>
        <v>3699958.4462729581</v>
      </c>
      <c r="T713" s="80">
        <f t="shared" si="325"/>
        <v>6354.6190189227482</v>
      </c>
      <c r="U713" s="80">
        <f t="shared" si="325"/>
        <v>18990.759041956342</v>
      </c>
      <c r="V713" s="80">
        <f t="shared" si="325"/>
        <v>0</v>
      </c>
      <c r="W713" s="80">
        <f t="shared" si="325"/>
        <v>0</v>
      </c>
      <c r="X713" s="80">
        <f t="shared" si="325"/>
        <v>0</v>
      </c>
      <c r="Y713" s="80">
        <f t="shared" si="325"/>
        <v>0</v>
      </c>
      <c r="Z713" s="80">
        <f t="shared" si="325"/>
        <v>0</v>
      </c>
      <c r="AA713" s="80">
        <f t="shared" si="322"/>
        <v>117218434.84502311</v>
      </c>
      <c r="AB713" s="94" t="str">
        <f t="shared" si="323"/>
        <v>ok</v>
      </c>
    </row>
    <row r="714" spans="1:28" s="61" customFormat="1" x14ac:dyDescent="0.25">
      <c r="A714" s="112" t="s">
        <v>282</v>
      </c>
      <c r="F714" s="80">
        <f>F405</f>
        <v>0</v>
      </c>
      <c r="G714" s="80">
        <f t="shared" ref="G714:Z714" si="326">G405</f>
        <v>0</v>
      </c>
      <c r="H714" s="80">
        <f t="shared" si="326"/>
        <v>0</v>
      </c>
      <c r="I714" s="80">
        <f t="shared" si="326"/>
        <v>0</v>
      </c>
      <c r="J714" s="80">
        <f t="shared" si="326"/>
        <v>0</v>
      </c>
      <c r="K714" s="80">
        <f t="shared" si="326"/>
        <v>0</v>
      </c>
      <c r="L714" s="80">
        <f t="shared" si="326"/>
        <v>0</v>
      </c>
      <c r="M714" s="80">
        <f t="shared" si="326"/>
        <v>0</v>
      </c>
      <c r="N714" s="80">
        <f t="shared" si="326"/>
        <v>0</v>
      </c>
      <c r="O714" s="80">
        <f>O405</f>
        <v>0</v>
      </c>
      <c r="P714" s="80">
        <f t="shared" si="326"/>
        <v>0</v>
      </c>
      <c r="Q714" s="80">
        <f t="shared" si="326"/>
        <v>0</v>
      </c>
      <c r="R714" s="80">
        <f t="shared" si="326"/>
        <v>0</v>
      </c>
      <c r="S714" s="80">
        <f t="shared" si="326"/>
        <v>0</v>
      </c>
      <c r="T714" s="80">
        <f t="shared" si="326"/>
        <v>0</v>
      </c>
      <c r="U714" s="80">
        <f t="shared" si="326"/>
        <v>0</v>
      </c>
      <c r="V714" s="80">
        <f t="shared" si="326"/>
        <v>0</v>
      </c>
      <c r="W714" s="80">
        <f t="shared" si="326"/>
        <v>0</v>
      </c>
      <c r="X714" s="80">
        <f t="shared" si="326"/>
        <v>0</v>
      </c>
      <c r="Y714" s="80">
        <f t="shared" si="326"/>
        <v>0</v>
      </c>
      <c r="Z714" s="80">
        <f t="shared" si="326"/>
        <v>0</v>
      </c>
      <c r="AA714" s="80">
        <f>SUM(G714:Z714)</f>
        <v>0</v>
      </c>
      <c r="AB714" s="94" t="str">
        <f t="shared" si="323"/>
        <v>ok</v>
      </c>
    </row>
    <row r="715" spans="1:28" s="61" customFormat="1" x14ac:dyDescent="0.25">
      <c r="A715" s="69" t="s">
        <v>813</v>
      </c>
      <c r="F715" s="80">
        <f>F462</f>
        <v>0</v>
      </c>
      <c r="G715" s="80">
        <f t="shared" ref="G715:Z715" si="327">G462</f>
        <v>0</v>
      </c>
      <c r="H715" s="80">
        <f t="shared" si="327"/>
        <v>0</v>
      </c>
      <c r="I715" s="80">
        <f t="shared" si="327"/>
        <v>0</v>
      </c>
      <c r="J715" s="80">
        <f t="shared" si="327"/>
        <v>0</v>
      </c>
      <c r="K715" s="80">
        <f t="shared" si="327"/>
        <v>0</v>
      </c>
      <c r="L715" s="80">
        <f t="shared" si="327"/>
        <v>0</v>
      </c>
      <c r="M715" s="80">
        <f t="shared" si="327"/>
        <v>0</v>
      </c>
      <c r="N715" s="80">
        <f t="shared" si="327"/>
        <v>0</v>
      </c>
      <c r="O715" s="80">
        <f>O462</f>
        <v>0</v>
      </c>
      <c r="P715" s="80">
        <f t="shared" si="327"/>
        <v>0</v>
      </c>
      <c r="Q715" s="80">
        <f t="shared" si="327"/>
        <v>0</v>
      </c>
      <c r="R715" s="80">
        <f t="shared" si="327"/>
        <v>0</v>
      </c>
      <c r="S715" s="80">
        <f t="shared" si="327"/>
        <v>0</v>
      </c>
      <c r="T715" s="80">
        <f t="shared" si="327"/>
        <v>0</v>
      </c>
      <c r="U715" s="80">
        <f t="shared" si="327"/>
        <v>0</v>
      </c>
      <c r="V715" s="80">
        <f t="shared" si="327"/>
        <v>0</v>
      </c>
      <c r="W715" s="80">
        <f t="shared" si="327"/>
        <v>0</v>
      </c>
      <c r="X715" s="80">
        <f t="shared" si="327"/>
        <v>0</v>
      </c>
      <c r="Y715" s="80">
        <f t="shared" si="327"/>
        <v>0</v>
      </c>
      <c r="Z715" s="80">
        <f t="shared" si="327"/>
        <v>0</v>
      </c>
      <c r="AA715" s="80">
        <f>SUM(G715:Z715)</f>
        <v>0</v>
      </c>
      <c r="AB715" s="94" t="str">
        <f t="shared" si="323"/>
        <v>ok</v>
      </c>
    </row>
    <row r="716" spans="1:28" s="61" customFormat="1" x14ac:dyDescent="0.25">
      <c r="A716" s="61" t="s">
        <v>1192</v>
      </c>
      <c r="E716" s="61" t="s">
        <v>537</v>
      </c>
      <c r="F716" s="80">
        <v>0</v>
      </c>
      <c r="G716" s="80">
        <f t="shared" ref="G716:P717" si="328">IF(VLOOKUP($E716,$D$6:$AN$1141,3,)=0,0,(VLOOKUP($E716,$D$6:$AN$1141,G$2,)/VLOOKUP($E716,$D$6:$AN$1141,3,))*$F716)</f>
        <v>0</v>
      </c>
      <c r="H716" s="80">
        <f t="shared" si="328"/>
        <v>0</v>
      </c>
      <c r="I716" s="80">
        <f t="shared" si="328"/>
        <v>0</v>
      </c>
      <c r="J716" s="80">
        <f t="shared" si="328"/>
        <v>0</v>
      </c>
      <c r="K716" s="80">
        <f t="shared" si="328"/>
        <v>0</v>
      </c>
      <c r="L716" s="80">
        <f t="shared" si="328"/>
        <v>0</v>
      </c>
      <c r="M716" s="80">
        <f t="shared" si="328"/>
        <v>0</v>
      </c>
      <c r="N716" s="80">
        <f t="shared" si="328"/>
        <v>0</v>
      </c>
      <c r="O716" s="80">
        <f t="shared" si="328"/>
        <v>0</v>
      </c>
      <c r="P716" s="80">
        <f t="shared" si="328"/>
        <v>0</v>
      </c>
      <c r="Q716" s="80">
        <f t="shared" ref="Q716:Z717" si="329">IF(VLOOKUP($E716,$D$6:$AN$1141,3,)=0,0,(VLOOKUP($E716,$D$6:$AN$1141,Q$2,)/VLOOKUP($E716,$D$6:$AN$1141,3,))*$F716)</f>
        <v>0</v>
      </c>
      <c r="R716" s="80">
        <f t="shared" si="329"/>
        <v>0</v>
      </c>
      <c r="S716" s="80">
        <f t="shared" si="329"/>
        <v>0</v>
      </c>
      <c r="T716" s="80">
        <f t="shared" si="329"/>
        <v>0</v>
      </c>
      <c r="U716" s="80">
        <f t="shared" si="329"/>
        <v>0</v>
      </c>
      <c r="V716" s="80">
        <f t="shared" si="329"/>
        <v>0</v>
      </c>
      <c r="W716" s="80">
        <f t="shared" si="329"/>
        <v>0</v>
      </c>
      <c r="X716" s="80">
        <f t="shared" si="329"/>
        <v>0</v>
      </c>
      <c r="Y716" s="80">
        <f t="shared" si="329"/>
        <v>0</v>
      </c>
      <c r="Z716" s="80">
        <f t="shared" si="329"/>
        <v>0</v>
      </c>
      <c r="AA716" s="80">
        <f>SUM(G716:Z716)</f>
        <v>0</v>
      </c>
      <c r="AB716" s="94" t="str">
        <f t="shared" si="323"/>
        <v>ok</v>
      </c>
    </row>
    <row r="717" spans="1:28" s="61" customFormat="1" x14ac:dyDescent="0.25">
      <c r="A717" s="61" t="s">
        <v>1193</v>
      </c>
      <c r="E717" s="61" t="s">
        <v>537</v>
      </c>
      <c r="F717" s="80">
        <v>0</v>
      </c>
      <c r="G717" s="80">
        <f t="shared" si="328"/>
        <v>0</v>
      </c>
      <c r="H717" s="80">
        <f t="shared" si="328"/>
        <v>0</v>
      </c>
      <c r="I717" s="80">
        <f t="shared" si="328"/>
        <v>0</v>
      </c>
      <c r="J717" s="80">
        <f t="shared" si="328"/>
        <v>0</v>
      </c>
      <c r="K717" s="80">
        <f t="shared" si="328"/>
        <v>0</v>
      </c>
      <c r="L717" s="80">
        <f t="shared" si="328"/>
        <v>0</v>
      </c>
      <c r="M717" s="80">
        <f t="shared" si="328"/>
        <v>0</v>
      </c>
      <c r="N717" s="80">
        <f t="shared" si="328"/>
        <v>0</v>
      </c>
      <c r="O717" s="80">
        <f t="shared" si="328"/>
        <v>0</v>
      </c>
      <c r="P717" s="80">
        <f t="shared" si="328"/>
        <v>0</v>
      </c>
      <c r="Q717" s="80">
        <f t="shared" si="329"/>
        <v>0</v>
      </c>
      <c r="R717" s="80">
        <f t="shared" si="329"/>
        <v>0</v>
      </c>
      <c r="S717" s="80">
        <f t="shared" si="329"/>
        <v>0</v>
      </c>
      <c r="T717" s="80">
        <f t="shared" si="329"/>
        <v>0</v>
      </c>
      <c r="U717" s="80">
        <f t="shared" si="329"/>
        <v>0</v>
      </c>
      <c r="V717" s="80">
        <f t="shared" si="329"/>
        <v>0</v>
      </c>
      <c r="W717" s="80">
        <f t="shared" si="329"/>
        <v>0</v>
      </c>
      <c r="X717" s="80">
        <f t="shared" si="329"/>
        <v>0</v>
      </c>
      <c r="Y717" s="80">
        <f t="shared" si="329"/>
        <v>0</v>
      </c>
      <c r="Z717" s="80">
        <f t="shared" si="329"/>
        <v>0</v>
      </c>
      <c r="AA717" s="80">
        <f>SUM(G717:Z717)</f>
        <v>0</v>
      </c>
      <c r="AB717" s="94" t="str">
        <f t="shared" si="323"/>
        <v>ok</v>
      </c>
    </row>
    <row r="718" spans="1:28" s="61" customFormat="1" x14ac:dyDescent="0.25">
      <c r="A718" s="69" t="s">
        <v>735</v>
      </c>
      <c r="E718" s="61" t="s">
        <v>1124</v>
      </c>
      <c r="F718" s="80">
        <f>F519</f>
        <v>29879058.309999939</v>
      </c>
      <c r="G718" s="80">
        <f t="shared" ref="G718:P718" si="330">G519</f>
        <v>16414296.583951592</v>
      </c>
      <c r="H718" s="80">
        <f t="shared" si="330"/>
        <v>3611227.0656116605</v>
      </c>
      <c r="I718" s="80">
        <f t="shared" si="330"/>
        <v>0</v>
      </c>
      <c r="J718" s="80">
        <f t="shared" si="330"/>
        <v>263837.64154841821</v>
      </c>
      <c r="K718" s="80">
        <f t="shared" si="330"/>
        <v>3428636.19106049</v>
      </c>
      <c r="L718" s="80">
        <f t="shared" si="330"/>
        <v>0</v>
      </c>
      <c r="M718" s="80">
        <f t="shared" si="330"/>
        <v>0</v>
      </c>
      <c r="N718" s="80">
        <f t="shared" si="330"/>
        <v>2753018.1697498355</v>
      </c>
      <c r="O718" s="80">
        <f>O519</f>
        <v>1688885.7973745184</v>
      </c>
      <c r="P718" s="80">
        <f t="shared" si="330"/>
        <v>575927.75559176644</v>
      </c>
      <c r="Q718" s="80">
        <f>Q519</f>
        <v>144453.8635107188</v>
      </c>
      <c r="R718" s="80">
        <f t="shared" ref="R718:Z718" si="331">R519</f>
        <v>91223.45848465478</v>
      </c>
      <c r="S718" s="80">
        <f t="shared" si="331"/>
        <v>901197.73793493735</v>
      </c>
      <c r="T718" s="80">
        <f t="shared" si="331"/>
        <v>1547.7925950925746</v>
      </c>
      <c r="U718" s="80">
        <f t="shared" si="331"/>
        <v>4806.2525862550283</v>
      </c>
      <c r="V718" s="80">
        <f t="shared" si="331"/>
        <v>0</v>
      </c>
      <c r="W718" s="80">
        <f t="shared" si="331"/>
        <v>0</v>
      </c>
      <c r="X718" s="80">
        <f t="shared" si="331"/>
        <v>0</v>
      </c>
      <c r="Y718" s="80">
        <f t="shared" si="331"/>
        <v>0</v>
      </c>
      <c r="Z718" s="80">
        <f t="shared" si="331"/>
        <v>0</v>
      </c>
      <c r="AA718" s="80">
        <f t="shared" si="322"/>
        <v>29879058.309999935</v>
      </c>
      <c r="AB718" s="94" t="str">
        <f t="shared" si="323"/>
        <v>ok</v>
      </c>
    </row>
    <row r="719" spans="1:28" s="61" customFormat="1" x14ac:dyDescent="0.25">
      <c r="A719" s="69" t="s">
        <v>736</v>
      </c>
      <c r="F719" s="80">
        <f>F576</f>
        <v>-1214862</v>
      </c>
      <c r="G719" s="80">
        <f t="shared" ref="G719:Z719" si="332">G576</f>
        <v>-667394.03128708049</v>
      </c>
      <c r="H719" s="80">
        <f t="shared" si="332"/>
        <v>-146830.0135119996</v>
      </c>
      <c r="I719" s="80">
        <f t="shared" si="332"/>
        <v>0</v>
      </c>
      <c r="J719" s="80">
        <f t="shared" si="332"/>
        <v>-10727.457390433237</v>
      </c>
      <c r="K719" s="80">
        <f t="shared" si="332"/>
        <v>-139405.99389472985</v>
      </c>
      <c r="L719" s="80">
        <f t="shared" si="332"/>
        <v>0</v>
      </c>
      <c r="M719" s="80">
        <f t="shared" si="332"/>
        <v>0</v>
      </c>
      <c r="N719" s="80">
        <f t="shared" si="332"/>
        <v>-111935.82893538762</v>
      </c>
      <c r="O719" s="80">
        <f>O576</f>
        <v>-68668.937162698887</v>
      </c>
      <c r="P719" s="80">
        <f t="shared" si="332"/>
        <v>-23416.827188946503</v>
      </c>
      <c r="Q719" s="80">
        <f t="shared" si="332"/>
        <v>-5873.3949280330989</v>
      </c>
      <c r="R719" s="80">
        <f t="shared" si="332"/>
        <v>-3709.0832004064223</v>
      </c>
      <c r="S719" s="80">
        <f t="shared" si="332"/>
        <v>-36642.081385031313</v>
      </c>
      <c r="T719" s="80">
        <f t="shared" si="332"/>
        <v>-62.932184413256344</v>
      </c>
      <c r="U719" s="80">
        <f t="shared" si="332"/>
        <v>-195.4189308398912</v>
      </c>
      <c r="V719" s="80">
        <f t="shared" si="332"/>
        <v>0</v>
      </c>
      <c r="W719" s="80">
        <f t="shared" si="332"/>
        <v>0</v>
      </c>
      <c r="X719" s="80">
        <f t="shared" si="332"/>
        <v>0</v>
      </c>
      <c r="Y719" s="80">
        <f t="shared" si="332"/>
        <v>0</v>
      </c>
      <c r="Z719" s="80">
        <f t="shared" si="332"/>
        <v>0</v>
      </c>
      <c r="AA719" s="80">
        <f>SUM(G719:Z719)</f>
        <v>-1214862.0000000005</v>
      </c>
      <c r="AB719" s="94" t="str">
        <f t="shared" si="323"/>
        <v>ok</v>
      </c>
    </row>
    <row r="720" spans="1:28" s="61" customFormat="1" x14ac:dyDescent="0.25">
      <c r="A720" s="69" t="s">
        <v>700</v>
      </c>
      <c r="F720" s="80">
        <f>F634</f>
        <v>0</v>
      </c>
      <c r="G720" s="80">
        <f t="shared" ref="G720:Z720" si="333">G634</f>
        <v>0</v>
      </c>
      <c r="H720" s="80">
        <f t="shared" si="333"/>
        <v>0</v>
      </c>
      <c r="I720" s="80">
        <f t="shared" si="333"/>
        <v>0</v>
      </c>
      <c r="J720" s="80">
        <f t="shared" si="333"/>
        <v>0</v>
      </c>
      <c r="K720" s="80">
        <f t="shared" si="333"/>
        <v>0</v>
      </c>
      <c r="L720" s="80">
        <f t="shared" si="333"/>
        <v>0</v>
      </c>
      <c r="M720" s="80">
        <f t="shared" si="333"/>
        <v>0</v>
      </c>
      <c r="N720" s="80">
        <f t="shared" si="333"/>
        <v>0</v>
      </c>
      <c r="O720" s="80">
        <f>O634</f>
        <v>0</v>
      </c>
      <c r="P720" s="80">
        <f t="shared" si="333"/>
        <v>0</v>
      </c>
      <c r="Q720" s="80">
        <f t="shared" si="333"/>
        <v>0</v>
      </c>
      <c r="R720" s="80">
        <f t="shared" si="333"/>
        <v>0</v>
      </c>
      <c r="S720" s="80">
        <f t="shared" si="333"/>
        <v>0</v>
      </c>
      <c r="T720" s="80">
        <f t="shared" si="333"/>
        <v>0</v>
      </c>
      <c r="U720" s="80">
        <f t="shared" si="333"/>
        <v>0</v>
      </c>
      <c r="V720" s="80">
        <f t="shared" si="333"/>
        <v>0</v>
      </c>
      <c r="W720" s="80">
        <f t="shared" si="333"/>
        <v>0</v>
      </c>
      <c r="X720" s="80">
        <f t="shared" si="333"/>
        <v>0</v>
      </c>
      <c r="Y720" s="80">
        <f t="shared" si="333"/>
        <v>0</v>
      </c>
      <c r="Z720" s="80">
        <f t="shared" si="333"/>
        <v>0</v>
      </c>
      <c r="AA720" s="80">
        <f>SUM(G720:Z720)</f>
        <v>0</v>
      </c>
      <c r="AB720" s="94" t="str">
        <f t="shared" si="323"/>
        <v>ok</v>
      </c>
    </row>
    <row r="721" spans="1:28" s="61" customFormat="1" ht="15.75" customHeight="1" x14ac:dyDescent="0.25">
      <c r="A721" s="69" t="s">
        <v>207</v>
      </c>
      <c r="E721" s="61" t="s">
        <v>850</v>
      </c>
      <c r="F721" s="80">
        <v>58309040.079131931</v>
      </c>
      <c r="G721" s="80">
        <f t="shared" ref="G721:Z721" si="334">IF(VLOOKUP($E721,$D$6:$AN$1141,3,)=0,0,(VLOOKUP($E721,$D$6:$AN$1141,G$2,)/VLOOKUP($E721,$D$6:$AN$1141,3,))*$F721)</f>
        <v>8884688.3564444762</v>
      </c>
      <c r="H721" s="80">
        <f t="shared" si="334"/>
        <v>14804524.038899226</v>
      </c>
      <c r="I721" s="80">
        <f t="shared" si="334"/>
        <v>0</v>
      </c>
      <c r="J721" s="80">
        <f t="shared" si="334"/>
        <v>914241.42838988325</v>
      </c>
      <c r="K721" s="80">
        <f t="shared" si="334"/>
        <v>15981179.259946093</v>
      </c>
      <c r="L721" s="80">
        <f t="shared" si="334"/>
        <v>0</v>
      </c>
      <c r="M721" s="80">
        <f t="shared" si="334"/>
        <v>0</v>
      </c>
      <c r="N721" s="80">
        <f t="shared" si="334"/>
        <v>7666936.2667275071</v>
      </c>
      <c r="O721" s="80">
        <f t="shared" si="334"/>
        <v>5640543.6564758103</v>
      </c>
      <c r="P721" s="80">
        <f t="shared" si="334"/>
        <v>2619772.0748499441</v>
      </c>
      <c r="Q721" s="80">
        <f t="shared" si="334"/>
        <v>150296.42356488045</v>
      </c>
      <c r="R721" s="80">
        <f t="shared" si="334"/>
        <v>28674.496751144899</v>
      </c>
      <c r="S721" s="80">
        <f t="shared" si="334"/>
        <v>1572521.1814092726</v>
      </c>
      <c r="T721" s="80">
        <f t="shared" si="334"/>
        <v>19506.591304398335</v>
      </c>
      <c r="U721" s="80">
        <f t="shared" si="334"/>
        <v>26156.304369367481</v>
      </c>
      <c r="V721" s="80">
        <f t="shared" si="334"/>
        <v>0</v>
      </c>
      <c r="W721" s="80">
        <f t="shared" si="334"/>
        <v>0</v>
      </c>
      <c r="X721" s="80">
        <f t="shared" si="334"/>
        <v>0</v>
      </c>
      <c r="Y721" s="80">
        <f t="shared" si="334"/>
        <v>0</v>
      </c>
      <c r="Z721" s="80">
        <f t="shared" si="334"/>
        <v>0</v>
      </c>
      <c r="AA721" s="80">
        <f>SUM(G721:Z721)</f>
        <v>58309040.079131998</v>
      </c>
      <c r="AB721" s="94" t="str">
        <f t="shared" si="323"/>
        <v>ok</v>
      </c>
    </row>
    <row r="722" spans="1:28" s="61" customFormat="1" x14ac:dyDescent="0.25">
      <c r="A722" s="69" t="s">
        <v>815</v>
      </c>
      <c r="F722" s="80">
        <f>-F1112</f>
        <v>-3438312</v>
      </c>
      <c r="G722" s="80">
        <f t="shared" ref="G722:U722" si="335">G1112</f>
        <v>0</v>
      </c>
      <c r="H722" s="80">
        <f t="shared" si="335"/>
        <v>0</v>
      </c>
      <c r="I722" s="80">
        <f t="shared" si="335"/>
        <v>0</v>
      </c>
      <c r="J722" s="80">
        <f t="shared" si="335"/>
        <v>0</v>
      </c>
      <c r="K722" s="80">
        <f t="shared" si="335"/>
        <v>0</v>
      </c>
      <c r="L722" s="80">
        <f t="shared" si="335"/>
        <v>0</v>
      </c>
      <c r="M722" s="80">
        <f>-M1112</f>
        <v>0</v>
      </c>
      <c r="N722" s="80">
        <f>-N1112</f>
        <v>0</v>
      </c>
      <c r="O722" s="80">
        <f>-O1112</f>
        <v>0</v>
      </c>
      <c r="P722" s="80">
        <f>-P1112</f>
        <v>-3438312</v>
      </c>
      <c r="Q722" s="80">
        <f t="shared" si="335"/>
        <v>0</v>
      </c>
      <c r="R722" s="80">
        <f t="shared" si="335"/>
        <v>0</v>
      </c>
      <c r="S722" s="80">
        <f t="shared" si="335"/>
        <v>0</v>
      </c>
      <c r="T722" s="80">
        <f t="shared" si="335"/>
        <v>0</v>
      </c>
      <c r="U722" s="80">
        <f t="shared" si="335"/>
        <v>0</v>
      </c>
      <c r="V722" s="80"/>
      <c r="W722" s="80"/>
      <c r="X722" s="80"/>
      <c r="Y722" s="80"/>
      <c r="Z722" s="80"/>
      <c r="AA722" s="80">
        <f>SUM(G722:Z722)</f>
        <v>-3438312</v>
      </c>
      <c r="AB722" s="94" t="str">
        <f t="shared" si="323"/>
        <v>ok</v>
      </c>
    </row>
    <row r="723" spans="1:28" s="61" customFormat="1" x14ac:dyDescent="0.25">
      <c r="A723" s="69" t="s">
        <v>816</v>
      </c>
      <c r="E723" s="61" t="s">
        <v>710</v>
      </c>
      <c r="F723" s="151">
        <f>-F722</f>
        <v>3438312</v>
      </c>
      <c r="G723" s="151">
        <f t="shared" ref="G723:Z723" si="336">IF(VLOOKUP($E723,$D$6:$AN$1141,3,)=0,0,(VLOOKUP($E723,$D$6:$AN$1141,G$2,)/VLOOKUP($E723,$D$6:$AN$1141,3,))*$F723)</f>
        <v>1716605.785352347</v>
      </c>
      <c r="H723" s="151">
        <f t="shared" si="336"/>
        <v>425492.59560746321</v>
      </c>
      <c r="I723" s="151">
        <f t="shared" si="336"/>
        <v>0</v>
      </c>
      <c r="J723" s="151">
        <f t="shared" si="336"/>
        <v>38428.615429308375</v>
      </c>
      <c r="K723" s="151">
        <f t="shared" si="336"/>
        <v>488699.19441685366</v>
      </c>
      <c r="L723" s="151">
        <f t="shared" si="336"/>
        <v>0</v>
      </c>
      <c r="M723" s="151">
        <f t="shared" si="336"/>
        <v>0</v>
      </c>
      <c r="N723" s="151">
        <f t="shared" si="336"/>
        <v>396831.61628918949</v>
      </c>
      <c r="O723" s="151">
        <f t="shared" si="336"/>
        <v>242170.74316397536</v>
      </c>
      <c r="P723" s="151">
        <f t="shared" si="336"/>
        <v>95747.55506104957</v>
      </c>
      <c r="Q723" s="151">
        <f t="shared" si="336"/>
        <v>20506.325697155196</v>
      </c>
      <c r="R723" s="151">
        <f t="shared" si="336"/>
        <v>13361.844585213275</v>
      </c>
      <c r="S723" s="151">
        <f t="shared" si="336"/>
        <v>0</v>
      </c>
      <c r="T723" s="151">
        <f t="shared" si="336"/>
        <v>0</v>
      </c>
      <c r="U723" s="151">
        <f t="shared" si="336"/>
        <v>467.72439744527958</v>
      </c>
      <c r="V723" s="151">
        <f t="shared" si="336"/>
        <v>0</v>
      </c>
      <c r="W723" s="151">
        <f t="shared" si="336"/>
        <v>0</v>
      </c>
      <c r="X723" s="151">
        <f t="shared" si="336"/>
        <v>0</v>
      </c>
      <c r="Y723" s="151">
        <f t="shared" si="336"/>
        <v>0</v>
      </c>
      <c r="Z723" s="151">
        <f t="shared" si="336"/>
        <v>0</v>
      </c>
      <c r="AA723" s="151">
        <f>SUM(G723:Z723)</f>
        <v>3438312.0000000005</v>
      </c>
      <c r="AB723" s="152" t="str">
        <f t="shared" si="323"/>
        <v>ok</v>
      </c>
    </row>
    <row r="724" spans="1:28" s="61" customFormat="1" x14ac:dyDescent="0.25">
      <c r="A724" s="69"/>
      <c r="AA724" s="81"/>
      <c r="AB724" s="94"/>
    </row>
    <row r="725" spans="1:28" s="61" customFormat="1" x14ac:dyDescent="0.25">
      <c r="A725" s="61" t="s">
        <v>1142</v>
      </c>
      <c r="D725" s="61" t="s">
        <v>1103</v>
      </c>
      <c r="F725" s="81">
        <f>SUM(F712:F723)</f>
        <v>902784323.01420605</v>
      </c>
      <c r="G725" s="81">
        <f>SUM(G712:G724)</f>
        <v>390668430.23993433</v>
      </c>
      <c r="H725" s="81">
        <f t="shared" ref="H725:Z725" si="337">SUM(H712:H724)</f>
        <v>117842709.44659914</v>
      </c>
      <c r="I725" s="81">
        <f t="shared" si="337"/>
        <v>0</v>
      </c>
      <c r="J725" s="81">
        <f t="shared" si="337"/>
        <v>10416563.670218231</v>
      </c>
      <c r="K725" s="81">
        <f t="shared" si="337"/>
        <v>134664225.35650334</v>
      </c>
      <c r="L725" s="81">
        <f t="shared" si="337"/>
        <v>0</v>
      </c>
      <c r="M725" s="81">
        <f t="shared" si="337"/>
        <v>0</v>
      </c>
      <c r="N725" s="81">
        <f t="shared" si="337"/>
        <v>119389984.94254033</v>
      </c>
      <c r="O725" s="81">
        <f>SUM(O712:O724)</f>
        <v>66809128.076639012</v>
      </c>
      <c r="P725" s="81">
        <f t="shared" si="337"/>
        <v>39389651.132061489</v>
      </c>
      <c r="Q725" s="81">
        <f t="shared" si="337"/>
        <v>6107250.0112587763</v>
      </c>
      <c r="R725" s="81">
        <f t="shared" si="337"/>
        <v>3328767.5087409001</v>
      </c>
      <c r="S725" s="81">
        <f t="shared" si="337"/>
        <v>13759742.76626602</v>
      </c>
      <c r="T725" s="81">
        <f t="shared" si="337"/>
        <v>179182.28100149453</v>
      </c>
      <c r="U725" s="81">
        <f t="shared" si="337"/>
        <v>228687.58244281661</v>
      </c>
      <c r="V725" s="81">
        <f t="shared" si="337"/>
        <v>0</v>
      </c>
      <c r="W725" s="81">
        <f t="shared" si="337"/>
        <v>0</v>
      </c>
      <c r="X725" s="81">
        <f t="shared" si="337"/>
        <v>0</v>
      </c>
      <c r="Y725" s="81">
        <f t="shared" si="337"/>
        <v>0</v>
      </c>
      <c r="Z725" s="81">
        <f t="shared" si="337"/>
        <v>0</v>
      </c>
      <c r="AA725" s="81">
        <f>SUM(G725:Z725)</f>
        <v>902784323.01420569</v>
      </c>
      <c r="AB725" s="94" t="str">
        <f>IF(ABS(F725-AA725)&lt;0.01,"ok","err")</f>
        <v>ok</v>
      </c>
    </row>
    <row r="726" spans="1:28" s="61" customFormat="1" x14ac:dyDescent="0.25">
      <c r="A726" s="69"/>
    </row>
    <row r="727" spans="1:28" s="61" customFormat="1" x14ac:dyDescent="0.25">
      <c r="A727" s="61" t="s">
        <v>713</v>
      </c>
      <c r="D727" s="61" t="s">
        <v>1091</v>
      </c>
      <c r="F727" s="81">
        <f t="shared" ref="F727:Z727" si="338">F709-F725</f>
        <v>150927577.98579395</v>
      </c>
      <c r="G727" s="81">
        <f t="shared" si="338"/>
        <v>44695627.475082099</v>
      </c>
      <c r="H727" s="81">
        <f t="shared" si="338"/>
        <v>31048660.172502413</v>
      </c>
      <c r="I727" s="81">
        <f t="shared" si="338"/>
        <v>0</v>
      </c>
      <c r="J727" s="81">
        <f t="shared" si="338"/>
        <v>1992074.1654765829</v>
      </c>
      <c r="K727" s="81">
        <f t="shared" si="338"/>
        <v>32657330.493308663</v>
      </c>
      <c r="L727" s="81">
        <f t="shared" si="338"/>
        <v>0</v>
      </c>
      <c r="M727" s="81">
        <f t="shared" si="338"/>
        <v>0</v>
      </c>
      <c r="N727" s="81">
        <f t="shared" si="338"/>
        <v>17694408.07489033</v>
      </c>
      <c r="O727" s="81">
        <f>O709-O725</f>
        <v>12402161.02028881</v>
      </c>
      <c r="P727" s="81">
        <f t="shared" si="338"/>
        <v>5378853.9112484828</v>
      </c>
      <c r="Q727" s="81">
        <f t="shared" si="338"/>
        <v>512393.47164009046</v>
      </c>
      <c r="R727" s="81">
        <f t="shared" si="338"/>
        <v>214218.04142452683</v>
      </c>
      <c r="S727" s="81">
        <f t="shared" si="338"/>
        <v>4244837.1498953346</v>
      </c>
      <c r="T727" s="81">
        <f t="shared" si="338"/>
        <v>35037.2262823286</v>
      </c>
      <c r="U727" s="81">
        <f t="shared" si="338"/>
        <v>51976.783754426957</v>
      </c>
      <c r="V727" s="81">
        <f t="shared" si="338"/>
        <v>0</v>
      </c>
      <c r="W727" s="81">
        <f t="shared" si="338"/>
        <v>0</v>
      </c>
      <c r="X727" s="81">
        <f t="shared" si="338"/>
        <v>0</v>
      </c>
      <c r="Y727" s="81">
        <f t="shared" si="338"/>
        <v>0</v>
      </c>
      <c r="Z727" s="81">
        <f t="shared" si="338"/>
        <v>0</v>
      </c>
      <c r="AA727" s="81">
        <f>SUM(G727:Z727)</f>
        <v>150927577.98579407</v>
      </c>
      <c r="AB727" s="94" t="str">
        <f>IF(ABS(F727-AA727)&lt;0.01,"ok","err")</f>
        <v>ok</v>
      </c>
    </row>
    <row r="728" spans="1:28" s="61" customFormat="1" x14ac:dyDescent="0.25"/>
    <row r="729" spans="1:28" s="61" customFormat="1" x14ac:dyDescent="0.25">
      <c r="A729" s="61" t="s">
        <v>1125</v>
      </c>
      <c r="F729" s="81">
        <f t="shared" ref="F729:P729" si="339">F176</f>
        <v>2250031689.5289073</v>
      </c>
      <c r="G729" s="81">
        <f t="shared" si="339"/>
        <v>1225741672.3782828</v>
      </c>
      <c r="H729" s="81">
        <f t="shared" si="339"/>
        <v>272051302.68880898</v>
      </c>
      <c r="I729" s="81">
        <f t="shared" si="339"/>
        <v>0</v>
      </c>
      <c r="J729" s="81">
        <f t="shared" si="339"/>
        <v>20130039.304534759</v>
      </c>
      <c r="K729" s="81">
        <f t="shared" si="339"/>
        <v>260999577.51330796</v>
      </c>
      <c r="L729" s="81">
        <f t="shared" si="339"/>
        <v>0</v>
      </c>
      <c r="M729" s="81">
        <f t="shared" si="339"/>
        <v>0</v>
      </c>
      <c r="N729" s="81">
        <f t="shared" si="339"/>
        <v>211458478.97557414</v>
      </c>
      <c r="O729" s="81">
        <f>O176</f>
        <v>128875799.74577057</v>
      </c>
      <c r="P729" s="81">
        <f t="shared" si="339"/>
        <v>46217422.218736798</v>
      </c>
      <c r="Q729" s="81">
        <f>Q176</f>
        <v>11105016.673919467</v>
      </c>
      <c r="R729" s="81">
        <f t="shared" ref="R729:Z729" si="340">R176</f>
        <v>6961566.9375586044</v>
      </c>
      <c r="S729" s="81">
        <f t="shared" si="340"/>
        <v>65992175.425948963</v>
      </c>
      <c r="T729" s="81">
        <f t="shared" si="340"/>
        <v>129178.36717412261</v>
      </c>
      <c r="U729" s="81">
        <f t="shared" si="340"/>
        <v>369459.29929092026</v>
      </c>
      <c r="V729" s="81">
        <f t="shared" si="340"/>
        <v>0</v>
      </c>
      <c r="W729" s="81">
        <f t="shared" si="340"/>
        <v>0</v>
      </c>
      <c r="X729" s="81">
        <f t="shared" si="340"/>
        <v>0</v>
      </c>
      <c r="Y729" s="81">
        <f t="shared" si="340"/>
        <v>0</v>
      </c>
      <c r="Z729" s="81">
        <f t="shared" si="340"/>
        <v>0</v>
      </c>
      <c r="AA729" s="81">
        <f>SUM(G729:Z729)</f>
        <v>2250031689.5289083</v>
      </c>
      <c r="AB729" s="94" t="str">
        <f>IF(ABS(F729-AA729)&lt;0.01,"ok","err")</f>
        <v>ok</v>
      </c>
    </row>
    <row r="730" spans="1:28" s="61" customFormat="1" x14ac:dyDescent="0.25"/>
    <row r="731" spans="1:28" s="66" customFormat="1" x14ac:dyDescent="0.25">
      <c r="A731" s="143"/>
      <c r="B731" s="143"/>
      <c r="C731" s="143"/>
      <c r="D731" s="143"/>
      <c r="E731" s="143"/>
      <c r="F731" s="147"/>
      <c r="G731" s="147"/>
      <c r="H731" s="147"/>
      <c r="I731" s="147"/>
      <c r="J731" s="147"/>
      <c r="K731" s="147"/>
      <c r="L731" s="147"/>
      <c r="M731" s="147"/>
      <c r="N731" s="147"/>
      <c r="O731" s="147"/>
      <c r="P731" s="147"/>
      <c r="Q731" s="147"/>
      <c r="R731" s="147"/>
      <c r="S731" s="147"/>
      <c r="T731" s="147"/>
      <c r="U731" s="147"/>
      <c r="V731" s="147"/>
      <c r="W731" s="147"/>
      <c r="X731" s="147"/>
      <c r="Y731" s="147"/>
      <c r="Z731" s="147"/>
      <c r="AA731" s="147"/>
      <c r="AB731" s="148"/>
    </row>
    <row r="732" spans="1:28" s="61" customFormat="1" x14ac:dyDescent="0.25">
      <c r="A732" s="71"/>
      <c r="B732" s="71"/>
      <c r="C732" s="71"/>
      <c r="D732" s="71"/>
      <c r="E732" s="71"/>
      <c r="F732" s="227"/>
      <c r="G732" s="227"/>
      <c r="H732" s="227"/>
      <c r="I732" s="227"/>
      <c r="J732" s="227"/>
      <c r="K732" s="227"/>
      <c r="L732" s="227"/>
      <c r="M732" s="227"/>
      <c r="N732" s="227"/>
      <c r="O732" s="227"/>
      <c r="P732" s="227"/>
      <c r="Q732" s="227"/>
      <c r="R732" s="227"/>
      <c r="S732" s="227"/>
      <c r="T732" s="227"/>
      <c r="U732" s="227"/>
      <c r="V732" s="71"/>
      <c r="W732" s="71"/>
      <c r="X732" s="71"/>
      <c r="Y732" s="71"/>
      <c r="Z732" s="71"/>
      <c r="AA732" s="71"/>
      <c r="AB732" s="71"/>
    </row>
    <row r="733" spans="1:28" s="61" customFormat="1" x14ac:dyDescent="0.25">
      <c r="A733" s="71"/>
      <c r="B733" s="71"/>
      <c r="C733" s="71"/>
      <c r="D733" s="71"/>
      <c r="E733" s="71"/>
      <c r="F733" s="149"/>
      <c r="G733" s="149"/>
      <c r="H733" s="149"/>
      <c r="I733" s="149"/>
      <c r="J733" s="149"/>
      <c r="K733" s="149"/>
      <c r="L733" s="149"/>
      <c r="M733" s="149"/>
      <c r="N733" s="149"/>
      <c r="O733" s="149"/>
      <c r="P733" s="149"/>
      <c r="Q733" s="149"/>
      <c r="R733" s="149"/>
      <c r="S733" s="149"/>
      <c r="T733" s="149"/>
      <c r="U733" s="149"/>
      <c r="V733" s="149"/>
      <c r="W733" s="149"/>
      <c r="X733" s="149"/>
      <c r="Y733" s="149"/>
      <c r="Z733" s="149"/>
      <c r="AA733" s="149"/>
      <c r="AB733" s="71"/>
    </row>
    <row r="734" spans="1:28" s="61" customFormat="1" x14ac:dyDescent="0.25"/>
    <row r="735" spans="1:28" s="61" customFormat="1" x14ac:dyDescent="0.25"/>
    <row r="736" spans="1:28" s="61" customFormat="1" x14ac:dyDescent="0.25">
      <c r="A736" s="66" t="s">
        <v>851</v>
      </c>
    </row>
    <row r="737" spans="1:28" s="61" customFormat="1" x14ac:dyDescent="0.25"/>
    <row r="738" spans="1:28" s="61" customFormat="1" x14ac:dyDescent="0.25">
      <c r="A738" s="61" t="s">
        <v>848</v>
      </c>
      <c r="F738" s="81">
        <f>F709</f>
        <v>1053711901</v>
      </c>
      <c r="G738" s="81">
        <f t="shared" ref="G738:Z738" si="341">G709</f>
        <v>435364057.71501642</v>
      </c>
      <c r="H738" s="81">
        <f t="shared" si="341"/>
        <v>148891369.61910155</v>
      </c>
      <c r="I738" s="81">
        <f t="shared" si="341"/>
        <v>0</v>
      </c>
      <c r="J738" s="81">
        <f t="shared" si="341"/>
        <v>12408637.835694814</v>
      </c>
      <c r="K738" s="81">
        <f t="shared" si="341"/>
        <v>167321555.849812</v>
      </c>
      <c r="L738" s="81">
        <f t="shared" si="341"/>
        <v>0</v>
      </c>
      <c r="M738" s="81">
        <f t="shared" si="341"/>
        <v>0</v>
      </c>
      <c r="N738" s="81">
        <f t="shared" si="341"/>
        <v>137084393.01743066</v>
      </c>
      <c r="O738" s="81">
        <f>O709</f>
        <v>79211289.096927822</v>
      </c>
      <c r="P738" s="81">
        <f t="shared" si="341"/>
        <v>44768505.043309972</v>
      </c>
      <c r="Q738" s="81">
        <f t="shared" si="341"/>
        <v>6619643.4828988668</v>
      </c>
      <c r="R738" s="81">
        <f t="shared" si="341"/>
        <v>3542985.5501654269</v>
      </c>
      <c r="S738" s="81">
        <f t="shared" si="341"/>
        <v>18004579.916161355</v>
      </c>
      <c r="T738" s="81">
        <f t="shared" si="341"/>
        <v>214219.50728382313</v>
      </c>
      <c r="U738" s="81">
        <f t="shared" si="341"/>
        <v>280664.36619724357</v>
      </c>
      <c r="V738" s="81">
        <f t="shared" si="341"/>
        <v>0</v>
      </c>
      <c r="W738" s="81">
        <f t="shared" si="341"/>
        <v>0</v>
      </c>
      <c r="X738" s="81">
        <f t="shared" si="341"/>
        <v>0</v>
      </c>
      <c r="Y738" s="81">
        <f t="shared" si="341"/>
        <v>0</v>
      </c>
      <c r="Z738" s="81">
        <f t="shared" si="341"/>
        <v>0</v>
      </c>
      <c r="AA738" s="81">
        <f>SUM(G738:Z738)</f>
        <v>1053711900.9999999</v>
      </c>
      <c r="AB738" s="94" t="str">
        <f>IF(ABS(F738-AA738)&lt;0.01,"ok","err")</f>
        <v>ok</v>
      </c>
    </row>
    <row r="739" spans="1:28" s="61" customFormat="1" x14ac:dyDescent="0.25"/>
    <row r="740" spans="1:28" s="61" customFormat="1" x14ac:dyDescent="0.25">
      <c r="A740" s="61" t="s">
        <v>1139</v>
      </c>
      <c r="F740" s="81">
        <f>F712+F713+F714+F715+F718+F719+F720+F722+F723+F717+F716</f>
        <v>844475282.93507409</v>
      </c>
      <c r="G740" s="81">
        <f t="shared" ref="G740:U740" si="342">G712+G713+G714+G715+G718+G719+G720+G722+G723+G717+G716</f>
        <v>381783741.88348985</v>
      </c>
      <c r="H740" s="81">
        <f t="shared" si="342"/>
        <v>103038185.40769991</v>
      </c>
      <c r="I740" s="81">
        <f t="shared" si="342"/>
        <v>0</v>
      </c>
      <c r="J740" s="81">
        <f t="shared" si="342"/>
        <v>9502322.2418283485</v>
      </c>
      <c r="K740" s="81">
        <f t="shared" si="342"/>
        <v>118683046.09655723</v>
      </c>
      <c r="L740" s="81">
        <f t="shared" si="342"/>
        <v>0</v>
      </c>
      <c r="M740" s="81">
        <f t="shared" si="342"/>
        <v>0</v>
      </c>
      <c r="N740" s="81">
        <f t="shared" si="342"/>
        <v>111723048.67581283</v>
      </c>
      <c r="O740" s="81">
        <f>O712+O713+O714+O715+O718+O719+O720+O722+O723+O717+O716</f>
        <v>61168584.420163199</v>
      </c>
      <c r="P740" s="81">
        <f t="shared" si="342"/>
        <v>36769879.057211548</v>
      </c>
      <c r="Q740" s="81">
        <f t="shared" si="342"/>
        <v>5956953.5876938961</v>
      </c>
      <c r="R740" s="81">
        <f t="shared" si="342"/>
        <v>3300093.0119897551</v>
      </c>
      <c r="S740" s="81">
        <f t="shared" si="342"/>
        <v>12187221.584856747</v>
      </c>
      <c r="T740" s="81">
        <f t="shared" si="342"/>
        <v>159675.68969709618</v>
      </c>
      <c r="U740" s="81">
        <f t="shared" si="342"/>
        <v>202531.27807344912</v>
      </c>
      <c r="V740" s="81">
        <f>V712+V713+V715+V718+V719+V720+V722+V723+V717+V716</f>
        <v>0</v>
      </c>
      <c r="W740" s="81">
        <f>W712+W713+W715+W718+W719+W720+W722+W723+W717+W716</f>
        <v>0</v>
      </c>
      <c r="X740" s="81">
        <f>X712+X713+X715+X718+X719+X720+X722+X723+X717+X716</f>
        <v>0</v>
      </c>
      <c r="Y740" s="81">
        <f>Y712+Y713+Y715+Y718+Y719+Y720+Y722+Y723+Y717+Y716</f>
        <v>0</v>
      </c>
      <c r="Z740" s="81">
        <f>Z712+Z713+Z715+Z718+Z719+Z720+Z722+Z723+Z717+Z716</f>
        <v>0</v>
      </c>
      <c r="AA740" s="81">
        <f>SUM(G740:Z740)</f>
        <v>844475282.93507385</v>
      </c>
      <c r="AB740" s="94" t="str">
        <f>IF(ABS(F740-AA740)&lt;0.01,"ok","err")</f>
        <v>ok</v>
      </c>
    </row>
    <row r="741" spans="1:28" s="61" customFormat="1" x14ac:dyDescent="0.25"/>
    <row r="742" spans="1:28" s="61" customFormat="1" x14ac:dyDescent="0.25">
      <c r="A742" s="61" t="s">
        <v>849</v>
      </c>
      <c r="D742" s="61" t="s">
        <v>854</v>
      </c>
      <c r="F742" s="140">
        <f>F691</f>
        <v>54657992.520312905</v>
      </c>
      <c r="G742" s="140">
        <f t="shared" ref="G742:Z742" si="343">G691</f>
        <v>30026799.727204185</v>
      </c>
      <c r="H742" s="140">
        <f t="shared" si="343"/>
        <v>6606045.6087163119</v>
      </c>
      <c r="I742" s="140">
        <f t="shared" si="343"/>
        <v>0</v>
      </c>
      <c r="J742" s="140">
        <f t="shared" si="343"/>
        <v>482640.23881582875</v>
      </c>
      <c r="K742" s="140">
        <f t="shared" si="343"/>
        <v>6272030.7093191929</v>
      </c>
      <c r="L742" s="140">
        <f t="shared" si="343"/>
        <v>0</v>
      </c>
      <c r="M742" s="140">
        <f t="shared" si="343"/>
        <v>0</v>
      </c>
      <c r="N742" s="140">
        <f t="shared" si="343"/>
        <v>5036117.4361412581</v>
      </c>
      <c r="O742" s="140">
        <f>O691</f>
        <v>3089491.8548910357</v>
      </c>
      <c r="P742" s="140">
        <f t="shared" si="343"/>
        <v>1053549.0988629968</v>
      </c>
      <c r="Q742" s="140">
        <f t="shared" si="343"/>
        <v>264250.57006086037</v>
      </c>
      <c r="R742" s="140">
        <f t="shared" si="343"/>
        <v>166875.77833945953</v>
      </c>
      <c r="S742" s="140">
        <f t="shared" si="343"/>
        <v>1648567.9939546536</v>
      </c>
      <c r="T742" s="140">
        <f t="shared" si="343"/>
        <v>2831.38896841511</v>
      </c>
      <c r="U742" s="140">
        <f t="shared" si="343"/>
        <v>8792.1150387240014</v>
      </c>
      <c r="V742" s="140">
        <f t="shared" si="343"/>
        <v>0</v>
      </c>
      <c r="W742" s="140">
        <f t="shared" si="343"/>
        <v>0</v>
      </c>
      <c r="X742" s="140">
        <f t="shared" si="343"/>
        <v>0</v>
      </c>
      <c r="Y742" s="140">
        <f t="shared" si="343"/>
        <v>0</v>
      </c>
      <c r="Z742" s="140">
        <f t="shared" si="343"/>
        <v>0</v>
      </c>
      <c r="AA742" s="140">
        <f>SUM(G742:Z742)</f>
        <v>54657992.52031292</v>
      </c>
      <c r="AB742" s="94" t="str">
        <f>IF(ABS(F742-AA742)&lt;0.01,"ok","err")</f>
        <v>ok</v>
      </c>
    </row>
    <row r="743" spans="1:28" s="61" customFormat="1" x14ac:dyDescent="0.25"/>
    <row r="744" spans="1:28" s="61" customFormat="1" x14ac:dyDescent="0.25">
      <c r="A744" s="61" t="s">
        <v>847</v>
      </c>
      <c r="D744" s="61" t="s">
        <v>850</v>
      </c>
      <c r="F744" s="81">
        <f>F738-F740-F742</f>
        <v>154578625.544613</v>
      </c>
      <c r="G744" s="81">
        <f t="shared" ref="G744:Z744" si="344">G738-G740-G742</f>
        <v>23553516.104322392</v>
      </c>
      <c r="H744" s="81">
        <f t="shared" si="344"/>
        <v>39247138.602685332</v>
      </c>
      <c r="I744" s="81">
        <f t="shared" si="344"/>
        <v>0</v>
      </c>
      <c r="J744" s="81">
        <f t="shared" si="344"/>
        <v>2423675.3550506369</v>
      </c>
      <c r="K744" s="81">
        <f t="shared" si="344"/>
        <v>42366479.043935582</v>
      </c>
      <c r="L744" s="81">
        <f t="shared" si="344"/>
        <v>0</v>
      </c>
      <c r="M744" s="81">
        <f t="shared" si="344"/>
        <v>0</v>
      </c>
      <c r="N744" s="81">
        <f t="shared" si="344"/>
        <v>20325226.905476578</v>
      </c>
      <c r="O744" s="81">
        <f>O738-O740-O742</f>
        <v>14953212.821873587</v>
      </c>
      <c r="P744" s="81">
        <f t="shared" si="344"/>
        <v>6945076.8872354273</v>
      </c>
      <c r="Q744" s="81">
        <f t="shared" si="344"/>
        <v>398439.32514411025</v>
      </c>
      <c r="R744" s="81">
        <f t="shared" si="344"/>
        <v>76016.759836212295</v>
      </c>
      <c r="S744" s="81">
        <f t="shared" si="344"/>
        <v>4168790.3373499541</v>
      </c>
      <c r="T744" s="81">
        <f t="shared" si="344"/>
        <v>51712.428618311838</v>
      </c>
      <c r="U744" s="81">
        <f t="shared" si="344"/>
        <v>69340.973085070436</v>
      </c>
      <c r="V744" s="81">
        <f t="shared" si="344"/>
        <v>0</v>
      </c>
      <c r="W744" s="81">
        <f t="shared" si="344"/>
        <v>0</v>
      </c>
      <c r="X744" s="81">
        <f t="shared" si="344"/>
        <v>0</v>
      </c>
      <c r="Y744" s="81">
        <f t="shared" si="344"/>
        <v>0</v>
      </c>
      <c r="Z744" s="81">
        <f t="shared" si="344"/>
        <v>0</v>
      </c>
      <c r="AA744" s="81">
        <f>SUM(G744:Z744)</f>
        <v>154578625.54461321</v>
      </c>
      <c r="AB744" s="94" t="str">
        <f>IF(ABS(F744-AA744)&lt;0.01,"ok","err")</f>
        <v>ok</v>
      </c>
    </row>
    <row r="745" spans="1:28" s="61" customFormat="1" x14ac:dyDescent="0.25"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  <c r="AA745" s="81"/>
      <c r="AB745" s="94"/>
    </row>
    <row r="746" spans="1:28" s="61" customFormat="1" x14ac:dyDescent="0.25"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  <c r="AA746" s="81"/>
      <c r="AB746" s="94"/>
    </row>
    <row r="747" spans="1:28" s="61" customFormat="1" x14ac:dyDescent="0.25"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  <c r="AA747" s="81"/>
      <c r="AB747" s="94"/>
    </row>
    <row r="748" spans="1:28" s="61" customFormat="1" x14ac:dyDescent="0.25"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  <c r="AA748" s="81"/>
      <c r="AB748" s="94"/>
    </row>
    <row r="749" spans="1:28" s="61" customFormat="1" x14ac:dyDescent="0.25"/>
    <row r="752" spans="1:28" x14ac:dyDescent="0.25">
      <c r="A752" s="66" t="s">
        <v>209</v>
      </c>
    </row>
    <row r="753" spans="1:28" x14ac:dyDescent="0.25">
      <c r="F753" s="81"/>
    </row>
    <row r="754" spans="1:28" x14ac:dyDescent="0.25">
      <c r="A754" s="66" t="s">
        <v>1135</v>
      </c>
    </row>
    <row r="755" spans="1:28" s="61" customFormat="1" x14ac:dyDescent="0.25"/>
    <row r="756" spans="1:28" s="61" customFormat="1" x14ac:dyDescent="0.25">
      <c r="A756" s="61" t="s">
        <v>135</v>
      </c>
      <c r="F756" s="81">
        <f t="shared" ref="F756:P756" si="345">F709</f>
        <v>1053711901</v>
      </c>
      <c r="G756" s="81">
        <f t="shared" si="345"/>
        <v>435364057.71501642</v>
      </c>
      <c r="H756" s="81">
        <f t="shared" si="345"/>
        <v>148891369.61910155</v>
      </c>
      <c r="I756" s="81">
        <f t="shared" si="345"/>
        <v>0</v>
      </c>
      <c r="J756" s="81">
        <f t="shared" si="345"/>
        <v>12408637.835694814</v>
      </c>
      <c r="K756" s="81">
        <f t="shared" si="345"/>
        <v>167321555.849812</v>
      </c>
      <c r="L756" s="81">
        <f t="shared" si="345"/>
        <v>0</v>
      </c>
      <c r="M756" s="81">
        <f t="shared" si="345"/>
        <v>0</v>
      </c>
      <c r="N756" s="81">
        <f t="shared" si="345"/>
        <v>137084393.01743066</v>
      </c>
      <c r="O756" s="81">
        <f>O709</f>
        <v>79211289.096927822</v>
      </c>
      <c r="P756" s="81">
        <f t="shared" si="345"/>
        <v>44768505.043309972</v>
      </c>
      <c r="Q756" s="81">
        <f>Q709</f>
        <v>6619643.4828988668</v>
      </c>
      <c r="R756" s="81">
        <f t="shared" ref="R756:Z756" si="346">R709</f>
        <v>3542985.5501654269</v>
      </c>
      <c r="S756" s="81">
        <f t="shared" si="346"/>
        <v>18004579.916161355</v>
      </c>
      <c r="T756" s="81">
        <f t="shared" si="346"/>
        <v>214219.50728382313</v>
      </c>
      <c r="U756" s="81">
        <f t="shared" si="346"/>
        <v>280664.36619724357</v>
      </c>
      <c r="V756" s="81">
        <f t="shared" si="346"/>
        <v>0</v>
      </c>
      <c r="W756" s="81">
        <f t="shared" si="346"/>
        <v>0</v>
      </c>
      <c r="X756" s="81">
        <f t="shared" si="346"/>
        <v>0</v>
      </c>
      <c r="Y756" s="81">
        <f t="shared" si="346"/>
        <v>0</v>
      </c>
      <c r="Z756" s="81">
        <f t="shared" si="346"/>
        <v>0</v>
      </c>
      <c r="AA756" s="81">
        <f>SUM(G756:Z756)</f>
        <v>1053711900.9999999</v>
      </c>
      <c r="AB756" s="94" t="str">
        <f>IF(ABS(F756-AA756)&lt;0.01,"ok","err")</f>
        <v>ok</v>
      </c>
    </row>
    <row r="757" spans="1:28" s="61" customFormat="1" x14ac:dyDescent="0.25"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  <c r="AA757" s="81"/>
      <c r="AB757" s="94"/>
    </row>
    <row r="758" spans="1:28" s="61" customFormat="1" x14ac:dyDescent="0.25">
      <c r="A758" s="61" t="s">
        <v>136</v>
      </c>
      <c r="F758" s="81"/>
      <c r="G758" s="81"/>
      <c r="H758" s="81"/>
      <c r="I758" s="81"/>
      <c r="J758" s="81"/>
      <c r="K758" s="81"/>
      <c r="L758" s="81"/>
      <c r="M758" s="81"/>
      <c r="N758" s="81"/>
      <c r="O758" s="228"/>
      <c r="P758" s="228"/>
      <c r="Q758" s="81"/>
      <c r="R758" s="81"/>
      <c r="S758" s="81"/>
      <c r="T758" s="81"/>
      <c r="U758" s="81"/>
      <c r="V758" s="81"/>
      <c r="W758" s="81"/>
      <c r="X758" s="81"/>
      <c r="Y758" s="81"/>
      <c r="Z758" s="81"/>
      <c r="AA758" s="81"/>
      <c r="AB758" s="94"/>
    </row>
    <row r="759" spans="1:28" s="61" customFormat="1" x14ac:dyDescent="0.25">
      <c r="B759" s="61" t="s">
        <v>1290</v>
      </c>
      <c r="E759" s="61" t="s">
        <v>130</v>
      </c>
      <c r="F759" s="77"/>
      <c r="G759" s="77">
        <f t="shared" ref="G759:P769" si="347">IF(VLOOKUP($E759,$D$6:$AN$1141,3,)=0,0,(VLOOKUP($E759,$D$6:$AN$1141,G$2,)/VLOOKUP($E759,$D$6:$AN$1141,3,))*$F759)</f>
        <v>0</v>
      </c>
      <c r="H759" s="77">
        <f t="shared" si="347"/>
        <v>0</v>
      </c>
      <c r="I759" s="77">
        <f t="shared" si="347"/>
        <v>0</v>
      </c>
      <c r="J759" s="77">
        <f t="shared" si="347"/>
        <v>0</v>
      </c>
      <c r="K759" s="77">
        <f t="shared" si="347"/>
        <v>0</v>
      </c>
      <c r="L759" s="77">
        <f t="shared" si="347"/>
        <v>0</v>
      </c>
      <c r="M759" s="77">
        <f t="shared" si="347"/>
        <v>0</v>
      </c>
      <c r="N759" s="77">
        <f t="shared" si="347"/>
        <v>0</v>
      </c>
      <c r="O759" s="77">
        <f t="shared" si="347"/>
        <v>0</v>
      </c>
      <c r="P759" s="77">
        <f t="shared" si="347"/>
        <v>0</v>
      </c>
      <c r="Q759" s="77">
        <f t="shared" ref="Q759:Z769" si="348">IF(VLOOKUP($E759,$D$6:$AN$1141,3,)=0,0,(VLOOKUP($E759,$D$6:$AN$1141,Q$2,)/VLOOKUP($E759,$D$6:$AN$1141,3,))*$F759)</f>
        <v>0</v>
      </c>
      <c r="R759" s="77">
        <f t="shared" si="348"/>
        <v>0</v>
      </c>
      <c r="S759" s="77">
        <f t="shared" si="348"/>
        <v>0</v>
      </c>
      <c r="T759" s="77">
        <f t="shared" si="348"/>
        <v>0</v>
      </c>
      <c r="U759" s="77">
        <f t="shared" si="348"/>
        <v>0</v>
      </c>
      <c r="V759" s="77">
        <f t="shared" si="348"/>
        <v>0</v>
      </c>
      <c r="W759" s="77">
        <f t="shared" si="348"/>
        <v>0</v>
      </c>
      <c r="X759" s="77">
        <f t="shared" si="348"/>
        <v>0</v>
      </c>
      <c r="Y759" s="77">
        <f t="shared" si="348"/>
        <v>0</v>
      </c>
      <c r="Z759" s="77">
        <f t="shared" si="348"/>
        <v>0</v>
      </c>
      <c r="AA759" s="81">
        <f t="shared" ref="AA759:AA770" si="349">SUM(G759:Z759)</f>
        <v>0</v>
      </c>
      <c r="AB759" s="94" t="str">
        <f t="shared" ref="AB759:AB774" si="350">IF(ABS(F759-AA759)&lt;0.01,"ok","err")</f>
        <v>ok</v>
      </c>
    </row>
    <row r="760" spans="1:28" s="61" customFormat="1" x14ac:dyDescent="0.25">
      <c r="B760" s="61" t="s">
        <v>1335</v>
      </c>
      <c r="E760" s="61" t="s">
        <v>130</v>
      </c>
      <c r="F760" s="80"/>
      <c r="G760" s="80">
        <f t="shared" si="347"/>
        <v>0</v>
      </c>
      <c r="H760" s="80">
        <f t="shared" si="347"/>
        <v>0</v>
      </c>
      <c r="I760" s="80">
        <f t="shared" si="347"/>
        <v>0</v>
      </c>
      <c r="J760" s="80">
        <f t="shared" si="347"/>
        <v>0</v>
      </c>
      <c r="K760" s="80">
        <f t="shared" si="347"/>
        <v>0</v>
      </c>
      <c r="L760" s="80">
        <f t="shared" si="347"/>
        <v>0</v>
      </c>
      <c r="M760" s="80">
        <f t="shared" si="347"/>
        <v>0</v>
      </c>
      <c r="N760" s="80">
        <f t="shared" si="347"/>
        <v>0</v>
      </c>
      <c r="O760" s="80">
        <f t="shared" si="347"/>
        <v>0</v>
      </c>
      <c r="P760" s="80">
        <f t="shared" si="347"/>
        <v>0</v>
      </c>
      <c r="Q760" s="80">
        <f t="shared" si="348"/>
        <v>0</v>
      </c>
      <c r="R760" s="80">
        <f t="shared" si="348"/>
        <v>0</v>
      </c>
      <c r="S760" s="80">
        <f t="shared" si="348"/>
        <v>0</v>
      </c>
      <c r="T760" s="80">
        <f t="shared" si="348"/>
        <v>0</v>
      </c>
      <c r="U760" s="80">
        <f t="shared" si="348"/>
        <v>0</v>
      </c>
      <c r="V760" s="80">
        <f t="shared" si="348"/>
        <v>0</v>
      </c>
      <c r="W760" s="80">
        <f t="shared" si="348"/>
        <v>0</v>
      </c>
      <c r="X760" s="80">
        <f t="shared" si="348"/>
        <v>0</v>
      </c>
      <c r="Y760" s="80">
        <f t="shared" si="348"/>
        <v>0</v>
      </c>
      <c r="Z760" s="80">
        <f t="shared" si="348"/>
        <v>0</v>
      </c>
      <c r="AA760" s="80">
        <f>SUM(G760:Z760)</f>
        <v>0</v>
      </c>
      <c r="AB760" s="94" t="str">
        <f t="shared" si="350"/>
        <v>ok</v>
      </c>
    </row>
    <row r="761" spans="1:28" s="61" customFormat="1" x14ac:dyDescent="0.25">
      <c r="B761" s="61" t="s">
        <v>695</v>
      </c>
      <c r="E761" s="61" t="s">
        <v>952</v>
      </c>
      <c r="F761" s="80"/>
      <c r="G761" s="80">
        <f t="shared" si="347"/>
        <v>0</v>
      </c>
      <c r="H761" s="80">
        <f t="shared" si="347"/>
        <v>0</v>
      </c>
      <c r="I761" s="80">
        <f t="shared" si="347"/>
        <v>0</v>
      </c>
      <c r="J761" s="80">
        <f t="shared" si="347"/>
        <v>0</v>
      </c>
      <c r="K761" s="80">
        <f t="shared" si="347"/>
        <v>0</v>
      </c>
      <c r="L761" s="80">
        <f t="shared" si="347"/>
        <v>0</v>
      </c>
      <c r="M761" s="80">
        <f t="shared" si="347"/>
        <v>0</v>
      </c>
      <c r="N761" s="80">
        <f t="shared" si="347"/>
        <v>0</v>
      </c>
      <c r="O761" s="80">
        <f t="shared" si="347"/>
        <v>0</v>
      </c>
      <c r="P761" s="80">
        <f t="shared" si="347"/>
        <v>0</v>
      </c>
      <c r="Q761" s="80">
        <f t="shared" si="348"/>
        <v>0</v>
      </c>
      <c r="R761" s="80">
        <f t="shared" si="348"/>
        <v>0</v>
      </c>
      <c r="S761" s="80">
        <f t="shared" si="348"/>
        <v>0</v>
      </c>
      <c r="T761" s="80">
        <f t="shared" si="348"/>
        <v>0</v>
      </c>
      <c r="U761" s="80">
        <f t="shared" si="348"/>
        <v>0</v>
      </c>
      <c r="V761" s="80">
        <f t="shared" si="348"/>
        <v>0</v>
      </c>
      <c r="W761" s="80">
        <f t="shared" si="348"/>
        <v>0</v>
      </c>
      <c r="X761" s="80">
        <f t="shared" si="348"/>
        <v>0</v>
      </c>
      <c r="Y761" s="80">
        <f t="shared" si="348"/>
        <v>0</v>
      </c>
      <c r="Z761" s="80">
        <f t="shared" si="348"/>
        <v>0</v>
      </c>
      <c r="AA761" s="80">
        <f t="shared" si="349"/>
        <v>0</v>
      </c>
      <c r="AB761" s="94" t="str">
        <f t="shared" si="350"/>
        <v>ok</v>
      </c>
    </row>
    <row r="762" spans="1:28" s="61" customFormat="1" x14ac:dyDescent="0.25">
      <c r="B762" s="61" t="s">
        <v>1292</v>
      </c>
      <c r="D762" s="61" t="s">
        <v>887</v>
      </c>
      <c r="E762" s="61" t="s">
        <v>1275</v>
      </c>
      <c r="F762" s="80"/>
      <c r="G762" s="80">
        <f t="shared" si="347"/>
        <v>0</v>
      </c>
      <c r="H762" s="80">
        <f t="shared" si="347"/>
        <v>0</v>
      </c>
      <c r="I762" s="80">
        <f t="shared" si="347"/>
        <v>0</v>
      </c>
      <c r="J762" s="80">
        <f t="shared" si="347"/>
        <v>0</v>
      </c>
      <c r="K762" s="80">
        <f t="shared" si="347"/>
        <v>0</v>
      </c>
      <c r="L762" s="80">
        <f t="shared" si="347"/>
        <v>0</v>
      </c>
      <c r="M762" s="80">
        <f t="shared" si="347"/>
        <v>0</v>
      </c>
      <c r="N762" s="80">
        <f t="shared" si="347"/>
        <v>0</v>
      </c>
      <c r="O762" s="80">
        <f t="shared" si="347"/>
        <v>0</v>
      </c>
      <c r="P762" s="80">
        <f t="shared" si="347"/>
        <v>0</v>
      </c>
      <c r="Q762" s="80">
        <f t="shared" si="348"/>
        <v>0</v>
      </c>
      <c r="R762" s="80">
        <f t="shared" si="348"/>
        <v>0</v>
      </c>
      <c r="S762" s="80">
        <f t="shared" si="348"/>
        <v>0</v>
      </c>
      <c r="T762" s="80">
        <f t="shared" si="348"/>
        <v>0</v>
      </c>
      <c r="U762" s="80">
        <f t="shared" si="348"/>
        <v>0</v>
      </c>
      <c r="V762" s="80">
        <f t="shared" si="348"/>
        <v>0</v>
      </c>
      <c r="W762" s="80">
        <f t="shared" si="348"/>
        <v>0</v>
      </c>
      <c r="X762" s="80">
        <f t="shared" si="348"/>
        <v>0</v>
      </c>
      <c r="Y762" s="80">
        <f t="shared" si="348"/>
        <v>0</v>
      </c>
      <c r="Z762" s="80">
        <f t="shared" si="348"/>
        <v>0</v>
      </c>
      <c r="AA762" s="80">
        <f t="shared" si="349"/>
        <v>0</v>
      </c>
      <c r="AB762" s="94" t="str">
        <f t="shared" si="350"/>
        <v>ok</v>
      </c>
    </row>
    <row r="763" spans="1:28" s="61" customFormat="1" x14ac:dyDescent="0.25">
      <c r="B763" s="61" t="s">
        <v>1333</v>
      </c>
      <c r="E763" s="61" t="s">
        <v>1275</v>
      </c>
      <c r="F763" s="80"/>
      <c r="G763" s="80">
        <f t="shared" si="347"/>
        <v>0</v>
      </c>
      <c r="H763" s="80">
        <f t="shared" si="347"/>
        <v>0</v>
      </c>
      <c r="I763" s="80">
        <f t="shared" si="347"/>
        <v>0</v>
      </c>
      <c r="J763" s="80">
        <f t="shared" si="347"/>
        <v>0</v>
      </c>
      <c r="K763" s="80">
        <f t="shared" si="347"/>
        <v>0</v>
      </c>
      <c r="L763" s="80">
        <f t="shared" si="347"/>
        <v>0</v>
      </c>
      <c r="M763" s="80">
        <f t="shared" si="347"/>
        <v>0</v>
      </c>
      <c r="N763" s="80">
        <f t="shared" si="347"/>
        <v>0</v>
      </c>
      <c r="O763" s="80">
        <f t="shared" si="347"/>
        <v>0</v>
      </c>
      <c r="P763" s="80">
        <f t="shared" si="347"/>
        <v>0</v>
      </c>
      <c r="Q763" s="80">
        <f t="shared" si="348"/>
        <v>0</v>
      </c>
      <c r="R763" s="80">
        <f t="shared" si="348"/>
        <v>0</v>
      </c>
      <c r="S763" s="80">
        <f t="shared" si="348"/>
        <v>0</v>
      </c>
      <c r="T763" s="80">
        <f t="shared" si="348"/>
        <v>0</v>
      </c>
      <c r="U763" s="80">
        <f t="shared" si="348"/>
        <v>0</v>
      </c>
      <c r="V763" s="80">
        <f t="shared" si="348"/>
        <v>0</v>
      </c>
      <c r="W763" s="80">
        <f t="shared" si="348"/>
        <v>0</v>
      </c>
      <c r="X763" s="80">
        <f t="shared" si="348"/>
        <v>0</v>
      </c>
      <c r="Y763" s="80">
        <f t="shared" si="348"/>
        <v>0</v>
      </c>
      <c r="Z763" s="80">
        <f t="shared" si="348"/>
        <v>0</v>
      </c>
      <c r="AA763" s="80">
        <f>SUM(G763:Z763)</f>
        <v>0</v>
      </c>
      <c r="AB763" s="94" t="str">
        <f>IF(ABS(F763-AA763)&lt;0.01,"ok","err")</f>
        <v>ok</v>
      </c>
    </row>
    <row r="764" spans="1:28" s="61" customFormat="1" x14ac:dyDescent="0.25">
      <c r="B764" s="61" t="s">
        <v>1293</v>
      </c>
      <c r="E764" s="61" t="s">
        <v>701</v>
      </c>
      <c r="F764" s="80">
        <v>0</v>
      </c>
      <c r="G764" s="80">
        <f t="shared" si="347"/>
        <v>0</v>
      </c>
      <c r="H764" s="80">
        <f t="shared" si="347"/>
        <v>0</v>
      </c>
      <c r="I764" s="80">
        <f t="shared" si="347"/>
        <v>0</v>
      </c>
      <c r="J764" s="80">
        <f t="shared" si="347"/>
        <v>0</v>
      </c>
      <c r="K764" s="80">
        <f t="shared" si="347"/>
        <v>0</v>
      </c>
      <c r="L764" s="80">
        <f t="shared" si="347"/>
        <v>0</v>
      </c>
      <c r="M764" s="80">
        <f t="shared" si="347"/>
        <v>0</v>
      </c>
      <c r="N764" s="80">
        <f t="shared" si="347"/>
        <v>0</v>
      </c>
      <c r="O764" s="80">
        <f t="shared" si="347"/>
        <v>0</v>
      </c>
      <c r="P764" s="80">
        <f t="shared" si="347"/>
        <v>0</v>
      </c>
      <c r="Q764" s="80">
        <f t="shared" si="348"/>
        <v>0</v>
      </c>
      <c r="R764" s="80">
        <f t="shared" si="348"/>
        <v>0</v>
      </c>
      <c r="S764" s="80">
        <f t="shared" si="348"/>
        <v>0</v>
      </c>
      <c r="T764" s="80">
        <f t="shared" si="348"/>
        <v>0</v>
      </c>
      <c r="U764" s="80">
        <f t="shared" si="348"/>
        <v>0</v>
      </c>
      <c r="V764" s="80">
        <f t="shared" si="348"/>
        <v>0</v>
      </c>
      <c r="W764" s="80">
        <f t="shared" si="348"/>
        <v>0</v>
      </c>
      <c r="X764" s="80">
        <f t="shared" si="348"/>
        <v>0</v>
      </c>
      <c r="Y764" s="80">
        <f t="shared" si="348"/>
        <v>0</v>
      </c>
      <c r="Z764" s="80">
        <f t="shared" si="348"/>
        <v>0</v>
      </c>
      <c r="AA764" s="80">
        <f t="shared" si="349"/>
        <v>0</v>
      </c>
      <c r="AB764" s="94" t="str">
        <f t="shared" si="350"/>
        <v>ok</v>
      </c>
    </row>
    <row r="765" spans="1:28" s="61" customFormat="1" x14ac:dyDescent="0.25">
      <c r="B765" s="61" t="s">
        <v>852</v>
      </c>
      <c r="D765" s="61" t="s">
        <v>888</v>
      </c>
      <c r="E765" s="61" t="s">
        <v>1276</v>
      </c>
      <c r="F765" s="80"/>
      <c r="G765" s="80">
        <f t="shared" si="347"/>
        <v>0</v>
      </c>
      <c r="H765" s="80">
        <f t="shared" si="347"/>
        <v>0</v>
      </c>
      <c r="I765" s="80">
        <f t="shared" si="347"/>
        <v>0</v>
      </c>
      <c r="J765" s="80">
        <f t="shared" si="347"/>
        <v>0</v>
      </c>
      <c r="K765" s="80">
        <f t="shared" si="347"/>
        <v>0</v>
      </c>
      <c r="L765" s="80">
        <f t="shared" si="347"/>
        <v>0</v>
      </c>
      <c r="M765" s="80">
        <f t="shared" si="347"/>
        <v>0</v>
      </c>
      <c r="N765" s="80">
        <f t="shared" si="347"/>
        <v>0</v>
      </c>
      <c r="O765" s="80">
        <f t="shared" si="347"/>
        <v>0</v>
      </c>
      <c r="P765" s="80">
        <f t="shared" si="347"/>
        <v>0</v>
      </c>
      <c r="Q765" s="80">
        <f t="shared" si="348"/>
        <v>0</v>
      </c>
      <c r="R765" s="80">
        <f t="shared" si="348"/>
        <v>0</v>
      </c>
      <c r="S765" s="80">
        <f t="shared" si="348"/>
        <v>0</v>
      </c>
      <c r="T765" s="80">
        <f t="shared" si="348"/>
        <v>0</v>
      </c>
      <c r="U765" s="80">
        <f t="shared" si="348"/>
        <v>0</v>
      </c>
      <c r="V765" s="80">
        <f t="shared" si="348"/>
        <v>0</v>
      </c>
      <c r="W765" s="80">
        <f t="shared" si="348"/>
        <v>0</v>
      </c>
      <c r="X765" s="80">
        <f t="shared" si="348"/>
        <v>0</v>
      </c>
      <c r="Y765" s="80">
        <f t="shared" si="348"/>
        <v>0</v>
      </c>
      <c r="Z765" s="80">
        <f t="shared" si="348"/>
        <v>0</v>
      </c>
      <c r="AA765" s="80">
        <f t="shared" si="349"/>
        <v>0</v>
      </c>
      <c r="AB765" s="94" t="str">
        <f t="shared" si="350"/>
        <v>ok</v>
      </c>
    </row>
    <row r="766" spans="1:28" s="61" customFormat="1" x14ac:dyDescent="0.25">
      <c r="B766" s="61" t="s">
        <v>1294</v>
      </c>
      <c r="E766" s="61" t="s">
        <v>701</v>
      </c>
      <c r="F766" s="80">
        <v>-8932269</v>
      </c>
      <c r="G766" s="80">
        <f t="shared" si="347"/>
        <v>-3166102.422668729</v>
      </c>
      <c r="H766" s="80">
        <f t="shared" si="347"/>
        <v>-1077975.490627595</v>
      </c>
      <c r="I766" s="80">
        <f t="shared" si="347"/>
        <v>0</v>
      </c>
      <c r="J766" s="80">
        <f t="shared" si="347"/>
        <v>-121785.7432997935</v>
      </c>
      <c r="K766" s="80">
        <f t="shared" si="347"/>
        <v>-1473810.0382332131</v>
      </c>
      <c r="L766" s="80">
        <f t="shared" si="347"/>
        <v>0</v>
      </c>
      <c r="M766" s="80">
        <f t="shared" si="347"/>
        <v>0</v>
      </c>
      <c r="N766" s="80">
        <f t="shared" si="347"/>
        <v>-1498376.7024098665</v>
      </c>
      <c r="O766" s="80">
        <f t="shared" si="347"/>
        <v>-766536.05660253239</v>
      </c>
      <c r="P766" s="80">
        <f t="shared" si="347"/>
        <v>-626615.10170211038</v>
      </c>
      <c r="Q766" s="80">
        <f t="shared" si="348"/>
        <v>-76746.105462886946</v>
      </c>
      <c r="R766" s="80">
        <f t="shared" si="348"/>
        <v>-41139.259876109056</v>
      </c>
      <c r="S766" s="80">
        <f t="shared" si="348"/>
        <v>-83182.079117164307</v>
      </c>
      <c r="T766" s="80">
        <f t="shared" si="348"/>
        <v>0</v>
      </c>
      <c r="U766" s="80">
        <f t="shared" si="348"/>
        <v>0</v>
      </c>
      <c r="V766" s="80">
        <f t="shared" si="348"/>
        <v>0</v>
      </c>
      <c r="W766" s="80">
        <f t="shared" si="348"/>
        <v>0</v>
      </c>
      <c r="X766" s="80">
        <f t="shared" si="348"/>
        <v>0</v>
      </c>
      <c r="Y766" s="80">
        <f t="shared" si="348"/>
        <v>0</v>
      </c>
      <c r="Z766" s="80">
        <f t="shared" si="348"/>
        <v>0</v>
      </c>
      <c r="AA766" s="80">
        <f t="shared" si="349"/>
        <v>-8932269</v>
      </c>
      <c r="AB766" s="94" t="str">
        <f t="shared" si="350"/>
        <v>ok</v>
      </c>
    </row>
    <row r="767" spans="1:28" s="61" customFormat="1" x14ac:dyDescent="0.25">
      <c r="B767" s="61" t="s">
        <v>1334</v>
      </c>
      <c r="E767" s="61" t="s">
        <v>866</v>
      </c>
      <c r="F767" s="80"/>
      <c r="G767" s="80">
        <f t="shared" si="347"/>
        <v>0</v>
      </c>
      <c r="H767" s="80">
        <f t="shared" si="347"/>
        <v>0</v>
      </c>
      <c r="I767" s="80">
        <f t="shared" si="347"/>
        <v>0</v>
      </c>
      <c r="J767" s="80">
        <f t="shared" si="347"/>
        <v>0</v>
      </c>
      <c r="K767" s="80">
        <f t="shared" si="347"/>
        <v>0</v>
      </c>
      <c r="L767" s="80">
        <f t="shared" si="347"/>
        <v>0</v>
      </c>
      <c r="M767" s="80">
        <f t="shared" si="347"/>
        <v>0</v>
      </c>
      <c r="N767" s="80">
        <f t="shared" si="347"/>
        <v>0</v>
      </c>
      <c r="O767" s="80">
        <f t="shared" si="347"/>
        <v>0</v>
      </c>
      <c r="P767" s="80">
        <f t="shared" si="347"/>
        <v>0</v>
      </c>
      <c r="Q767" s="80">
        <f t="shared" si="348"/>
        <v>0</v>
      </c>
      <c r="R767" s="80">
        <f t="shared" si="348"/>
        <v>0</v>
      </c>
      <c r="S767" s="80">
        <f t="shared" si="348"/>
        <v>0</v>
      </c>
      <c r="T767" s="80">
        <f t="shared" si="348"/>
        <v>0</v>
      </c>
      <c r="U767" s="80">
        <f t="shared" si="348"/>
        <v>0</v>
      </c>
      <c r="V767" s="80">
        <f t="shared" si="348"/>
        <v>0</v>
      </c>
      <c r="W767" s="80">
        <f t="shared" si="348"/>
        <v>0</v>
      </c>
      <c r="X767" s="80">
        <f t="shared" si="348"/>
        <v>0</v>
      </c>
      <c r="Y767" s="80">
        <f t="shared" si="348"/>
        <v>0</v>
      </c>
      <c r="Z767" s="80">
        <f t="shared" si="348"/>
        <v>0</v>
      </c>
      <c r="AA767" s="80">
        <f>SUM(G767:Z767)</f>
        <v>0</v>
      </c>
      <c r="AB767" s="94" t="str">
        <f>IF(ABS(F767-AA767)&lt;0.01,"ok","err")</f>
        <v>ok</v>
      </c>
    </row>
    <row r="768" spans="1:28" s="61" customFormat="1" x14ac:dyDescent="0.25">
      <c r="B768" s="61" t="s">
        <v>1291</v>
      </c>
      <c r="E768" s="61" t="s">
        <v>952</v>
      </c>
      <c r="F768" s="80"/>
      <c r="G768" s="80">
        <f t="shared" si="347"/>
        <v>0</v>
      </c>
      <c r="H768" s="80">
        <f t="shared" si="347"/>
        <v>0</v>
      </c>
      <c r="I768" s="80">
        <f t="shared" si="347"/>
        <v>0</v>
      </c>
      <c r="J768" s="80">
        <f t="shared" si="347"/>
        <v>0</v>
      </c>
      <c r="K768" s="80">
        <f t="shared" si="347"/>
        <v>0</v>
      </c>
      <c r="L768" s="80">
        <f t="shared" si="347"/>
        <v>0</v>
      </c>
      <c r="M768" s="80">
        <f t="shared" si="347"/>
        <v>0</v>
      </c>
      <c r="N768" s="80">
        <f t="shared" si="347"/>
        <v>0</v>
      </c>
      <c r="O768" s="80">
        <f t="shared" si="347"/>
        <v>0</v>
      </c>
      <c r="P768" s="80">
        <f t="shared" si="347"/>
        <v>0</v>
      </c>
      <c r="Q768" s="80">
        <f t="shared" si="348"/>
        <v>0</v>
      </c>
      <c r="R768" s="80">
        <f t="shared" si="348"/>
        <v>0</v>
      </c>
      <c r="S768" s="80">
        <f t="shared" si="348"/>
        <v>0</v>
      </c>
      <c r="T768" s="80">
        <f t="shared" si="348"/>
        <v>0</v>
      </c>
      <c r="U768" s="80">
        <f t="shared" si="348"/>
        <v>0</v>
      </c>
      <c r="V768" s="80">
        <f t="shared" si="348"/>
        <v>0</v>
      </c>
      <c r="W768" s="80">
        <f t="shared" si="348"/>
        <v>0</v>
      </c>
      <c r="X768" s="80">
        <f t="shared" si="348"/>
        <v>0</v>
      </c>
      <c r="Y768" s="80">
        <f t="shared" si="348"/>
        <v>0</v>
      </c>
      <c r="Z768" s="80">
        <f t="shared" si="348"/>
        <v>0</v>
      </c>
      <c r="AA768" s="80">
        <f t="shared" si="349"/>
        <v>0</v>
      </c>
      <c r="AB768" s="94" t="str">
        <f t="shared" si="350"/>
        <v>ok</v>
      </c>
    </row>
    <row r="769" spans="1:28" s="61" customFormat="1" x14ac:dyDescent="0.25">
      <c r="B769" s="61" t="s">
        <v>885</v>
      </c>
      <c r="E769" s="61" t="s">
        <v>886</v>
      </c>
      <c r="F769" s="80"/>
      <c r="G769" s="80">
        <f t="shared" si="347"/>
        <v>0</v>
      </c>
      <c r="H769" s="80">
        <f t="shared" si="347"/>
        <v>0</v>
      </c>
      <c r="I769" s="80">
        <f t="shared" si="347"/>
        <v>0</v>
      </c>
      <c r="J769" s="80">
        <f t="shared" si="347"/>
        <v>0</v>
      </c>
      <c r="K769" s="80">
        <f t="shared" si="347"/>
        <v>0</v>
      </c>
      <c r="L769" s="80">
        <f t="shared" si="347"/>
        <v>0</v>
      </c>
      <c r="M769" s="80">
        <f t="shared" si="347"/>
        <v>0</v>
      </c>
      <c r="N769" s="80">
        <f t="shared" si="347"/>
        <v>0</v>
      </c>
      <c r="O769" s="80">
        <f t="shared" si="347"/>
        <v>0</v>
      </c>
      <c r="P769" s="80">
        <f t="shared" si="347"/>
        <v>0</v>
      </c>
      <c r="Q769" s="80">
        <f t="shared" si="348"/>
        <v>0</v>
      </c>
      <c r="R769" s="80">
        <f t="shared" si="348"/>
        <v>0</v>
      </c>
      <c r="S769" s="80">
        <f t="shared" si="348"/>
        <v>0</v>
      </c>
      <c r="T769" s="80">
        <f t="shared" si="348"/>
        <v>0</v>
      </c>
      <c r="U769" s="80">
        <f t="shared" si="348"/>
        <v>0</v>
      </c>
      <c r="V769" s="80">
        <f t="shared" si="348"/>
        <v>0</v>
      </c>
      <c r="W769" s="80">
        <f t="shared" si="348"/>
        <v>0</v>
      </c>
      <c r="X769" s="80">
        <f t="shared" si="348"/>
        <v>0</v>
      </c>
      <c r="Y769" s="80">
        <f t="shared" si="348"/>
        <v>0</v>
      </c>
      <c r="Z769" s="80">
        <f t="shared" si="348"/>
        <v>0</v>
      </c>
      <c r="AA769" s="80">
        <f t="shared" si="349"/>
        <v>0</v>
      </c>
      <c r="AB769" s="94" t="str">
        <f t="shared" si="350"/>
        <v>ok</v>
      </c>
    </row>
    <row r="770" spans="1:28" s="61" customFormat="1" x14ac:dyDescent="0.25">
      <c r="B770" s="61" t="s">
        <v>1370</v>
      </c>
      <c r="F770" s="80">
        <v>-127588</v>
      </c>
      <c r="G770" s="80"/>
      <c r="H770" s="80"/>
      <c r="I770" s="80"/>
      <c r="J770" s="80"/>
      <c r="K770" s="80"/>
      <c r="L770" s="80"/>
      <c r="M770" s="80"/>
      <c r="N770" s="80"/>
      <c r="O770" s="80">
        <v>21060</v>
      </c>
      <c r="P770" s="80"/>
      <c r="Q770" s="80">
        <v>-148648</v>
      </c>
      <c r="R770" s="80"/>
      <c r="S770" s="80"/>
      <c r="T770" s="80"/>
      <c r="U770" s="80"/>
      <c r="V770" s="80"/>
      <c r="W770" s="80"/>
      <c r="X770" s="80"/>
      <c r="Y770" s="80"/>
      <c r="Z770" s="80"/>
      <c r="AA770" s="80">
        <f t="shared" si="349"/>
        <v>-127588</v>
      </c>
      <c r="AB770" s="94" t="str">
        <f t="shared" si="350"/>
        <v>ok</v>
      </c>
    </row>
    <row r="771" spans="1:28" s="61" customFormat="1" x14ac:dyDescent="0.25">
      <c r="B771" s="112" t="s">
        <v>1197</v>
      </c>
      <c r="E771" s="61" t="s">
        <v>130</v>
      </c>
      <c r="F771" s="80">
        <v>0</v>
      </c>
      <c r="G771" s="80">
        <f t="shared" ref="G771:P774" si="351">IF(VLOOKUP($E771,$D$6:$AN$1141,3,)=0,0,(VLOOKUP($E771,$D$6:$AN$1141,G$2,)/VLOOKUP($E771,$D$6:$AN$1141,3,))*$F771)</f>
        <v>0</v>
      </c>
      <c r="H771" s="80">
        <f t="shared" si="351"/>
        <v>0</v>
      </c>
      <c r="I771" s="80">
        <f t="shared" si="351"/>
        <v>0</v>
      </c>
      <c r="J771" s="80">
        <f t="shared" si="351"/>
        <v>0</v>
      </c>
      <c r="K771" s="80">
        <f t="shared" si="351"/>
        <v>0</v>
      </c>
      <c r="L771" s="80">
        <f t="shared" si="351"/>
        <v>0</v>
      </c>
      <c r="M771" s="80">
        <f t="shared" si="351"/>
        <v>0</v>
      </c>
      <c r="N771" s="80">
        <f t="shared" si="351"/>
        <v>0</v>
      </c>
      <c r="O771" s="80">
        <f t="shared" si="351"/>
        <v>0</v>
      </c>
      <c r="P771" s="80">
        <f t="shared" si="351"/>
        <v>0</v>
      </c>
      <c r="Q771" s="80">
        <f t="shared" ref="Q771:Z774" si="352">IF(VLOOKUP($E771,$D$6:$AN$1141,3,)=0,0,(VLOOKUP($E771,$D$6:$AN$1141,Q$2,)/VLOOKUP($E771,$D$6:$AN$1141,3,))*$F771)</f>
        <v>0</v>
      </c>
      <c r="R771" s="80">
        <f t="shared" si="352"/>
        <v>0</v>
      </c>
      <c r="S771" s="80">
        <f t="shared" si="352"/>
        <v>0</v>
      </c>
      <c r="T771" s="80">
        <f t="shared" si="352"/>
        <v>0</v>
      </c>
      <c r="U771" s="80">
        <f t="shared" si="352"/>
        <v>0</v>
      </c>
      <c r="V771" s="80">
        <f t="shared" si="352"/>
        <v>0</v>
      </c>
      <c r="W771" s="80">
        <f t="shared" si="352"/>
        <v>0</v>
      </c>
      <c r="X771" s="80">
        <f t="shared" si="352"/>
        <v>0</v>
      </c>
      <c r="Y771" s="80">
        <f t="shared" si="352"/>
        <v>0</v>
      </c>
      <c r="Z771" s="80">
        <f t="shared" si="352"/>
        <v>0</v>
      </c>
      <c r="AA771" s="80">
        <f>SUM(G771:Z771)</f>
        <v>0</v>
      </c>
      <c r="AB771" s="94" t="str">
        <f t="shared" si="350"/>
        <v>ok</v>
      </c>
    </row>
    <row r="772" spans="1:28" s="61" customFormat="1" x14ac:dyDescent="0.25">
      <c r="B772" s="61" t="s">
        <v>1337</v>
      </c>
      <c r="E772" s="61" t="s">
        <v>130</v>
      </c>
      <c r="F772" s="80"/>
      <c r="G772" s="80">
        <f t="shared" si="351"/>
        <v>0</v>
      </c>
      <c r="H772" s="80">
        <f t="shared" si="351"/>
        <v>0</v>
      </c>
      <c r="I772" s="80">
        <f t="shared" si="351"/>
        <v>0</v>
      </c>
      <c r="J772" s="80">
        <f t="shared" si="351"/>
        <v>0</v>
      </c>
      <c r="K772" s="80">
        <f t="shared" si="351"/>
        <v>0</v>
      </c>
      <c r="L772" s="80">
        <f t="shared" si="351"/>
        <v>0</v>
      </c>
      <c r="M772" s="80">
        <f t="shared" si="351"/>
        <v>0</v>
      </c>
      <c r="N772" s="80">
        <f t="shared" si="351"/>
        <v>0</v>
      </c>
      <c r="O772" s="80">
        <f t="shared" si="351"/>
        <v>0</v>
      </c>
      <c r="P772" s="80">
        <f t="shared" si="351"/>
        <v>0</v>
      </c>
      <c r="Q772" s="80">
        <f t="shared" si="352"/>
        <v>0</v>
      </c>
      <c r="R772" s="80">
        <f t="shared" si="352"/>
        <v>0</v>
      </c>
      <c r="S772" s="80">
        <f t="shared" si="352"/>
        <v>0</v>
      </c>
      <c r="T772" s="80">
        <f t="shared" si="352"/>
        <v>0</v>
      </c>
      <c r="U772" s="80">
        <f t="shared" si="352"/>
        <v>0</v>
      </c>
      <c r="V772" s="80">
        <f t="shared" si="352"/>
        <v>0</v>
      </c>
      <c r="W772" s="80">
        <f t="shared" si="352"/>
        <v>0</v>
      </c>
      <c r="X772" s="80">
        <f t="shared" si="352"/>
        <v>0</v>
      </c>
      <c r="Y772" s="80">
        <f t="shared" si="352"/>
        <v>0</v>
      </c>
      <c r="Z772" s="80">
        <f t="shared" si="352"/>
        <v>0</v>
      </c>
      <c r="AA772" s="80">
        <f>SUM(G772:Z772)</f>
        <v>0</v>
      </c>
      <c r="AB772" s="94" t="str">
        <f t="shared" si="350"/>
        <v>ok</v>
      </c>
    </row>
    <row r="773" spans="1:28" s="61" customFormat="1" x14ac:dyDescent="0.25">
      <c r="B773" s="245" t="s">
        <v>1198</v>
      </c>
      <c r="E773" s="61" t="s">
        <v>1115</v>
      </c>
      <c r="F773" s="80">
        <v>0</v>
      </c>
      <c r="G773" s="80">
        <f t="shared" si="351"/>
        <v>0</v>
      </c>
      <c r="H773" s="80">
        <f t="shared" si="351"/>
        <v>0</v>
      </c>
      <c r="I773" s="80">
        <f t="shared" si="351"/>
        <v>0</v>
      </c>
      <c r="J773" s="80">
        <f t="shared" si="351"/>
        <v>0</v>
      </c>
      <c r="K773" s="80">
        <f t="shared" si="351"/>
        <v>0</v>
      </c>
      <c r="L773" s="80">
        <f t="shared" si="351"/>
        <v>0</v>
      </c>
      <c r="M773" s="80">
        <f t="shared" si="351"/>
        <v>0</v>
      </c>
      <c r="N773" s="80">
        <f t="shared" si="351"/>
        <v>0</v>
      </c>
      <c r="O773" s="80">
        <f t="shared" si="351"/>
        <v>0</v>
      </c>
      <c r="P773" s="80">
        <f t="shared" si="351"/>
        <v>0</v>
      </c>
      <c r="Q773" s="80">
        <f t="shared" si="352"/>
        <v>0</v>
      </c>
      <c r="R773" s="80">
        <f t="shared" si="352"/>
        <v>0</v>
      </c>
      <c r="S773" s="80">
        <f t="shared" si="352"/>
        <v>0</v>
      </c>
      <c r="T773" s="80">
        <f t="shared" si="352"/>
        <v>0</v>
      </c>
      <c r="U773" s="80">
        <f t="shared" si="352"/>
        <v>0</v>
      </c>
      <c r="V773" s="80">
        <f t="shared" si="352"/>
        <v>0</v>
      </c>
      <c r="W773" s="80">
        <f t="shared" si="352"/>
        <v>0</v>
      </c>
      <c r="X773" s="80">
        <f t="shared" si="352"/>
        <v>0</v>
      </c>
      <c r="Y773" s="80">
        <f t="shared" si="352"/>
        <v>0</v>
      </c>
      <c r="Z773" s="80">
        <f t="shared" si="352"/>
        <v>0</v>
      </c>
      <c r="AA773" s="80">
        <f>SUM(G773:Z773)</f>
        <v>0</v>
      </c>
      <c r="AB773" s="94" t="str">
        <f t="shared" si="350"/>
        <v>ok</v>
      </c>
    </row>
    <row r="774" spans="1:28" s="61" customFormat="1" x14ac:dyDescent="0.25">
      <c r="B774" s="246" t="s">
        <v>942</v>
      </c>
      <c r="E774" s="61" t="s">
        <v>914</v>
      </c>
      <c r="F774" s="80">
        <v>0</v>
      </c>
      <c r="G774" s="80">
        <f t="shared" si="351"/>
        <v>0</v>
      </c>
      <c r="H774" s="80">
        <f t="shared" si="351"/>
        <v>0</v>
      </c>
      <c r="I774" s="80">
        <f t="shared" si="351"/>
        <v>0</v>
      </c>
      <c r="J774" s="80">
        <f t="shared" si="351"/>
        <v>0</v>
      </c>
      <c r="K774" s="80">
        <f t="shared" si="351"/>
        <v>0</v>
      </c>
      <c r="L774" s="80">
        <f t="shared" si="351"/>
        <v>0</v>
      </c>
      <c r="M774" s="80">
        <f t="shared" si="351"/>
        <v>0</v>
      </c>
      <c r="N774" s="80">
        <f t="shared" si="351"/>
        <v>0</v>
      </c>
      <c r="O774" s="80">
        <f t="shared" si="351"/>
        <v>0</v>
      </c>
      <c r="P774" s="80">
        <f t="shared" si="351"/>
        <v>0</v>
      </c>
      <c r="Q774" s="80">
        <f t="shared" si="352"/>
        <v>0</v>
      </c>
      <c r="R774" s="80">
        <f t="shared" si="352"/>
        <v>0</v>
      </c>
      <c r="S774" s="80">
        <f t="shared" si="352"/>
        <v>0</v>
      </c>
      <c r="T774" s="80">
        <f t="shared" si="352"/>
        <v>0</v>
      </c>
      <c r="U774" s="80">
        <f t="shared" si="352"/>
        <v>0</v>
      </c>
      <c r="V774" s="80">
        <f t="shared" si="352"/>
        <v>0</v>
      </c>
      <c r="W774" s="80">
        <f t="shared" si="352"/>
        <v>0</v>
      </c>
      <c r="X774" s="80">
        <f t="shared" si="352"/>
        <v>0</v>
      </c>
      <c r="Y774" s="80">
        <f t="shared" si="352"/>
        <v>0</v>
      </c>
      <c r="Z774" s="80">
        <f t="shared" si="352"/>
        <v>0</v>
      </c>
      <c r="AA774" s="80">
        <f>SUM(G774:Z774)</f>
        <v>0</v>
      </c>
      <c r="AB774" s="94" t="str">
        <f t="shared" si="350"/>
        <v>ok</v>
      </c>
    </row>
    <row r="775" spans="1:28" s="61" customFormat="1" x14ac:dyDescent="0.25">
      <c r="E775" s="113"/>
      <c r="F775" s="81"/>
      <c r="G775" s="81"/>
    </row>
    <row r="776" spans="1:28" s="61" customFormat="1" x14ac:dyDescent="0.25">
      <c r="A776" s="61" t="s">
        <v>137</v>
      </c>
      <c r="E776" s="113"/>
      <c r="F776" s="81">
        <f t="shared" ref="F776:Z776" si="353">SUM(F756:F774)</f>
        <v>1044652044</v>
      </c>
      <c r="G776" s="81">
        <f t="shared" si="353"/>
        <v>432197955.29234767</v>
      </c>
      <c r="H776" s="81">
        <f t="shared" si="353"/>
        <v>147813394.12847397</v>
      </c>
      <c r="I776" s="81">
        <f t="shared" si="353"/>
        <v>0</v>
      </c>
      <c r="J776" s="81">
        <f t="shared" si="353"/>
        <v>12286852.092395021</v>
      </c>
      <c r="K776" s="81">
        <f t="shared" si="353"/>
        <v>165847745.81157878</v>
      </c>
      <c r="L776" s="81">
        <f t="shared" si="353"/>
        <v>0</v>
      </c>
      <c r="M776" s="81">
        <f t="shared" si="353"/>
        <v>0</v>
      </c>
      <c r="N776" s="81">
        <f t="shared" si="353"/>
        <v>135586016.3150208</v>
      </c>
      <c r="O776" s="81">
        <f t="shared" si="353"/>
        <v>78465813.040325284</v>
      </c>
      <c r="P776" s="81">
        <f t="shared" si="353"/>
        <v>44141889.941607863</v>
      </c>
      <c r="Q776" s="81">
        <f t="shared" si="353"/>
        <v>6394249.3774359794</v>
      </c>
      <c r="R776" s="81">
        <f t="shared" si="353"/>
        <v>3501846.2902893177</v>
      </c>
      <c r="S776" s="81">
        <f t="shared" si="353"/>
        <v>17921397.837044191</v>
      </c>
      <c r="T776" s="81">
        <f t="shared" si="353"/>
        <v>214219.50728382313</v>
      </c>
      <c r="U776" s="81">
        <f t="shared" si="353"/>
        <v>280664.36619724357</v>
      </c>
      <c r="V776" s="81">
        <f t="shared" si="353"/>
        <v>0</v>
      </c>
      <c r="W776" s="81">
        <f t="shared" si="353"/>
        <v>0</v>
      </c>
      <c r="X776" s="81">
        <f t="shared" si="353"/>
        <v>0</v>
      </c>
      <c r="Y776" s="81">
        <f t="shared" si="353"/>
        <v>0</v>
      </c>
      <c r="Z776" s="81">
        <f t="shared" si="353"/>
        <v>0</v>
      </c>
      <c r="AA776" s="81">
        <f>SUM(G776:Z776)</f>
        <v>1044652043.9999999</v>
      </c>
      <c r="AB776" s="94" t="str">
        <f>IF(ABS(F776-AA776)&lt;0.01,"ok","err")</f>
        <v>ok</v>
      </c>
    </row>
    <row r="777" spans="1:28" s="61" customFormat="1" ht="16.5" customHeight="1" x14ac:dyDescent="0.25">
      <c r="E777" s="81"/>
    </row>
    <row r="778" spans="1:28" s="61" customFormat="1" x14ac:dyDescent="0.25">
      <c r="E778" s="113"/>
      <c r="F778" s="113"/>
    </row>
    <row r="779" spans="1:28" s="61" customFormat="1" x14ac:dyDescent="0.25">
      <c r="A779" s="66" t="s">
        <v>209</v>
      </c>
      <c r="E779" s="113"/>
      <c r="F779" s="113"/>
      <c r="G779" s="113"/>
    </row>
    <row r="780" spans="1:28" s="61" customFormat="1" x14ac:dyDescent="0.25">
      <c r="E780" s="113"/>
      <c r="F780" s="113"/>
    </row>
    <row r="781" spans="1:28" s="61" customFormat="1" x14ac:dyDescent="0.25">
      <c r="A781" s="66" t="s">
        <v>1139</v>
      </c>
      <c r="F781" s="81"/>
    </row>
    <row r="782" spans="1:28" s="61" customFormat="1" x14ac:dyDescent="0.25"/>
    <row r="783" spans="1:28" x14ac:dyDescent="0.25">
      <c r="A783" s="69" t="s">
        <v>1140</v>
      </c>
      <c r="F783" s="81">
        <f t="shared" ref="F783:AA783" si="354">F233</f>
        <v>698592651.78005099</v>
      </c>
      <c r="G783" s="81">
        <f t="shared" si="354"/>
        <v>299652164.7436952</v>
      </c>
      <c r="H783" s="81">
        <f t="shared" si="354"/>
        <v>84996856.45797278</v>
      </c>
      <c r="I783" s="81">
        <f t="shared" si="354"/>
        <v>0</v>
      </c>
      <c r="J783" s="81">
        <f t="shared" si="354"/>
        <v>8188517.9653387209</v>
      </c>
      <c r="K783" s="81">
        <f t="shared" si="354"/>
        <v>101603566.48833007</v>
      </c>
      <c r="L783" s="81">
        <f t="shared" si="354"/>
        <v>0</v>
      </c>
      <c r="M783" s="81">
        <f t="shared" si="354"/>
        <v>0</v>
      </c>
      <c r="N783" s="81">
        <f t="shared" si="354"/>
        <v>98011703.363990307</v>
      </c>
      <c r="O783" s="81">
        <f t="shared" si="354"/>
        <v>52756380.98267249</v>
      </c>
      <c r="P783" s="81">
        <f t="shared" si="354"/>
        <v>37347255.706858248</v>
      </c>
      <c r="Q783" s="81">
        <f t="shared" si="354"/>
        <v>5237319.2714944091</v>
      </c>
      <c r="R783" s="81">
        <f t="shared" si="354"/>
        <v>2845881.1464185999</v>
      </c>
      <c r="S783" s="81">
        <f t="shared" si="354"/>
        <v>7622707.4820338823</v>
      </c>
      <c r="T783" s="81">
        <f t="shared" si="354"/>
        <v>151836.21026749411</v>
      </c>
      <c r="U783" s="81">
        <f t="shared" si="354"/>
        <v>178461.96097863239</v>
      </c>
      <c r="V783" s="81">
        <f t="shared" si="354"/>
        <v>0</v>
      </c>
      <c r="W783" s="81">
        <f t="shared" si="354"/>
        <v>0</v>
      </c>
      <c r="X783" s="65">
        <f t="shared" si="354"/>
        <v>0</v>
      </c>
      <c r="Y783" s="65">
        <f t="shared" si="354"/>
        <v>0</v>
      </c>
      <c r="Z783" s="65">
        <f t="shared" si="354"/>
        <v>0</v>
      </c>
      <c r="AA783" s="65">
        <f t="shared" si="354"/>
        <v>698592651.78005075</v>
      </c>
      <c r="AB783" s="59" t="str">
        <f t="shared" ref="AB783:AB794" si="355">IF(ABS(F783-AA783)&lt;0.01,"ok","err")</f>
        <v>ok</v>
      </c>
    </row>
    <row r="784" spans="1:28" x14ac:dyDescent="0.25">
      <c r="A784" s="69" t="s">
        <v>1141</v>
      </c>
      <c r="F784" s="80">
        <f t="shared" ref="F784:AA784" si="356">F347</f>
        <v>117218434.8450231</v>
      </c>
      <c r="G784" s="80">
        <f t="shared" si="356"/>
        <v>64668068.80177781</v>
      </c>
      <c r="H784" s="80">
        <f t="shared" si="356"/>
        <v>14151439.302020008</v>
      </c>
      <c r="I784" s="80">
        <f t="shared" si="356"/>
        <v>0</v>
      </c>
      <c r="J784" s="80">
        <f t="shared" si="356"/>
        <v>1022265.4769023344</v>
      </c>
      <c r="K784" s="80">
        <f t="shared" si="356"/>
        <v>13301550.216644557</v>
      </c>
      <c r="L784" s="80">
        <f t="shared" si="356"/>
        <v>0</v>
      </c>
      <c r="M784" s="80">
        <f t="shared" si="356"/>
        <v>0</v>
      </c>
      <c r="N784" s="80">
        <f t="shared" si="356"/>
        <v>10673431.354718881</v>
      </c>
      <c r="O784" s="80">
        <f t="shared" si="356"/>
        <v>6549815.8341149148</v>
      </c>
      <c r="P784" s="80">
        <f t="shared" si="356"/>
        <v>2212676.8668894335</v>
      </c>
      <c r="Q784" s="80">
        <f t="shared" si="356"/>
        <v>560547.52191964735</v>
      </c>
      <c r="R784" s="80">
        <f t="shared" si="356"/>
        <v>353335.64570169331</v>
      </c>
      <c r="S784" s="80">
        <f t="shared" si="356"/>
        <v>3699958.4462729581</v>
      </c>
      <c r="T784" s="80">
        <f t="shared" si="356"/>
        <v>6354.6190189227482</v>
      </c>
      <c r="U784" s="80">
        <f t="shared" si="356"/>
        <v>18990.759041956342</v>
      </c>
      <c r="V784" s="80">
        <f t="shared" si="356"/>
        <v>0</v>
      </c>
      <c r="W784" s="80">
        <f t="shared" si="356"/>
        <v>0</v>
      </c>
      <c r="X784" s="64">
        <f t="shared" si="356"/>
        <v>0</v>
      </c>
      <c r="Y784" s="64">
        <f t="shared" si="356"/>
        <v>0</v>
      </c>
      <c r="Z784" s="64">
        <f t="shared" si="356"/>
        <v>0</v>
      </c>
      <c r="AA784" s="64">
        <f t="shared" si="356"/>
        <v>117218434.84502311</v>
      </c>
      <c r="AB784" s="59" t="str">
        <f t="shared" si="355"/>
        <v>ok</v>
      </c>
    </row>
    <row r="785" spans="1:28" x14ac:dyDescent="0.25">
      <c r="A785" s="112" t="s">
        <v>282</v>
      </c>
      <c r="F785" s="80">
        <f t="shared" ref="F785:Z785" si="357">F714</f>
        <v>0</v>
      </c>
      <c r="G785" s="80">
        <f t="shared" si="357"/>
        <v>0</v>
      </c>
      <c r="H785" s="80">
        <f t="shared" si="357"/>
        <v>0</v>
      </c>
      <c r="I785" s="80">
        <f t="shared" si="357"/>
        <v>0</v>
      </c>
      <c r="J785" s="80">
        <f t="shared" si="357"/>
        <v>0</v>
      </c>
      <c r="K785" s="80">
        <f t="shared" si="357"/>
        <v>0</v>
      </c>
      <c r="L785" s="80">
        <f t="shared" si="357"/>
        <v>0</v>
      </c>
      <c r="M785" s="80">
        <f t="shared" si="357"/>
        <v>0</v>
      </c>
      <c r="N785" s="80">
        <f t="shared" si="357"/>
        <v>0</v>
      </c>
      <c r="O785" s="80">
        <f t="shared" si="357"/>
        <v>0</v>
      </c>
      <c r="P785" s="80">
        <f t="shared" si="357"/>
        <v>0</v>
      </c>
      <c r="Q785" s="80">
        <f t="shared" si="357"/>
        <v>0</v>
      </c>
      <c r="R785" s="80">
        <f t="shared" si="357"/>
        <v>0</v>
      </c>
      <c r="S785" s="80">
        <f t="shared" si="357"/>
        <v>0</v>
      </c>
      <c r="T785" s="80">
        <f t="shared" si="357"/>
        <v>0</v>
      </c>
      <c r="U785" s="80">
        <f t="shared" si="357"/>
        <v>0</v>
      </c>
      <c r="V785" s="80">
        <f t="shared" si="357"/>
        <v>0</v>
      </c>
      <c r="W785" s="80">
        <f t="shared" si="357"/>
        <v>0</v>
      </c>
      <c r="X785" s="64">
        <f t="shared" si="357"/>
        <v>0</v>
      </c>
      <c r="Y785" s="64">
        <f t="shared" si="357"/>
        <v>0</v>
      </c>
      <c r="Z785" s="64">
        <f t="shared" si="357"/>
        <v>0</v>
      </c>
      <c r="AA785" s="64">
        <f t="shared" ref="AA785:AA790" si="358">SUM(G785:Z785)</f>
        <v>0</v>
      </c>
      <c r="AB785" s="59" t="str">
        <f t="shared" si="355"/>
        <v>ok</v>
      </c>
    </row>
    <row r="786" spans="1:28" x14ac:dyDescent="0.25">
      <c r="A786" s="69" t="s">
        <v>813</v>
      </c>
      <c r="F786" s="80">
        <f t="shared" ref="F786:Z786" si="359">F715</f>
        <v>0</v>
      </c>
      <c r="G786" s="80">
        <f t="shared" si="359"/>
        <v>0</v>
      </c>
      <c r="H786" s="80">
        <f t="shared" si="359"/>
        <v>0</v>
      </c>
      <c r="I786" s="80">
        <f t="shared" si="359"/>
        <v>0</v>
      </c>
      <c r="J786" s="80">
        <f t="shared" si="359"/>
        <v>0</v>
      </c>
      <c r="K786" s="80">
        <f t="shared" si="359"/>
        <v>0</v>
      </c>
      <c r="L786" s="80">
        <f t="shared" si="359"/>
        <v>0</v>
      </c>
      <c r="M786" s="80">
        <f t="shared" si="359"/>
        <v>0</v>
      </c>
      <c r="N786" s="80">
        <f t="shared" si="359"/>
        <v>0</v>
      </c>
      <c r="O786" s="80">
        <f t="shared" si="359"/>
        <v>0</v>
      </c>
      <c r="P786" s="80">
        <f t="shared" si="359"/>
        <v>0</v>
      </c>
      <c r="Q786" s="80">
        <f t="shared" si="359"/>
        <v>0</v>
      </c>
      <c r="R786" s="80">
        <f t="shared" si="359"/>
        <v>0</v>
      </c>
      <c r="S786" s="80">
        <f t="shared" si="359"/>
        <v>0</v>
      </c>
      <c r="T786" s="80">
        <f t="shared" si="359"/>
        <v>0</v>
      </c>
      <c r="U786" s="80">
        <f t="shared" si="359"/>
        <v>0</v>
      </c>
      <c r="V786" s="80">
        <f t="shared" si="359"/>
        <v>0</v>
      </c>
      <c r="W786" s="80">
        <f t="shared" si="359"/>
        <v>0</v>
      </c>
      <c r="X786" s="64">
        <f t="shared" si="359"/>
        <v>0</v>
      </c>
      <c r="Y786" s="64">
        <f t="shared" si="359"/>
        <v>0</v>
      </c>
      <c r="Z786" s="64">
        <f t="shared" si="359"/>
        <v>0</v>
      </c>
      <c r="AA786" s="64">
        <f t="shared" si="358"/>
        <v>0</v>
      </c>
      <c r="AB786" s="59" t="str">
        <f t="shared" si="355"/>
        <v>ok</v>
      </c>
    </row>
    <row r="787" spans="1:28" x14ac:dyDescent="0.25">
      <c r="A787" s="61" t="s">
        <v>1192</v>
      </c>
      <c r="F787" s="80">
        <f t="shared" ref="F787:Z787" si="360">F716</f>
        <v>0</v>
      </c>
      <c r="G787" s="80">
        <f t="shared" si="360"/>
        <v>0</v>
      </c>
      <c r="H787" s="80">
        <f t="shared" si="360"/>
        <v>0</v>
      </c>
      <c r="I787" s="80">
        <f t="shared" si="360"/>
        <v>0</v>
      </c>
      <c r="J787" s="80">
        <f t="shared" si="360"/>
        <v>0</v>
      </c>
      <c r="K787" s="80">
        <f t="shared" si="360"/>
        <v>0</v>
      </c>
      <c r="L787" s="80">
        <f t="shared" si="360"/>
        <v>0</v>
      </c>
      <c r="M787" s="80">
        <f t="shared" si="360"/>
        <v>0</v>
      </c>
      <c r="N787" s="80">
        <f t="shared" si="360"/>
        <v>0</v>
      </c>
      <c r="O787" s="80">
        <f t="shared" si="360"/>
        <v>0</v>
      </c>
      <c r="P787" s="80">
        <f t="shared" si="360"/>
        <v>0</v>
      </c>
      <c r="Q787" s="80">
        <f t="shared" si="360"/>
        <v>0</v>
      </c>
      <c r="R787" s="80">
        <f t="shared" si="360"/>
        <v>0</v>
      </c>
      <c r="S787" s="80">
        <f t="shared" si="360"/>
        <v>0</v>
      </c>
      <c r="T787" s="80">
        <f t="shared" si="360"/>
        <v>0</v>
      </c>
      <c r="U787" s="80">
        <f t="shared" si="360"/>
        <v>0</v>
      </c>
      <c r="V787" s="80">
        <f t="shared" si="360"/>
        <v>0</v>
      </c>
      <c r="W787" s="80">
        <f t="shared" si="360"/>
        <v>0</v>
      </c>
      <c r="X787" s="64">
        <f t="shared" si="360"/>
        <v>0</v>
      </c>
      <c r="Y787" s="64">
        <f t="shared" si="360"/>
        <v>0</v>
      </c>
      <c r="Z787" s="64">
        <f t="shared" si="360"/>
        <v>0</v>
      </c>
      <c r="AA787" s="64">
        <f t="shared" si="358"/>
        <v>0</v>
      </c>
      <c r="AB787" s="59" t="str">
        <f t="shared" si="355"/>
        <v>ok</v>
      </c>
    </row>
    <row r="788" spans="1:28" x14ac:dyDescent="0.25">
      <c r="A788" s="61" t="s">
        <v>1193</v>
      </c>
      <c r="F788" s="80">
        <f t="shared" ref="F788:W788" si="361">F717</f>
        <v>0</v>
      </c>
      <c r="G788" s="80">
        <f t="shared" si="361"/>
        <v>0</v>
      </c>
      <c r="H788" s="80">
        <f t="shared" si="361"/>
        <v>0</v>
      </c>
      <c r="I788" s="80">
        <f t="shared" si="361"/>
        <v>0</v>
      </c>
      <c r="J788" s="80">
        <f t="shared" si="361"/>
        <v>0</v>
      </c>
      <c r="K788" s="80">
        <f t="shared" si="361"/>
        <v>0</v>
      </c>
      <c r="L788" s="80">
        <f t="shared" si="361"/>
        <v>0</v>
      </c>
      <c r="M788" s="80">
        <f t="shared" si="361"/>
        <v>0</v>
      </c>
      <c r="N788" s="80">
        <f t="shared" si="361"/>
        <v>0</v>
      </c>
      <c r="O788" s="80">
        <f t="shared" si="361"/>
        <v>0</v>
      </c>
      <c r="P788" s="80">
        <f t="shared" si="361"/>
        <v>0</v>
      </c>
      <c r="Q788" s="80">
        <f t="shared" si="361"/>
        <v>0</v>
      </c>
      <c r="R788" s="80">
        <f t="shared" si="361"/>
        <v>0</v>
      </c>
      <c r="S788" s="80">
        <f t="shared" si="361"/>
        <v>0</v>
      </c>
      <c r="T788" s="80">
        <f t="shared" si="361"/>
        <v>0</v>
      </c>
      <c r="U788" s="80">
        <f t="shared" si="361"/>
        <v>0</v>
      </c>
      <c r="V788" s="80">
        <f t="shared" si="361"/>
        <v>0</v>
      </c>
      <c r="W788" s="80">
        <f t="shared" si="361"/>
        <v>0</v>
      </c>
      <c r="X788" s="64"/>
      <c r="Y788" s="64"/>
      <c r="Z788" s="64"/>
      <c r="AA788" s="64">
        <f t="shared" si="358"/>
        <v>0</v>
      </c>
      <c r="AB788" s="59" t="str">
        <f t="shared" si="355"/>
        <v>ok</v>
      </c>
    </row>
    <row r="789" spans="1:28" x14ac:dyDescent="0.25">
      <c r="A789" s="69" t="s">
        <v>735</v>
      </c>
      <c r="E789" s="61" t="s">
        <v>1124</v>
      </c>
      <c r="F789" s="80">
        <f t="shared" ref="F789:W789" si="362">F718</f>
        <v>29879058.309999939</v>
      </c>
      <c r="G789" s="80">
        <f t="shared" si="362"/>
        <v>16414296.583951592</v>
      </c>
      <c r="H789" s="80">
        <f t="shared" si="362"/>
        <v>3611227.0656116605</v>
      </c>
      <c r="I789" s="80">
        <f t="shared" si="362"/>
        <v>0</v>
      </c>
      <c r="J789" s="80">
        <f t="shared" si="362"/>
        <v>263837.64154841821</v>
      </c>
      <c r="K789" s="80">
        <f t="shared" si="362"/>
        <v>3428636.19106049</v>
      </c>
      <c r="L789" s="80">
        <f t="shared" si="362"/>
        <v>0</v>
      </c>
      <c r="M789" s="80">
        <f t="shared" si="362"/>
        <v>0</v>
      </c>
      <c r="N789" s="80">
        <f t="shared" si="362"/>
        <v>2753018.1697498355</v>
      </c>
      <c r="O789" s="80">
        <f t="shared" si="362"/>
        <v>1688885.7973745184</v>
      </c>
      <c r="P789" s="80">
        <f t="shared" si="362"/>
        <v>575927.75559176644</v>
      </c>
      <c r="Q789" s="80">
        <f t="shared" si="362"/>
        <v>144453.8635107188</v>
      </c>
      <c r="R789" s="80">
        <f t="shared" si="362"/>
        <v>91223.45848465478</v>
      </c>
      <c r="S789" s="80">
        <f t="shared" si="362"/>
        <v>901197.73793493735</v>
      </c>
      <c r="T789" s="80">
        <f t="shared" si="362"/>
        <v>1547.7925950925746</v>
      </c>
      <c r="U789" s="80">
        <f t="shared" si="362"/>
        <v>4806.2525862550283</v>
      </c>
      <c r="V789" s="80">
        <f t="shared" si="362"/>
        <v>0</v>
      </c>
      <c r="W789" s="80">
        <f t="shared" si="362"/>
        <v>0</v>
      </c>
      <c r="X789" s="64">
        <f>X718</f>
        <v>0</v>
      </c>
      <c r="Y789" s="64">
        <f>Y718</f>
        <v>0</v>
      </c>
      <c r="Z789" s="64">
        <f>Z718</f>
        <v>0</v>
      </c>
      <c r="AA789" s="64">
        <f t="shared" si="358"/>
        <v>29879058.309999935</v>
      </c>
      <c r="AB789" s="59" t="str">
        <f t="shared" si="355"/>
        <v>ok</v>
      </c>
    </row>
    <row r="790" spans="1:28" x14ac:dyDescent="0.25">
      <c r="A790" s="69" t="s">
        <v>736</v>
      </c>
      <c r="F790" s="80">
        <f t="shared" ref="F790:Z790" si="363">F576</f>
        <v>-1214862</v>
      </c>
      <c r="G790" s="80">
        <f t="shared" si="363"/>
        <v>-667394.03128708049</v>
      </c>
      <c r="H790" s="80">
        <f t="shared" si="363"/>
        <v>-146830.0135119996</v>
      </c>
      <c r="I790" s="80">
        <f t="shared" si="363"/>
        <v>0</v>
      </c>
      <c r="J790" s="80">
        <f t="shared" si="363"/>
        <v>-10727.457390433237</v>
      </c>
      <c r="K790" s="80">
        <f t="shared" si="363"/>
        <v>-139405.99389472985</v>
      </c>
      <c r="L790" s="80">
        <f t="shared" si="363"/>
        <v>0</v>
      </c>
      <c r="M790" s="80">
        <f t="shared" si="363"/>
        <v>0</v>
      </c>
      <c r="N790" s="80">
        <f t="shared" si="363"/>
        <v>-111935.82893538762</v>
      </c>
      <c r="O790" s="80">
        <f t="shared" si="363"/>
        <v>-68668.937162698887</v>
      </c>
      <c r="P790" s="80">
        <f t="shared" si="363"/>
        <v>-23416.827188946503</v>
      </c>
      <c r="Q790" s="80">
        <f t="shared" si="363"/>
        <v>-5873.3949280330989</v>
      </c>
      <c r="R790" s="80">
        <f t="shared" si="363"/>
        <v>-3709.0832004064223</v>
      </c>
      <c r="S790" s="80">
        <f t="shared" si="363"/>
        <v>-36642.081385031313</v>
      </c>
      <c r="T790" s="80">
        <f t="shared" si="363"/>
        <v>-62.932184413256344</v>
      </c>
      <c r="U790" s="80">
        <f t="shared" si="363"/>
        <v>-195.4189308398912</v>
      </c>
      <c r="V790" s="80">
        <f t="shared" si="363"/>
        <v>0</v>
      </c>
      <c r="W790" s="80">
        <f t="shared" si="363"/>
        <v>0</v>
      </c>
      <c r="X790" s="64">
        <f t="shared" si="363"/>
        <v>0</v>
      </c>
      <c r="Y790" s="64">
        <f t="shared" si="363"/>
        <v>0</v>
      </c>
      <c r="Z790" s="64">
        <f t="shared" si="363"/>
        <v>0</v>
      </c>
      <c r="AA790" s="64">
        <f t="shared" si="358"/>
        <v>-1214862.0000000005</v>
      </c>
      <c r="AB790" s="59" t="str">
        <f t="shared" si="355"/>
        <v>ok</v>
      </c>
    </row>
    <row r="791" spans="1:28" x14ac:dyDescent="0.25">
      <c r="A791" s="69" t="s">
        <v>700</v>
      </c>
      <c r="F791" s="80">
        <f t="shared" ref="F791:AA791" si="364">F720</f>
        <v>0</v>
      </c>
      <c r="G791" s="80">
        <f t="shared" si="364"/>
        <v>0</v>
      </c>
      <c r="H791" s="80">
        <f t="shared" si="364"/>
        <v>0</v>
      </c>
      <c r="I791" s="80">
        <f t="shared" si="364"/>
        <v>0</v>
      </c>
      <c r="J791" s="80">
        <f t="shared" si="364"/>
        <v>0</v>
      </c>
      <c r="K791" s="80">
        <f t="shared" si="364"/>
        <v>0</v>
      </c>
      <c r="L791" s="80">
        <f t="shared" si="364"/>
        <v>0</v>
      </c>
      <c r="M791" s="80">
        <f t="shared" si="364"/>
        <v>0</v>
      </c>
      <c r="N791" s="80">
        <f t="shared" si="364"/>
        <v>0</v>
      </c>
      <c r="O791" s="80">
        <f t="shared" si="364"/>
        <v>0</v>
      </c>
      <c r="P791" s="80">
        <f t="shared" si="364"/>
        <v>0</v>
      </c>
      <c r="Q791" s="80">
        <f t="shared" si="364"/>
        <v>0</v>
      </c>
      <c r="R791" s="80">
        <f t="shared" si="364"/>
        <v>0</v>
      </c>
      <c r="S791" s="80">
        <f t="shared" si="364"/>
        <v>0</v>
      </c>
      <c r="T791" s="80">
        <f t="shared" si="364"/>
        <v>0</v>
      </c>
      <c r="U791" s="80">
        <f t="shared" si="364"/>
        <v>0</v>
      </c>
      <c r="V791" s="80">
        <f t="shared" si="364"/>
        <v>0</v>
      </c>
      <c r="W791" s="80">
        <f t="shared" si="364"/>
        <v>0</v>
      </c>
      <c r="X791" s="64">
        <f t="shared" si="364"/>
        <v>0</v>
      </c>
      <c r="Y791" s="64">
        <f t="shared" si="364"/>
        <v>0</v>
      </c>
      <c r="Z791" s="64">
        <f t="shared" si="364"/>
        <v>0</v>
      </c>
      <c r="AA791" s="64">
        <f t="shared" si="364"/>
        <v>0</v>
      </c>
      <c r="AB791" s="59" t="str">
        <f t="shared" si="355"/>
        <v>ok</v>
      </c>
    </row>
    <row r="792" spans="1:28" x14ac:dyDescent="0.25">
      <c r="A792" s="69" t="s">
        <v>207</v>
      </c>
      <c r="E792" s="61" t="s">
        <v>850</v>
      </c>
      <c r="F792" s="80">
        <f>F721</f>
        <v>58309040.079131931</v>
      </c>
      <c r="G792" s="80">
        <f t="shared" ref="G792:Z792" si="365">IF(VLOOKUP($E792,$D$6:$AN$1141,3,)=0,0,(VLOOKUP($E792,$D$6:$AN$1141,G$2,)/VLOOKUP($E792,$D$6:$AN$1141,3,))*$F792)</f>
        <v>8884688.3564444762</v>
      </c>
      <c r="H792" s="80">
        <f t="shared" si="365"/>
        <v>14804524.038899226</v>
      </c>
      <c r="I792" s="80">
        <f t="shared" si="365"/>
        <v>0</v>
      </c>
      <c r="J792" s="80">
        <f t="shared" si="365"/>
        <v>914241.42838988325</v>
      </c>
      <c r="K792" s="80">
        <f t="shared" si="365"/>
        <v>15981179.259946093</v>
      </c>
      <c r="L792" s="80">
        <f t="shared" si="365"/>
        <v>0</v>
      </c>
      <c r="M792" s="80">
        <f t="shared" si="365"/>
        <v>0</v>
      </c>
      <c r="N792" s="80">
        <f t="shared" si="365"/>
        <v>7666936.2667275071</v>
      </c>
      <c r="O792" s="80">
        <f t="shared" si="365"/>
        <v>5640543.6564758103</v>
      </c>
      <c r="P792" s="80">
        <f t="shared" si="365"/>
        <v>2619772.0748499441</v>
      </c>
      <c r="Q792" s="80">
        <f t="shared" si="365"/>
        <v>150296.42356488045</v>
      </c>
      <c r="R792" s="80">
        <f t="shared" si="365"/>
        <v>28674.496751144899</v>
      </c>
      <c r="S792" s="80">
        <f t="shared" si="365"/>
        <v>1572521.1814092726</v>
      </c>
      <c r="T792" s="80">
        <f t="shared" si="365"/>
        <v>19506.591304398335</v>
      </c>
      <c r="U792" s="80">
        <f t="shared" si="365"/>
        <v>26156.304369367481</v>
      </c>
      <c r="V792" s="80">
        <f t="shared" si="365"/>
        <v>0</v>
      </c>
      <c r="W792" s="80">
        <f t="shared" si="365"/>
        <v>0</v>
      </c>
      <c r="X792" s="64">
        <f t="shared" si="365"/>
        <v>0</v>
      </c>
      <c r="Y792" s="64">
        <f t="shared" si="365"/>
        <v>0</v>
      </c>
      <c r="Z792" s="64">
        <f t="shared" si="365"/>
        <v>0</v>
      </c>
      <c r="AA792" s="64">
        <f>SUM(G792:Z792)</f>
        <v>58309040.079131998</v>
      </c>
      <c r="AB792" s="59" t="str">
        <f t="shared" si="355"/>
        <v>ok</v>
      </c>
    </row>
    <row r="793" spans="1:28" x14ac:dyDescent="0.25">
      <c r="A793" s="69" t="s">
        <v>708</v>
      </c>
      <c r="F793" s="80">
        <f>F722</f>
        <v>-3438312</v>
      </c>
      <c r="G793" s="80">
        <f t="shared" ref="G793:Z793" si="366">G1112</f>
        <v>0</v>
      </c>
      <c r="H793" s="80">
        <f t="shared" si="366"/>
        <v>0</v>
      </c>
      <c r="I793" s="80">
        <f t="shared" si="366"/>
        <v>0</v>
      </c>
      <c r="J793" s="80">
        <f t="shared" si="366"/>
        <v>0</v>
      </c>
      <c r="K793" s="80">
        <f t="shared" si="366"/>
        <v>0</v>
      </c>
      <c r="L793" s="80">
        <f t="shared" si="366"/>
        <v>0</v>
      </c>
      <c r="M793" s="80">
        <f>-M1112</f>
        <v>0</v>
      </c>
      <c r="N793" s="80">
        <f t="shared" si="366"/>
        <v>0</v>
      </c>
      <c r="O793" s="80">
        <f>-O1112</f>
        <v>0</v>
      </c>
      <c r="P793" s="80">
        <f>-P1112</f>
        <v>-3438312</v>
      </c>
      <c r="Q793" s="80">
        <f t="shared" si="366"/>
        <v>0</v>
      </c>
      <c r="R793" s="80">
        <f t="shared" si="366"/>
        <v>0</v>
      </c>
      <c r="S793" s="80">
        <f t="shared" si="366"/>
        <v>0</v>
      </c>
      <c r="T793" s="80">
        <f t="shared" si="366"/>
        <v>0</v>
      </c>
      <c r="U793" s="80">
        <f t="shared" si="366"/>
        <v>0</v>
      </c>
      <c r="V793" s="80">
        <f t="shared" si="366"/>
        <v>0</v>
      </c>
      <c r="W793" s="80">
        <f t="shared" si="366"/>
        <v>0</v>
      </c>
      <c r="X793" s="64">
        <f t="shared" si="366"/>
        <v>0</v>
      </c>
      <c r="Y793" s="64">
        <f t="shared" si="366"/>
        <v>0</v>
      </c>
      <c r="Z793" s="64">
        <f t="shared" si="366"/>
        <v>0</v>
      </c>
      <c r="AA793" s="64">
        <f>SUM(G793:Z793)</f>
        <v>-3438312</v>
      </c>
      <c r="AB793" s="59" t="str">
        <f t="shared" si="355"/>
        <v>ok</v>
      </c>
    </row>
    <row r="794" spans="1:28" x14ac:dyDescent="0.25">
      <c r="A794" s="69" t="s">
        <v>709</v>
      </c>
      <c r="E794" s="61" t="s">
        <v>710</v>
      </c>
      <c r="F794" s="80">
        <f>F723</f>
        <v>3438312</v>
      </c>
      <c r="G794" s="80">
        <f t="shared" ref="G794:Z794" si="367">IF(VLOOKUP($E794,$D$6:$AN$1141,3,)=0,0,(VLOOKUP($E794,$D$6:$AN$1141,G$2,)/VLOOKUP($E794,$D$6:$AN$1141,3,))*$F794)</f>
        <v>1716605.785352347</v>
      </c>
      <c r="H794" s="80">
        <f t="shared" si="367"/>
        <v>425492.59560746321</v>
      </c>
      <c r="I794" s="80">
        <f t="shared" si="367"/>
        <v>0</v>
      </c>
      <c r="J794" s="80">
        <f t="shared" si="367"/>
        <v>38428.615429308375</v>
      </c>
      <c r="K794" s="80">
        <f t="shared" si="367"/>
        <v>488699.19441685366</v>
      </c>
      <c r="L794" s="80">
        <f t="shared" si="367"/>
        <v>0</v>
      </c>
      <c r="M794" s="80">
        <f t="shared" si="367"/>
        <v>0</v>
      </c>
      <c r="N794" s="80">
        <f t="shared" si="367"/>
        <v>396831.61628918949</v>
      </c>
      <c r="O794" s="80">
        <f t="shared" si="367"/>
        <v>242170.74316397536</v>
      </c>
      <c r="P794" s="80">
        <f t="shared" si="367"/>
        <v>95747.55506104957</v>
      </c>
      <c r="Q794" s="80">
        <f t="shared" si="367"/>
        <v>20506.325697155196</v>
      </c>
      <c r="R794" s="80">
        <f t="shared" si="367"/>
        <v>13361.844585213275</v>
      </c>
      <c r="S794" s="80">
        <f t="shared" si="367"/>
        <v>0</v>
      </c>
      <c r="T794" s="80">
        <f t="shared" si="367"/>
        <v>0</v>
      </c>
      <c r="U794" s="80">
        <f t="shared" si="367"/>
        <v>467.72439744527958</v>
      </c>
      <c r="V794" s="80">
        <f t="shared" si="367"/>
        <v>0</v>
      </c>
      <c r="W794" s="80">
        <f t="shared" si="367"/>
        <v>0</v>
      </c>
      <c r="X794" s="64">
        <f t="shared" si="367"/>
        <v>0</v>
      </c>
      <c r="Y794" s="64">
        <f t="shared" si="367"/>
        <v>0</v>
      </c>
      <c r="Z794" s="64">
        <f t="shared" si="367"/>
        <v>0</v>
      </c>
      <c r="AA794" s="64">
        <f>SUM(G794:Z794)</f>
        <v>3438312.0000000005</v>
      </c>
      <c r="AB794" s="59" t="str">
        <f t="shared" si="355"/>
        <v>ok</v>
      </c>
    </row>
    <row r="795" spans="1:28" x14ac:dyDescent="0.25">
      <c r="A795" s="69"/>
      <c r="D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  <c r="R795" s="80"/>
      <c r="S795" s="80"/>
      <c r="T795" s="80"/>
      <c r="U795" s="80"/>
      <c r="V795" s="80"/>
      <c r="W795" s="80"/>
      <c r="X795" s="64"/>
      <c r="Y795" s="64"/>
      <c r="Z795" s="64"/>
      <c r="AA795" s="64"/>
      <c r="AB795" s="59"/>
    </row>
    <row r="796" spans="1:28" x14ac:dyDescent="0.25">
      <c r="A796" s="61" t="s">
        <v>208</v>
      </c>
      <c r="AA796" s="65"/>
      <c r="AB796" s="59"/>
    </row>
    <row r="797" spans="1:28" s="61" customFormat="1" x14ac:dyDescent="0.25">
      <c r="B797" s="61" t="s">
        <v>696</v>
      </c>
      <c r="E797" s="61" t="s">
        <v>952</v>
      </c>
      <c r="F797" s="334"/>
      <c r="G797" s="77">
        <f t="shared" ref="G797:P806" si="368">IF(VLOOKUP($E797,$D$6:$AN$1141,3,)=0,0,(VLOOKUP($E797,$D$6:$AN$1141,G$2,)/VLOOKUP($E797,$D$6:$AN$1141,3,))*$F797)</f>
        <v>0</v>
      </c>
      <c r="H797" s="77">
        <f t="shared" si="368"/>
        <v>0</v>
      </c>
      <c r="I797" s="77">
        <f t="shared" si="368"/>
        <v>0</v>
      </c>
      <c r="J797" s="77">
        <f t="shared" si="368"/>
        <v>0</v>
      </c>
      <c r="K797" s="77">
        <f t="shared" si="368"/>
        <v>0</v>
      </c>
      <c r="L797" s="77">
        <f t="shared" si="368"/>
        <v>0</v>
      </c>
      <c r="M797" s="77">
        <f t="shared" si="368"/>
        <v>0</v>
      </c>
      <c r="N797" s="77">
        <f t="shared" si="368"/>
        <v>0</v>
      </c>
      <c r="O797" s="77">
        <f t="shared" si="368"/>
        <v>0</v>
      </c>
      <c r="P797" s="77">
        <f t="shared" si="368"/>
        <v>0</v>
      </c>
      <c r="Q797" s="77">
        <f t="shared" ref="Q797:Z806" si="369">IF(VLOOKUP($E797,$D$6:$AN$1141,3,)=0,0,(VLOOKUP($E797,$D$6:$AN$1141,Q$2,)/VLOOKUP($E797,$D$6:$AN$1141,3,))*$F797)</f>
        <v>0</v>
      </c>
      <c r="R797" s="77">
        <f t="shared" si="369"/>
        <v>0</v>
      </c>
      <c r="S797" s="77">
        <f t="shared" si="369"/>
        <v>0</v>
      </c>
      <c r="T797" s="77">
        <f t="shared" si="369"/>
        <v>0</v>
      </c>
      <c r="U797" s="77">
        <f t="shared" si="369"/>
        <v>0</v>
      </c>
      <c r="V797" s="77">
        <f t="shared" si="369"/>
        <v>0</v>
      </c>
      <c r="W797" s="77">
        <f t="shared" si="369"/>
        <v>0</v>
      </c>
      <c r="X797" s="80">
        <f t="shared" si="369"/>
        <v>0</v>
      </c>
      <c r="Y797" s="80">
        <f t="shared" si="369"/>
        <v>0</v>
      </c>
      <c r="Z797" s="80">
        <f t="shared" si="369"/>
        <v>0</v>
      </c>
      <c r="AA797" s="81">
        <f>SUM(G797:Z797)</f>
        <v>0</v>
      </c>
      <c r="AB797" s="94" t="str">
        <f t="shared" ref="AB797:AB828" si="370">IF(ABS(F797-AA797)&lt;0.01,"ok","err")</f>
        <v>ok</v>
      </c>
    </row>
    <row r="798" spans="1:28" s="61" customFormat="1" x14ac:dyDescent="0.25">
      <c r="B798" s="61" t="s">
        <v>697</v>
      </c>
      <c r="E798" s="61" t="s">
        <v>701</v>
      </c>
      <c r="F798" s="330"/>
      <c r="G798" s="80">
        <f t="shared" si="368"/>
        <v>0</v>
      </c>
      <c r="H798" s="80">
        <f t="shared" si="368"/>
        <v>0</v>
      </c>
      <c r="I798" s="80">
        <f t="shared" si="368"/>
        <v>0</v>
      </c>
      <c r="J798" s="80">
        <f t="shared" si="368"/>
        <v>0</v>
      </c>
      <c r="K798" s="80">
        <f t="shared" si="368"/>
        <v>0</v>
      </c>
      <c r="L798" s="80">
        <f t="shared" si="368"/>
        <v>0</v>
      </c>
      <c r="M798" s="80">
        <f t="shared" si="368"/>
        <v>0</v>
      </c>
      <c r="N798" s="80">
        <f t="shared" si="368"/>
        <v>0</v>
      </c>
      <c r="O798" s="80">
        <f t="shared" si="368"/>
        <v>0</v>
      </c>
      <c r="P798" s="80">
        <f t="shared" si="368"/>
        <v>0</v>
      </c>
      <c r="Q798" s="80">
        <f t="shared" si="369"/>
        <v>0</v>
      </c>
      <c r="R798" s="80">
        <f t="shared" si="369"/>
        <v>0</v>
      </c>
      <c r="S798" s="80">
        <f t="shared" si="369"/>
        <v>0</v>
      </c>
      <c r="T798" s="80">
        <f t="shared" si="369"/>
        <v>0</v>
      </c>
      <c r="U798" s="80">
        <f t="shared" si="369"/>
        <v>0</v>
      </c>
      <c r="V798" s="80">
        <f t="shared" si="369"/>
        <v>0</v>
      </c>
      <c r="W798" s="80">
        <f t="shared" si="369"/>
        <v>0</v>
      </c>
      <c r="X798" s="80">
        <f t="shared" si="369"/>
        <v>0</v>
      </c>
      <c r="Y798" s="80">
        <f t="shared" si="369"/>
        <v>0</v>
      </c>
      <c r="Z798" s="80">
        <f t="shared" si="369"/>
        <v>0</v>
      </c>
      <c r="AA798" s="80">
        <f t="shared" ref="AA798:AA827" si="371">SUM(G798:Z798)</f>
        <v>0</v>
      </c>
      <c r="AB798" s="94" t="str">
        <f t="shared" si="370"/>
        <v>ok</v>
      </c>
    </row>
    <row r="799" spans="1:28" s="61" customFormat="1" x14ac:dyDescent="0.25">
      <c r="B799" s="61" t="s">
        <v>281</v>
      </c>
      <c r="E799" s="61" t="s">
        <v>1276</v>
      </c>
      <c r="F799" s="330"/>
      <c r="G799" s="80">
        <f t="shared" si="368"/>
        <v>0</v>
      </c>
      <c r="H799" s="80">
        <f t="shared" si="368"/>
        <v>0</v>
      </c>
      <c r="I799" s="80">
        <f t="shared" si="368"/>
        <v>0</v>
      </c>
      <c r="J799" s="80">
        <f t="shared" si="368"/>
        <v>0</v>
      </c>
      <c r="K799" s="80">
        <f t="shared" si="368"/>
        <v>0</v>
      </c>
      <c r="L799" s="80">
        <f t="shared" si="368"/>
        <v>0</v>
      </c>
      <c r="M799" s="80">
        <f t="shared" si="368"/>
        <v>0</v>
      </c>
      <c r="N799" s="80">
        <f t="shared" si="368"/>
        <v>0</v>
      </c>
      <c r="O799" s="80">
        <f t="shared" si="368"/>
        <v>0</v>
      </c>
      <c r="P799" s="80">
        <f t="shared" si="368"/>
        <v>0</v>
      </c>
      <c r="Q799" s="80">
        <f t="shared" si="369"/>
        <v>0</v>
      </c>
      <c r="R799" s="80">
        <f t="shared" si="369"/>
        <v>0</v>
      </c>
      <c r="S799" s="80">
        <f t="shared" si="369"/>
        <v>0</v>
      </c>
      <c r="T799" s="80">
        <f t="shared" si="369"/>
        <v>0</v>
      </c>
      <c r="U799" s="80">
        <f t="shared" si="369"/>
        <v>0</v>
      </c>
      <c r="V799" s="80">
        <f t="shared" si="369"/>
        <v>0</v>
      </c>
      <c r="W799" s="80">
        <f t="shared" si="369"/>
        <v>0</v>
      </c>
      <c r="X799" s="80">
        <f t="shared" si="369"/>
        <v>0</v>
      </c>
      <c r="Y799" s="80">
        <f t="shared" si="369"/>
        <v>0</v>
      </c>
      <c r="Z799" s="80">
        <f t="shared" si="369"/>
        <v>0</v>
      </c>
      <c r="AA799" s="80">
        <f>SUM(G799:Z799)</f>
        <v>0</v>
      </c>
      <c r="AB799" s="94" t="str">
        <f t="shared" si="370"/>
        <v>ok</v>
      </c>
    </row>
    <row r="800" spans="1:28" s="61" customFormat="1" x14ac:dyDescent="0.25">
      <c r="B800" s="61" t="s">
        <v>698</v>
      </c>
      <c r="E800" s="61" t="s">
        <v>952</v>
      </c>
      <c r="F800" s="330"/>
      <c r="G800" s="80">
        <f t="shared" si="368"/>
        <v>0</v>
      </c>
      <c r="H800" s="80">
        <f t="shared" si="368"/>
        <v>0</v>
      </c>
      <c r="I800" s="80">
        <f t="shared" si="368"/>
        <v>0</v>
      </c>
      <c r="J800" s="80">
        <f t="shared" si="368"/>
        <v>0</v>
      </c>
      <c r="K800" s="80">
        <f t="shared" si="368"/>
        <v>0</v>
      </c>
      <c r="L800" s="80">
        <f t="shared" si="368"/>
        <v>0</v>
      </c>
      <c r="M800" s="80">
        <f t="shared" si="368"/>
        <v>0</v>
      </c>
      <c r="N800" s="80">
        <f t="shared" si="368"/>
        <v>0</v>
      </c>
      <c r="O800" s="80">
        <f t="shared" si="368"/>
        <v>0</v>
      </c>
      <c r="P800" s="80">
        <f t="shared" si="368"/>
        <v>0</v>
      </c>
      <c r="Q800" s="80">
        <f t="shared" si="369"/>
        <v>0</v>
      </c>
      <c r="R800" s="80">
        <f t="shared" si="369"/>
        <v>0</v>
      </c>
      <c r="S800" s="80">
        <f t="shared" si="369"/>
        <v>0</v>
      </c>
      <c r="T800" s="80">
        <f t="shared" si="369"/>
        <v>0</v>
      </c>
      <c r="U800" s="80">
        <f t="shared" si="369"/>
        <v>0</v>
      </c>
      <c r="V800" s="80">
        <f t="shared" si="369"/>
        <v>0</v>
      </c>
      <c r="W800" s="80">
        <f t="shared" si="369"/>
        <v>0</v>
      </c>
      <c r="X800" s="80">
        <f t="shared" si="369"/>
        <v>0</v>
      </c>
      <c r="Y800" s="80">
        <f t="shared" si="369"/>
        <v>0</v>
      </c>
      <c r="Z800" s="80">
        <f t="shared" si="369"/>
        <v>0</v>
      </c>
      <c r="AA800" s="80">
        <f t="shared" si="371"/>
        <v>0</v>
      </c>
      <c r="AB800" s="94" t="str">
        <f t="shared" si="370"/>
        <v>ok</v>
      </c>
    </row>
    <row r="801" spans="2:28" s="61" customFormat="1" x14ac:dyDescent="0.25">
      <c r="B801" s="61" t="s">
        <v>1333</v>
      </c>
      <c r="E801" s="61" t="s">
        <v>1275</v>
      </c>
      <c r="F801" s="330"/>
      <c r="G801" s="80">
        <f t="shared" si="368"/>
        <v>0</v>
      </c>
      <c r="H801" s="80">
        <f t="shared" si="368"/>
        <v>0</v>
      </c>
      <c r="I801" s="80">
        <f t="shared" si="368"/>
        <v>0</v>
      </c>
      <c r="J801" s="80">
        <f t="shared" si="368"/>
        <v>0</v>
      </c>
      <c r="K801" s="80">
        <f t="shared" si="368"/>
        <v>0</v>
      </c>
      <c r="L801" s="80">
        <f t="shared" si="368"/>
        <v>0</v>
      </c>
      <c r="M801" s="80">
        <f t="shared" si="368"/>
        <v>0</v>
      </c>
      <c r="N801" s="80">
        <f t="shared" si="368"/>
        <v>0</v>
      </c>
      <c r="O801" s="80">
        <f t="shared" si="368"/>
        <v>0</v>
      </c>
      <c r="P801" s="80">
        <f t="shared" si="368"/>
        <v>0</v>
      </c>
      <c r="Q801" s="80">
        <f t="shared" si="369"/>
        <v>0</v>
      </c>
      <c r="R801" s="80">
        <f t="shared" si="369"/>
        <v>0</v>
      </c>
      <c r="S801" s="80">
        <f t="shared" si="369"/>
        <v>0</v>
      </c>
      <c r="T801" s="80">
        <f t="shared" si="369"/>
        <v>0</v>
      </c>
      <c r="U801" s="80">
        <f t="shared" si="369"/>
        <v>0</v>
      </c>
      <c r="V801" s="80">
        <f t="shared" si="369"/>
        <v>0</v>
      </c>
      <c r="W801" s="80">
        <f t="shared" si="369"/>
        <v>0</v>
      </c>
      <c r="X801" s="80">
        <f t="shared" si="369"/>
        <v>0</v>
      </c>
      <c r="Y801" s="80">
        <f t="shared" si="369"/>
        <v>0</v>
      </c>
      <c r="Z801" s="80">
        <f t="shared" si="369"/>
        <v>0</v>
      </c>
      <c r="AA801" s="80">
        <f>SUM(G801:Z801)</f>
        <v>0</v>
      </c>
      <c r="AB801" s="94" t="str">
        <f>IF(ABS(F801-AA801)&lt;0.01,"ok","err")</f>
        <v>ok</v>
      </c>
    </row>
    <row r="802" spans="2:28" s="61" customFormat="1" x14ac:dyDescent="0.25">
      <c r="B802" s="61" t="s">
        <v>1298</v>
      </c>
      <c r="E802" s="61" t="s">
        <v>886</v>
      </c>
      <c r="F802" s="330"/>
      <c r="G802" s="80">
        <f t="shared" si="368"/>
        <v>0</v>
      </c>
      <c r="H802" s="80">
        <f t="shared" si="368"/>
        <v>0</v>
      </c>
      <c r="I802" s="80">
        <f t="shared" si="368"/>
        <v>0</v>
      </c>
      <c r="J802" s="80">
        <f t="shared" si="368"/>
        <v>0</v>
      </c>
      <c r="K802" s="80">
        <f t="shared" si="368"/>
        <v>0</v>
      </c>
      <c r="L802" s="80">
        <f t="shared" si="368"/>
        <v>0</v>
      </c>
      <c r="M802" s="80">
        <f t="shared" si="368"/>
        <v>0</v>
      </c>
      <c r="N802" s="80">
        <f t="shared" si="368"/>
        <v>0</v>
      </c>
      <c r="O802" s="80">
        <f t="shared" si="368"/>
        <v>0</v>
      </c>
      <c r="P802" s="80">
        <f t="shared" si="368"/>
        <v>0</v>
      </c>
      <c r="Q802" s="80">
        <f t="shared" si="369"/>
        <v>0</v>
      </c>
      <c r="R802" s="80">
        <f t="shared" si="369"/>
        <v>0</v>
      </c>
      <c r="S802" s="80">
        <f t="shared" si="369"/>
        <v>0</v>
      </c>
      <c r="T802" s="80">
        <f t="shared" si="369"/>
        <v>0</v>
      </c>
      <c r="U802" s="80">
        <f t="shared" si="369"/>
        <v>0</v>
      </c>
      <c r="V802" s="80">
        <f t="shared" si="369"/>
        <v>0</v>
      </c>
      <c r="W802" s="80">
        <f t="shared" si="369"/>
        <v>0</v>
      </c>
      <c r="X802" s="80">
        <f t="shared" si="369"/>
        <v>0</v>
      </c>
      <c r="Y802" s="80">
        <f t="shared" si="369"/>
        <v>0</v>
      </c>
      <c r="Z802" s="80">
        <f t="shared" si="369"/>
        <v>0</v>
      </c>
      <c r="AA802" s="80">
        <f t="shared" si="371"/>
        <v>0</v>
      </c>
      <c r="AB802" s="94" t="str">
        <f t="shared" si="370"/>
        <v>ok</v>
      </c>
    </row>
    <row r="803" spans="2:28" s="61" customFormat="1" x14ac:dyDescent="0.25">
      <c r="B803" s="61" t="s">
        <v>1295</v>
      </c>
      <c r="E803" s="61" t="s">
        <v>884</v>
      </c>
      <c r="F803" s="330"/>
      <c r="G803" s="80">
        <f t="shared" si="368"/>
        <v>0</v>
      </c>
      <c r="H803" s="80">
        <f t="shared" si="368"/>
        <v>0</v>
      </c>
      <c r="I803" s="80">
        <f t="shared" si="368"/>
        <v>0</v>
      </c>
      <c r="J803" s="80">
        <f t="shared" si="368"/>
        <v>0</v>
      </c>
      <c r="K803" s="80">
        <f t="shared" si="368"/>
        <v>0</v>
      </c>
      <c r="L803" s="80">
        <f t="shared" si="368"/>
        <v>0</v>
      </c>
      <c r="M803" s="80">
        <f t="shared" si="368"/>
        <v>0</v>
      </c>
      <c r="N803" s="80">
        <f t="shared" si="368"/>
        <v>0</v>
      </c>
      <c r="O803" s="80">
        <f t="shared" si="368"/>
        <v>0</v>
      </c>
      <c r="P803" s="80">
        <f t="shared" si="368"/>
        <v>0</v>
      </c>
      <c r="Q803" s="80">
        <f t="shared" si="369"/>
        <v>0</v>
      </c>
      <c r="R803" s="80">
        <f t="shared" si="369"/>
        <v>0</v>
      </c>
      <c r="S803" s="80">
        <f t="shared" si="369"/>
        <v>0</v>
      </c>
      <c r="T803" s="80">
        <f t="shared" si="369"/>
        <v>0</v>
      </c>
      <c r="U803" s="80">
        <f t="shared" si="369"/>
        <v>0</v>
      </c>
      <c r="V803" s="80">
        <f t="shared" si="369"/>
        <v>0</v>
      </c>
      <c r="W803" s="80">
        <f t="shared" si="369"/>
        <v>0</v>
      </c>
      <c r="X803" s="80">
        <f t="shared" si="369"/>
        <v>0</v>
      </c>
      <c r="Y803" s="80">
        <f t="shared" si="369"/>
        <v>0</v>
      </c>
      <c r="Z803" s="80">
        <f t="shared" si="369"/>
        <v>0</v>
      </c>
      <c r="AA803" s="80">
        <f t="shared" si="371"/>
        <v>0</v>
      </c>
      <c r="AB803" s="94" t="str">
        <f t="shared" si="370"/>
        <v>ok</v>
      </c>
    </row>
    <row r="804" spans="2:28" s="61" customFormat="1" x14ac:dyDescent="0.25">
      <c r="B804" s="61" t="s">
        <v>1296</v>
      </c>
      <c r="E804" s="61" t="s">
        <v>537</v>
      </c>
      <c r="F804" s="330"/>
      <c r="G804" s="80">
        <f t="shared" si="368"/>
        <v>0</v>
      </c>
      <c r="H804" s="80">
        <f t="shared" si="368"/>
        <v>0</v>
      </c>
      <c r="I804" s="80">
        <f t="shared" si="368"/>
        <v>0</v>
      </c>
      <c r="J804" s="80">
        <f t="shared" si="368"/>
        <v>0</v>
      </c>
      <c r="K804" s="80">
        <f t="shared" si="368"/>
        <v>0</v>
      </c>
      <c r="L804" s="80">
        <f t="shared" si="368"/>
        <v>0</v>
      </c>
      <c r="M804" s="80">
        <f t="shared" si="368"/>
        <v>0</v>
      </c>
      <c r="N804" s="80">
        <f t="shared" si="368"/>
        <v>0</v>
      </c>
      <c r="O804" s="80">
        <f t="shared" si="368"/>
        <v>0</v>
      </c>
      <c r="P804" s="80">
        <f t="shared" si="368"/>
        <v>0</v>
      </c>
      <c r="Q804" s="80">
        <f t="shared" si="369"/>
        <v>0</v>
      </c>
      <c r="R804" s="80">
        <f t="shared" si="369"/>
        <v>0</v>
      </c>
      <c r="S804" s="80">
        <f t="shared" si="369"/>
        <v>0</v>
      </c>
      <c r="T804" s="80">
        <f t="shared" si="369"/>
        <v>0</v>
      </c>
      <c r="U804" s="80">
        <f t="shared" si="369"/>
        <v>0</v>
      </c>
      <c r="V804" s="80">
        <f t="shared" si="369"/>
        <v>0</v>
      </c>
      <c r="W804" s="80">
        <f t="shared" si="369"/>
        <v>0</v>
      </c>
      <c r="X804" s="80">
        <f t="shared" si="369"/>
        <v>0</v>
      </c>
      <c r="Y804" s="80">
        <f t="shared" si="369"/>
        <v>0</v>
      </c>
      <c r="Z804" s="80">
        <f t="shared" si="369"/>
        <v>0</v>
      </c>
      <c r="AA804" s="80">
        <f t="shared" si="371"/>
        <v>0</v>
      </c>
      <c r="AB804" s="94" t="str">
        <f t="shared" si="370"/>
        <v>ok</v>
      </c>
    </row>
    <row r="805" spans="2:28" s="61" customFormat="1" x14ac:dyDescent="0.25">
      <c r="B805" s="61" t="s">
        <v>1300</v>
      </c>
      <c r="E805" s="61" t="s">
        <v>1131</v>
      </c>
      <c r="F805" s="330"/>
      <c r="G805" s="80">
        <f t="shared" si="368"/>
        <v>0</v>
      </c>
      <c r="H805" s="80">
        <f t="shared" si="368"/>
        <v>0</v>
      </c>
      <c r="I805" s="80">
        <f t="shared" si="368"/>
        <v>0</v>
      </c>
      <c r="J805" s="80">
        <f t="shared" si="368"/>
        <v>0</v>
      </c>
      <c r="K805" s="80">
        <f t="shared" si="368"/>
        <v>0</v>
      </c>
      <c r="L805" s="80">
        <f t="shared" si="368"/>
        <v>0</v>
      </c>
      <c r="M805" s="80">
        <f t="shared" si="368"/>
        <v>0</v>
      </c>
      <c r="N805" s="80">
        <f t="shared" si="368"/>
        <v>0</v>
      </c>
      <c r="O805" s="80">
        <f t="shared" si="368"/>
        <v>0</v>
      </c>
      <c r="P805" s="80">
        <f t="shared" si="368"/>
        <v>0</v>
      </c>
      <c r="Q805" s="80">
        <f t="shared" si="369"/>
        <v>0</v>
      </c>
      <c r="R805" s="80">
        <f t="shared" si="369"/>
        <v>0</v>
      </c>
      <c r="S805" s="80">
        <f t="shared" si="369"/>
        <v>0</v>
      </c>
      <c r="T805" s="80">
        <f t="shared" si="369"/>
        <v>0</v>
      </c>
      <c r="U805" s="80">
        <f t="shared" si="369"/>
        <v>0</v>
      </c>
      <c r="V805" s="80">
        <f t="shared" si="369"/>
        <v>0</v>
      </c>
      <c r="W805" s="80">
        <f t="shared" si="369"/>
        <v>0</v>
      </c>
      <c r="X805" s="80">
        <f t="shared" si="369"/>
        <v>0</v>
      </c>
      <c r="Y805" s="80">
        <f t="shared" si="369"/>
        <v>0</v>
      </c>
      <c r="Z805" s="80">
        <f t="shared" si="369"/>
        <v>0</v>
      </c>
      <c r="AA805" s="80">
        <f t="shared" si="371"/>
        <v>0</v>
      </c>
      <c r="AB805" s="94" t="str">
        <f t="shared" si="370"/>
        <v>ok</v>
      </c>
    </row>
    <row r="806" spans="2:28" s="61" customFormat="1" x14ac:dyDescent="0.25">
      <c r="B806" s="61" t="s">
        <v>1297</v>
      </c>
      <c r="E806" s="61" t="s">
        <v>1131</v>
      </c>
      <c r="F806" s="330"/>
      <c r="G806" s="80">
        <f t="shared" si="368"/>
        <v>0</v>
      </c>
      <c r="H806" s="80">
        <f t="shared" si="368"/>
        <v>0</v>
      </c>
      <c r="I806" s="80">
        <f t="shared" si="368"/>
        <v>0</v>
      </c>
      <c r="J806" s="80">
        <f t="shared" si="368"/>
        <v>0</v>
      </c>
      <c r="K806" s="80">
        <f t="shared" si="368"/>
        <v>0</v>
      </c>
      <c r="L806" s="80">
        <f t="shared" si="368"/>
        <v>0</v>
      </c>
      <c r="M806" s="80">
        <f t="shared" si="368"/>
        <v>0</v>
      </c>
      <c r="N806" s="80">
        <f t="shared" si="368"/>
        <v>0</v>
      </c>
      <c r="O806" s="80">
        <f t="shared" si="368"/>
        <v>0</v>
      </c>
      <c r="P806" s="80">
        <f t="shared" si="368"/>
        <v>0</v>
      </c>
      <c r="Q806" s="80">
        <f t="shared" si="369"/>
        <v>0</v>
      </c>
      <c r="R806" s="80">
        <f t="shared" si="369"/>
        <v>0</v>
      </c>
      <c r="S806" s="80">
        <f t="shared" si="369"/>
        <v>0</v>
      </c>
      <c r="T806" s="80">
        <f t="shared" si="369"/>
        <v>0</v>
      </c>
      <c r="U806" s="80">
        <f t="shared" si="369"/>
        <v>0</v>
      </c>
      <c r="V806" s="80">
        <f t="shared" si="369"/>
        <v>0</v>
      </c>
      <c r="W806" s="80">
        <f t="shared" si="369"/>
        <v>0</v>
      </c>
      <c r="X806" s="80">
        <f t="shared" si="369"/>
        <v>0</v>
      </c>
      <c r="Y806" s="80">
        <f t="shared" si="369"/>
        <v>0</v>
      </c>
      <c r="Z806" s="80">
        <f t="shared" si="369"/>
        <v>0</v>
      </c>
      <c r="AA806" s="80">
        <f t="shared" si="371"/>
        <v>0</v>
      </c>
      <c r="AB806" s="94" t="str">
        <f t="shared" si="370"/>
        <v>ok</v>
      </c>
    </row>
    <row r="807" spans="2:28" s="61" customFormat="1" x14ac:dyDescent="0.25">
      <c r="B807" s="61" t="s">
        <v>1299</v>
      </c>
      <c r="E807" s="61" t="s">
        <v>427</v>
      </c>
      <c r="F807" s="80">
        <v>1078923.570000001</v>
      </c>
      <c r="G807" s="80">
        <f t="shared" ref="G807:P816" si="372">IF(VLOOKUP($E807,$D$6:$AN$1141,3,)=0,0,(VLOOKUP($E807,$D$6:$AN$1141,G$2,)/VLOOKUP($E807,$D$6:$AN$1141,3,))*$F807)</f>
        <v>593506.86646673176</v>
      </c>
      <c r="H807" s="80">
        <f t="shared" si="372"/>
        <v>130354.64238804573</v>
      </c>
      <c r="I807" s="80">
        <f t="shared" si="372"/>
        <v>0</v>
      </c>
      <c r="J807" s="80">
        <f t="shared" si="372"/>
        <v>9490.0173229713564</v>
      </c>
      <c r="K807" s="80">
        <f t="shared" si="372"/>
        <v>123374.28220822978</v>
      </c>
      <c r="L807" s="80">
        <f t="shared" si="372"/>
        <v>0</v>
      </c>
      <c r="M807" s="80">
        <f t="shared" si="372"/>
        <v>0</v>
      </c>
      <c r="N807" s="80">
        <f t="shared" si="372"/>
        <v>99042.824492519328</v>
      </c>
      <c r="O807" s="80">
        <f t="shared" si="372"/>
        <v>60765.352067564927</v>
      </c>
      <c r="P807" s="80">
        <f t="shared" si="372"/>
        <v>20661.117452548482</v>
      </c>
      <c r="Q807" s="80">
        <f t="shared" ref="Q807:Z816" si="373">IF(VLOOKUP($E807,$D$6:$AN$1141,3,)=0,0,(VLOOKUP($E807,$D$6:$AN$1141,Q$2,)/VLOOKUP($E807,$D$6:$AN$1141,3,))*$F807)</f>
        <v>5198.3366107979082</v>
      </c>
      <c r="R807" s="80">
        <f t="shared" si="373"/>
        <v>3280.8865009551723</v>
      </c>
      <c r="S807" s="80">
        <f t="shared" si="373"/>
        <v>33018.591024251349</v>
      </c>
      <c r="T807" s="80">
        <f t="shared" si="373"/>
        <v>56.708898099138395</v>
      </c>
      <c r="U807" s="80">
        <f t="shared" si="373"/>
        <v>173.94456728628958</v>
      </c>
      <c r="V807" s="80">
        <f t="shared" si="373"/>
        <v>0</v>
      </c>
      <c r="W807" s="80">
        <f t="shared" si="373"/>
        <v>0</v>
      </c>
      <c r="X807" s="80">
        <f t="shared" si="373"/>
        <v>0</v>
      </c>
      <c r="Y807" s="80">
        <f t="shared" si="373"/>
        <v>0</v>
      </c>
      <c r="Z807" s="80">
        <f t="shared" si="373"/>
        <v>0</v>
      </c>
      <c r="AA807" s="80">
        <f>SUM(G807:Z807)</f>
        <v>1078923.5700000012</v>
      </c>
      <c r="AB807" s="94" t="str">
        <f t="shared" si="370"/>
        <v>ok</v>
      </c>
    </row>
    <row r="808" spans="2:28" s="61" customFormat="1" x14ac:dyDescent="0.25">
      <c r="B808" s="61" t="s">
        <v>1339</v>
      </c>
      <c r="E808" s="61" t="s">
        <v>368</v>
      </c>
      <c r="F808" s="330"/>
      <c r="G808" s="80">
        <f t="shared" si="372"/>
        <v>0</v>
      </c>
      <c r="H808" s="80">
        <f t="shared" si="372"/>
        <v>0</v>
      </c>
      <c r="I808" s="80">
        <f t="shared" si="372"/>
        <v>0</v>
      </c>
      <c r="J808" s="80">
        <f t="shared" si="372"/>
        <v>0</v>
      </c>
      <c r="K808" s="80">
        <f t="shared" si="372"/>
        <v>0</v>
      </c>
      <c r="L808" s="80">
        <f t="shared" si="372"/>
        <v>0</v>
      </c>
      <c r="M808" s="80">
        <f t="shared" si="372"/>
        <v>0</v>
      </c>
      <c r="N808" s="80">
        <f t="shared" si="372"/>
        <v>0</v>
      </c>
      <c r="O808" s="80">
        <f t="shared" si="372"/>
        <v>0</v>
      </c>
      <c r="P808" s="80">
        <f t="shared" si="372"/>
        <v>0</v>
      </c>
      <c r="Q808" s="80">
        <f t="shared" si="373"/>
        <v>0</v>
      </c>
      <c r="R808" s="80">
        <f t="shared" si="373"/>
        <v>0</v>
      </c>
      <c r="S808" s="80">
        <f t="shared" si="373"/>
        <v>0</v>
      </c>
      <c r="T808" s="80">
        <f t="shared" si="373"/>
        <v>0</v>
      </c>
      <c r="U808" s="80">
        <f t="shared" si="373"/>
        <v>0</v>
      </c>
      <c r="V808" s="80">
        <f t="shared" si="373"/>
        <v>0</v>
      </c>
      <c r="W808" s="80">
        <f t="shared" si="373"/>
        <v>0</v>
      </c>
      <c r="X808" s="80">
        <f t="shared" si="373"/>
        <v>0</v>
      </c>
      <c r="Y808" s="80">
        <f t="shared" si="373"/>
        <v>0</v>
      </c>
      <c r="Z808" s="80">
        <f t="shared" si="373"/>
        <v>0</v>
      </c>
      <c r="AA808" s="80">
        <f>SUM(G808:Z808)</f>
        <v>0</v>
      </c>
      <c r="AB808" s="94" t="str">
        <f t="shared" si="370"/>
        <v>ok</v>
      </c>
    </row>
    <row r="809" spans="2:28" s="61" customFormat="1" x14ac:dyDescent="0.25">
      <c r="B809" s="61" t="s">
        <v>1301</v>
      </c>
      <c r="E809" s="61" t="s">
        <v>1136</v>
      </c>
      <c r="F809" s="80">
        <v>-560632</v>
      </c>
      <c r="G809" s="80">
        <f t="shared" si="372"/>
        <v>-223571.95077779741</v>
      </c>
      <c r="H809" s="80">
        <f t="shared" si="372"/>
        <v>-79930.490605567538</v>
      </c>
      <c r="I809" s="80">
        <f t="shared" si="372"/>
        <v>0</v>
      </c>
      <c r="J809" s="80">
        <f t="shared" si="372"/>
        <v>-6713.5431549501582</v>
      </c>
      <c r="K809" s="80">
        <f t="shared" si="372"/>
        <v>-90772.228450994618</v>
      </c>
      <c r="L809" s="80">
        <f t="shared" si="372"/>
        <v>0</v>
      </c>
      <c r="M809" s="80">
        <f t="shared" si="372"/>
        <v>0</v>
      </c>
      <c r="N809" s="80">
        <f t="shared" si="372"/>
        <v>-75032.401750627789</v>
      </c>
      <c r="O809" s="80">
        <f t="shared" si="372"/>
        <v>-42938.569750766357</v>
      </c>
      <c r="P809" s="80">
        <f t="shared" si="372"/>
        <v>-25434.43096268097</v>
      </c>
      <c r="Q809" s="80">
        <f t="shared" si="373"/>
        <v>-3614.6471754114382</v>
      </c>
      <c r="R809" s="80">
        <f t="shared" si="373"/>
        <v>-1888.917479215514</v>
      </c>
      <c r="S809" s="80">
        <f t="shared" si="373"/>
        <v>-10447.52254565325</v>
      </c>
      <c r="T809" s="80">
        <f t="shared" si="373"/>
        <v>-128.99361588336299</v>
      </c>
      <c r="U809" s="80">
        <f t="shared" si="373"/>
        <v>-158.30373045156011</v>
      </c>
      <c r="V809" s="80">
        <f t="shared" si="373"/>
        <v>0</v>
      </c>
      <c r="W809" s="80">
        <f t="shared" si="373"/>
        <v>0</v>
      </c>
      <c r="X809" s="80">
        <f t="shared" si="373"/>
        <v>0</v>
      </c>
      <c r="Y809" s="80">
        <f t="shared" si="373"/>
        <v>0</v>
      </c>
      <c r="Z809" s="80">
        <f t="shared" si="373"/>
        <v>0</v>
      </c>
      <c r="AA809" s="80">
        <f t="shared" si="371"/>
        <v>-560632</v>
      </c>
      <c r="AB809" s="94" t="str">
        <f t="shared" si="370"/>
        <v>ok</v>
      </c>
    </row>
    <row r="810" spans="2:28" s="61" customFormat="1" x14ac:dyDescent="0.25">
      <c r="B810" s="61" t="s">
        <v>1371</v>
      </c>
      <c r="E810" s="61" t="s">
        <v>515</v>
      </c>
      <c r="F810" s="80">
        <v>79118</v>
      </c>
      <c r="G810" s="80">
        <f t="shared" si="372"/>
        <v>39500.317750543574</v>
      </c>
      <c r="H810" s="80">
        <f t="shared" si="372"/>
        <v>9790.8866848823691</v>
      </c>
      <c r="I810" s="80">
        <f t="shared" si="372"/>
        <v>0</v>
      </c>
      <c r="J810" s="80">
        <f t="shared" si="372"/>
        <v>884.2697217518421</v>
      </c>
      <c r="K810" s="80">
        <f t="shared" si="372"/>
        <v>11245.315394261088</v>
      </c>
      <c r="L810" s="80">
        <f t="shared" si="372"/>
        <v>0</v>
      </c>
      <c r="M810" s="80">
        <f t="shared" si="372"/>
        <v>0</v>
      </c>
      <c r="N810" s="80">
        <f t="shared" si="372"/>
        <v>9131.3772041536904</v>
      </c>
      <c r="O810" s="80">
        <f t="shared" si="372"/>
        <v>5572.5207187850901</v>
      </c>
      <c r="P810" s="80">
        <f t="shared" si="372"/>
        <v>2203.2192137653942</v>
      </c>
      <c r="Q810" s="80">
        <f t="shared" si="373"/>
        <v>471.86511186521903</v>
      </c>
      <c r="R810" s="80">
        <f t="shared" si="373"/>
        <v>307.46552956593348</v>
      </c>
      <c r="S810" s="80">
        <f t="shared" si="373"/>
        <v>0</v>
      </c>
      <c r="T810" s="80">
        <f t="shared" si="373"/>
        <v>0</v>
      </c>
      <c r="U810" s="80">
        <f t="shared" si="373"/>
        <v>10.762670425800691</v>
      </c>
      <c r="V810" s="80">
        <f t="shared" si="373"/>
        <v>0</v>
      </c>
      <c r="W810" s="80">
        <f t="shared" si="373"/>
        <v>0</v>
      </c>
      <c r="X810" s="80">
        <f t="shared" si="373"/>
        <v>0</v>
      </c>
      <c r="Y810" s="80">
        <f t="shared" si="373"/>
        <v>0</v>
      </c>
      <c r="Z810" s="80">
        <f t="shared" si="373"/>
        <v>0</v>
      </c>
      <c r="AA810" s="80">
        <f>SUM(G810:Z810)</f>
        <v>79118</v>
      </c>
      <c r="AB810" s="94" t="str">
        <f t="shared" si="370"/>
        <v>ok</v>
      </c>
    </row>
    <row r="811" spans="2:28" s="61" customFormat="1" x14ac:dyDescent="0.25">
      <c r="B811" s="61" t="s">
        <v>1302</v>
      </c>
      <c r="E811" s="61" t="s">
        <v>368</v>
      </c>
      <c r="F811" s="330"/>
      <c r="G811" s="80">
        <f t="shared" si="372"/>
        <v>0</v>
      </c>
      <c r="H811" s="80">
        <f t="shared" si="372"/>
        <v>0</v>
      </c>
      <c r="I811" s="80">
        <f t="shared" si="372"/>
        <v>0</v>
      </c>
      <c r="J811" s="80">
        <f t="shared" si="372"/>
        <v>0</v>
      </c>
      <c r="K811" s="80">
        <f t="shared" si="372"/>
        <v>0</v>
      </c>
      <c r="L811" s="80">
        <f t="shared" si="372"/>
        <v>0</v>
      </c>
      <c r="M811" s="80">
        <f t="shared" si="372"/>
        <v>0</v>
      </c>
      <c r="N811" s="80">
        <f t="shared" si="372"/>
        <v>0</v>
      </c>
      <c r="O811" s="80">
        <f t="shared" si="372"/>
        <v>0</v>
      </c>
      <c r="P811" s="80">
        <f t="shared" si="372"/>
        <v>0</v>
      </c>
      <c r="Q811" s="80">
        <f t="shared" si="373"/>
        <v>0</v>
      </c>
      <c r="R811" s="80">
        <f t="shared" si="373"/>
        <v>0</v>
      </c>
      <c r="S811" s="80">
        <f t="shared" si="373"/>
        <v>0</v>
      </c>
      <c r="T811" s="80">
        <f t="shared" si="373"/>
        <v>0</v>
      </c>
      <c r="U811" s="80">
        <f t="shared" si="373"/>
        <v>0</v>
      </c>
      <c r="V811" s="80">
        <f t="shared" si="373"/>
        <v>0</v>
      </c>
      <c r="W811" s="80">
        <f t="shared" si="373"/>
        <v>0</v>
      </c>
      <c r="X811" s="80">
        <f t="shared" si="373"/>
        <v>0</v>
      </c>
      <c r="Y811" s="80">
        <f t="shared" si="373"/>
        <v>0</v>
      </c>
      <c r="Z811" s="80">
        <f t="shared" si="373"/>
        <v>0</v>
      </c>
      <c r="AA811" s="80">
        <f>SUM(G811:Z811)</f>
        <v>0</v>
      </c>
      <c r="AB811" s="94" t="str">
        <f t="shared" si="370"/>
        <v>ok</v>
      </c>
    </row>
    <row r="812" spans="2:28" s="61" customFormat="1" x14ac:dyDescent="0.25">
      <c r="B812" s="61" t="s">
        <v>1303</v>
      </c>
      <c r="E812" s="61" t="s">
        <v>1115</v>
      </c>
      <c r="F812" s="330"/>
      <c r="G812" s="80">
        <f t="shared" si="372"/>
        <v>0</v>
      </c>
      <c r="H812" s="80">
        <f t="shared" si="372"/>
        <v>0</v>
      </c>
      <c r="I812" s="80">
        <f t="shared" si="372"/>
        <v>0</v>
      </c>
      <c r="J812" s="80">
        <f t="shared" si="372"/>
        <v>0</v>
      </c>
      <c r="K812" s="80">
        <f t="shared" si="372"/>
        <v>0</v>
      </c>
      <c r="L812" s="80">
        <f t="shared" si="372"/>
        <v>0</v>
      </c>
      <c r="M812" s="80">
        <f t="shared" si="372"/>
        <v>0</v>
      </c>
      <c r="N812" s="80">
        <f t="shared" si="372"/>
        <v>0</v>
      </c>
      <c r="O812" s="80">
        <f t="shared" si="372"/>
        <v>0</v>
      </c>
      <c r="P812" s="80">
        <f t="shared" si="372"/>
        <v>0</v>
      </c>
      <c r="Q812" s="80">
        <f t="shared" si="373"/>
        <v>0</v>
      </c>
      <c r="R812" s="80">
        <f t="shared" si="373"/>
        <v>0</v>
      </c>
      <c r="S812" s="80">
        <f t="shared" si="373"/>
        <v>0</v>
      </c>
      <c r="T812" s="80">
        <f t="shared" si="373"/>
        <v>0</v>
      </c>
      <c r="U812" s="80">
        <f t="shared" si="373"/>
        <v>0</v>
      </c>
      <c r="V812" s="80">
        <f t="shared" si="373"/>
        <v>0</v>
      </c>
      <c r="W812" s="80">
        <f t="shared" si="373"/>
        <v>0</v>
      </c>
      <c r="X812" s="80">
        <f t="shared" si="373"/>
        <v>0</v>
      </c>
      <c r="Y812" s="80">
        <f t="shared" si="373"/>
        <v>0</v>
      </c>
      <c r="Z812" s="80">
        <f t="shared" si="373"/>
        <v>0</v>
      </c>
      <c r="AA812" s="80">
        <f>SUM(G812:Z812)</f>
        <v>0</v>
      </c>
      <c r="AB812" s="94" t="str">
        <f t="shared" si="370"/>
        <v>ok</v>
      </c>
    </row>
    <row r="813" spans="2:28" s="61" customFormat="1" x14ac:dyDescent="0.25">
      <c r="B813" s="61" t="s">
        <v>1304</v>
      </c>
      <c r="E813" s="61" t="s">
        <v>1115</v>
      </c>
      <c r="F813" s="330"/>
      <c r="G813" s="80">
        <f t="shared" si="372"/>
        <v>0</v>
      </c>
      <c r="H813" s="80">
        <f t="shared" si="372"/>
        <v>0</v>
      </c>
      <c r="I813" s="80">
        <f t="shared" si="372"/>
        <v>0</v>
      </c>
      <c r="J813" s="80">
        <f t="shared" si="372"/>
        <v>0</v>
      </c>
      <c r="K813" s="80">
        <f t="shared" si="372"/>
        <v>0</v>
      </c>
      <c r="L813" s="80">
        <f t="shared" si="372"/>
        <v>0</v>
      </c>
      <c r="M813" s="80">
        <f t="shared" si="372"/>
        <v>0</v>
      </c>
      <c r="N813" s="80">
        <f t="shared" si="372"/>
        <v>0</v>
      </c>
      <c r="O813" s="80">
        <f t="shared" si="372"/>
        <v>0</v>
      </c>
      <c r="P813" s="80">
        <f t="shared" si="372"/>
        <v>0</v>
      </c>
      <c r="Q813" s="80">
        <f t="shared" si="373"/>
        <v>0</v>
      </c>
      <c r="R813" s="80">
        <f t="shared" si="373"/>
        <v>0</v>
      </c>
      <c r="S813" s="80">
        <f t="shared" si="373"/>
        <v>0</v>
      </c>
      <c r="T813" s="80">
        <f t="shared" si="373"/>
        <v>0</v>
      </c>
      <c r="U813" s="80">
        <f t="shared" si="373"/>
        <v>0</v>
      </c>
      <c r="V813" s="80">
        <f t="shared" si="373"/>
        <v>0</v>
      </c>
      <c r="W813" s="80">
        <f t="shared" si="373"/>
        <v>0</v>
      </c>
      <c r="X813" s="80">
        <f t="shared" si="373"/>
        <v>0</v>
      </c>
      <c r="Y813" s="80">
        <f t="shared" si="373"/>
        <v>0</v>
      </c>
      <c r="Z813" s="80">
        <f t="shared" si="373"/>
        <v>0</v>
      </c>
      <c r="AA813" s="80">
        <f>SUM(G813:Z813)</f>
        <v>0</v>
      </c>
      <c r="AB813" s="94" t="str">
        <f t="shared" si="370"/>
        <v>ok</v>
      </c>
    </row>
    <row r="814" spans="2:28" s="61" customFormat="1" x14ac:dyDescent="0.25">
      <c r="B814" s="61" t="s">
        <v>699</v>
      </c>
      <c r="E814" s="61" t="s">
        <v>1129</v>
      </c>
      <c r="F814" s="330"/>
      <c r="G814" s="80">
        <f t="shared" si="372"/>
        <v>0</v>
      </c>
      <c r="H814" s="80">
        <f t="shared" si="372"/>
        <v>0</v>
      </c>
      <c r="I814" s="80">
        <f t="shared" si="372"/>
        <v>0</v>
      </c>
      <c r="J814" s="80">
        <f t="shared" si="372"/>
        <v>0</v>
      </c>
      <c r="K814" s="80">
        <f t="shared" si="372"/>
        <v>0</v>
      </c>
      <c r="L814" s="80">
        <f t="shared" si="372"/>
        <v>0</v>
      </c>
      <c r="M814" s="80">
        <f t="shared" si="372"/>
        <v>0</v>
      </c>
      <c r="N814" s="80">
        <f t="shared" si="372"/>
        <v>0</v>
      </c>
      <c r="O814" s="80">
        <f t="shared" si="372"/>
        <v>0</v>
      </c>
      <c r="P814" s="80">
        <f t="shared" si="372"/>
        <v>0</v>
      </c>
      <c r="Q814" s="80">
        <f t="shared" si="373"/>
        <v>0</v>
      </c>
      <c r="R814" s="80">
        <f t="shared" si="373"/>
        <v>0</v>
      </c>
      <c r="S814" s="80">
        <f t="shared" si="373"/>
        <v>0</v>
      </c>
      <c r="T814" s="80">
        <f t="shared" si="373"/>
        <v>0</v>
      </c>
      <c r="U814" s="80">
        <f t="shared" si="373"/>
        <v>0</v>
      </c>
      <c r="V814" s="80">
        <f t="shared" si="373"/>
        <v>0</v>
      </c>
      <c r="W814" s="80">
        <f t="shared" si="373"/>
        <v>0</v>
      </c>
      <c r="X814" s="80">
        <f t="shared" si="373"/>
        <v>0</v>
      </c>
      <c r="Y814" s="80">
        <f t="shared" si="373"/>
        <v>0</v>
      </c>
      <c r="Z814" s="80">
        <f t="shared" si="373"/>
        <v>0</v>
      </c>
      <c r="AA814" s="80">
        <f t="shared" si="371"/>
        <v>0</v>
      </c>
      <c r="AB814" s="94" t="str">
        <f t="shared" si="370"/>
        <v>ok</v>
      </c>
    </row>
    <row r="815" spans="2:28" s="61" customFormat="1" x14ac:dyDescent="0.25">
      <c r="B815" s="61" t="s">
        <v>1340</v>
      </c>
      <c r="E815" s="61" t="s">
        <v>427</v>
      </c>
      <c r="F815" s="330"/>
      <c r="G815" s="80">
        <f t="shared" si="372"/>
        <v>0</v>
      </c>
      <c r="H815" s="80">
        <f t="shared" si="372"/>
        <v>0</v>
      </c>
      <c r="I815" s="80">
        <f t="shared" si="372"/>
        <v>0</v>
      </c>
      <c r="J815" s="80">
        <f t="shared" si="372"/>
        <v>0</v>
      </c>
      <c r="K815" s="80">
        <f t="shared" si="372"/>
        <v>0</v>
      </c>
      <c r="L815" s="80">
        <f t="shared" si="372"/>
        <v>0</v>
      </c>
      <c r="M815" s="80">
        <f t="shared" si="372"/>
        <v>0</v>
      </c>
      <c r="N815" s="80">
        <f t="shared" si="372"/>
        <v>0</v>
      </c>
      <c r="O815" s="80">
        <f t="shared" si="372"/>
        <v>0</v>
      </c>
      <c r="P815" s="80">
        <f t="shared" si="372"/>
        <v>0</v>
      </c>
      <c r="Q815" s="80">
        <f t="shared" si="373"/>
        <v>0</v>
      </c>
      <c r="R815" s="80">
        <f t="shared" si="373"/>
        <v>0</v>
      </c>
      <c r="S815" s="80">
        <f t="shared" si="373"/>
        <v>0</v>
      </c>
      <c r="T815" s="80">
        <f t="shared" si="373"/>
        <v>0</v>
      </c>
      <c r="U815" s="80">
        <f t="shared" si="373"/>
        <v>0</v>
      </c>
      <c r="V815" s="80">
        <f t="shared" si="373"/>
        <v>0</v>
      </c>
      <c r="W815" s="80">
        <f t="shared" si="373"/>
        <v>0</v>
      </c>
      <c r="X815" s="80">
        <f t="shared" si="373"/>
        <v>0</v>
      </c>
      <c r="Y815" s="80">
        <f t="shared" si="373"/>
        <v>0</v>
      </c>
      <c r="Z815" s="80">
        <f t="shared" si="373"/>
        <v>0</v>
      </c>
      <c r="AA815" s="80">
        <f t="shared" si="371"/>
        <v>0</v>
      </c>
      <c r="AB815" s="94" t="str">
        <f t="shared" si="370"/>
        <v>ok</v>
      </c>
    </row>
    <row r="816" spans="2:28" s="61" customFormat="1" x14ac:dyDescent="0.25">
      <c r="B816" s="61" t="s">
        <v>1305</v>
      </c>
      <c r="E816" s="61" t="s">
        <v>368</v>
      </c>
      <c r="F816" s="330"/>
      <c r="G816" s="80">
        <f t="shared" si="372"/>
        <v>0</v>
      </c>
      <c r="H816" s="80">
        <f t="shared" si="372"/>
        <v>0</v>
      </c>
      <c r="I816" s="80">
        <f t="shared" si="372"/>
        <v>0</v>
      </c>
      <c r="J816" s="80">
        <f t="shared" si="372"/>
        <v>0</v>
      </c>
      <c r="K816" s="80">
        <f t="shared" si="372"/>
        <v>0</v>
      </c>
      <c r="L816" s="80">
        <f t="shared" si="372"/>
        <v>0</v>
      </c>
      <c r="M816" s="80">
        <f t="shared" si="372"/>
        <v>0</v>
      </c>
      <c r="N816" s="80">
        <f t="shared" si="372"/>
        <v>0</v>
      </c>
      <c r="O816" s="80">
        <f t="shared" si="372"/>
        <v>0</v>
      </c>
      <c r="P816" s="80">
        <f t="shared" si="372"/>
        <v>0</v>
      </c>
      <c r="Q816" s="80">
        <f t="shared" si="373"/>
        <v>0</v>
      </c>
      <c r="R816" s="80">
        <f t="shared" si="373"/>
        <v>0</v>
      </c>
      <c r="S816" s="80">
        <f t="shared" si="373"/>
        <v>0</v>
      </c>
      <c r="T816" s="80">
        <f t="shared" si="373"/>
        <v>0</v>
      </c>
      <c r="U816" s="80">
        <f t="shared" si="373"/>
        <v>0</v>
      </c>
      <c r="V816" s="80">
        <f t="shared" si="373"/>
        <v>0</v>
      </c>
      <c r="W816" s="80">
        <f t="shared" si="373"/>
        <v>0</v>
      </c>
      <c r="X816" s="80">
        <f t="shared" si="373"/>
        <v>0</v>
      </c>
      <c r="Y816" s="80">
        <f t="shared" si="373"/>
        <v>0</v>
      </c>
      <c r="Z816" s="80">
        <f t="shared" si="373"/>
        <v>0</v>
      </c>
      <c r="AA816" s="80">
        <f t="shared" si="371"/>
        <v>0</v>
      </c>
      <c r="AB816" s="94" t="str">
        <f t="shared" si="370"/>
        <v>ok</v>
      </c>
    </row>
    <row r="817" spans="1:54" s="61" customFormat="1" x14ac:dyDescent="0.25">
      <c r="B817" s="61" t="s">
        <v>1306</v>
      </c>
      <c r="E817" s="61" t="s">
        <v>1115</v>
      </c>
      <c r="F817" s="330"/>
      <c r="G817" s="80">
        <f t="shared" ref="G817:P827" si="374">IF(VLOOKUP($E817,$D$6:$AN$1141,3,)=0,0,(VLOOKUP($E817,$D$6:$AN$1141,G$2,)/VLOOKUP($E817,$D$6:$AN$1141,3,))*$F817)</f>
        <v>0</v>
      </c>
      <c r="H817" s="80">
        <f t="shared" si="374"/>
        <v>0</v>
      </c>
      <c r="I817" s="80">
        <f t="shared" si="374"/>
        <v>0</v>
      </c>
      <c r="J817" s="80">
        <f t="shared" si="374"/>
        <v>0</v>
      </c>
      <c r="K817" s="80">
        <f t="shared" si="374"/>
        <v>0</v>
      </c>
      <c r="L817" s="80">
        <f t="shared" si="374"/>
        <v>0</v>
      </c>
      <c r="M817" s="80">
        <f t="shared" si="374"/>
        <v>0</v>
      </c>
      <c r="N817" s="80">
        <f t="shared" si="374"/>
        <v>0</v>
      </c>
      <c r="O817" s="80">
        <f t="shared" si="374"/>
        <v>0</v>
      </c>
      <c r="P817" s="80">
        <f t="shared" si="374"/>
        <v>0</v>
      </c>
      <c r="Q817" s="80">
        <f t="shared" ref="Q817:Z827" si="375">IF(VLOOKUP($E817,$D$6:$AN$1141,3,)=0,0,(VLOOKUP($E817,$D$6:$AN$1141,Q$2,)/VLOOKUP($E817,$D$6:$AN$1141,3,))*$F817)</f>
        <v>0</v>
      </c>
      <c r="R817" s="80">
        <f t="shared" si="375"/>
        <v>0</v>
      </c>
      <c r="S817" s="80">
        <f t="shared" si="375"/>
        <v>0</v>
      </c>
      <c r="T817" s="80">
        <f t="shared" si="375"/>
        <v>0</v>
      </c>
      <c r="U817" s="80">
        <f t="shared" si="375"/>
        <v>0</v>
      </c>
      <c r="V817" s="80">
        <f t="shared" si="375"/>
        <v>0</v>
      </c>
      <c r="W817" s="80">
        <f t="shared" si="375"/>
        <v>0</v>
      </c>
      <c r="X817" s="80">
        <f t="shared" si="375"/>
        <v>0</v>
      </c>
      <c r="Y817" s="80">
        <f t="shared" si="375"/>
        <v>0</v>
      </c>
      <c r="Z817" s="80">
        <f t="shared" si="375"/>
        <v>0</v>
      </c>
      <c r="AA817" s="80">
        <f t="shared" si="371"/>
        <v>0</v>
      </c>
      <c r="AB817" s="94" t="str">
        <f t="shared" si="370"/>
        <v>ok</v>
      </c>
    </row>
    <row r="818" spans="1:54" s="61" customFormat="1" x14ac:dyDescent="0.25">
      <c r="B818" s="61" t="s">
        <v>1307</v>
      </c>
      <c r="E818" s="61" t="s">
        <v>1127</v>
      </c>
      <c r="F818" s="330"/>
      <c r="G818" s="80">
        <f t="shared" si="374"/>
        <v>0</v>
      </c>
      <c r="H818" s="80">
        <f t="shared" si="374"/>
        <v>0</v>
      </c>
      <c r="I818" s="80">
        <f t="shared" si="374"/>
        <v>0</v>
      </c>
      <c r="J818" s="80">
        <f t="shared" si="374"/>
        <v>0</v>
      </c>
      <c r="K818" s="80">
        <f t="shared" si="374"/>
        <v>0</v>
      </c>
      <c r="L818" s="80">
        <f t="shared" si="374"/>
        <v>0</v>
      </c>
      <c r="M818" s="80">
        <f t="shared" si="374"/>
        <v>0</v>
      </c>
      <c r="N818" s="80">
        <f t="shared" si="374"/>
        <v>0</v>
      </c>
      <c r="O818" s="80">
        <f t="shared" si="374"/>
        <v>0</v>
      </c>
      <c r="P818" s="80">
        <f t="shared" si="374"/>
        <v>0</v>
      </c>
      <c r="Q818" s="80">
        <f t="shared" si="375"/>
        <v>0</v>
      </c>
      <c r="R818" s="80">
        <f t="shared" si="375"/>
        <v>0</v>
      </c>
      <c r="S818" s="80">
        <f t="shared" si="375"/>
        <v>0</v>
      </c>
      <c r="T818" s="80">
        <f t="shared" si="375"/>
        <v>0</v>
      </c>
      <c r="U818" s="80">
        <f t="shared" si="375"/>
        <v>0</v>
      </c>
      <c r="V818" s="80">
        <f t="shared" si="375"/>
        <v>0</v>
      </c>
      <c r="W818" s="80">
        <f t="shared" si="375"/>
        <v>0</v>
      </c>
      <c r="X818" s="80">
        <f t="shared" si="375"/>
        <v>0</v>
      </c>
      <c r="Y818" s="80">
        <f t="shared" si="375"/>
        <v>0</v>
      </c>
      <c r="Z818" s="80">
        <f t="shared" si="375"/>
        <v>0</v>
      </c>
      <c r="AA818" s="80">
        <f t="shared" si="371"/>
        <v>0</v>
      </c>
      <c r="AB818" s="94" t="str">
        <f t="shared" si="370"/>
        <v>ok</v>
      </c>
    </row>
    <row r="819" spans="1:54" s="61" customFormat="1" x14ac:dyDescent="0.25">
      <c r="B819" s="61" t="s">
        <v>1338</v>
      </c>
      <c r="E819" s="61" t="s">
        <v>427</v>
      </c>
      <c r="F819" s="330"/>
      <c r="G819" s="80">
        <f t="shared" si="374"/>
        <v>0</v>
      </c>
      <c r="H819" s="80">
        <f t="shared" si="374"/>
        <v>0</v>
      </c>
      <c r="I819" s="80">
        <f t="shared" si="374"/>
        <v>0</v>
      </c>
      <c r="J819" s="80">
        <f t="shared" si="374"/>
        <v>0</v>
      </c>
      <c r="K819" s="80">
        <f t="shared" si="374"/>
        <v>0</v>
      </c>
      <c r="L819" s="80">
        <f t="shared" si="374"/>
        <v>0</v>
      </c>
      <c r="M819" s="80">
        <f t="shared" si="374"/>
        <v>0</v>
      </c>
      <c r="N819" s="80">
        <f t="shared" si="374"/>
        <v>0</v>
      </c>
      <c r="O819" s="80">
        <f t="shared" si="374"/>
        <v>0</v>
      </c>
      <c r="P819" s="80">
        <f t="shared" si="374"/>
        <v>0</v>
      </c>
      <c r="Q819" s="80">
        <f t="shared" si="375"/>
        <v>0</v>
      </c>
      <c r="R819" s="80">
        <f t="shared" si="375"/>
        <v>0</v>
      </c>
      <c r="S819" s="80">
        <f t="shared" si="375"/>
        <v>0</v>
      </c>
      <c r="T819" s="80">
        <f t="shared" si="375"/>
        <v>0</v>
      </c>
      <c r="U819" s="80">
        <f t="shared" si="375"/>
        <v>0</v>
      </c>
      <c r="V819" s="80">
        <f t="shared" si="375"/>
        <v>0</v>
      </c>
      <c r="W819" s="80">
        <f t="shared" si="375"/>
        <v>0</v>
      </c>
      <c r="X819" s="80">
        <f t="shared" si="375"/>
        <v>0</v>
      </c>
      <c r="Y819" s="80">
        <f t="shared" si="375"/>
        <v>0</v>
      </c>
      <c r="Z819" s="80">
        <f t="shared" si="375"/>
        <v>0</v>
      </c>
      <c r="AA819" s="80">
        <f>SUM(G819:Z819)</f>
        <v>0</v>
      </c>
      <c r="AB819" s="94" t="str">
        <f t="shared" si="370"/>
        <v>ok</v>
      </c>
    </row>
    <row r="820" spans="1:54" s="61" customFormat="1" x14ac:dyDescent="0.25">
      <c r="B820" s="61" t="s">
        <v>1308</v>
      </c>
      <c r="E820" s="61" t="s">
        <v>427</v>
      </c>
      <c r="F820" s="330"/>
      <c r="G820" s="80">
        <f t="shared" si="374"/>
        <v>0</v>
      </c>
      <c r="H820" s="80">
        <f t="shared" si="374"/>
        <v>0</v>
      </c>
      <c r="I820" s="80">
        <f t="shared" si="374"/>
        <v>0</v>
      </c>
      <c r="J820" s="80">
        <f t="shared" si="374"/>
        <v>0</v>
      </c>
      <c r="K820" s="80">
        <f t="shared" si="374"/>
        <v>0</v>
      </c>
      <c r="L820" s="80">
        <f t="shared" si="374"/>
        <v>0</v>
      </c>
      <c r="M820" s="80">
        <f t="shared" si="374"/>
        <v>0</v>
      </c>
      <c r="N820" s="80">
        <f t="shared" si="374"/>
        <v>0</v>
      </c>
      <c r="O820" s="80">
        <f t="shared" si="374"/>
        <v>0</v>
      </c>
      <c r="P820" s="80">
        <f t="shared" si="374"/>
        <v>0</v>
      </c>
      <c r="Q820" s="80">
        <f t="shared" si="375"/>
        <v>0</v>
      </c>
      <c r="R820" s="80">
        <f t="shared" si="375"/>
        <v>0</v>
      </c>
      <c r="S820" s="80">
        <f t="shared" si="375"/>
        <v>0</v>
      </c>
      <c r="T820" s="80">
        <f t="shared" si="375"/>
        <v>0</v>
      </c>
      <c r="U820" s="80">
        <f t="shared" si="375"/>
        <v>0</v>
      </c>
      <c r="V820" s="80">
        <f t="shared" si="375"/>
        <v>0</v>
      </c>
      <c r="W820" s="80">
        <f t="shared" si="375"/>
        <v>0</v>
      </c>
      <c r="X820" s="80">
        <f t="shared" si="375"/>
        <v>0</v>
      </c>
      <c r="Y820" s="80">
        <f t="shared" si="375"/>
        <v>0</v>
      </c>
      <c r="Z820" s="80">
        <f t="shared" si="375"/>
        <v>0</v>
      </c>
      <c r="AA820" s="80">
        <f>SUM(G820:Z820)</f>
        <v>0</v>
      </c>
      <c r="AB820" s="94" t="str">
        <f t="shared" si="370"/>
        <v>ok</v>
      </c>
    </row>
    <row r="821" spans="1:54" s="61" customFormat="1" x14ac:dyDescent="0.25">
      <c r="B821" s="61" t="s">
        <v>1313</v>
      </c>
      <c r="E821" s="61" t="s">
        <v>427</v>
      </c>
      <c r="F821" s="330"/>
      <c r="G821" s="80">
        <f t="shared" si="374"/>
        <v>0</v>
      </c>
      <c r="H821" s="80">
        <f t="shared" si="374"/>
        <v>0</v>
      </c>
      <c r="I821" s="80">
        <f t="shared" si="374"/>
        <v>0</v>
      </c>
      <c r="J821" s="80">
        <f t="shared" si="374"/>
        <v>0</v>
      </c>
      <c r="K821" s="80">
        <f t="shared" si="374"/>
        <v>0</v>
      </c>
      <c r="L821" s="80">
        <f t="shared" si="374"/>
        <v>0</v>
      </c>
      <c r="M821" s="80">
        <f t="shared" si="374"/>
        <v>0</v>
      </c>
      <c r="N821" s="80">
        <f t="shared" si="374"/>
        <v>0</v>
      </c>
      <c r="O821" s="80">
        <f t="shared" si="374"/>
        <v>0</v>
      </c>
      <c r="P821" s="80">
        <f t="shared" si="374"/>
        <v>0</v>
      </c>
      <c r="Q821" s="80">
        <f t="shared" si="375"/>
        <v>0</v>
      </c>
      <c r="R821" s="80">
        <f t="shared" si="375"/>
        <v>0</v>
      </c>
      <c r="S821" s="80">
        <f t="shared" si="375"/>
        <v>0</v>
      </c>
      <c r="T821" s="80">
        <f t="shared" si="375"/>
        <v>0</v>
      </c>
      <c r="U821" s="80">
        <f t="shared" si="375"/>
        <v>0</v>
      </c>
      <c r="V821" s="80">
        <f t="shared" si="375"/>
        <v>0</v>
      </c>
      <c r="W821" s="80">
        <f t="shared" si="375"/>
        <v>0</v>
      </c>
      <c r="X821" s="80">
        <f t="shared" si="375"/>
        <v>0</v>
      </c>
      <c r="Y821" s="80">
        <f t="shared" si="375"/>
        <v>0</v>
      </c>
      <c r="Z821" s="80">
        <f t="shared" si="375"/>
        <v>0</v>
      </c>
      <c r="AA821" s="80">
        <f>SUM(G821:Z821)</f>
        <v>0</v>
      </c>
      <c r="AB821" s="94" t="str">
        <f t="shared" si="370"/>
        <v>ok</v>
      </c>
    </row>
    <row r="822" spans="1:54" s="71" customFormat="1" x14ac:dyDescent="0.25">
      <c r="B822" s="71" t="s">
        <v>1208</v>
      </c>
      <c r="E822" s="71" t="s">
        <v>1280</v>
      </c>
      <c r="F822" s="335"/>
      <c r="G822" s="150">
        <f t="shared" si="374"/>
        <v>0</v>
      </c>
      <c r="H822" s="150">
        <f t="shared" si="374"/>
        <v>0</v>
      </c>
      <c r="I822" s="150">
        <f t="shared" si="374"/>
        <v>0</v>
      </c>
      <c r="J822" s="150">
        <f t="shared" si="374"/>
        <v>0</v>
      </c>
      <c r="K822" s="150">
        <f t="shared" si="374"/>
        <v>0</v>
      </c>
      <c r="L822" s="150">
        <f t="shared" si="374"/>
        <v>0</v>
      </c>
      <c r="M822" s="150">
        <f t="shared" si="374"/>
        <v>0</v>
      </c>
      <c r="N822" s="150">
        <f t="shared" si="374"/>
        <v>0</v>
      </c>
      <c r="O822" s="150">
        <f t="shared" si="374"/>
        <v>0</v>
      </c>
      <c r="P822" s="150">
        <f t="shared" si="374"/>
        <v>0</v>
      </c>
      <c r="Q822" s="150">
        <f t="shared" si="375"/>
        <v>0</v>
      </c>
      <c r="R822" s="150">
        <f t="shared" si="375"/>
        <v>0</v>
      </c>
      <c r="S822" s="150">
        <f t="shared" si="375"/>
        <v>0</v>
      </c>
      <c r="T822" s="150">
        <f t="shared" si="375"/>
        <v>0</v>
      </c>
      <c r="U822" s="150">
        <f t="shared" si="375"/>
        <v>0</v>
      </c>
      <c r="V822" s="150">
        <f t="shared" si="375"/>
        <v>0</v>
      </c>
      <c r="W822" s="150">
        <f t="shared" si="375"/>
        <v>0</v>
      </c>
      <c r="X822" s="150">
        <f t="shared" si="375"/>
        <v>0</v>
      </c>
      <c r="Y822" s="150">
        <f t="shared" si="375"/>
        <v>0</v>
      </c>
      <c r="Z822" s="150">
        <f t="shared" si="375"/>
        <v>0</v>
      </c>
      <c r="AA822" s="150">
        <f t="shared" si="371"/>
        <v>0</v>
      </c>
      <c r="AB822" s="148" t="str">
        <f t="shared" si="370"/>
        <v>ok</v>
      </c>
    </row>
    <row r="823" spans="1:54" s="61" customFormat="1" x14ac:dyDescent="0.25">
      <c r="B823" s="61" t="s">
        <v>1209</v>
      </c>
      <c r="E823" s="61" t="s">
        <v>850</v>
      </c>
      <c r="F823" s="151">
        <v>2204193.4183563283</v>
      </c>
      <c r="G823" s="151">
        <f t="shared" si="374"/>
        <v>335858.24038339348</v>
      </c>
      <c r="H823" s="151">
        <f t="shared" si="374"/>
        <v>559639.3698842302</v>
      </c>
      <c r="I823" s="151">
        <f t="shared" si="374"/>
        <v>0</v>
      </c>
      <c r="J823" s="151">
        <f t="shared" si="374"/>
        <v>34560.077416998523</v>
      </c>
      <c r="K823" s="151">
        <f t="shared" si="374"/>
        <v>604119.19137308246</v>
      </c>
      <c r="L823" s="151">
        <f t="shared" si="374"/>
        <v>0</v>
      </c>
      <c r="M823" s="151">
        <f t="shared" si="374"/>
        <v>0</v>
      </c>
      <c r="N823" s="151">
        <f t="shared" si="374"/>
        <v>289824.8785290207</v>
      </c>
      <c r="O823" s="151">
        <f t="shared" si="374"/>
        <v>213223.35587556823</v>
      </c>
      <c r="P823" s="151">
        <f t="shared" si="374"/>
        <v>99032.403159807189</v>
      </c>
      <c r="Q823" s="151">
        <f t="shared" si="375"/>
        <v>5681.4927355109421</v>
      </c>
      <c r="R823" s="151">
        <f t="shared" si="375"/>
        <v>1083.9509092891665</v>
      </c>
      <c r="S823" s="151">
        <f t="shared" si="375"/>
        <v>59444.313155975353</v>
      </c>
      <c r="T823" s="151">
        <f t="shared" si="375"/>
        <v>737.38652032979405</v>
      </c>
      <c r="U823" s="151">
        <f t="shared" si="375"/>
        <v>988.75841312500268</v>
      </c>
      <c r="V823" s="80">
        <f t="shared" si="375"/>
        <v>0</v>
      </c>
      <c r="W823" s="80">
        <f t="shared" si="375"/>
        <v>0</v>
      </c>
      <c r="X823" s="80">
        <f t="shared" si="375"/>
        <v>0</v>
      </c>
      <c r="Y823" s="80">
        <f t="shared" si="375"/>
        <v>0</v>
      </c>
      <c r="Z823" s="80">
        <f t="shared" si="375"/>
        <v>0</v>
      </c>
      <c r="AA823" s="80">
        <f t="shared" si="371"/>
        <v>2204193.4183563311</v>
      </c>
      <c r="AB823" s="94" t="str">
        <f t="shared" si="370"/>
        <v>ok</v>
      </c>
    </row>
    <row r="824" spans="1:54" s="61" customFormat="1" x14ac:dyDescent="0.25">
      <c r="B824" s="61" t="s">
        <v>1210</v>
      </c>
      <c r="E824" s="61" t="s">
        <v>850</v>
      </c>
      <c r="F824" s="330"/>
      <c r="G824" s="80">
        <f t="shared" si="374"/>
        <v>0</v>
      </c>
      <c r="H824" s="80">
        <f t="shared" si="374"/>
        <v>0</v>
      </c>
      <c r="I824" s="80">
        <f t="shared" si="374"/>
        <v>0</v>
      </c>
      <c r="J824" s="80">
        <f t="shared" si="374"/>
        <v>0</v>
      </c>
      <c r="K824" s="80">
        <f t="shared" si="374"/>
        <v>0</v>
      </c>
      <c r="L824" s="80">
        <f t="shared" si="374"/>
        <v>0</v>
      </c>
      <c r="M824" s="80">
        <f t="shared" si="374"/>
        <v>0</v>
      </c>
      <c r="N824" s="80">
        <f t="shared" si="374"/>
        <v>0</v>
      </c>
      <c r="O824" s="80">
        <f t="shared" si="374"/>
        <v>0</v>
      </c>
      <c r="P824" s="80">
        <f t="shared" si="374"/>
        <v>0</v>
      </c>
      <c r="Q824" s="80">
        <f t="shared" si="375"/>
        <v>0</v>
      </c>
      <c r="R824" s="80">
        <f t="shared" si="375"/>
        <v>0</v>
      </c>
      <c r="S824" s="80">
        <f t="shared" si="375"/>
        <v>0</v>
      </c>
      <c r="T824" s="80">
        <f t="shared" si="375"/>
        <v>0</v>
      </c>
      <c r="U824" s="80">
        <f t="shared" si="375"/>
        <v>0</v>
      </c>
      <c r="V824" s="80">
        <f t="shared" si="375"/>
        <v>0</v>
      </c>
      <c r="W824" s="80">
        <f t="shared" si="375"/>
        <v>0</v>
      </c>
      <c r="X824" s="80">
        <f t="shared" si="375"/>
        <v>0</v>
      </c>
      <c r="Y824" s="80">
        <f t="shared" si="375"/>
        <v>0</v>
      </c>
      <c r="Z824" s="80">
        <f t="shared" si="375"/>
        <v>0</v>
      </c>
      <c r="AA824" s="80">
        <f t="shared" si="371"/>
        <v>0</v>
      </c>
      <c r="AB824" s="94" t="str">
        <f t="shared" si="370"/>
        <v>ok</v>
      </c>
    </row>
    <row r="825" spans="1:54" s="61" customFormat="1" x14ac:dyDescent="0.25">
      <c r="B825" s="61" t="s">
        <v>1211</v>
      </c>
      <c r="E825" s="61" t="s">
        <v>850</v>
      </c>
      <c r="F825" s="330"/>
      <c r="G825" s="77">
        <f t="shared" si="374"/>
        <v>0</v>
      </c>
      <c r="H825" s="77">
        <f t="shared" si="374"/>
        <v>0</v>
      </c>
      <c r="I825" s="77">
        <f t="shared" si="374"/>
        <v>0</v>
      </c>
      <c r="J825" s="77">
        <f t="shared" si="374"/>
        <v>0</v>
      </c>
      <c r="K825" s="77">
        <f t="shared" si="374"/>
        <v>0</v>
      </c>
      <c r="L825" s="77">
        <f t="shared" si="374"/>
        <v>0</v>
      </c>
      <c r="M825" s="77">
        <f t="shared" si="374"/>
        <v>0</v>
      </c>
      <c r="N825" s="77">
        <f t="shared" si="374"/>
        <v>0</v>
      </c>
      <c r="O825" s="77">
        <f t="shared" si="374"/>
        <v>0</v>
      </c>
      <c r="P825" s="77">
        <f t="shared" si="374"/>
        <v>0</v>
      </c>
      <c r="Q825" s="77">
        <f t="shared" si="375"/>
        <v>0</v>
      </c>
      <c r="R825" s="77">
        <f t="shared" si="375"/>
        <v>0</v>
      </c>
      <c r="S825" s="77">
        <f t="shared" si="375"/>
        <v>0</v>
      </c>
      <c r="T825" s="77">
        <f t="shared" si="375"/>
        <v>0</v>
      </c>
      <c r="U825" s="77">
        <f t="shared" si="375"/>
        <v>0</v>
      </c>
      <c r="V825" s="77">
        <f t="shared" si="375"/>
        <v>0</v>
      </c>
      <c r="W825" s="77">
        <f t="shared" si="375"/>
        <v>0</v>
      </c>
      <c r="X825" s="80">
        <f t="shared" si="375"/>
        <v>0</v>
      </c>
      <c r="Y825" s="80">
        <f t="shared" si="375"/>
        <v>0</v>
      </c>
      <c r="Z825" s="80">
        <f t="shared" si="375"/>
        <v>0</v>
      </c>
      <c r="AA825" s="81">
        <f t="shared" si="371"/>
        <v>0</v>
      </c>
      <c r="AB825" s="94" t="str">
        <f t="shared" si="370"/>
        <v>ok</v>
      </c>
    </row>
    <row r="826" spans="1:54" s="61" customFormat="1" x14ac:dyDescent="0.25">
      <c r="B826" s="61" t="s">
        <v>1212</v>
      </c>
      <c r="E826" s="61" t="s">
        <v>427</v>
      </c>
      <c r="F826" s="330"/>
      <c r="G826" s="77">
        <f t="shared" si="374"/>
        <v>0</v>
      </c>
      <c r="H826" s="77">
        <f t="shared" si="374"/>
        <v>0</v>
      </c>
      <c r="I826" s="77">
        <f t="shared" si="374"/>
        <v>0</v>
      </c>
      <c r="J826" s="77">
        <f t="shared" si="374"/>
        <v>0</v>
      </c>
      <c r="K826" s="77">
        <f t="shared" si="374"/>
        <v>0</v>
      </c>
      <c r="L826" s="77">
        <f t="shared" si="374"/>
        <v>0</v>
      </c>
      <c r="M826" s="77">
        <f t="shared" si="374"/>
        <v>0</v>
      </c>
      <c r="N826" s="77">
        <f t="shared" si="374"/>
        <v>0</v>
      </c>
      <c r="O826" s="77">
        <f t="shared" si="374"/>
        <v>0</v>
      </c>
      <c r="P826" s="77">
        <f t="shared" si="374"/>
        <v>0</v>
      </c>
      <c r="Q826" s="77">
        <f t="shared" si="375"/>
        <v>0</v>
      </c>
      <c r="R826" s="77">
        <f t="shared" si="375"/>
        <v>0</v>
      </c>
      <c r="S826" s="77">
        <f t="shared" si="375"/>
        <v>0</v>
      </c>
      <c r="T826" s="77">
        <f t="shared" si="375"/>
        <v>0</v>
      </c>
      <c r="U826" s="77">
        <f t="shared" si="375"/>
        <v>0</v>
      </c>
      <c r="V826" s="77">
        <f t="shared" si="375"/>
        <v>0</v>
      </c>
      <c r="W826" s="77">
        <f t="shared" si="375"/>
        <v>0</v>
      </c>
      <c r="X826" s="80">
        <f t="shared" si="375"/>
        <v>0</v>
      </c>
      <c r="Y826" s="80">
        <f t="shared" si="375"/>
        <v>0</v>
      </c>
      <c r="Z826" s="80">
        <f t="shared" si="375"/>
        <v>0</v>
      </c>
      <c r="AA826" s="81">
        <f t="shared" si="371"/>
        <v>0</v>
      </c>
      <c r="AB826" s="94" t="str">
        <f t="shared" si="370"/>
        <v>ok</v>
      </c>
    </row>
    <row r="827" spans="1:54" s="61" customFormat="1" x14ac:dyDescent="0.25">
      <c r="B827" s="61" t="s">
        <v>1213</v>
      </c>
      <c r="E827" s="61" t="s">
        <v>427</v>
      </c>
      <c r="F827" s="331"/>
      <c r="G827" s="139">
        <f t="shared" si="374"/>
        <v>0</v>
      </c>
      <c r="H827" s="139">
        <f t="shared" si="374"/>
        <v>0</v>
      </c>
      <c r="I827" s="139">
        <f t="shared" si="374"/>
        <v>0</v>
      </c>
      <c r="J827" s="139">
        <f t="shared" si="374"/>
        <v>0</v>
      </c>
      <c r="K827" s="139">
        <f t="shared" si="374"/>
        <v>0</v>
      </c>
      <c r="L827" s="139">
        <f t="shared" si="374"/>
        <v>0</v>
      </c>
      <c r="M827" s="139">
        <f t="shared" si="374"/>
        <v>0</v>
      </c>
      <c r="N827" s="139">
        <f t="shared" si="374"/>
        <v>0</v>
      </c>
      <c r="O827" s="139">
        <f t="shared" si="374"/>
        <v>0</v>
      </c>
      <c r="P827" s="139">
        <f t="shared" si="374"/>
        <v>0</v>
      </c>
      <c r="Q827" s="139">
        <f t="shared" si="375"/>
        <v>0</v>
      </c>
      <c r="R827" s="139">
        <f t="shared" si="375"/>
        <v>0</v>
      </c>
      <c r="S827" s="139">
        <f t="shared" si="375"/>
        <v>0</v>
      </c>
      <c r="T827" s="139">
        <f t="shared" si="375"/>
        <v>0</v>
      </c>
      <c r="U827" s="139">
        <f t="shared" si="375"/>
        <v>0</v>
      </c>
      <c r="V827" s="139">
        <f t="shared" si="375"/>
        <v>0</v>
      </c>
      <c r="W827" s="139">
        <f t="shared" si="375"/>
        <v>0</v>
      </c>
      <c r="X827" s="80">
        <f t="shared" si="375"/>
        <v>0</v>
      </c>
      <c r="Y827" s="80">
        <f t="shared" si="375"/>
        <v>0</v>
      </c>
      <c r="Z827" s="80">
        <f t="shared" si="375"/>
        <v>0</v>
      </c>
      <c r="AA827" s="140">
        <f t="shared" si="371"/>
        <v>0</v>
      </c>
      <c r="AB827" s="152" t="str">
        <f t="shared" si="370"/>
        <v>ok</v>
      </c>
    </row>
    <row r="828" spans="1:54" s="61" customFormat="1" x14ac:dyDescent="0.25">
      <c r="A828" s="61" t="s">
        <v>717</v>
      </c>
      <c r="F828" s="80">
        <f t="shared" ref="F828:Z828" si="376">SUM(F797:F827)</f>
        <v>2801602.9883563295</v>
      </c>
      <c r="G828" s="80">
        <f t="shared" si="376"/>
        <v>745293.47382287146</v>
      </c>
      <c r="H828" s="80">
        <f t="shared" si="376"/>
        <v>619854.40835159074</v>
      </c>
      <c r="I828" s="80">
        <f t="shared" si="376"/>
        <v>0</v>
      </c>
      <c r="J828" s="80">
        <f t="shared" si="376"/>
        <v>38220.821306771562</v>
      </c>
      <c r="K828" s="80">
        <f t="shared" si="376"/>
        <v>647966.56052457867</v>
      </c>
      <c r="L828" s="80">
        <f t="shared" si="376"/>
        <v>0</v>
      </c>
      <c r="M828" s="80">
        <f t="shared" si="376"/>
        <v>0</v>
      </c>
      <c r="N828" s="80">
        <f t="shared" si="376"/>
        <v>322966.67847506591</v>
      </c>
      <c r="O828" s="80">
        <f>SUM(O797:O827)</f>
        <v>236622.6589111519</v>
      </c>
      <c r="P828" s="80">
        <f t="shared" si="376"/>
        <v>96462.308863440092</v>
      </c>
      <c r="Q828" s="80">
        <f t="shared" si="376"/>
        <v>7737.0472827626309</v>
      </c>
      <c r="R828" s="80">
        <f t="shared" si="376"/>
        <v>2783.3854605947581</v>
      </c>
      <c r="S828" s="80">
        <f t="shared" si="376"/>
        <v>82015.381634573452</v>
      </c>
      <c r="T828" s="80">
        <f t="shared" si="376"/>
        <v>665.1018025455694</v>
      </c>
      <c r="U828" s="80">
        <f t="shared" si="376"/>
        <v>1015.1619203855329</v>
      </c>
      <c r="V828" s="80">
        <f t="shared" si="376"/>
        <v>0</v>
      </c>
      <c r="W828" s="80">
        <f t="shared" si="376"/>
        <v>0</v>
      </c>
      <c r="X828" s="80">
        <f t="shared" si="376"/>
        <v>0</v>
      </c>
      <c r="Y828" s="80">
        <f t="shared" si="376"/>
        <v>0</v>
      </c>
      <c r="Z828" s="80">
        <f t="shared" si="376"/>
        <v>0</v>
      </c>
      <c r="AA828" s="157">
        <f>SUM(G828:Z828)</f>
        <v>2801602.9883563323</v>
      </c>
      <c r="AB828" s="148" t="str">
        <f t="shared" si="370"/>
        <v>ok</v>
      </c>
    </row>
    <row r="829" spans="1:54" s="61" customFormat="1" x14ac:dyDescent="0.25">
      <c r="AA829" s="157"/>
      <c r="AB829" s="148"/>
      <c r="AF829" s="153"/>
      <c r="AG829" s="153"/>
      <c r="AH829" s="153"/>
      <c r="AI829" s="153"/>
      <c r="AJ829" s="153"/>
      <c r="AK829" s="153"/>
      <c r="AL829" s="153"/>
      <c r="AM829" s="153"/>
      <c r="AN829" s="153"/>
      <c r="AO829" s="153"/>
      <c r="AP829" s="153"/>
      <c r="AQ829" s="153"/>
      <c r="AR829" s="153"/>
      <c r="AS829" s="153"/>
      <c r="AT829" s="153"/>
      <c r="AU829" s="153"/>
      <c r="AV829" s="153"/>
      <c r="AW829" s="153"/>
      <c r="AX829" s="153"/>
      <c r="AY829" s="153"/>
      <c r="AZ829" s="153"/>
      <c r="BA829" s="153"/>
      <c r="BB829" s="153"/>
    </row>
    <row r="830" spans="1:54" s="61" customFormat="1" x14ac:dyDescent="0.25">
      <c r="A830" s="61" t="s">
        <v>1142</v>
      </c>
      <c r="D830" s="61" t="s">
        <v>1103</v>
      </c>
      <c r="F830" s="81">
        <f t="shared" ref="F830:Z830" si="377">SUM(F783:F827)</f>
        <v>905585926.0025624</v>
      </c>
      <c r="G830" s="81">
        <f t="shared" si="377"/>
        <v>391413723.71375728</v>
      </c>
      <c r="H830" s="81">
        <f t="shared" si="377"/>
        <v>118462563.85495073</v>
      </c>
      <c r="I830" s="81">
        <f t="shared" si="377"/>
        <v>0</v>
      </c>
      <c r="J830" s="81">
        <f t="shared" si="377"/>
        <v>10454784.491525004</v>
      </c>
      <c r="K830" s="81">
        <f t="shared" si="377"/>
        <v>135312191.91702792</v>
      </c>
      <c r="L830" s="81">
        <f t="shared" si="377"/>
        <v>0</v>
      </c>
      <c r="M830" s="81">
        <f t="shared" si="377"/>
        <v>0</v>
      </c>
      <c r="N830" s="81">
        <f t="shared" si="377"/>
        <v>119712951.6210154</v>
      </c>
      <c r="O830" s="81">
        <f>SUM(O783:O827)</f>
        <v>67045750.735550165</v>
      </c>
      <c r="P830" s="81">
        <f t="shared" si="377"/>
        <v>39486113.440924928</v>
      </c>
      <c r="Q830" s="81">
        <f t="shared" si="377"/>
        <v>6114987.0585415382</v>
      </c>
      <c r="R830" s="81">
        <f t="shared" si="377"/>
        <v>3331550.8942014948</v>
      </c>
      <c r="S830" s="81">
        <f t="shared" si="377"/>
        <v>13841758.147900594</v>
      </c>
      <c r="T830" s="81">
        <f t="shared" si="377"/>
        <v>179847.3828040401</v>
      </c>
      <c r="U830" s="81">
        <f t="shared" si="377"/>
        <v>229702.74436320216</v>
      </c>
      <c r="V830" s="81">
        <f t="shared" si="377"/>
        <v>0</v>
      </c>
      <c r="W830" s="81">
        <f t="shared" si="377"/>
        <v>0</v>
      </c>
      <c r="X830" s="81">
        <f t="shared" si="377"/>
        <v>0</v>
      </c>
      <c r="Y830" s="81">
        <f t="shared" si="377"/>
        <v>0</v>
      </c>
      <c r="Z830" s="81">
        <f t="shared" si="377"/>
        <v>0</v>
      </c>
      <c r="AA830" s="81">
        <f>SUM(G830:Z830)</f>
        <v>905585926.00256228</v>
      </c>
      <c r="AB830" s="94" t="str">
        <f>IF(ABS(F830-AA830)&lt;0.01,"ok","err")</f>
        <v>ok</v>
      </c>
    </row>
    <row r="831" spans="1:54" s="61" customFormat="1" x14ac:dyDescent="0.25"/>
    <row r="832" spans="1:54" s="61" customFormat="1" x14ac:dyDescent="0.25">
      <c r="A832" s="66" t="s">
        <v>915</v>
      </c>
      <c r="F832" s="81">
        <f t="shared" ref="F832:AA832" si="378">F776-F830</f>
        <v>139066117.9974376</v>
      </c>
      <c r="G832" s="81">
        <f t="shared" si="378"/>
        <v>40784231.578590393</v>
      </c>
      <c r="H832" s="81">
        <f t="shared" si="378"/>
        <v>29350830.273523241</v>
      </c>
      <c r="I832" s="81">
        <f t="shared" si="378"/>
        <v>0</v>
      </c>
      <c r="J832" s="81">
        <f t="shared" si="378"/>
        <v>1832067.600870017</v>
      </c>
      <c r="K832" s="81">
        <f t="shared" si="378"/>
        <v>30535553.89455086</v>
      </c>
      <c r="L832" s="81">
        <f t="shared" si="378"/>
        <v>0</v>
      </c>
      <c r="M832" s="81">
        <f t="shared" si="378"/>
        <v>0</v>
      </c>
      <c r="N832" s="81">
        <f t="shared" si="378"/>
        <v>15873064.6940054</v>
      </c>
      <c r="O832" s="81">
        <f t="shared" si="378"/>
        <v>11420062.304775119</v>
      </c>
      <c r="P832" s="81">
        <f t="shared" si="378"/>
        <v>4655776.5006829351</v>
      </c>
      <c r="Q832" s="81">
        <f t="shared" si="378"/>
        <v>279262.31889444124</v>
      </c>
      <c r="R832" s="81">
        <f t="shared" si="378"/>
        <v>170295.39608782297</v>
      </c>
      <c r="S832" s="81">
        <f t="shared" si="378"/>
        <v>4079639.6891435962</v>
      </c>
      <c r="T832" s="81">
        <f t="shared" si="378"/>
        <v>34372.12447978303</v>
      </c>
      <c r="U832" s="81">
        <f t="shared" si="378"/>
        <v>50961.621834041405</v>
      </c>
      <c r="V832" s="81">
        <f t="shared" si="378"/>
        <v>0</v>
      </c>
      <c r="W832" s="81">
        <f t="shared" si="378"/>
        <v>0</v>
      </c>
      <c r="X832" s="81">
        <f t="shared" si="378"/>
        <v>0</v>
      </c>
      <c r="Y832" s="81">
        <f t="shared" si="378"/>
        <v>0</v>
      </c>
      <c r="Z832" s="81">
        <f t="shared" si="378"/>
        <v>0</v>
      </c>
      <c r="AA832" s="81">
        <f t="shared" si="378"/>
        <v>139066117.9974376</v>
      </c>
      <c r="AB832" s="94" t="str">
        <f>IF(ABS(F832-AA832)&lt;0.01,"ok","err")</f>
        <v>ok</v>
      </c>
    </row>
    <row r="833" spans="1:28" s="61" customFormat="1" x14ac:dyDescent="0.25">
      <c r="A833" s="66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  <c r="AA833" s="81"/>
      <c r="AB833" s="94"/>
    </row>
    <row r="834" spans="1:28" s="61" customFormat="1" x14ac:dyDescent="0.25">
      <c r="A834" s="66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  <c r="AA834" s="81"/>
      <c r="AB834" s="94"/>
    </row>
    <row r="835" spans="1:28" s="61" customFormat="1" x14ac:dyDescent="0.25">
      <c r="A835" s="66" t="s">
        <v>209</v>
      </c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  <c r="AA835" s="81"/>
      <c r="AB835" s="94"/>
    </row>
    <row r="836" spans="1:28" s="61" customFormat="1" x14ac:dyDescent="0.25">
      <c r="A836" s="66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  <c r="AA836" s="81"/>
      <c r="AB836" s="94"/>
    </row>
    <row r="837" spans="1:28" s="61" customFormat="1" x14ac:dyDescent="0.25">
      <c r="A837" s="66" t="s">
        <v>915</v>
      </c>
      <c r="F837" s="81">
        <f>F832</f>
        <v>139066117.9974376</v>
      </c>
      <c r="G837" s="81">
        <f t="shared" ref="G837:U837" si="379">G832</f>
        <v>40784231.578590393</v>
      </c>
      <c r="H837" s="81">
        <f t="shared" si="379"/>
        <v>29350830.273523241</v>
      </c>
      <c r="I837" s="81">
        <f t="shared" si="379"/>
        <v>0</v>
      </c>
      <c r="J837" s="81">
        <f t="shared" si="379"/>
        <v>1832067.600870017</v>
      </c>
      <c r="K837" s="81">
        <f t="shared" si="379"/>
        <v>30535553.89455086</v>
      </c>
      <c r="L837" s="81">
        <f t="shared" si="379"/>
        <v>0</v>
      </c>
      <c r="M837" s="81">
        <f t="shared" si="379"/>
        <v>0</v>
      </c>
      <c r="N837" s="81">
        <f t="shared" si="379"/>
        <v>15873064.6940054</v>
      </c>
      <c r="O837" s="81">
        <f>O832</f>
        <v>11420062.304775119</v>
      </c>
      <c r="P837" s="81">
        <f t="shared" si="379"/>
        <v>4655776.5006829351</v>
      </c>
      <c r="Q837" s="81">
        <f t="shared" si="379"/>
        <v>279262.31889444124</v>
      </c>
      <c r="R837" s="81">
        <f t="shared" si="379"/>
        <v>170295.39608782297</v>
      </c>
      <c r="S837" s="81">
        <f t="shared" si="379"/>
        <v>4079639.6891435962</v>
      </c>
      <c r="T837" s="81">
        <f t="shared" si="379"/>
        <v>34372.12447978303</v>
      </c>
      <c r="U837" s="81">
        <f t="shared" si="379"/>
        <v>50961.621834041405</v>
      </c>
      <c r="V837" s="81"/>
      <c r="W837" s="81"/>
      <c r="X837" s="81"/>
      <c r="Y837" s="81"/>
      <c r="Z837" s="81"/>
      <c r="AA837" s="81"/>
      <c r="AB837" s="94"/>
    </row>
    <row r="838" spans="1:28" s="61" customFormat="1" x14ac:dyDescent="0.25"/>
    <row r="839" spans="1:28" s="61" customFormat="1" x14ac:dyDescent="0.25">
      <c r="A839" s="66" t="s">
        <v>1125</v>
      </c>
      <c r="F839" s="81">
        <f t="shared" ref="F839:Z839" si="380">F729</f>
        <v>2250031689.5289073</v>
      </c>
      <c r="G839" s="81">
        <f t="shared" si="380"/>
        <v>1225741672.3782828</v>
      </c>
      <c r="H839" s="81">
        <f t="shared" si="380"/>
        <v>272051302.68880898</v>
      </c>
      <c r="I839" s="81">
        <f t="shared" si="380"/>
        <v>0</v>
      </c>
      <c r="J839" s="81">
        <f t="shared" si="380"/>
        <v>20130039.304534759</v>
      </c>
      <c r="K839" s="81">
        <f t="shared" si="380"/>
        <v>260999577.51330796</v>
      </c>
      <c r="L839" s="81">
        <f t="shared" si="380"/>
        <v>0</v>
      </c>
      <c r="M839" s="81">
        <f t="shared" si="380"/>
        <v>0</v>
      </c>
      <c r="N839" s="81">
        <f t="shared" si="380"/>
        <v>211458478.97557414</v>
      </c>
      <c r="O839" s="81">
        <f t="shared" si="380"/>
        <v>128875799.74577057</v>
      </c>
      <c r="P839" s="81">
        <f t="shared" si="380"/>
        <v>46217422.218736798</v>
      </c>
      <c r="Q839" s="81">
        <f t="shared" si="380"/>
        <v>11105016.673919467</v>
      </c>
      <c r="R839" s="81">
        <f t="shared" si="380"/>
        <v>6961566.9375586044</v>
      </c>
      <c r="S839" s="81">
        <f t="shared" si="380"/>
        <v>65992175.425948963</v>
      </c>
      <c r="T839" s="81">
        <f t="shared" si="380"/>
        <v>129178.36717412261</v>
      </c>
      <c r="U839" s="81">
        <f t="shared" si="380"/>
        <v>369459.29929092026</v>
      </c>
      <c r="V839" s="81">
        <f t="shared" si="380"/>
        <v>0</v>
      </c>
      <c r="W839" s="81">
        <f t="shared" si="380"/>
        <v>0</v>
      </c>
      <c r="X839" s="81">
        <f t="shared" si="380"/>
        <v>0</v>
      </c>
      <c r="Y839" s="81">
        <f t="shared" si="380"/>
        <v>0</v>
      </c>
      <c r="Z839" s="81">
        <f t="shared" si="380"/>
        <v>0</v>
      </c>
      <c r="AA839" s="81">
        <f>SUM(G839:Z839)</f>
        <v>2250031689.5289083</v>
      </c>
      <c r="AB839" s="94" t="str">
        <f>IF(ABS(F839-AA839)&lt;0.01,"ok","err")</f>
        <v>ok</v>
      </c>
    </row>
    <row r="840" spans="1:28" s="61" customFormat="1" x14ac:dyDescent="0.25">
      <c r="A840" s="66" t="s">
        <v>1341</v>
      </c>
      <c r="E840" s="61" t="s">
        <v>1115</v>
      </c>
      <c r="F840" s="80">
        <v>0</v>
      </c>
      <c r="G840" s="80">
        <f t="shared" ref="G840:P842" si="381">IF(VLOOKUP($E840,$D$6:$AN$1141,3,)=0,0,(VLOOKUP($E840,$D$6:$AN$1141,G$2,)/VLOOKUP($E840,$D$6:$AN$1141,3,))*$F840)</f>
        <v>0</v>
      </c>
      <c r="H840" s="80">
        <f t="shared" si="381"/>
        <v>0</v>
      </c>
      <c r="I840" s="80">
        <f t="shared" si="381"/>
        <v>0</v>
      </c>
      <c r="J840" s="80">
        <f t="shared" si="381"/>
        <v>0</v>
      </c>
      <c r="K840" s="80">
        <f t="shared" si="381"/>
        <v>0</v>
      </c>
      <c r="L840" s="80">
        <f t="shared" si="381"/>
        <v>0</v>
      </c>
      <c r="M840" s="80">
        <f t="shared" si="381"/>
        <v>0</v>
      </c>
      <c r="N840" s="80">
        <f t="shared" si="381"/>
        <v>0</v>
      </c>
      <c r="O840" s="80">
        <f t="shared" si="381"/>
        <v>0</v>
      </c>
      <c r="P840" s="80">
        <f t="shared" si="381"/>
        <v>0</v>
      </c>
      <c r="Q840" s="80">
        <f t="shared" ref="Q840:Z842" si="382">IF(VLOOKUP($E840,$D$6:$AN$1141,3,)=0,0,(VLOOKUP($E840,$D$6:$AN$1141,Q$2,)/VLOOKUP($E840,$D$6:$AN$1141,3,))*$F840)</f>
        <v>0</v>
      </c>
      <c r="R840" s="80">
        <f t="shared" si="382"/>
        <v>0</v>
      </c>
      <c r="S840" s="80">
        <f t="shared" si="382"/>
        <v>0</v>
      </c>
      <c r="T840" s="80">
        <f t="shared" si="382"/>
        <v>0</v>
      </c>
      <c r="U840" s="80">
        <f t="shared" si="382"/>
        <v>0</v>
      </c>
      <c r="V840" s="80">
        <f t="shared" si="382"/>
        <v>0</v>
      </c>
      <c r="W840" s="80">
        <f t="shared" si="382"/>
        <v>0</v>
      </c>
      <c r="X840" s="80">
        <f t="shared" si="382"/>
        <v>0</v>
      </c>
      <c r="Y840" s="80">
        <f t="shared" si="382"/>
        <v>0</v>
      </c>
      <c r="Z840" s="80">
        <f t="shared" si="382"/>
        <v>0</v>
      </c>
      <c r="AA840" s="80">
        <f>SUM(G840:Z840)</f>
        <v>0</v>
      </c>
      <c r="AB840" s="94" t="str">
        <f>IF(ABS(F840-AA840)&lt;0.01,"ok","err")</f>
        <v>ok</v>
      </c>
    </row>
    <row r="841" spans="1:28" s="61" customFormat="1" x14ac:dyDescent="0.25">
      <c r="A841" s="66" t="s">
        <v>1187</v>
      </c>
      <c r="E841" s="61" t="s">
        <v>537</v>
      </c>
      <c r="F841" s="80">
        <v>0</v>
      </c>
      <c r="G841" s="80">
        <f t="shared" si="381"/>
        <v>0</v>
      </c>
      <c r="H841" s="80">
        <f t="shared" si="381"/>
        <v>0</v>
      </c>
      <c r="I841" s="80">
        <f t="shared" si="381"/>
        <v>0</v>
      </c>
      <c r="J841" s="80">
        <f t="shared" si="381"/>
        <v>0</v>
      </c>
      <c r="K841" s="80">
        <f t="shared" si="381"/>
        <v>0</v>
      </c>
      <c r="L841" s="80">
        <f t="shared" si="381"/>
        <v>0</v>
      </c>
      <c r="M841" s="80">
        <f t="shared" si="381"/>
        <v>0</v>
      </c>
      <c r="N841" s="80">
        <f t="shared" si="381"/>
        <v>0</v>
      </c>
      <c r="O841" s="80">
        <f t="shared" si="381"/>
        <v>0</v>
      </c>
      <c r="P841" s="80">
        <f t="shared" si="381"/>
        <v>0</v>
      </c>
      <c r="Q841" s="80">
        <f t="shared" si="382"/>
        <v>0</v>
      </c>
      <c r="R841" s="80">
        <f t="shared" si="382"/>
        <v>0</v>
      </c>
      <c r="S841" s="80">
        <f t="shared" si="382"/>
        <v>0</v>
      </c>
      <c r="T841" s="80">
        <f t="shared" si="382"/>
        <v>0</v>
      </c>
      <c r="U841" s="80">
        <f t="shared" si="382"/>
        <v>0</v>
      </c>
      <c r="V841" s="80">
        <f t="shared" si="382"/>
        <v>0</v>
      </c>
      <c r="W841" s="80">
        <f t="shared" si="382"/>
        <v>0</v>
      </c>
      <c r="X841" s="80">
        <f t="shared" si="382"/>
        <v>0</v>
      </c>
      <c r="Y841" s="80">
        <f t="shared" si="382"/>
        <v>0</v>
      </c>
      <c r="Z841" s="80">
        <f t="shared" si="382"/>
        <v>0</v>
      </c>
      <c r="AA841" s="80">
        <f>SUM(G841:Z841)</f>
        <v>0</v>
      </c>
      <c r="AB841" s="94" t="str">
        <f>IF(ABS(F841-AA841)&lt;0.01,"ok","err")</f>
        <v>ok</v>
      </c>
    </row>
    <row r="842" spans="1:28" s="61" customFormat="1" x14ac:dyDescent="0.25">
      <c r="A842" s="66" t="s">
        <v>0</v>
      </c>
      <c r="E842" s="61" t="s">
        <v>712</v>
      </c>
      <c r="F842" s="80">
        <v>0</v>
      </c>
      <c r="G842" s="80">
        <f t="shared" si="381"/>
        <v>0</v>
      </c>
      <c r="H842" s="80">
        <f t="shared" si="381"/>
        <v>0</v>
      </c>
      <c r="I842" s="80">
        <f t="shared" si="381"/>
        <v>0</v>
      </c>
      <c r="J842" s="80">
        <f t="shared" si="381"/>
        <v>0</v>
      </c>
      <c r="K842" s="80">
        <f t="shared" si="381"/>
        <v>0</v>
      </c>
      <c r="L842" s="80">
        <f t="shared" si="381"/>
        <v>0</v>
      </c>
      <c r="M842" s="80">
        <f t="shared" si="381"/>
        <v>0</v>
      </c>
      <c r="N842" s="80">
        <f t="shared" si="381"/>
        <v>0</v>
      </c>
      <c r="O842" s="80">
        <f t="shared" si="381"/>
        <v>0</v>
      </c>
      <c r="P842" s="80">
        <f t="shared" si="381"/>
        <v>0</v>
      </c>
      <c r="Q842" s="80">
        <f t="shared" si="382"/>
        <v>0</v>
      </c>
      <c r="R842" s="80">
        <f t="shared" si="382"/>
        <v>0</v>
      </c>
      <c r="S842" s="80">
        <f t="shared" si="382"/>
        <v>0</v>
      </c>
      <c r="T842" s="80">
        <f t="shared" si="382"/>
        <v>0</v>
      </c>
      <c r="U842" s="80">
        <f t="shared" si="382"/>
        <v>0</v>
      </c>
      <c r="V842" s="80">
        <f t="shared" si="382"/>
        <v>0</v>
      </c>
      <c r="W842" s="80">
        <f t="shared" si="382"/>
        <v>0</v>
      </c>
      <c r="X842" s="80">
        <f t="shared" si="382"/>
        <v>0</v>
      </c>
      <c r="Y842" s="80">
        <f t="shared" si="382"/>
        <v>0</v>
      </c>
      <c r="Z842" s="80">
        <f t="shared" si="382"/>
        <v>0</v>
      </c>
      <c r="AA842" s="80">
        <f>SUM(G842:Z842)</f>
        <v>0</v>
      </c>
      <c r="AB842" s="94" t="str">
        <f>IF(ABS(F842-AA842)&lt;0.01,"ok","err")</f>
        <v>ok</v>
      </c>
    </row>
    <row r="843" spans="1:28" s="61" customFormat="1" x14ac:dyDescent="0.25">
      <c r="A843" s="66" t="s">
        <v>929</v>
      </c>
      <c r="F843" s="81">
        <f t="shared" ref="F843:Z843" si="383">SUM(F839:F842)</f>
        <v>2250031689.5289073</v>
      </c>
      <c r="G843" s="81">
        <f t="shared" si="383"/>
        <v>1225741672.3782828</v>
      </c>
      <c r="H843" s="81">
        <f t="shared" si="383"/>
        <v>272051302.68880898</v>
      </c>
      <c r="I843" s="81">
        <f t="shared" si="383"/>
        <v>0</v>
      </c>
      <c r="J843" s="81">
        <f t="shared" si="383"/>
        <v>20130039.304534759</v>
      </c>
      <c r="K843" s="81">
        <f t="shared" si="383"/>
        <v>260999577.51330796</v>
      </c>
      <c r="L843" s="81">
        <f t="shared" si="383"/>
        <v>0</v>
      </c>
      <c r="M843" s="81">
        <f t="shared" si="383"/>
        <v>0</v>
      </c>
      <c r="N843" s="81">
        <f t="shared" si="383"/>
        <v>211458478.97557414</v>
      </c>
      <c r="O843" s="81">
        <f t="shared" si="383"/>
        <v>128875799.74577057</v>
      </c>
      <c r="P843" s="81">
        <f t="shared" si="383"/>
        <v>46217422.218736798</v>
      </c>
      <c r="Q843" s="81">
        <f t="shared" si="383"/>
        <v>11105016.673919467</v>
      </c>
      <c r="R843" s="81">
        <f t="shared" si="383"/>
        <v>6961566.9375586044</v>
      </c>
      <c r="S843" s="81">
        <f t="shared" si="383"/>
        <v>65992175.425948963</v>
      </c>
      <c r="T843" s="81">
        <f t="shared" si="383"/>
        <v>129178.36717412261</v>
      </c>
      <c r="U843" s="81">
        <f t="shared" si="383"/>
        <v>369459.29929092026</v>
      </c>
      <c r="V843" s="81">
        <f t="shared" si="383"/>
        <v>0</v>
      </c>
      <c r="W843" s="81">
        <f t="shared" si="383"/>
        <v>0</v>
      </c>
      <c r="X843" s="81">
        <f t="shared" si="383"/>
        <v>0</v>
      </c>
      <c r="Y843" s="81">
        <f t="shared" si="383"/>
        <v>0</v>
      </c>
      <c r="Z843" s="81">
        <f t="shared" si="383"/>
        <v>0</v>
      </c>
      <c r="AA843" s="81">
        <f>SUM(G843:Z843)</f>
        <v>2250031689.5289083</v>
      </c>
      <c r="AB843" s="94" t="str">
        <f>IF(ABS(F843-AA843)&lt;0.01,"ok","err")</f>
        <v>ok</v>
      </c>
    </row>
    <row r="844" spans="1:28" s="61" customFormat="1" ht="14.4" thickBot="1" x14ac:dyDescent="0.3"/>
    <row r="845" spans="1:28" s="61" customFormat="1" ht="14.4" thickBot="1" x14ac:dyDescent="0.3">
      <c r="A845" s="328" t="s">
        <v>1143</v>
      </c>
      <c r="B845" s="154"/>
      <c r="C845" s="154"/>
      <c r="D845" s="154"/>
      <c r="E845" s="154"/>
      <c r="F845" s="155">
        <f t="shared" ref="F845:Z845" si="384">F832/F843</f>
        <v>6.1806293060056451E-2</v>
      </c>
      <c r="G845" s="155">
        <f t="shared" si="384"/>
        <v>3.3273105171873235E-2</v>
      </c>
      <c r="H845" s="155">
        <f t="shared" si="384"/>
        <v>0.10788711534712533</v>
      </c>
      <c r="I845" s="155" t="e">
        <f t="shared" si="384"/>
        <v>#DIV/0!</v>
      </c>
      <c r="J845" s="155">
        <f t="shared" si="384"/>
        <v>9.1011625618500458E-2</v>
      </c>
      <c r="K845" s="155">
        <f t="shared" si="384"/>
        <v>0.11699464874801914</v>
      </c>
      <c r="L845" s="155" t="e">
        <f t="shared" si="384"/>
        <v>#DIV/0!</v>
      </c>
      <c r="M845" s="155" t="e">
        <f t="shared" si="384"/>
        <v>#DIV/0!</v>
      </c>
      <c r="N845" s="155">
        <f t="shared" si="384"/>
        <v>7.5064687738716399E-2</v>
      </c>
      <c r="O845" s="155">
        <f t="shared" si="384"/>
        <v>8.8612930645653676E-2</v>
      </c>
      <c r="P845" s="155">
        <f t="shared" si="384"/>
        <v>0.10073639500377539</v>
      </c>
      <c r="Q845" s="155">
        <f t="shared" si="384"/>
        <v>2.5147402034100399E-2</v>
      </c>
      <c r="R845" s="155">
        <f t="shared" si="384"/>
        <v>2.4462222027781713E-2</v>
      </c>
      <c r="S845" s="155">
        <f t="shared" si="384"/>
        <v>6.182005158659204E-2</v>
      </c>
      <c r="T845" s="155">
        <f t="shared" si="384"/>
        <v>0.26608266718104606</v>
      </c>
      <c r="U845" s="155">
        <f t="shared" si="384"/>
        <v>0.13793568583020865</v>
      </c>
      <c r="V845" s="155" t="e">
        <f t="shared" si="384"/>
        <v>#DIV/0!</v>
      </c>
      <c r="W845" s="155" t="e">
        <f t="shared" si="384"/>
        <v>#DIV/0!</v>
      </c>
      <c r="X845" s="155" t="e">
        <f t="shared" si="384"/>
        <v>#DIV/0!</v>
      </c>
      <c r="Y845" s="155" t="e">
        <f t="shared" si="384"/>
        <v>#DIV/0!</v>
      </c>
      <c r="Z845" s="155" t="e">
        <f t="shared" si="384"/>
        <v>#DIV/0!</v>
      </c>
      <c r="AA845" s="143"/>
      <c r="AB845" s="143"/>
    </row>
    <row r="846" spans="1:28" s="61" customFormat="1" x14ac:dyDescent="0.25"/>
    <row r="847" spans="1:28" s="61" customFormat="1" x14ac:dyDescent="0.25">
      <c r="A847" s="66" t="s">
        <v>853</v>
      </c>
    </row>
    <row r="848" spans="1:28" s="61" customFormat="1" x14ac:dyDescent="0.25"/>
    <row r="849" spans="1:28" s="61" customFormat="1" x14ac:dyDescent="0.25">
      <c r="A849" s="61" t="s">
        <v>848</v>
      </c>
      <c r="F849" s="81">
        <f t="shared" ref="F849:Z849" si="385">F776</f>
        <v>1044652044</v>
      </c>
      <c r="G849" s="81">
        <f t="shared" si="385"/>
        <v>432197955.29234767</v>
      </c>
      <c r="H849" s="81">
        <f t="shared" si="385"/>
        <v>147813394.12847397</v>
      </c>
      <c r="I849" s="81">
        <f t="shared" si="385"/>
        <v>0</v>
      </c>
      <c r="J849" s="81">
        <f t="shared" si="385"/>
        <v>12286852.092395021</v>
      </c>
      <c r="K849" s="81">
        <f t="shared" si="385"/>
        <v>165847745.81157878</v>
      </c>
      <c r="L849" s="81">
        <f t="shared" si="385"/>
        <v>0</v>
      </c>
      <c r="M849" s="81">
        <f t="shared" si="385"/>
        <v>0</v>
      </c>
      <c r="N849" s="81">
        <f t="shared" si="385"/>
        <v>135586016.3150208</v>
      </c>
      <c r="O849" s="81">
        <f t="shared" si="385"/>
        <v>78465813.040325284</v>
      </c>
      <c r="P849" s="81">
        <f t="shared" si="385"/>
        <v>44141889.941607863</v>
      </c>
      <c r="Q849" s="81">
        <f t="shared" si="385"/>
        <v>6394249.3774359794</v>
      </c>
      <c r="R849" s="81">
        <f t="shared" si="385"/>
        <v>3501846.2902893177</v>
      </c>
      <c r="S849" s="81">
        <f t="shared" si="385"/>
        <v>17921397.837044191</v>
      </c>
      <c r="T849" s="81">
        <f t="shared" si="385"/>
        <v>214219.50728382313</v>
      </c>
      <c r="U849" s="81">
        <f t="shared" si="385"/>
        <v>280664.36619724357</v>
      </c>
      <c r="V849" s="81">
        <f t="shared" si="385"/>
        <v>0</v>
      </c>
      <c r="W849" s="81">
        <f t="shared" si="385"/>
        <v>0</v>
      </c>
      <c r="X849" s="81">
        <f t="shared" si="385"/>
        <v>0</v>
      </c>
      <c r="Y849" s="81">
        <f t="shared" si="385"/>
        <v>0</v>
      </c>
      <c r="Z849" s="81">
        <f t="shared" si="385"/>
        <v>0</v>
      </c>
      <c r="AA849" s="81">
        <f>SUM(G849:Z849)</f>
        <v>1044652043.9999999</v>
      </c>
      <c r="AB849" s="94" t="str">
        <f>IF(ABS(F849-AA849)&lt;0.01,"ok","err")</f>
        <v>ok</v>
      </c>
    </row>
    <row r="850" spans="1:28" s="61" customFormat="1" x14ac:dyDescent="0.25"/>
    <row r="851" spans="1:28" s="61" customFormat="1" x14ac:dyDescent="0.25">
      <c r="A851" s="61" t="s">
        <v>1139</v>
      </c>
      <c r="F851" s="81">
        <f t="shared" ref="F851:Z851" si="386">F783+F784+F786+F789+F790+F791+F793+F794+F828</f>
        <v>847276885.92343044</v>
      </c>
      <c r="G851" s="81">
        <f t="shared" si="386"/>
        <v>382529035.35731274</v>
      </c>
      <c r="H851" s="81">
        <f t="shared" si="386"/>
        <v>103658039.8160515</v>
      </c>
      <c r="I851" s="81">
        <f t="shared" si="386"/>
        <v>0</v>
      </c>
      <c r="J851" s="81">
        <f t="shared" si="386"/>
        <v>9540543.0631351192</v>
      </c>
      <c r="K851" s="81">
        <f t="shared" si="386"/>
        <v>119331012.65708181</v>
      </c>
      <c r="L851" s="81">
        <f t="shared" si="386"/>
        <v>0</v>
      </c>
      <c r="M851" s="81">
        <f t="shared" si="386"/>
        <v>0</v>
      </c>
      <c r="N851" s="81">
        <f t="shared" si="386"/>
        <v>112046015.35428789</v>
      </c>
      <c r="O851" s="81">
        <f t="shared" si="386"/>
        <v>61405207.079074353</v>
      </c>
      <c r="P851" s="81">
        <f t="shared" si="386"/>
        <v>36866341.366074987</v>
      </c>
      <c r="Q851" s="81">
        <f t="shared" si="386"/>
        <v>5964690.634976659</v>
      </c>
      <c r="R851" s="81">
        <f t="shared" si="386"/>
        <v>3302876.3974503498</v>
      </c>
      <c r="S851" s="81">
        <f t="shared" si="386"/>
        <v>12269236.966491319</v>
      </c>
      <c r="T851" s="81">
        <f t="shared" si="386"/>
        <v>160340.79149964175</v>
      </c>
      <c r="U851" s="81">
        <f t="shared" si="386"/>
        <v>203546.43999383465</v>
      </c>
      <c r="V851" s="81">
        <f t="shared" si="386"/>
        <v>0</v>
      </c>
      <c r="W851" s="81">
        <f t="shared" si="386"/>
        <v>0</v>
      </c>
      <c r="X851" s="81">
        <f t="shared" si="386"/>
        <v>0</v>
      </c>
      <c r="Y851" s="81">
        <f t="shared" si="386"/>
        <v>0</v>
      </c>
      <c r="Z851" s="81">
        <f t="shared" si="386"/>
        <v>0</v>
      </c>
      <c r="AA851" s="81">
        <f>SUM(G851:Z851)</f>
        <v>847276885.9234302</v>
      </c>
      <c r="AB851" s="94" t="str">
        <f>IF(ABS(F851-AA851)&lt;0.01,"ok","err")</f>
        <v>ok</v>
      </c>
    </row>
    <row r="852" spans="1:28" s="61" customFormat="1" x14ac:dyDescent="0.25"/>
    <row r="853" spans="1:28" s="61" customFormat="1" x14ac:dyDescent="0.25">
      <c r="A853" s="61" t="s">
        <v>849</v>
      </c>
      <c r="D853" s="61" t="s">
        <v>854</v>
      </c>
      <c r="F853" s="157">
        <f t="shared" ref="F853:Z853" si="387">F691</f>
        <v>54657992.520312905</v>
      </c>
      <c r="G853" s="157">
        <f t="shared" si="387"/>
        <v>30026799.727204185</v>
      </c>
      <c r="H853" s="157">
        <f t="shared" si="387"/>
        <v>6606045.6087163119</v>
      </c>
      <c r="I853" s="157">
        <f t="shared" si="387"/>
        <v>0</v>
      </c>
      <c r="J853" s="157">
        <f t="shared" si="387"/>
        <v>482640.23881582875</v>
      </c>
      <c r="K853" s="157">
        <f t="shared" si="387"/>
        <v>6272030.7093191929</v>
      </c>
      <c r="L853" s="157">
        <f t="shared" si="387"/>
        <v>0</v>
      </c>
      <c r="M853" s="157">
        <f t="shared" si="387"/>
        <v>0</v>
      </c>
      <c r="N853" s="157">
        <f t="shared" si="387"/>
        <v>5036117.4361412581</v>
      </c>
      <c r="O853" s="157">
        <f t="shared" si="387"/>
        <v>3089491.8548910357</v>
      </c>
      <c r="P853" s="157">
        <f t="shared" si="387"/>
        <v>1053549.0988629968</v>
      </c>
      <c r="Q853" s="157">
        <f t="shared" si="387"/>
        <v>264250.57006086037</v>
      </c>
      <c r="R853" s="157">
        <f t="shared" si="387"/>
        <v>166875.77833945953</v>
      </c>
      <c r="S853" s="157">
        <f t="shared" si="387"/>
        <v>1648567.9939546536</v>
      </c>
      <c r="T853" s="157">
        <f t="shared" si="387"/>
        <v>2831.38896841511</v>
      </c>
      <c r="U853" s="157">
        <f t="shared" si="387"/>
        <v>8792.1150387240014</v>
      </c>
      <c r="V853" s="157">
        <f t="shared" si="387"/>
        <v>0</v>
      </c>
      <c r="W853" s="157">
        <f t="shared" si="387"/>
        <v>0</v>
      </c>
      <c r="X853" s="157">
        <f t="shared" si="387"/>
        <v>0</v>
      </c>
      <c r="Y853" s="157">
        <f t="shared" si="387"/>
        <v>0</v>
      </c>
      <c r="Z853" s="157">
        <f t="shared" si="387"/>
        <v>0</v>
      </c>
      <c r="AA853" s="157">
        <f>SUM(G853:Z853)</f>
        <v>54657992.52031292</v>
      </c>
      <c r="AB853" s="94" t="str">
        <f>IF(ABS(F853-AA853)&lt;0.01,"ok","err")</f>
        <v>ok</v>
      </c>
    </row>
    <row r="854" spans="1:28" s="61" customFormat="1" x14ac:dyDescent="0.25">
      <c r="F854" s="157"/>
      <c r="G854" s="157"/>
      <c r="H854" s="157"/>
      <c r="I854" s="157"/>
      <c r="J854" s="157"/>
      <c r="K854" s="157"/>
      <c r="L854" s="157"/>
      <c r="M854" s="157"/>
      <c r="N854" s="157"/>
      <c r="O854" s="157"/>
      <c r="P854" s="157"/>
      <c r="Q854" s="157"/>
      <c r="R854" s="157"/>
      <c r="S854" s="157"/>
      <c r="T854" s="157"/>
      <c r="U854" s="157"/>
      <c r="V854" s="157"/>
      <c r="W854" s="157"/>
      <c r="X854" s="157"/>
      <c r="Y854" s="157"/>
      <c r="Z854" s="157"/>
      <c r="AA854" s="157"/>
      <c r="AB854" s="94"/>
    </row>
    <row r="855" spans="1:28" s="61" customFormat="1" x14ac:dyDescent="0.25">
      <c r="A855" s="61" t="s">
        <v>855</v>
      </c>
      <c r="E855" s="61" t="s">
        <v>854</v>
      </c>
      <c r="F855" s="140">
        <v>0</v>
      </c>
      <c r="G855" s="139">
        <f t="shared" ref="G855:Z855" si="388">IF(VLOOKUP($E855,$D$6:$AN$1141,3,)=0,0,(VLOOKUP($E855,$D$6:$AN$1141,G$2,)/VLOOKUP($E855,$D$6:$AN$1141,3,))*$F855)</f>
        <v>0</v>
      </c>
      <c r="H855" s="139">
        <f t="shared" si="388"/>
        <v>0</v>
      </c>
      <c r="I855" s="139">
        <f t="shared" si="388"/>
        <v>0</v>
      </c>
      <c r="J855" s="139">
        <f t="shared" si="388"/>
        <v>0</v>
      </c>
      <c r="K855" s="139">
        <f t="shared" si="388"/>
        <v>0</v>
      </c>
      <c r="L855" s="139">
        <f t="shared" si="388"/>
        <v>0</v>
      </c>
      <c r="M855" s="139">
        <f t="shared" si="388"/>
        <v>0</v>
      </c>
      <c r="N855" s="139">
        <f t="shared" si="388"/>
        <v>0</v>
      </c>
      <c r="O855" s="139">
        <f t="shared" si="388"/>
        <v>0</v>
      </c>
      <c r="P855" s="139">
        <f t="shared" si="388"/>
        <v>0</v>
      </c>
      <c r="Q855" s="139">
        <f t="shared" si="388"/>
        <v>0</v>
      </c>
      <c r="R855" s="139">
        <f t="shared" si="388"/>
        <v>0</v>
      </c>
      <c r="S855" s="139">
        <f t="shared" si="388"/>
        <v>0</v>
      </c>
      <c r="T855" s="139">
        <f t="shared" si="388"/>
        <v>0</v>
      </c>
      <c r="U855" s="139">
        <f t="shared" si="388"/>
        <v>0</v>
      </c>
      <c r="V855" s="139">
        <f t="shared" si="388"/>
        <v>0</v>
      </c>
      <c r="W855" s="139">
        <f t="shared" si="388"/>
        <v>0</v>
      </c>
      <c r="X855" s="80">
        <f t="shared" si="388"/>
        <v>0</v>
      </c>
      <c r="Y855" s="80">
        <f t="shared" si="388"/>
        <v>0</v>
      </c>
      <c r="Z855" s="80">
        <f t="shared" si="388"/>
        <v>0</v>
      </c>
      <c r="AA855" s="140">
        <f>SUM(G855:Z855)</f>
        <v>0</v>
      </c>
      <c r="AB855" s="94" t="str">
        <f>IF(ABS(F855-AA855)&lt;0.01,"ok","err")</f>
        <v>ok</v>
      </c>
    </row>
    <row r="856" spans="1:28" s="61" customFormat="1" x14ac:dyDescent="0.25"/>
    <row r="857" spans="1:28" s="61" customFormat="1" x14ac:dyDescent="0.25">
      <c r="A857" s="61" t="s">
        <v>847</v>
      </c>
      <c r="D857" s="61" t="s">
        <v>856</v>
      </c>
      <c r="F857" s="81">
        <f>F849-F851-F853-F855</f>
        <v>142717165.55625665</v>
      </c>
      <c r="G857" s="81">
        <f t="shared" ref="G857:Z857" si="389">G849-G851-G853-G855</f>
        <v>19642120.207830746</v>
      </c>
      <c r="H857" s="81">
        <f t="shared" si="389"/>
        <v>37549308.70370616</v>
      </c>
      <c r="I857" s="81">
        <f t="shared" si="389"/>
        <v>0</v>
      </c>
      <c r="J857" s="81">
        <f t="shared" si="389"/>
        <v>2263668.7904440728</v>
      </c>
      <c r="K857" s="81">
        <f t="shared" si="389"/>
        <v>40244702.445177779</v>
      </c>
      <c r="L857" s="81">
        <f t="shared" si="389"/>
        <v>0</v>
      </c>
      <c r="M857" s="81">
        <f t="shared" si="389"/>
        <v>0</v>
      </c>
      <c r="N857" s="81">
        <f t="shared" si="389"/>
        <v>18503883.524591647</v>
      </c>
      <c r="O857" s="81">
        <f>O849-O851-O853-O855</f>
        <v>13971114.106359895</v>
      </c>
      <c r="P857" s="81">
        <f t="shared" si="389"/>
        <v>6221999.4766698796</v>
      </c>
      <c r="Q857" s="81">
        <f t="shared" si="389"/>
        <v>165308.1723984601</v>
      </c>
      <c r="R857" s="81">
        <f t="shared" si="389"/>
        <v>32094.114499508432</v>
      </c>
      <c r="S857" s="81">
        <f t="shared" si="389"/>
        <v>4003592.8765982175</v>
      </c>
      <c r="T857" s="81">
        <f t="shared" si="389"/>
        <v>51047.326815766268</v>
      </c>
      <c r="U857" s="81">
        <f t="shared" si="389"/>
        <v>68325.811164684914</v>
      </c>
      <c r="V857" s="81">
        <f t="shared" si="389"/>
        <v>0</v>
      </c>
      <c r="W857" s="81">
        <f t="shared" si="389"/>
        <v>0</v>
      </c>
      <c r="X857" s="81">
        <f t="shared" si="389"/>
        <v>0</v>
      </c>
      <c r="Y857" s="81">
        <f t="shared" si="389"/>
        <v>0</v>
      </c>
      <c r="Z857" s="81">
        <f t="shared" si="389"/>
        <v>0</v>
      </c>
      <c r="AA857" s="81">
        <f>SUM(G857:Z857)</f>
        <v>142717165.55625677</v>
      </c>
      <c r="AB857" s="94" t="str">
        <f>IF(ABS(F857-AA857)&lt;0.01,"ok","err")</f>
        <v>ok</v>
      </c>
    </row>
    <row r="858" spans="1:28" s="61" customFormat="1" x14ac:dyDescent="0.25"/>
    <row r="859" spans="1:28" s="61" customFormat="1" x14ac:dyDescent="0.25"/>
    <row r="860" spans="1:28" s="61" customFormat="1" x14ac:dyDescent="0.25">
      <c r="A860" s="66" t="s">
        <v>1348</v>
      </c>
    </row>
    <row r="861" spans="1:28" s="61" customFormat="1" x14ac:dyDescent="0.25"/>
    <row r="862" spans="1:28" s="61" customFormat="1" x14ac:dyDescent="0.25">
      <c r="A862" s="66" t="s">
        <v>1135</v>
      </c>
    </row>
    <row r="863" spans="1:28" s="61" customFormat="1" x14ac:dyDescent="0.25"/>
    <row r="864" spans="1:28" s="61" customFormat="1" x14ac:dyDescent="0.25">
      <c r="A864" s="61" t="s">
        <v>135</v>
      </c>
      <c r="F864" s="81">
        <f>F776</f>
        <v>1044652044</v>
      </c>
      <c r="G864" s="81">
        <f t="shared" ref="G864:U864" si="390">G776</f>
        <v>432197955.29234767</v>
      </c>
      <c r="H864" s="81">
        <f t="shared" si="390"/>
        <v>147813394.12847397</v>
      </c>
      <c r="I864" s="81">
        <f t="shared" si="390"/>
        <v>0</v>
      </c>
      <c r="J864" s="81">
        <f t="shared" si="390"/>
        <v>12286852.092395021</v>
      </c>
      <c r="K864" s="81">
        <f t="shared" si="390"/>
        <v>165847745.81157878</v>
      </c>
      <c r="L864" s="81">
        <f t="shared" si="390"/>
        <v>0</v>
      </c>
      <c r="M864" s="81">
        <f t="shared" si="390"/>
        <v>0</v>
      </c>
      <c r="N864" s="81">
        <f t="shared" si="390"/>
        <v>135586016.3150208</v>
      </c>
      <c r="O864" s="81">
        <f t="shared" si="390"/>
        <v>78465813.040325284</v>
      </c>
      <c r="P864" s="81">
        <f t="shared" si="390"/>
        <v>44141889.941607863</v>
      </c>
      <c r="Q864" s="81">
        <f t="shared" si="390"/>
        <v>6394249.3774359794</v>
      </c>
      <c r="R864" s="81">
        <f t="shared" si="390"/>
        <v>3501846.2902893177</v>
      </c>
      <c r="S864" s="81">
        <f t="shared" si="390"/>
        <v>17921397.837044191</v>
      </c>
      <c r="T864" s="81">
        <f t="shared" si="390"/>
        <v>214219.50728382313</v>
      </c>
      <c r="U864" s="81">
        <f t="shared" si="390"/>
        <v>280664.36619724357</v>
      </c>
      <c r="V864" s="81" t="e">
        <f>#REF!</f>
        <v>#REF!</v>
      </c>
      <c r="W864" s="81" t="e">
        <f>#REF!</f>
        <v>#REF!</v>
      </c>
      <c r="X864" s="81" t="e">
        <f>#REF!</f>
        <v>#REF!</v>
      </c>
      <c r="Y864" s="81" t="e">
        <f>#REF!</f>
        <v>#REF!</v>
      </c>
      <c r="Z864" s="81" t="e">
        <f>#REF!</f>
        <v>#REF!</v>
      </c>
      <c r="AA864" s="81" t="e">
        <f>ROUND(SUM(G864:Z864),2)</f>
        <v>#REF!</v>
      </c>
      <c r="AB864" s="94" t="e">
        <f>IF(ABS(F864-AA864)&lt;0.01,"ok","err")</f>
        <v>#REF!</v>
      </c>
    </row>
    <row r="865" spans="1:28" s="61" customFormat="1" x14ac:dyDescent="0.25"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  <c r="AA865" s="81"/>
      <c r="AB865" s="94"/>
    </row>
    <row r="866" spans="1:28" s="61" customFormat="1" x14ac:dyDescent="0.25">
      <c r="A866" s="61" t="s">
        <v>136</v>
      </c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  <c r="AA866" s="81"/>
      <c r="AB866" s="94"/>
    </row>
    <row r="867" spans="1:28" s="61" customFormat="1" x14ac:dyDescent="0.25">
      <c r="A867" s="61" t="s">
        <v>921</v>
      </c>
      <c r="F867" s="77">
        <f t="shared" ref="F867:Z867" si="391">($F$845*F843-F837)/(1-$E$877)</f>
        <v>0</v>
      </c>
      <c r="G867" s="77">
        <f t="shared" si="391"/>
        <v>55796599.613631837</v>
      </c>
      <c r="H867" s="77">
        <f t="shared" si="391"/>
        <v>-19999977.875827365</v>
      </c>
      <c r="I867" s="77">
        <f t="shared" si="391"/>
        <v>0</v>
      </c>
      <c r="J867" s="77">
        <f t="shared" si="391"/>
        <v>-937918.849283171</v>
      </c>
      <c r="K867" s="77">
        <f t="shared" si="391"/>
        <v>-22979773.522506606</v>
      </c>
      <c r="L867" s="77">
        <f t="shared" si="391"/>
        <v>0</v>
      </c>
      <c r="M867" s="77">
        <f t="shared" si="391"/>
        <v>0</v>
      </c>
      <c r="N867" s="77">
        <f t="shared" si="391"/>
        <v>-4472749.0509005086</v>
      </c>
      <c r="O867" s="77">
        <f t="shared" si="391"/>
        <v>-5511530.32685157</v>
      </c>
      <c r="P867" s="77">
        <f t="shared" si="391"/>
        <v>-2870448.4059415194</v>
      </c>
      <c r="Q867" s="77">
        <f t="shared" si="391"/>
        <v>649466.90129078378</v>
      </c>
      <c r="R867" s="77">
        <f t="shared" si="391"/>
        <v>414750.72035593458</v>
      </c>
      <c r="S867" s="77">
        <f t="shared" si="391"/>
        <v>-1448.5145303065899</v>
      </c>
      <c r="T867" s="77">
        <f t="shared" si="391"/>
        <v>-42098.480090426921</v>
      </c>
      <c r="U867" s="77">
        <f t="shared" si="391"/>
        <v>-44872.209347094256</v>
      </c>
      <c r="V867" s="77">
        <f t="shared" si="391"/>
        <v>0</v>
      </c>
      <c r="W867" s="77">
        <f t="shared" si="391"/>
        <v>0</v>
      </c>
      <c r="X867" s="77">
        <f t="shared" si="391"/>
        <v>0</v>
      </c>
      <c r="Y867" s="77">
        <f t="shared" si="391"/>
        <v>0</v>
      </c>
      <c r="Z867" s="77">
        <f t="shared" si="391"/>
        <v>0</v>
      </c>
      <c r="AA867" s="81">
        <f>SUM(G867:Z867)</f>
        <v>-1.4602846931666136E-8</v>
      </c>
      <c r="AB867" s="94" t="str">
        <f>IF(ABS(F867-AA867)&lt;0.01,"ok","err")</f>
        <v>ok</v>
      </c>
    </row>
    <row r="868" spans="1:28" s="61" customFormat="1" x14ac:dyDescent="0.25"/>
    <row r="869" spans="1:28" s="61" customFormat="1" x14ac:dyDescent="0.25">
      <c r="A869" s="61" t="s">
        <v>137</v>
      </c>
      <c r="F869" s="81">
        <f t="shared" ref="F869:Z869" si="392">SUM(F864:F867)</f>
        <v>1044652044</v>
      </c>
      <c r="G869" s="81">
        <f t="shared" si="392"/>
        <v>487994554.90597951</v>
      </c>
      <c r="H869" s="81">
        <f t="shared" si="392"/>
        <v>127813416.2526466</v>
      </c>
      <c r="I869" s="81">
        <f t="shared" si="392"/>
        <v>0</v>
      </c>
      <c r="J869" s="81">
        <f t="shared" si="392"/>
        <v>11348933.243111849</v>
      </c>
      <c r="K869" s="81">
        <f t="shared" si="392"/>
        <v>142867972.28907219</v>
      </c>
      <c r="L869" s="81">
        <f t="shared" si="392"/>
        <v>0</v>
      </c>
      <c r="M869" s="81">
        <f t="shared" si="392"/>
        <v>0</v>
      </c>
      <c r="N869" s="81">
        <f t="shared" si="392"/>
        <v>131113267.2641203</v>
      </c>
      <c r="O869" s="81">
        <f t="shared" si="392"/>
        <v>72954282.713473707</v>
      </c>
      <c r="P869" s="81">
        <f t="shared" si="392"/>
        <v>41271441.535666347</v>
      </c>
      <c r="Q869" s="81">
        <f t="shared" si="392"/>
        <v>7043716.2787267631</v>
      </c>
      <c r="R869" s="81">
        <f t="shared" si="392"/>
        <v>3916597.0106452522</v>
      </c>
      <c r="S869" s="81">
        <f t="shared" si="392"/>
        <v>17919949.322513886</v>
      </c>
      <c r="T869" s="81">
        <f t="shared" si="392"/>
        <v>172121.02719339621</v>
      </c>
      <c r="U869" s="81">
        <f t="shared" si="392"/>
        <v>235792.1568501493</v>
      </c>
      <c r="V869" s="81" t="e">
        <f t="shared" si="392"/>
        <v>#REF!</v>
      </c>
      <c r="W869" s="81" t="e">
        <f t="shared" si="392"/>
        <v>#REF!</v>
      </c>
      <c r="X869" s="81" t="e">
        <f t="shared" si="392"/>
        <v>#REF!</v>
      </c>
      <c r="Y869" s="81" t="e">
        <f t="shared" si="392"/>
        <v>#REF!</v>
      </c>
      <c r="Z869" s="81" t="e">
        <f t="shared" si="392"/>
        <v>#REF!</v>
      </c>
      <c r="AA869" s="81" t="e">
        <f>ROUND(SUM(G869:Z869),2)</f>
        <v>#REF!</v>
      </c>
      <c r="AB869" s="94" t="e">
        <f>IF(ABS(F869-AA869)&lt;0.01,"ok","err")</f>
        <v>#REF!</v>
      </c>
    </row>
    <row r="870" spans="1:28" s="61" customFormat="1" x14ac:dyDescent="0.25"/>
    <row r="871" spans="1:28" s="61" customFormat="1" x14ac:dyDescent="0.25">
      <c r="A871" s="66" t="s">
        <v>1139</v>
      </c>
    </row>
    <row r="872" spans="1:28" s="61" customFormat="1" x14ac:dyDescent="0.25"/>
    <row r="873" spans="1:28" s="61" customFormat="1" x14ac:dyDescent="0.25">
      <c r="A873" s="61" t="s">
        <v>1142</v>
      </c>
      <c r="F873" s="81">
        <f>F830</f>
        <v>905585926.0025624</v>
      </c>
      <c r="G873" s="81">
        <f t="shared" ref="G873:Z873" si="393">G830</f>
        <v>391413723.71375728</v>
      </c>
      <c r="H873" s="81">
        <f t="shared" si="393"/>
        <v>118462563.85495073</v>
      </c>
      <c r="I873" s="81">
        <f t="shared" si="393"/>
        <v>0</v>
      </c>
      <c r="J873" s="81">
        <f t="shared" si="393"/>
        <v>10454784.491525004</v>
      </c>
      <c r="K873" s="81">
        <f t="shared" si="393"/>
        <v>135312191.91702792</v>
      </c>
      <c r="L873" s="81">
        <f t="shared" si="393"/>
        <v>0</v>
      </c>
      <c r="M873" s="81">
        <f t="shared" si="393"/>
        <v>0</v>
      </c>
      <c r="N873" s="81">
        <f t="shared" si="393"/>
        <v>119712951.6210154</v>
      </c>
      <c r="O873" s="81">
        <f t="shared" si="393"/>
        <v>67045750.735550165</v>
      </c>
      <c r="P873" s="81">
        <f t="shared" si="393"/>
        <v>39486113.440924928</v>
      </c>
      <c r="Q873" s="81">
        <f t="shared" si="393"/>
        <v>6114987.0585415382</v>
      </c>
      <c r="R873" s="81">
        <f t="shared" si="393"/>
        <v>3331550.8942014948</v>
      </c>
      <c r="S873" s="81">
        <f t="shared" si="393"/>
        <v>13841758.147900594</v>
      </c>
      <c r="T873" s="81">
        <f t="shared" si="393"/>
        <v>179847.3828040401</v>
      </c>
      <c r="U873" s="81">
        <f t="shared" si="393"/>
        <v>229702.74436320216</v>
      </c>
      <c r="V873" s="81">
        <f t="shared" si="393"/>
        <v>0</v>
      </c>
      <c r="W873" s="81">
        <f t="shared" si="393"/>
        <v>0</v>
      </c>
      <c r="X873" s="81">
        <f t="shared" si="393"/>
        <v>0</v>
      </c>
      <c r="Y873" s="81">
        <f t="shared" si="393"/>
        <v>0</v>
      </c>
      <c r="Z873" s="81">
        <f t="shared" si="393"/>
        <v>0</v>
      </c>
      <c r="AA873" s="81">
        <f>ROUND(SUM(G873:Z873),2)</f>
        <v>905585926</v>
      </c>
      <c r="AB873" s="94" t="str">
        <f>IF(ABS(F873-AA873)&lt;0.01,"ok","err")</f>
        <v>ok</v>
      </c>
    </row>
    <row r="874" spans="1:28" s="61" customFormat="1" x14ac:dyDescent="0.25"/>
    <row r="875" spans="1:28" s="61" customFormat="1" x14ac:dyDescent="0.25">
      <c r="A875" s="61" t="s">
        <v>719</v>
      </c>
      <c r="F875" s="113">
        <f t="shared" ref="F875:Z875" si="394">F847</f>
        <v>0</v>
      </c>
      <c r="G875" s="113">
        <f t="shared" si="394"/>
        <v>0</v>
      </c>
      <c r="H875" s="113">
        <f t="shared" si="394"/>
        <v>0</v>
      </c>
      <c r="I875" s="113">
        <f t="shared" si="394"/>
        <v>0</v>
      </c>
      <c r="J875" s="113">
        <f t="shared" si="394"/>
        <v>0</v>
      </c>
      <c r="K875" s="113">
        <f t="shared" si="394"/>
        <v>0</v>
      </c>
      <c r="L875" s="113">
        <f t="shared" si="394"/>
        <v>0</v>
      </c>
      <c r="M875" s="113">
        <f t="shared" si="394"/>
        <v>0</v>
      </c>
      <c r="N875" s="113">
        <f t="shared" si="394"/>
        <v>0</v>
      </c>
      <c r="O875" s="113">
        <f t="shared" si="394"/>
        <v>0</v>
      </c>
      <c r="P875" s="113">
        <f t="shared" si="394"/>
        <v>0</v>
      </c>
      <c r="Q875" s="113">
        <f t="shared" si="394"/>
        <v>0</v>
      </c>
      <c r="R875" s="113">
        <f t="shared" si="394"/>
        <v>0</v>
      </c>
      <c r="S875" s="113">
        <f t="shared" si="394"/>
        <v>0</v>
      </c>
      <c r="T875" s="113">
        <f t="shared" si="394"/>
        <v>0</v>
      </c>
      <c r="U875" s="113">
        <f t="shared" si="394"/>
        <v>0</v>
      </c>
      <c r="V875" s="113">
        <f t="shared" si="394"/>
        <v>0</v>
      </c>
      <c r="W875" s="113">
        <f t="shared" si="394"/>
        <v>0</v>
      </c>
      <c r="X875" s="113">
        <f t="shared" si="394"/>
        <v>0</v>
      </c>
      <c r="Y875" s="113">
        <f t="shared" si="394"/>
        <v>0</v>
      </c>
      <c r="Z875" s="113">
        <f t="shared" si="394"/>
        <v>0</v>
      </c>
      <c r="AA875" s="81">
        <f>ROUND(SUM(G875:Z875),2)</f>
        <v>0</v>
      </c>
      <c r="AB875" s="94" t="str">
        <f>IF(ABS(F875-AA875)&lt;0.01,"ok","err")</f>
        <v>ok</v>
      </c>
    </row>
    <row r="876" spans="1:28" s="61" customFormat="1" x14ac:dyDescent="0.25">
      <c r="F876" s="113"/>
      <c r="G876" s="113"/>
      <c r="H876" s="113"/>
      <c r="I876" s="113"/>
      <c r="J876" s="113"/>
      <c r="K876" s="113"/>
      <c r="L876" s="113"/>
      <c r="M876" s="113"/>
      <c r="N876" s="113"/>
      <c r="O876" s="113"/>
      <c r="P876" s="113"/>
      <c r="Q876" s="113"/>
      <c r="R876" s="113"/>
      <c r="S876" s="113"/>
      <c r="T876" s="113"/>
      <c r="U876" s="113"/>
      <c r="V876" s="113"/>
      <c r="W876" s="113"/>
      <c r="X876" s="113"/>
      <c r="Y876" s="113"/>
      <c r="Z876" s="113"/>
      <c r="AA876" s="81"/>
      <c r="AB876" s="94"/>
    </row>
    <row r="877" spans="1:28" s="61" customFormat="1" x14ac:dyDescent="0.25">
      <c r="A877" s="61" t="s">
        <v>720</v>
      </c>
      <c r="E877" s="61">
        <f>0.05813676+0.31504516</f>
        <v>0.37318192</v>
      </c>
      <c r="F877" s="113">
        <f>F867*$E$877</f>
        <v>0</v>
      </c>
      <c r="G877" s="113">
        <f>G867*$E$877</f>
        <v>20822282.173286386</v>
      </c>
      <c r="H877" s="113">
        <f>H867*$E$877</f>
        <v>-7463630.1436587777</v>
      </c>
      <c r="I877" s="113">
        <f t="shared" ref="I877:Z877" si="395">I867*$E$877</f>
        <v>0</v>
      </c>
      <c r="J877" s="113">
        <f t="shared" si="395"/>
        <v>-350014.35697968438</v>
      </c>
      <c r="K877" s="113">
        <f t="shared" si="395"/>
        <v>-8575636.0042941775</v>
      </c>
      <c r="L877" s="113">
        <f t="shared" si="395"/>
        <v>0</v>
      </c>
      <c r="M877" s="113">
        <f t="shared" si="395"/>
        <v>0</v>
      </c>
      <c r="N877" s="113">
        <f t="shared" si="395"/>
        <v>-1669149.0784932296</v>
      </c>
      <c r="O877" s="113">
        <f t="shared" si="395"/>
        <v>-2056803.4695126964</v>
      </c>
      <c r="P877" s="113">
        <f t="shared" si="395"/>
        <v>-1071199.4473901957</v>
      </c>
      <c r="Q877" s="113">
        <f t="shared" si="395"/>
        <v>242369.30520014517</v>
      </c>
      <c r="R877" s="113">
        <f t="shared" si="395"/>
        <v>154777.47014381076</v>
      </c>
      <c r="S877" s="113">
        <f t="shared" si="395"/>
        <v>-540.55943356771138</v>
      </c>
      <c r="T877" s="113">
        <f t="shared" si="395"/>
        <v>-15710.391629227292</v>
      </c>
      <c r="U877" s="113">
        <f t="shared" si="395"/>
        <v>-16745.49723879058</v>
      </c>
      <c r="V877" s="113">
        <f t="shared" si="395"/>
        <v>0</v>
      </c>
      <c r="W877" s="113">
        <f t="shared" si="395"/>
        <v>0</v>
      </c>
      <c r="X877" s="113">
        <f t="shared" si="395"/>
        <v>0</v>
      </c>
      <c r="Y877" s="113">
        <f t="shared" si="395"/>
        <v>0</v>
      </c>
      <c r="Z877" s="113">
        <f t="shared" si="395"/>
        <v>0</v>
      </c>
      <c r="AA877" s="81">
        <f>ROUND(SUM(G877:Z877),2)</f>
        <v>0</v>
      </c>
      <c r="AB877" s="94" t="str">
        <f>IF(ABS(F877-AA877)&lt;0.01,"ok","err")</f>
        <v>ok</v>
      </c>
    </row>
    <row r="878" spans="1:28" s="61" customFormat="1" x14ac:dyDescent="0.25">
      <c r="A878" s="69"/>
      <c r="F878" s="80"/>
      <c r="G878" s="77"/>
      <c r="H878" s="77"/>
      <c r="I878" s="77"/>
      <c r="J878" s="77"/>
      <c r="K878" s="77"/>
      <c r="L878" s="77"/>
      <c r="M878" s="77"/>
      <c r="N878" s="77"/>
      <c r="O878" s="77"/>
      <c r="P878" s="77"/>
      <c r="Q878" s="77"/>
      <c r="R878" s="77"/>
      <c r="S878" s="77"/>
      <c r="T878" s="77"/>
      <c r="U878" s="77"/>
      <c r="V878" s="77"/>
      <c r="W878" s="77"/>
      <c r="X878" s="77"/>
      <c r="Y878" s="77"/>
      <c r="Z878" s="77"/>
      <c r="AA878" s="81"/>
      <c r="AB878" s="94"/>
    </row>
    <row r="879" spans="1:28" s="61" customFormat="1" x14ac:dyDescent="0.25">
      <c r="A879" s="61" t="s">
        <v>138</v>
      </c>
      <c r="F879" s="81">
        <f t="shared" ref="F879:N879" si="396">SUM(F873:F878)</f>
        <v>905585926.0025624</v>
      </c>
      <c r="G879" s="81">
        <f t="shared" si="396"/>
        <v>412236005.88704365</v>
      </c>
      <c r="H879" s="81">
        <f t="shared" si="396"/>
        <v>110998933.71129195</v>
      </c>
      <c r="I879" s="81">
        <f t="shared" si="396"/>
        <v>0</v>
      </c>
      <c r="J879" s="81">
        <f t="shared" si="396"/>
        <v>10104770.134545319</v>
      </c>
      <c r="K879" s="81">
        <f t="shared" si="396"/>
        <v>126736555.91273375</v>
      </c>
      <c r="L879" s="81">
        <f t="shared" si="396"/>
        <v>0</v>
      </c>
      <c r="M879" s="81">
        <f t="shared" si="396"/>
        <v>0</v>
      </c>
      <c r="N879" s="81">
        <f t="shared" si="396"/>
        <v>118043802.54252218</v>
      </c>
      <c r="O879" s="81">
        <f>SUM(O873:O878)</f>
        <v>64988947.266037472</v>
      </c>
      <c r="P879" s="81">
        <f t="shared" ref="P879:Z879" si="397">SUM(P873:P878)</f>
        <v>38414913.993534729</v>
      </c>
      <c r="Q879" s="81">
        <f t="shared" si="397"/>
        <v>6357356.3637416838</v>
      </c>
      <c r="R879" s="81">
        <f t="shared" si="397"/>
        <v>3486328.3643453056</v>
      </c>
      <c r="S879" s="81">
        <f t="shared" si="397"/>
        <v>13841217.588467026</v>
      </c>
      <c r="T879" s="81">
        <f t="shared" si="397"/>
        <v>164136.99117481281</v>
      </c>
      <c r="U879" s="81">
        <f t="shared" si="397"/>
        <v>212957.24712441157</v>
      </c>
      <c r="V879" s="81">
        <f t="shared" si="397"/>
        <v>0</v>
      </c>
      <c r="W879" s="81">
        <f t="shared" si="397"/>
        <v>0</v>
      </c>
      <c r="X879" s="81">
        <f t="shared" si="397"/>
        <v>0</v>
      </c>
      <c r="Y879" s="81">
        <f t="shared" si="397"/>
        <v>0</v>
      </c>
      <c r="Z879" s="81">
        <f t="shared" si="397"/>
        <v>0</v>
      </c>
      <c r="AA879" s="81">
        <f>ROUND(SUM(G879:Z879),2)</f>
        <v>905585926</v>
      </c>
      <c r="AB879" s="94" t="str">
        <f>IF(ABS(F879-AA879)&lt;0.01,"ok","err")</f>
        <v>ok</v>
      </c>
    </row>
    <row r="880" spans="1:28" s="61" customFormat="1" x14ac:dyDescent="0.25"/>
    <row r="881" spans="1:36" s="61" customFormat="1" x14ac:dyDescent="0.25"/>
    <row r="882" spans="1:36" s="61" customFormat="1" x14ac:dyDescent="0.25">
      <c r="A882" s="66" t="s">
        <v>915</v>
      </c>
      <c r="F882" s="81">
        <f t="shared" ref="F882:Z882" si="398">F869-F879</f>
        <v>139066117.9974376</v>
      </c>
      <c r="G882" s="81">
        <f t="shared" si="398"/>
        <v>75758549.018935859</v>
      </c>
      <c r="H882" s="81">
        <f t="shared" si="398"/>
        <v>16814482.541354641</v>
      </c>
      <c r="I882" s="81">
        <f t="shared" si="398"/>
        <v>0</v>
      </c>
      <c r="J882" s="81">
        <f t="shared" si="398"/>
        <v>1244163.10856653</v>
      </c>
      <c r="K882" s="81">
        <f t="shared" si="398"/>
        <v>16131416.376338437</v>
      </c>
      <c r="L882" s="81">
        <f t="shared" si="398"/>
        <v>0</v>
      </c>
      <c r="M882" s="81">
        <f t="shared" si="398"/>
        <v>0</v>
      </c>
      <c r="N882" s="81">
        <f t="shared" si="398"/>
        <v>13069464.721598119</v>
      </c>
      <c r="O882" s="81">
        <f t="shared" si="398"/>
        <v>7965335.4474362358</v>
      </c>
      <c r="P882" s="81">
        <f t="shared" si="398"/>
        <v>2856527.5421316177</v>
      </c>
      <c r="Q882" s="81">
        <f t="shared" si="398"/>
        <v>686359.91498507932</v>
      </c>
      <c r="R882" s="81">
        <f t="shared" si="398"/>
        <v>430268.64629994659</v>
      </c>
      <c r="S882" s="81">
        <f t="shared" si="398"/>
        <v>4078731.7340468597</v>
      </c>
      <c r="T882" s="81">
        <f t="shared" si="398"/>
        <v>7984.0360185833997</v>
      </c>
      <c r="U882" s="81">
        <f t="shared" si="398"/>
        <v>22834.909725737729</v>
      </c>
      <c r="V882" s="81" t="e">
        <f t="shared" si="398"/>
        <v>#REF!</v>
      </c>
      <c r="W882" s="81" t="e">
        <f t="shared" si="398"/>
        <v>#REF!</v>
      </c>
      <c r="X882" s="81" t="e">
        <f t="shared" si="398"/>
        <v>#REF!</v>
      </c>
      <c r="Y882" s="81" t="e">
        <f t="shared" si="398"/>
        <v>#REF!</v>
      </c>
      <c r="Z882" s="81" t="e">
        <f t="shared" si="398"/>
        <v>#REF!</v>
      </c>
      <c r="AA882" s="81" t="e">
        <f>ROUND(SUM(G882:Z882),2)</f>
        <v>#REF!</v>
      </c>
      <c r="AB882" s="94" t="e">
        <f>IF(ABS(F882-AA882)&lt;0.01,"ok","err")</f>
        <v>#REF!</v>
      </c>
    </row>
    <row r="883" spans="1:36" s="61" customFormat="1" x14ac:dyDescent="0.25"/>
    <row r="884" spans="1:36" s="61" customFormat="1" x14ac:dyDescent="0.25">
      <c r="A884" s="66" t="s">
        <v>1125</v>
      </c>
      <c r="F884" s="81">
        <f>F843</f>
        <v>2250031689.5289073</v>
      </c>
      <c r="G884" s="81">
        <f t="shared" ref="G884:Z884" si="399">G843</f>
        <v>1225741672.3782828</v>
      </c>
      <c r="H884" s="81">
        <f t="shared" si="399"/>
        <v>272051302.68880898</v>
      </c>
      <c r="I884" s="81">
        <f t="shared" si="399"/>
        <v>0</v>
      </c>
      <c r="J884" s="81">
        <f t="shared" si="399"/>
        <v>20130039.304534759</v>
      </c>
      <c r="K884" s="81">
        <f t="shared" si="399"/>
        <v>260999577.51330796</v>
      </c>
      <c r="L884" s="81">
        <f t="shared" si="399"/>
        <v>0</v>
      </c>
      <c r="M884" s="81">
        <f t="shared" si="399"/>
        <v>0</v>
      </c>
      <c r="N884" s="81">
        <f t="shared" si="399"/>
        <v>211458478.97557414</v>
      </c>
      <c r="O884" s="81">
        <f t="shared" si="399"/>
        <v>128875799.74577057</v>
      </c>
      <c r="P884" s="81">
        <f t="shared" si="399"/>
        <v>46217422.218736798</v>
      </c>
      <c r="Q884" s="81">
        <f t="shared" si="399"/>
        <v>11105016.673919467</v>
      </c>
      <c r="R884" s="81">
        <f t="shared" si="399"/>
        <v>6961566.9375586044</v>
      </c>
      <c r="S884" s="81">
        <f t="shared" si="399"/>
        <v>65992175.425948963</v>
      </c>
      <c r="T884" s="81">
        <f t="shared" si="399"/>
        <v>129178.36717412261</v>
      </c>
      <c r="U884" s="81">
        <f t="shared" si="399"/>
        <v>369459.29929092026</v>
      </c>
      <c r="V884" s="81">
        <f t="shared" si="399"/>
        <v>0</v>
      </c>
      <c r="W884" s="81">
        <f t="shared" si="399"/>
        <v>0</v>
      </c>
      <c r="X884" s="81">
        <f t="shared" si="399"/>
        <v>0</v>
      </c>
      <c r="Y884" s="81">
        <f t="shared" si="399"/>
        <v>0</v>
      </c>
      <c r="Z884" s="81">
        <f t="shared" si="399"/>
        <v>0</v>
      </c>
      <c r="AA884" s="81">
        <f>ROUND(SUM(G884:Z884),2)</f>
        <v>2250031689.5300002</v>
      </c>
      <c r="AB884" s="94" t="str">
        <f>IF(ABS(F884-AA884)&lt;0.01,"ok","err")</f>
        <v>ok</v>
      </c>
    </row>
    <row r="885" spans="1:36" s="61" customFormat="1" ht="14.4" thickBot="1" x14ac:dyDescent="0.3"/>
    <row r="886" spans="1:36" s="61" customFormat="1" ht="14.4" thickBot="1" x14ac:dyDescent="0.3">
      <c r="A886" s="328" t="s">
        <v>1143</v>
      </c>
      <c r="B886" s="154"/>
      <c r="C886" s="154"/>
      <c r="D886" s="154"/>
      <c r="E886" s="154"/>
      <c r="F886" s="155">
        <f t="shared" ref="F886:N886" si="400">F882/F884</f>
        <v>6.1806293060056451E-2</v>
      </c>
      <c r="G886" s="155">
        <f t="shared" si="400"/>
        <v>6.1806293060056458E-2</v>
      </c>
      <c r="H886" s="155">
        <f t="shared" si="400"/>
        <v>6.1806293060056416E-2</v>
      </c>
      <c r="I886" s="155" t="e">
        <f t="shared" si="400"/>
        <v>#DIV/0!</v>
      </c>
      <c r="J886" s="155">
        <f t="shared" si="400"/>
        <v>6.1806293060056437E-2</v>
      </c>
      <c r="K886" s="155">
        <f t="shared" si="400"/>
        <v>6.1806293060056472E-2</v>
      </c>
      <c r="L886" s="155" t="e">
        <f t="shared" si="400"/>
        <v>#DIV/0!</v>
      </c>
      <c r="M886" s="155" t="e">
        <f t="shared" si="400"/>
        <v>#DIV/0!</v>
      </c>
      <c r="N886" s="155">
        <f t="shared" si="400"/>
        <v>6.1806293060056444E-2</v>
      </c>
      <c r="O886" s="155">
        <f>O882/O884</f>
        <v>6.1806293060056382E-2</v>
      </c>
      <c r="P886" s="155">
        <f>P882/P884</f>
        <v>6.1806293060056597E-2</v>
      </c>
      <c r="Q886" s="155">
        <f>Q882/Q884</f>
        <v>6.1806293060056396E-2</v>
      </c>
      <c r="R886" s="155">
        <f t="shared" ref="R886:Z886" si="401">R882/R884</f>
        <v>6.1806293060056416E-2</v>
      </c>
      <c r="S886" s="155">
        <f t="shared" si="401"/>
        <v>6.1806293060056486E-2</v>
      </c>
      <c r="T886" s="155">
        <f t="shared" si="401"/>
        <v>6.1806293060056458E-2</v>
      </c>
      <c r="U886" s="155">
        <f t="shared" si="401"/>
        <v>6.1806293060056465E-2</v>
      </c>
      <c r="V886" s="155" t="e">
        <f t="shared" si="401"/>
        <v>#REF!</v>
      </c>
      <c r="W886" s="155" t="e">
        <f t="shared" si="401"/>
        <v>#REF!</v>
      </c>
      <c r="X886" s="155" t="e">
        <f t="shared" si="401"/>
        <v>#REF!</v>
      </c>
      <c r="Y886" s="155" t="e">
        <f t="shared" si="401"/>
        <v>#REF!</v>
      </c>
      <c r="Z886" s="155" t="e">
        <f t="shared" si="401"/>
        <v>#REF!</v>
      </c>
      <c r="AA886" s="143"/>
      <c r="AB886" s="143"/>
    </row>
    <row r="887" spans="1:36" s="61" customFormat="1" x14ac:dyDescent="0.25"/>
    <row r="888" spans="1:36" s="61" customFormat="1" x14ac:dyDescent="0.25"/>
    <row r="889" spans="1:36" s="61" customFormat="1" x14ac:dyDescent="0.25">
      <c r="A889" s="66" t="s">
        <v>919</v>
      </c>
      <c r="B889" s="66"/>
      <c r="F889" s="81">
        <f t="shared" ref="F889:Z889" si="402">F867</f>
        <v>0</v>
      </c>
      <c r="G889" s="81">
        <f t="shared" si="402"/>
        <v>55796599.613631837</v>
      </c>
      <c r="H889" s="81">
        <f t="shared" si="402"/>
        <v>-19999977.875827365</v>
      </c>
      <c r="I889" s="81">
        <f t="shared" si="402"/>
        <v>0</v>
      </c>
      <c r="J889" s="81">
        <f t="shared" si="402"/>
        <v>-937918.849283171</v>
      </c>
      <c r="K889" s="81">
        <f t="shared" si="402"/>
        <v>-22979773.522506606</v>
      </c>
      <c r="L889" s="81">
        <f t="shared" si="402"/>
        <v>0</v>
      </c>
      <c r="M889" s="81">
        <f t="shared" si="402"/>
        <v>0</v>
      </c>
      <c r="N889" s="81">
        <f t="shared" si="402"/>
        <v>-4472749.0509005086</v>
      </c>
      <c r="O889" s="81">
        <f t="shared" si="402"/>
        <v>-5511530.32685157</v>
      </c>
      <c r="P889" s="81">
        <f t="shared" si="402"/>
        <v>-2870448.4059415194</v>
      </c>
      <c r="Q889" s="81">
        <f t="shared" si="402"/>
        <v>649466.90129078378</v>
      </c>
      <c r="R889" s="81">
        <f t="shared" si="402"/>
        <v>414750.72035593458</v>
      </c>
      <c r="S889" s="81">
        <f t="shared" si="402"/>
        <v>-1448.5145303065899</v>
      </c>
      <c r="T889" s="81">
        <f t="shared" si="402"/>
        <v>-42098.480090426921</v>
      </c>
      <c r="U889" s="81">
        <f t="shared" si="402"/>
        <v>-44872.209347094256</v>
      </c>
      <c r="V889" s="81">
        <f t="shared" si="402"/>
        <v>0</v>
      </c>
      <c r="W889" s="81">
        <f t="shared" si="402"/>
        <v>0</v>
      </c>
      <c r="X889" s="81">
        <f t="shared" si="402"/>
        <v>0</v>
      </c>
      <c r="Y889" s="81">
        <f t="shared" si="402"/>
        <v>0</v>
      </c>
      <c r="Z889" s="81">
        <f t="shared" si="402"/>
        <v>0</v>
      </c>
      <c r="AA889" s="81">
        <f>ROUND(SUM(G889:Z889),2)</f>
        <v>0</v>
      </c>
      <c r="AB889" s="94" t="str">
        <f>IF(ABS(F889-AA889)&lt;0.01,"ok","err")</f>
        <v>ok</v>
      </c>
    </row>
    <row r="890" spans="1:36" s="61" customFormat="1" x14ac:dyDescent="0.25">
      <c r="A890" s="66"/>
      <c r="B890" s="66"/>
    </row>
    <row r="891" spans="1:36" s="61" customFormat="1" x14ac:dyDescent="0.25">
      <c r="A891" s="66" t="s">
        <v>920</v>
      </c>
      <c r="B891" s="66"/>
      <c r="F891" s="156">
        <f t="shared" ref="F891:Z891" si="403">F889/F864</f>
        <v>0</v>
      </c>
      <c r="G891" s="156">
        <f t="shared" si="403"/>
        <v>0.12909963809497862</v>
      </c>
      <c r="H891" s="156">
        <f t="shared" si="403"/>
        <v>-0.13530558576067958</v>
      </c>
      <c r="I891" s="156" t="e">
        <f t="shared" si="403"/>
        <v>#DIV/0!</v>
      </c>
      <c r="J891" s="156">
        <f t="shared" si="403"/>
        <v>-7.6335162353235966E-2</v>
      </c>
      <c r="K891" s="156">
        <f t="shared" si="403"/>
        <v>-0.1385594565066573</v>
      </c>
      <c r="L891" s="156" t="e">
        <f t="shared" si="403"/>
        <v>#DIV/0!</v>
      </c>
      <c r="M891" s="156" t="e">
        <f t="shared" si="403"/>
        <v>#DIV/0!</v>
      </c>
      <c r="N891" s="156">
        <f t="shared" si="403"/>
        <v>-3.2988276906878916E-2</v>
      </c>
      <c r="O891" s="156">
        <f t="shared" si="403"/>
        <v>-7.0241167628239259E-2</v>
      </c>
      <c r="P891" s="156">
        <f t="shared" si="403"/>
        <v>-6.5027764097518925E-2</v>
      </c>
      <c r="Q891" s="156">
        <f t="shared" si="403"/>
        <v>0.10157046792429177</v>
      </c>
      <c r="R891" s="156">
        <f t="shared" si="403"/>
        <v>0.11843772855080639</v>
      </c>
      <c r="S891" s="156">
        <f t="shared" si="403"/>
        <v>-8.0825979283404828E-5</v>
      </c>
      <c r="T891" s="156">
        <f t="shared" si="403"/>
        <v>-0.19652029184555037</v>
      </c>
      <c r="U891" s="156">
        <f t="shared" si="403"/>
        <v>-0.15987854088879686</v>
      </c>
      <c r="V891" s="156" t="e">
        <f t="shared" si="403"/>
        <v>#REF!</v>
      </c>
      <c r="W891" s="156" t="e">
        <f t="shared" si="403"/>
        <v>#REF!</v>
      </c>
      <c r="X891" s="156" t="e">
        <f t="shared" si="403"/>
        <v>#REF!</v>
      </c>
      <c r="Y891" s="156" t="e">
        <f t="shared" si="403"/>
        <v>#REF!</v>
      </c>
      <c r="Z891" s="156" t="e">
        <f t="shared" si="403"/>
        <v>#REF!</v>
      </c>
    </row>
    <row r="892" spans="1:36" s="61" customFormat="1" x14ac:dyDescent="0.25">
      <c r="A892" s="66"/>
      <c r="B892" s="66"/>
      <c r="F892" s="156"/>
      <c r="G892" s="156"/>
      <c r="H892" s="156"/>
      <c r="I892" s="156"/>
      <c r="J892" s="156"/>
      <c r="K892" s="156"/>
      <c r="L892" s="156"/>
      <c r="M892" s="156"/>
      <c r="N892" s="156"/>
      <c r="O892" s="156"/>
      <c r="P892" s="156"/>
      <c r="Q892" s="156"/>
      <c r="R892" s="156"/>
      <c r="S892" s="156"/>
      <c r="T892" s="156"/>
      <c r="U892" s="156"/>
      <c r="V892" s="156"/>
      <c r="W892" s="156"/>
      <c r="X892" s="156"/>
      <c r="Y892" s="156"/>
      <c r="Z892" s="156"/>
    </row>
    <row r="893" spans="1:36" s="61" customFormat="1" x14ac:dyDescent="0.25">
      <c r="A893" s="66" t="s">
        <v>1331</v>
      </c>
    </row>
    <row r="894" spans="1:36" s="61" customFormat="1" x14ac:dyDescent="0.25"/>
    <row r="895" spans="1:36" s="61" customFormat="1" x14ac:dyDescent="0.25">
      <c r="A895" s="66" t="s">
        <v>1135</v>
      </c>
      <c r="AH895" s="272"/>
      <c r="AI895" s="272"/>
      <c r="AJ895" s="272"/>
    </row>
    <row r="896" spans="1:36" s="61" customFormat="1" x14ac:dyDescent="0.25"/>
    <row r="897" spans="1:36" s="61" customFormat="1" x14ac:dyDescent="0.25">
      <c r="A897" s="61" t="s">
        <v>1</v>
      </c>
      <c r="F897" s="81">
        <f t="shared" ref="F897:Z897" si="404">F776</f>
        <v>1044652044</v>
      </c>
      <c r="G897" s="81">
        <f t="shared" si="404"/>
        <v>432197955.29234767</v>
      </c>
      <c r="H897" s="81">
        <f t="shared" si="404"/>
        <v>147813394.12847397</v>
      </c>
      <c r="I897" s="81">
        <f t="shared" si="404"/>
        <v>0</v>
      </c>
      <c r="J897" s="81">
        <f t="shared" si="404"/>
        <v>12286852.092395021</v>
      </c>
      <c r="K897" s="81">
        <f t="shared" si="404"/>
        <v>165847745.81157878</v>
      </c>
      <c r="L897" s="81">
        <f t="shared" si="404"/>
        <v>0</v>
      </c>
      <c r="M897" s="81">
        <f t="shared" si="404"/>
        <v>0</v>
      </c>
      <c r="N897" s="81">
        <f t="shared" si="404"/>
        <v>135586016.3150208</v>
      </c>
      <c r="O897" s="81">
        <f t="shared" si="404"/>
        <v>78465813.040325284</v>
      </c>
      <c r="P897" s="81">
        <f t="shared" si="404"/>
        <v>44141889.941607863</v>
      </c>
      <c r="Q897" s="81">
        <f t="shared" si="404"/>
        <v>6394249.3774359794</v>
      </c>
      <c r="R897" s="81">
        <f t="shared" si="404"/>
        <v>3501846.2902893177</v>
      </c>
      <c r="S897" s="81">
        <f t="shared" si="404"/>
        <v>17921397.837044191</v>
      </c>
      <c r="T897" s="81">
        <f t="shared" si="404"/>
        <v>214219.50728382313</v>
      </c>
      <c r="U897" s="81">
        <f t="shared" si="404"/>
        <v>280664.36619724357</v>
      </c>
      <c r="V897" s="81">
        <f t="shared" si="404"/>
        <v>0</v>
      </c>
      <c r="W897" s="81">
        <f t="shared" si="404"/>
        <v>0</v>
      </c>
      <c r="X897" s="81">
        <f t="shared" si="404"/>
        <v>0</v>
      </c>
      <c r="Y897" s="81">
        <f t="shared" si="404"/>
        <v>0</v>
      </c>
      <c r="Z897" s="81">
        <f t="shared" si="404"/>
        <v>0</v>
      </c>
      <c r="AA897" s="81">
        <f>ROUND(SUM(G897:Z897),2)</f>
        <v>1044652044</v>
      </c>
      <c r="AB897" s="94" t="str">
        <f>IF(ABS(F897-AA897)&lt;0.01,"ok","err")</f>
        <v>ok</v>
      </c>
      <c r="AH897" s="77"/>
      <c r="AI897" s="77"/>
      <c r="AJ897" s="156"/>
    </row>
    <row r="898" spans="1:36" s="61" customFormat="1" x14ac:dyDescent="0.25"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  <c r="AA898" s="81"/>
      <c r="AB898" s="94"/>
      <c r="AH898" s="80"/>
      <c r="AI898" s="80"/>
      <c r="AJ898" s="156"/>
    </row>
    <row r="899" spans="1:36" s="61" customFormat="1" x14ac:dyDescent="0.25">
      <c r="A899" s="61" t="s">
        <v>136</v>
      </c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  <c r="AA899" s="81"/>
      <c r="AB899" s="94"/>
      <c r="AH899" s="80"/>
      <c r="AI899" s="80"/>
      <c r="AJ899" s="156"/>
    </row>
    <row r="900" spans="1:36" s="61" customFormat="1" x14ac:dyDescent="0.25">
      <c r="A900" s="61" t="s">
        <v>916</v>
      </c>
      <c r="F900" s="81">
        <v>0</v>
      </c>
      <c r="G900" s="77">
        <v>0</v>
      </c>
      <c r="H900" s="77">
        <v>0</v>
      </c>
      <c r="I900" s="77">
        <v>0</v>
      </c>
      <c r="J900" s="77">
        <v>0</v>
      </c>
      <c r="K900" s="77">
        <v>0</v>
      </c>
      <c r="L900" s="77">
        <v>0</v>
      </c>
      <c r="M900" s="77">
        <v>0</v>
      </c>
      <c r="N900" s="77">
        <v>0</v>
      </c>
      <c r="O900" s="77">
        <v>0</v>
      </c>
      <c r="P900" s="77">
        <v>0</v>
      </c>
      <c r="Q900" s="77">
        <v>0</v>
      </c>
      <c r="R900" s="77">
        <v>0</v>
      </c>
      <c r="S900" s="77">
        <v>0</v>
      </c>
      <c r="T900" s="77">
        <v>0</v>
      </c>
      <c r="U900" s="77">
        <v>0</v>
      </c>
      <c r="V900" s="77">
        <v>0</v>
      </c>
      <c r="W900" s="77">
        <v>0</v>
      </c>
      <c r="X900" s="77">
        <v>0</v>
      </c>
      <c r="Y900" s="77">
        <v>0</v>
      </c>
      <c r="Z900" s="77">
        <v>0</v>
      </c>
      <c r="AA900" s="81">
        <f>SUM(G900:Z900)</f>
        <v>0</v>
      </c>
      <c r="AB900" s="94" t="str">
        <f>IF(ABS(F900-AA900)&lt;0.01,"ok","err")</f>
        <v>ok</v>
      </c>
      <c r="AH900" s="80"/>
      <c r="AI900" s="80"/>
      <c r="AJ900" s="156"/>
    </row>
    <row r="901" spans="1:36" s="61" customFormat="1" x14ac:dyDescent="0.25">
      <c r="A901" s="61" t="s">
        <v>917</v>
      </c>
      <c r="E901" s="245" t="s">
        <v>130</v>
      </c>
      <c r="F901" s="80">
        <v>0</v>
      </c>
      <c r="G901" s="77">
        <f t="shared" ref="G901:Z901" si="405">IF(VLOOKUP($E901,$D$6:$AN$1141,3,)=0,0,(VLOOKUP($E901,$D$6:$AN$1141,G$2,)/VLOOKUP($E901,$D$6:$AN$1141,3,))*$F901)</f>
        <v>0</v>
      </c>
      <c r="H901" s="77">
        <f t="shared" si="405"/>
        <v>0</v>
      </c>
      <c r="I901" s="77">
        <f t="shared" si="405"/>
        <v>0</v>
      </c>
      <c r="J901" s="77">
        <f t="shared" si="405"/>
        <v>0</v>
      </c>
      <c r="K901" s="77">
        <f t="shared" si="405"/>
        <v>0</v>
      </c>
      <c r="L901" s="77">
        <f t="shared" si="405"/>
        <v>0</v>
      </c>
      <c r="M901" s="77">
        <f t="shared" si="405"/>
        <v>0</v>
      </c>
      <c r="N901" s="77">
        <f t="shared" si="405"/>
        <v>0</v>
      </c>
      <c r="O901" s="77">
        <f t="shared" si="405"/>
        <v>0</v>
      </c>
      <c r="P901" s="77">
        <f t="shared" si="405"/>
        <v>0</v>
      </c>
      <c r="Q901" s="77">
        <f t="shared" si="405"/>
        <v>0</v>
      </c>
      <c r="R901" s="77">
        <f t="shared" si="405"/>
        <v>0</v>
      </c>
      <c r="S901" s="77">
        <f t="shared" si="405"/>
        <v>0</v>
      </c>
      <c r="T901" s="77">
        <f t="shared" si="405"/>
        <v>0</v>
      </c>
      <c r="U901" s="77">
        <f t="shared" si="405"/>
        <v>0</v>
      </c>
      <c r="V901" s="77">
        <f t="shared" si="405"/>
        <v>0</v>
      </c>
      <c r="W901" s="77">
        <f t="shared" si="405"/>
        <v>0</v>
      </c>
      <c r="X901" s="80">
        <f t="shared" si="405"/>
        <v>0</v>
      </c>
      <c r="Y901" s="80">
        <f t="shared" si="405"/>
        <v>0</v>
      </c>
      <c r="Z901" s="80">
        <f t="shared" si="405"/>
        <v>0</v>
      </c>
      <c r="AA901" s="81">
        <f>SUM(G901:Z901)</f>
        <v>0</v>
      </c>
      <c r="AB901" s="94" t="str">
        <f>IF(ABS(F901-AA901)&lt;0.01,"ok","err")</f>
        <v>ok</v>
      </c>
      <c r="AH901" s="80"/>
      <c r="AI901" s="80"/>
      <c r="AJ901" s="156"/>
    </row>
    <row r="902" spans="1:36" s="61" customFormat="1" x14ac:dyDescent="0.25">
      <c r="AH902" s="80"/>
      <c r="AI902" s="80"/>
      <c r="AJ902" s="156"/>
    </row>
    <row r="903" spans="1:36" s="61" customFormat="1" x14ac:dyDescent="0.25">
      <c r="A903" s="61" t="s">
        <v>137</v>
      </c>
      <c r="F903" s="81">
        <f>SUM(F897:F901)</f>
        <v>1044652044</v>
      </c>
      <c r="G903" s="81">
        <f t="shared" ref="G903:P903" si="406">SUM(G897:G901)</f>
        <v>432197955.29234767</v>
      </c>
      <c r="H903" s="81">
        <f t="shared" si="406"/>
        <v>147813394.12847397</v>
      </c>
      <c r="I903" s="81">
        <f t="shared" si="406"/>
        <v>0</v>
      </c>
      <c r="J903" s="81">
        <f t="shared" si="406"/>
        <v>12286852.092395021</v>
      </c>
      <c r="K903" s="81">
        <f t="shared" si="406"/>
        <v>165847745.81157878</v>
      </c>
      <c r="L903" s="81">
        <f t="shared" si="406"/>
        <v>0</v>
      </c>
      <c r="M903" s="81">
        <f t="shared" si="406"/>
        <v>0</v>
      </c>
      <c r="N903" s="81">
        <f t="shared" si="406"/>
        <v>135586016.3150208</v>
      </c>
      <c r="O903" s="81">
        <f>SUM(O897:O901)</f>
        <v>78465813.040325284</v>
      </c>
      <c r="P903" s="81">
        <f t="shared" si="406"/>
        <v>44141889.941607863</v>
      </c>
      <c r="Q903" s="81">
        <f>SUM(Q897:Q901)</f>
        <v>6394249.3774359794</v>
      </c>
      <c r="R903" s="81">
        <f t="shared" ref="R903:Z903" si="407">SUM(R897:R901)</f>
        <v>3501846.2902893177</v>
      </c>
      <c r="S903" s="81">
        <f t="shared" si="407"/>
        <v>17921397.837044191</v>
      </c>
      <c r="T903" s="81">
        <f t="shared" si="407"/>
        <v>214219.50728382313</v>
      </c>
      <c r="U903" s="81">
        <f t="shared" si="407"/>
        <v>280664.36619724357</v>
      </c>
      <c r="V903" s="81">
        <f t="shared" si="407"/>
        <v>0</v>
      </c>
      <c r="W903" s="81">
        <f t="shared" si="407"/>
        <v>0</v>
      </c>
      <c r="X903" s="81">
        <f t="shared" si="407"/>
        <v>0</v>
      </c>
      <c r="Y903" s="81">
        <f t="shared" si="407"/>
        <v>0</v>
      </c>
      <c r="Z903" s="81">
        <f t="shared" si="407"/>
        <v>0</v>
      </c>
      <c r="AA903" s="81">
        <f>ROUND(SUM(G903:Z903),2)</f>
        <v>1044652044</v>
      </c>
      <c r="AB903" s="94" t="str">
        <f>IF(ABS(F903-AA903)&lt;0.01,"ok","err")</f>
        <v>ok</v>
      </c>
    </row>
    <row r="904" spans="1:36" s="61" customFormat="1" x14ac:dyDescent="0.25">
      <c r="AH904" s="77"/>
      <c r="AI904" s="77"/>
      <c r="AJ904" s="156"/>
    </row>
    <row r="905" spans="1:36" s="61" customFormat="1" x14ac:dyDescent="0.25"/>
    <row r="906" spans="1:36" s="61" customFormat="1" x14ac:dyDescent="0.25">
      <c r="A906" s="66" t="s">
        <v>1139</v>
      </c>
      <c r="F906" s="81"/>
    </row>
    <row r="907" spans="1:36" s="61" customFormat="1" x14ac:dyDescent="0.25"/>
    <row r="908" spans="1:36" s="61" customFormat="1" x14ac:dyDescent="0.25">
      <c r="A908" s="61" t="s">
        <v>1142</v>
      </c>
      <c r="F908" s="81">
        <f t="shared" ref="F908:Z908" si="408">F725</f>
        <v>902784323.01420605</v>
      </c>
      <c r="G908" s="81">
        <f t="shared" si="408"/>
        <v>390668430.23993433</v>
      </c>
      <c r="H908" s="81">
        <f t="shared" si="408"/>
        <v>117842709.44659914</v>
      </c>
      <c r="I908" s="81">
        <f t="shared" si="408"/>
        <v>0</v>
      </c>
      <c r="J908" s="81">
        <f t="shared" si="408"/>
        <v>10416563.670218231</v>
      </c>
      <c r="K908" s="81">
        <f t="shared" si="408"/>
        <v>134664225.35650334</v>
      </c>
      <c r="L908" s="81">
        <f t="shared" si="408"/>
        <v>0</v>
      </c>
      <c r="M908" s="81">
        <f t="shared" si="408"/>
        <v>0</v>
      </c>
      <c r="N908" s="81">
        <f t="shared" si="408"/>
        <v>119389984.94254033</v>
      </c>
      <c r="O908" s="81">
        <f t="shared" si="408"/>
        <v>66809128.076639012</v>
      </c>
      <c r="P908" s="81">
        <f t="shared" si="408"/>
        <v>39389651.132061489</v>
      </c>
      <c r="Q908" s="81">
        <f t="shared" si="408"/>
        <v>6107250.0112587763</v>
      </c>
      <c r="R908" s="81">
        <f t="shared" si="408"/>
        <v>3328767.5087409001</v>
      </c>
      <c r="S908" s="81">
        <f t="shared" si="408"/>
        <v>13759742.76626602</v>
      </c>
      <c r="T908" s="81">
        <f t="shared" si="408"/>
        <v>179182.28100149453</v>
      </c>
      <c r="U908" s="81">
        <f t="shared" si="408"/>
        <v>228687.58244281661</v>
      </c>
      <c r="V908" s="81">
        <f t="shared" si="408"/>
        <v>0</v>
      </c>
      <c r="W908" s="81">
        <f t="shared" si="408"/>
        <v>0</v>
      </c>
      <c r="X908" s="81">
        <f t="shared" si="408"/>
        <v>0</v>
      </c>
      <c r="Y908" s="81">
        <f t="shared" si="408"/>
        <v>0</v>
      </c>
      <c r="Z908" s="81">
        <f t="shared" si="408"/>
        <v>0</v>
      </c>
      <c r="AA908" s="81">
        <f>ROUND(SUM(G908:Z908),2)</f>
        <v>902784323.00999999</v>
      </c>
      <c r="AB908" s="94" t="str">
        <f>IF(ABS(F908-AA908)&lt;0.01,"ok","err")</f>
        <v>ok</v>
      </c>
    </row>
    <row r="909" spans="1:36" s="61" customFormat="1" x14ac:dyDescent="0.25"/>
    <row r="910" spans="1:36" s="61" customFormat="1" x14ac:dyDescent="0.25">
      <c r="A910" s="61" t="s">
        <v>719</v>
      </c>
      <c r="F910" s="113">
        <f t="shared" ref="F910:Z910" si="409">F828</f>
        <v>2801602.9883563295</v>
      </c>
      <c r="G910" s="113">
        <f t="shared" si="409"/>
        <v>745293.47382287146</v>
      </c>
      <c r="H910" s="113">
        <f t="shared" si="409"/>
        <v>619854.40835159074</v>
      </c>
      <c r="I910" s="113">
        <f t="shared" si="409"/>
        <v>0</v>
      </c>
      <c r="J910" s="113">
        <f t="shared" si="409"/>
        <v>38220.821306771562</v>
      </c>
      <c r="K910" s="113">
        <f t="shared" si="409"/>
        <v>647966.56052457867</v>
      </c>
      <c r="L910" s="113">
        <f t="shared" si="409"/>
        <v>0</v>
      </c>
      <c r="M910" s="113">
        <f t="shared" si="409"/>
        <v>0</v>
      </c>
      <c r="N910" s="113">
        <f t="shared" si="409"/>
        <v>322966.67847506591</v>
      </c>
      <c r="O910" s="113">
        <f t="shared" si="409"/>
        <v>236622.6589111519</v>
      </c>
      <c r="P910" s="113">
        <f t="shared" si="409"/>
        <v>96462.308863440092</v>
      </c>
      <c r="Q910" s="113">
        <f t="shared" si="409"/>
        <v>7737.0472827626309</v>
      </c>
      <c r="R910" s="113">
        <f t="shared" si="409"/>
        <v>2783.3854605947581</v>
      </c>
      <c r="S910" s="113">
        <f t="shared" si="409"/>
        <v>82015.381634573452</v>
      </c>
      <c r="T910" s="113">
        <f t="shared" si="409"/>
        <v>665.1018025455694</v>
      </c>
      <c r="U910" s="113">
        <f t="shared" si="409"/>
        <v>1015.1619203855329</v>
      </c>
      <c r="V910" s="113">
        <f t="shared" si="409"/>
        <v>0</v>
      </c>
      <c r="W910" s="113">
        <f t="shared" si="409"/>
        <v>0</v>
      </c>
      <c r="X910" s="113">
        <f t="shared" si="409"/>
        <v>0</v>
      </c>
      <c r="Y910" s="113">
        <f t="shared" si="409"/>
        <v>0</v>
      </c>
      <c r="Z910" s="113">
        <f t="shared" si="409"/>
        <v>0</v>
      </c>
      <c r="AA910" s="81">
        <f>ROUND(SUM(G910:Z910),2)</f>
        <v>2801602.99</v>
      </c>
      <c r="AB910" s="94" t="str">
        <f>IF(ABS(F910-AA910)&lt;0.01,"ok","err")</f>
        <v>ok</v>
      </c>
    </row>
    <row r="911" spans="1:36" s="61" customFormat="1" x14ac:dyDescent="0.25">
      <c r="F911" s="113"/>
      <c r="G911" s="113"/>
      <c r="H911" s="113"/>
      <c r="I911" s="113"/>
      <c r="J911" s="113"/>
      <c r="K911" s="113"/>
      <c r="L911" s="113"/>
      <c r="M911" s="113"/>
      <c r="N911" s="113"/>
      <c r="O911" s="113"/>
      <c r="P911" s="113"/>
      <c r="Q911" s="113"/>
      <c r="R911" s="113"/>
      <c r="S911" s="113"/>
      <c r="T911" s="113"/>
      <c r="U911" s="113"/>
      <c r="V911" s="113"/>
      <c r="W911" s="113"/>
      <c r="X911" s="113"/>
      <c r="Y911" s="113"/>
      <c r="Z911" s="113"/>
      <c r="AA911" s="81"/>
      <c r="AB911" s="94"/>
    </row>
    <row r="912" spans="1:36" s="61" customFormat="1" x14ac:dyDescent="0.25">
      <c r="A912" s="61" t="s">
        <v>720</v>
      </c>
      <c r="F912" s="113">
        <f>(F900+F901)*$E$877</f>
        <v>0</v>
      </c>
      <c r="G912" s="113">
        <f>(G900+G901)*$E$877</f>
        <v>0</v>
      </c>
      <c r="H912" s="113">
        <f t="shared" ref="H912:Z912" si="410">(H900+H901)*$E$877</f>
        <v>0</v>
      </c>
      <c r="I912" s="113">
        <f t="shared" si="410"/>
        <v>0</v>
      </c>
      <c r="J912" s="113">
        <f t="shared" si="410"/>
        <v>0</v>
      </c>
      <c r="K912" s="113">
        <f t="shared" si="410"/>
        <v>0</v>
      </c>
      <c r="L912" s="113">
        <f t="shared" si="410"/>
        <v>0</v>
      </c>
      <c r="M912" s="113">
        <f t="shared" si="410"/>
        <v>0</v>
      </c>
      <c r="N912" s="113">
        <f t="shared" si="410"/>
        <v>0</v>
      </c>
      <c r="O912" s="113">
        <f t="shared" si="410"/>
        <v>0</v>
      </c>
      <c r="P912" s="113">
        <f t="shared" si="410"/>
        <v>0</v>
      </c>
      <c r="Q912" s="113">
        <f t="shared" si="410"/>
        <v>0</v>
      </c>
      <c r="R912" s="113">
        <f t="shared" si="410"/>
        <v>0</v>
      </c>
      <c r="S912" s="113">
        <f t="shared" si="410"/>
        <v>0</v>
      </c>
      <c r="T912" s="113">
        <f t="shared" si="410"/>
        <v>0</v>
      </c>
      <c r="U912" s="113">
        <f t="shared" si="410"/>
        <v>0</v>
      </c>
      <c r="V912" s="113">
        <f t="shared" si="410"/>
        <v>0</v>
      </c>
      <c r="W912" s="113">
        <f t="shared" si="410"/>
        <v>0</v>
      </c>
      <c r="X912" s="113">
        <f t="shared" si="410"/>
        <v>0</v>
      </c>
      <c r="Y912" s="113">
        <f t="shared" si="410"/>
        <v>0</v>
      </c>
      <c r="Z912" s="113">
        <f t="shared" si="410"/>
        <v>0</v>
      </c>
      <c r="AA912" s="81">
        <f>ROUND(SUM(G912:Z912),2)</f>
        <v>0</v>
      </c>
      <c r="AB912" s="94" t="str">
        <f>IF(ABS(F912-AA912)&lt;0.01,"ok","err")</f>
        <v>ok</v>
      </c>
    </row>
    <row r="913" spans="1:28" s="61" customFormat="1" x14ac:dyDescent="0.25">
      <c r="A913" s="69"/>
      <c r="F913" s="80"/>
      <c r="G913" s="77"/>
      <c r="H913" s="77"/>
      <c r="I913" s="77"/>
      <c r="J913" s="77"/>
      <c r="K913" s="77"/>
      <c r="L913" s="77"/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7"/>
      <c r="X913" s="77"/>
      <c r="Y913" s="77"/>
      <c r="Z913" s="77"/>
      <c r="AA913" s="81"/>
      <c r="AB913" s="94"/>
    </row>
    <row r="914" spans="1:28" s="61" customFormat="1" x14ac:dyDescent="0.25">
      <c r="A914" s="61" t="s">
        <v>138</v>
      </c>
      <c r="F914" s="81">
        <f t="shared" ref="F914:Z914" si="411">SUM(F908:F913)</f>
        <v>905585926.0025624</v>
      </c>
      <c r="G914" s="81">
        <f>SUM(G908:G913)</f>
        <v>391413723.71375722</v>
      </c>
      <c r="H914" s="81">
        <f t="shared" si="411"/>
        <v>118462563.85495073</v>
      </c>
      <c r="I914" s="81">
        <f t="shared" si="411"/>
        <v>0</v>
      </c>
      <c r="J914" s="81">
        <f t="shared" si="411"/>
        <v>10454784.491525002</v>
      </c>
      <c r="K914" s="81">
        <f t="shared" si="411"/>
        <v>135312191.91702792</v>
      </c>
      <c r="L914" s="81">
        <f t="shared" si="411"/>
        <v>0</v>
      </c>
      <c r="M914" s="81">
        <f t="shared" si="411"/>
        <v>0</v>
      </c>
      <c r="N914" s="81">
        <f t="shared" si="411"/>
        <v>119712951.6210154</v>
      </c>
      <c r="O914" s="81">
        <f>SUM(O908:O913)</f>
        <v>67045750.735550165</v>
      </c>
      <c r="P914" s="81">
        <f t="shared" si="411"/>
        <v>39486113.440924928</v>
      </c>
      <c r="Q914" s="81">
        <f t="shared" si="411"/>
        <v>6114987.0585415391</v>
      </c>
      <c r="R914" s="81">
        <f t="shared" si="411"/>
        <v>3331550.8942014948</v>
      </c>
      <c r="S914" s="81">
        <f t="shared" si="411"/>
        <v>13841758.147900593</v>
      </c>
      <c r="T914" s="81">
        <f t="shared" si="411"/>
        <v>179847.3828040401</v>
      </c>
      <c r="U914" s="81">
        <f t="shared" si="411"/>
        <v>229702.74436320213</v>
      </c>
      <c r="V914" s="81">
        <f t="shared" si="411"/>
        <v>0</v>
      </c>
      <c r="W914" s="81">
        <f t="shared" si="411"/>
        <v>0</v>
      </c>
      <c r="X914" s="81">
        <f t="shared" si="411"/>
        <v>0</v>
      </c>
      <c r="Y914" s="81">
        <f t="shared" si="411"/>
        <v>0</v>
      </c>
      <c r="Z914" s="81">
        <f t="shared" si="411"/>
        <v>0</v>
      </c>
      <c r="AA914" s="81">
        <f>ROUND(SUM(G914:Z914),2)</f>
        <v>905585926</v>
      </c>
      <c r="AB914" s="94" t="str">
        <f>IF(ABS(F914-AA914)&lt;0.01,"ok","err")</f>
        <v>ok</v>
      </c>
    </row>
    <row r="915" spans="1:28" s="61" customFormat="1" x14ac:dyDescent="0.25"/>
    <row r="916" spans="1:28" s="61" customFormat="1" x14ac:dyDescent="0.25">
      <c r="G916" s="81"/>
      <c r="H916" s="81"/>
      <c r="I916" s="81"/>
    </row>
    <row r="917" spans="1:28" s="61" customFormat="1" x14ac:dyDescent="0.25">
      <c r="A917" s="66" t="s">
        <v>915</v>
      </c>
      <c r="F917" s="81">
        <f t="shared" ref="F917:Z917" si="412">F903-F914</f>
        <v>139066117.9974376</v>
      </c>
      <c r="G917" s="81">
        <f>G903-G914</f>
        <v>40784231.578590453</v>
      </c>
      <c r="H917" s="81">
        <f t="shared" si="412"/>
        <v>29350830.273523241</v>
      </c>
      <c r="I917" s="81">
        <f t="shared" si="412"/>
        <v>0</v>
      </c>
      <c r="J917" s="81">
        <f t="shared" si="412"/>
        <v>1832067.6008700188</v>
      </c>
      <c r="K917" s="81">
        <f t="shared" si="412"/>
        <v>30535553.89455086</v>
      </c>
      <c r="L917" s="81">
        <f t="shared" si="412"/>
        <v>0</v>
      </c>
      <c r="M917" s="81">
        <f t="shared" si="412"/>
        <v>0</v>
      </c>
      <c r="N917" s="81">
        <f t="shared" si="412"/>
        <v>15873064.6940054</v>
      </c>
      <c r="O917" s="81">
        <f>O903-O914</f>
        <v>11420062.304775119</v>
      </c>
      <c r="P917" s="81">
        <f t="shared" si="412"/>
        <v>4655776.5006829351</v>
      </c>
      <c r="Q917" s="81">
        <f t="shared" si="412"/>
        <v>279262.31889444031</v>
      </c>
      <c r="R917" s="81">
        <f t="shared" si="412"/>
        <v>170295.39608782297</v>
      </c>
      <c r="S917" s="81">
        <f t="shared" si="412"/>
        <v>4079639.6891435981</v>
      </c>
      <c r="T917" s="81">
        <f t="shared" si="412"/>
        <v>34372.12447978303</v>
      </c>
      <c r="U917" s="81">
        <f t="shared" si="412"/>
        <v>50961.621834041434</v>
      </c>
      <c r="V917" s="81">
        <f t="shared" si="412"/>
        <v>0</v>
      </c>
      <c r="W917" s="81">
        <f t="shared" si="412"/>
        <v>0</v>
      </c>
      <c r="X917" s="81">
        <f t="shared" si="412"/>
        <v>0</v>
      </c>
      <c r="Y917" s="81">
        <f t="shared" si="412"/>
        <v>0</v>
      </c>
      <c r="Z917" s="81">
        <f t="shared" si="412"/>
        <v>0</v>
      </c>
      <c r="AA917" s="81">
        <f>ROUND(SUM(G917:Z917),2)</f>
        <v>139066118</v>
      </c>
      <c r="AB917" s="94" t="str">
        <f>IF(ABS(F917-AA917)&lt;0.01,"ok","err")</f>
        <v>ok</v>
      </c>
    </row>
    <row r="918" spans="1:28" s="61" customFormat="1" x14ac:dyDescent="0.25"/>
    <row r="919" spans="1:28" s="61" customFormat="1" x14ac:dyDescent="0.25">
      <c r="A919" s="66" t="s">
        <v>1125</v>
      </c>
      <c r="F919" s="81">
        <f t="shared" ref="F919:Z919" si="413">F843</f>
        <v>2250031689.5289073</v>
      </c>
      <c r="G919" s="81">
        <f t="shared" si="413"/>
        <v>1225741672.3782828</v>
      </c>
      <c r="H919" s="81">
        <f t="shared" si="413"/>
        <v>272051302.68880898</v>
      </c>
      <c r="I919" s="81">
        <f t="shared" si="413"/>
        <v>0</v>
      </c>
      <c r="J919" s="81">
        <f t="shared" si="413"/>
        <v>20130039.304534759</v>
      </c>
      <c r="K919" s="81">
        <f t="shared" si="413"/>
        <v>260999577.51330796</v>
      </c>
      <c r="L919" s="81">
        <f t="shared" si="413"/>
        <v>0</v>
      </c>
      <c r="M919" s="81">
        <f t="shared" si="413"/>
        <v>0</v>
      </c>
      <c r="N919" s="81">
        <f t="shared" si="413"/>
        <v>211458478.97557414</v>
      </c>
      <c r="O919" s="81">
        <f t="shared" si="413"/>
        <v>128875799.74577057</v>
      </c>
      <c r="P919" s="81">
        <f t="shared" si="413"/>
        <v>46217422.218736798</v>
      </c>
      <c r="Q919" s="81">
        <f t="shared" si="413"/>
        <v>11105016.673919467</v>
      </c>
      <c r="R919" s="81">
        <f t="shared" si="413"/>
        <v>6961566.9375586044</v>
      </c>
      <c r="S919" s="81">
        <f t="shared" si="413"/>
        <v>65992175.425948963</v>
      </c>
      <c r="T919" s="81">
        <f t="shared" si="413"/>
        <v>129178.36717412261</v>
      </c>
      <c r="U919" s="81">
        <f t="shared" si="413"/>
        <v>369459.29929092026</v>
      </c>
      <c r="V919" s="81">
        <f t="shared" si="413"/>
        <v>0</v>
      </c>
      <c r="W919" s="81">
        <f t="shared" si="413"/>
        <v>0</v>
      </c>
      <c r="X919" s="81">
        <f t="shared" si="413"/>
        <v>0</v>
      </c>
      <c r="Y919" s="81">
        <f t="shared" si="413"/>
        <v>0</v>
      </c>
      <c r="Z919" s="81">
        <f t="shared" si="413"/>
        <v>0</v>
      </c>
      <c r="AA919" s="81">
        <f>ROUND(SUM(G919:Z919),2)</f>
        <v>2250031689.5300002</v>
      </c>
      <c r="AB919" s="94" t="str">
        <f>IF(ABS(F919-AA919)&lt;0.01,"ok","err")</f>
        <v>ok</v>
      </c>
    </row>
    <row r="920" spans="1:28" s="61" customFormat="1" ht="14.4" thickBot="1" x14ac:dyDescent="0.3"/>
    <row r="921" spans="1:28" s="61" customFormat="1" ht="14.4" thickBot="1" x14ac:dyDescent="0.3">
      <c r="A921" s="328" t="s">
        <v>1143</v>
      </c>
      <c r="B921" s="154"/>
      <c r="C921" s="154"/>
      <c r="D921" s="154"/>
      <c r="E921" s="154"/>
      <c r="F921" s="155">
        <f t="shared" ref="F921:P921" si="414">F917/F919</f>
        <v>6.1806293060056451E-2</v>
      </c>
      <c r="G921" s="155">
        <f t="shared" si="414"/>
        <v>3.3273105171873284E-2</v>
      </c>
      <c r="H921" s="155">
        <f t="shared" si="414"/>
        <v>0.10788711534712533</v>
      </c>
      <c r="I921" s="155" t="e">
        <f t="shared" si="414"/>
        <v>#DIV/0!</v>
      </c>
      <c r="J921" s="155">
        <f t="shared" si="414"/>
        <v>9.1011625618500555E-2</v>
      </c>
      <c r="K921" s="155">
        <f t="shared" si="414"/>
        <v>0.11699464874801914</v>
      </c>
      <c r="L921" s="155" t="e">
        <f t="shared" si="414"/>
        <v>#DIV/0!</v>
      </c>
      <c r="M921" s="155" t="e">
        <f t="shared" si="414"/>
        <v>#DIV/0!</v>
      </c>
      <c r="N921" s="155">
        <f t="shared" si="414"/>
        <v>7.5064687738716399E-2</v>
      </c>
      <c r="O921" s="155">
        <f>O917/O919</f>
        <v>8.8612930645653676E-2</v>
      </c>
      <c r="P921" s="155">
        <f t="shared" si="414"/>
        <v>0.10073639500377539</v>
      </c>
      <c r="Q921" s="155">
        <f>Q917/Q919</f>
        <v>2.5147402034100312E-2</v>
      </c>
      <c r="R921" s="155">
        <f t="shared" ref="R921:Z921" si="415">R917/R919</f>
        <v>2.4462222027781713E-2</v>
      </c>
      <c r="S921" s="155">
        <f t="shared" si="415"/>
        <v>6.1820051586592067E-2</v>
      </c>
      <c r="T921" s="155">
        <f t="shared" si="415"/>
        <v>0.26608266718104606</v>
      </c>
      <c r="U921" s="155">
        <f t="shared" si="415"/>
        <v>0.13793568583020874</v>
      </c>
      <c r="V921" s="155" t="e">
        <f t="shared" si="415"/>
        <v>#DIV/0!</v>
      </c>
      <c r="W921" s="155" t="e">
        <f t="shared" si="415"/>
        <v>#DIV/0!</v>
      </c>
      <c r="X921" s="155" t="e">
        <f t="shared" si="415"/>
        <v>#DIV/0!</v>
      </c>
      <c r="Y921" s="155" t="e">
        <f t="shared" si="415"/>
        <v>#DIV/0!</v>
      </c>
      <c r="Z921" s="155" t="e">
        <f t="shared" si="415"/>
        <v>#DIV/0!</v>
      </c>
      <c r="AA921" s="143"/>
      <c r="AB921" s="143"/>
    </row>
    <row r="922" spans="1:28" s="61" customFormat="1" x14ac:dyDescent="0.25"/>
    <row r="923" spans="1:28" s="61" customFormat="1" x14ac:dyDescent="0.25"/>
    <row r="924" spans="1:28" s="61" customFormat="1" x14ac:dyDescent="0.25">
      <c r="A924" s="66" t="s">
        <v>1349</v>
      </c>
    </row>
    <row r="925" spans="1:28" s="61" customFormat="1" x14ac:dyDescent="0.25"/>
    <row r="926" spans="1:28" s="61" customFormat="1" x14ac:dyDescent="0.25">
      <c r="A926" s="66" t="s">
        <v>1135</v>
      </c>
    </row>
    <row r="927" spans="1:28" s="61" customFormat="1" x14ac:dyDescent="0.25"/>
    <row r="928" spans="1:28" s="61" customFormat="1" x14ac:dyDescent="0.25">
      <c r="A928" s="112" t="s">
        <v>1353</v>
      </c>
      <c r="F928" s="81">
        <f>F903</f>
        <v>1044652044</v>
      </c>
      <c r="G928" s="81">
        <f t="shared" ref="G928:Z928" si="416">G903</f>
        <v>432197955.29234767</v>
      </c>
      <c r="H928" s="81">
        <f t="shared" si="416"/>
        <v>147813394.12847397</v>
      </c>
      <c r="I928" s="81">
        <f t="shared" si="416"/>
        <v>0</v>
      </c>
      <c r="J928" s="81">
        <f t="shared" si="416"/>
        <v>12286852.092395021</v>
      </c>
      <c r="K928" s="81">
        <f t="shared" si="416"/>
        <v>165847745.81157878</v>
      </c>
      <c r="L928" s="81">
        <f t="shared" si="416"/>
        <v>0</v>
      </c>
      <c r="M928" s="81">
        <f t="shared" si="416"/>
        <v>0</v>
      </c>
      <c r="N928" s="81">
        <f t="shared" si="416"/>
        <v>135586016.3150208</v>
      </c>
      <c r="O928" s="81">
        <f t="shared" si="416"/>
        <v>78465813.040325284</v>
      </c>
      <c r="P928" s="81">
        <f t="shared" si="416"/>
        <v>44141889.941607863</v>
      </c>
      <c r="Q928" s="81">
        <f t="shared" si="416"/>
        <v>6394249.3774359794</v>
      </c>
      <c r="R928" s="81">
        <f t="shared" si="416"/>
        <v>3501846.2902893177</v>
      </c>
      <c r="S928" s="81">
        <f t="shared" si="416"/>
        <v>17921397.837044191</v>
      </c>
      <c r="T928" s="81">
        <f t="shared" si="416"/>
        <v>214219.50728382313</v>
      </c>
      <c r="U928" s="81">
        <f t="shared" si="416"/>
        <v>280664.36619724357</v>
      </c>
      <c r="V928" s="81">
        <f t="shared" si="416"/>
        <v>0</v>
      </c>
      <c r="W928" s="81">
        <f t="shared" si="416"/>
        <v>0</v>
      </c>
      <c r="X928" s="81">
        <f t="shared" si="416"/>
        <v>0</v>
      </c>
      <c r="Y928" s="81">
        <f t="shared" si="416"/>
        <v>0</v>
      </c>
      <c r="Z928" s="81">
        <f t="shared" si="416"/>
        <v>0</v>
      </c>
      <c r="AA928" s="81">
        <f>ROUND(SUM(G928:Z928),2)</f>
        <v>1044652044</v>
      </c>
      <c r="AB928" s="94" t="str">
        <f>IF(ABS(F928-AA928)&lt;0.01,"ok","err")</f>
        <v>ok</v>
      </c>
    </row>
    <row r="929" spans="1:28" s="61" customFormat="1" x14ac:dyDescent="0.25"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  <c r="AA929" s="81"/>
      <c r="AB929" s="94"/>
    </row>
    <row r="930" spans="1:28" s="61" customFormat="1" x14ac:dyDescent="0.25">
      <c r="A930" s="61" t="s">
        <v>136</v>
      </c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  <c r="AA930" s="81"/>
      <c r="AB930" s="94"/>
    </row>
    <row r="931" spans="1:28" s="61" customFormat="1" x14ac:dyDescent="0.25">
      <c r="A931" s="61" t="s">
        <v>921</v>
      </c>
      <c r="F931" s="77">
        <f>($F$921*F919-F917)/(1-$E$943)-SUM(F901:F902)</f>
        <v>0</v>
      </c>
      <c r="G931" s="273">
        <f>($F$921*G919-G917)/(1-$E$943)-SUM(G901:G902)</f>
        <v>55796599.61363174</v>
      </c>
      <c r="H931" s="273">
        <f t="shared" ref="H931:Z931" si="417">($F$921*H919-H917)/(1-$E$943)-SUM(H901:H902)</f>
        <v>-19999977.875827365</v>
      </c>
      <c r="I931" s="273">
        <f t="shared" si="417"/>
        <v>0</v>
      </c>
      <c r="J931" s="273">
        <f t="shared" si="417"/>
        <v>-937918.84928317403</v>
      </c>
      <c r="K931" s="273">
        <f t="shared" si="417"/>
        <v>-22979773.522506606</v>
      </c>
      <c r="L931" s="273">
        <f t="shared" si="417"/>
        <v>0</v>
      </c>
      <c r="M931" s="273">
        <f t="shared" si="417"/>
        <v>0</v>
      </c>
      <c r="N931" s="273">
        <f t="shared" si="417"/>
        <v>-4472749.0509005086</v>
      </c>
      <c r="O931" s="273">
        <f t="shared" si="417"/>
        <v>-5511530.32685157</v>
      </c>
      <c r="P931" s="273">
        <f t="shared" si="417"/>
        <v>-2870448.4059415194</v>
      </c>
      <c r="Q931" s="273">
        <f t="shared" si="417"/>
        <v>649466.90129078529</v>
      </c>
      <c r="R931" s="273">
        <f t="shared" si="417"/>
        <v>414750.72035593458</v>
      </c>
      <c r="S931" s="273">
        <f t="shared" si="417"/>
        <v>-1448.5145303095617</v>
      </c>
      <c r="T931" s="273">
        <f t="shared" si="417"/>
        <v>-42098.480090426921</v>
      </c>
      <c r="U931" s="273">
        <f t="shared" si="417"/>
        <v>-44872.209347094307</v>
      </c>
      <c r="V931" s="273">
        <f t="shared" si="417"/>
        <v>0</v>
      </c>
      <c r="W931" s="273">
        <f t="shared" si="417"/>
        <v>0</v>
      </c>
      <c r="X931" s="273">
        <f t="shared" si="417"/>
        <v>0</v>
      </c>
      <c r="Y931" s="273">
        <f t="shared" si="417"/>
        <v>0</v>
      </c>
      <c r="Z931" s="273">
        <f t="shared" si="417"/>
        <v>0</v>
      </c>
      <c r="AA931" s="81">
        <f>SUM(G931:Z931)</f>
        <v>-1.1296651791781187E-7</v>
      </c>
      <c r="AB931" s="94" t="str">
        <f>IF(ABS(F931-AA931)&lt;0.01,"ok","err")</f>
        <v>ok</v>
      </c>
    </row>
    <row r="932" spans="1:28" s="61" customFormat="1" x14ac:dyDescent="0.25">
      <c r="A932" s="61" t="s">
        <v>917</v>
      </c>
      <c r="E932" s="61" t="s">
        <v>183</v>
      </c>
      <c r="F932" s="77">
        <f>F901</f>
        <v>0</v>
      </c>
      <c r="G932" s="77">
        <f>G901</f>
        <v>0</v>
      </c>
      <c r="H932" s="77">
        <f t="shared" ref="H932:U932" si="418">H901</f>
        <v>0</v>
      </c>
      <c r="I932" s="77">
        <f t="shared" si="418"/>
        <v>0</v>
      </c>
      <c r="J932" s="77">
        <f t="shared" si="418"/>
        <v>0</v>
      </c>
      <c r="K932" s="77">
        <f t="shared" si="418"/>
        <v>0</v>
      </c>
      <c r="L932" s="77">
        <f t="shared" si="418"/>
        <v>0</v>
      </c>
      <c r="M932" s="77">
        <f t="shared" si="418"/>
        <v>0</v>
      </c>
      <c r="N932" s="77">
        <f t="shared" si="418"/>
        <v>0</v>
      </c>
      <c r="O932" s="77">
        <f>O901</f>
        <v>0</v>
      </c>
      <c r="P932" s="77">
        <f t="shared" si="418"/>
        <v>0</v>
      </c>
      <c r="Q932" s="77">
        <f t="shared" si="418"/>
        <v>0</v>
      </c>
      <c r="R932" s="77">
        <f t="shared" si="418"/>
        <v>0</v>
      </c>
      <c r="S932" s="77">
        <f t="shared" si="418"/>
        <v>0</v>
      </c>
      <c r="T932" s="77">
        <f t="shared" si="418"/>
        <v>0</v>
      </c>
      <c r="U932" s="77">
        <f t="shared" si="418"/>
        <v>0</v>
      </c>
      <c r="V932" s="77">
        <f>IF(VLOOKUP($E932,$D$6:$AN$1141,3,)=0,0,(VLOOKUP($E932,$D$6:$AN$1141,V$2,)/VLOOKUP($E932,$D$6:$AN$1141,3,))*$F932)</f>
        <v>0</v>
      </c>
      <c r="W932" s="77">
        <f>IF(VLOOKUP($E932,$D$6:$AN$1141,3,)=0,0,(VLOOKUP($E932,$D$6:$AN$1141,W$2,)/VLOOKUP($E932,$D$6:$AN$1141,3,))*$F932)</f>
        <v>0</v>
      </c>
      <c r="X932" s="80">
        <f>IF(VLOOKUP($E932,$D$6:$AN$1141,3,)=0,0,(VLOOKUP($E932,$D$6:$AN$1141,X$2,)/VLOOKUP($E932,$D$6:$AN$1141,3,))*$F932)</f>
        <v>0</v>
      </c>
      <c r="Y932" s="80">
        <f>IF(VLOOKUP($E932,$D$6:$AN$1141,3,)=0,0,(VLOOKUP($E932,$D$6:$AN$1141,Y$2,)/VLOOKUP($E932,$D$6:$AN$1141,3,))*$F932)</f>
        <v>0</v>
      </c>
      <c r="Z932" s="80">
        <f>IF(VLOOKUP($E932,$D$6:$AN$1141,3,)=0,0,(VLOOKUP($E932,$D$6:$AN$1141,Z$2,)/VLOOKUP($E932,$D$6:$AN$1141,3,))*$F932)</f>
        <v>0</v>
      </c>
      <c r="AA932" s="81">
        <f>SUM(G932:Z932)</f>
        <v>0</v>
      </c>
      <c r="AB932" s="94" t="str">
        <f>IF(ABS(F932-AA932)&lt;0.01,"ok","err")</f>
        <v>ok</v>
      </c>
    </row>
    <row r="933" spans="1:28" s="61" customFormat="1" x14ac:dyDescent="0.25"/>
    <row r="934" spans="1:28" s="61" customFormat="1" x14ac:dyDescent="0.25">
      <c r="A934" s="61" t="s">
        <v>137</v>
      </c>
      <c r="F934" s="81">
        <f>SUM(F928:F932)</f>
        <v>1044652044</v>
      </c>
      <c r="G934" s="81">
        <f t="shared" ref="G934:P934" si="419">SUM(G928:G932)</f>
        <v>487994554.90597939</v>
      </c>
      <c r="H934" s="81">
        <f t="shared" si="419"/>
        <v>127813416.2526466</v>
      </c>
      <c r="I934" s="81">
        <f t="shared" si="419"/>
        <v>0</v>
      </c>
      <c r="J934" s="81">
        <f t="shared" si="419"/>
        <v>11348933.243111847</v>
      </c>
      <c r="K934" s="81">
        <f t="shared" si="419"/>
        <v>142867972.28907219</v>
      </c>
      <c r="L934" s="81">
        <f t="shared" si="419"/>
        <v>0</v>
      </c>
      <c r="M934" s="81">
        <f t="shared" si="419"/>
        <v>0</v>
      </c>
      <c r="N934" s="81">
        <f t="shared" si="419"/>
        <v>131113267.2641203</v>
      </c>
      <c r="O934" s="81">
        <f>SUM(O928:O932)</f>
        <v>72954282.713473707</v>
      </c>
      <c r="P934" s="81">
        <f t="shared" si="419"/>
        <v>41271441.535666347</v>
      </c>
      <c r="Q934" s="81">
        <f>SUM(Q928:Q932)</f>
        <v>7043716.278726765</v>
      </c>
      <c r="R934" s="81">
        <f t="shared" ref="R934:Z934" si="420">SUM(R928:R932)</f>
        <v>3916597.0106452522</v>
      </c>
      <c r="S934" s="81">
        <f t="shared" si="420"/>
        <v>17919949.322513882</v>
      </c>
      <c r="T934" s="81">
        <f t="shared" si="420"/>
        <v>172121.02719339621</v>
      </c>
      <c r="U934" s="81">
        <f t="shared" si="420"/>
        <v>235792.15685014927</v>
      </c>
      <c r="V934" s="81">
        <f t="shared" si="420"/>
        <v>0</v>
      </c>
      <c r="W934" s="81">
        <f t="shared" si="420"/>
        <v>0</v>
      </c>
      <c r="X934" s="81">
        <f t="shared" si="420"/>
        <v>0</v>
      </c>
      <c r="Y934" s="81">
        <f t="shared" si="420"/>
        <v>0</v>
      </c>
      <c r="Z934" s="81">
        <f t="shared" si="420"/>
        <v>0</v>
      </c>
      <c r="AA934" s="81">
        <f>ROUND(SUM(G934:Z934),2)</f>
        <v>1044652044</v>
      </c>
      <c r="AB934" s="94" t="str">
        <f>IF(ABS(F934-AA934)&lt;0.01,"ok","err")</f>
        <v>ok</v>
      </c>
    </row>
    <row r="935" spans="1:28" s="61" customFormat="1" x14ac:dyDescent="0.25"/>
    <row r="936" spans="1:28" s="61" customFormat="1" x14ac:dyDescent="0.25"/>
    <row r="937" spans="1:28" s="61" customFormat="1" x14ac:dyDescent="0.25">
      <c r="A937" s="66" t="s">
        <v>1139</v>
      </c>
    </row>
    <row r="938" spans="1:28" s="61" customFormat="1" x14ac:dyDescent="0.25"/>
    <row r="939" spans="1:28" s="61" customFormat="1" x14ac:dyDescent="0.25">
      <c r="A939" s="61" t="s">
        <v>1142</v>
      </c>
      <c r="F939" s="81">
        <f>F908+F912</f>
        <v>902784323.01420605</v>
      </c>
      <c r="G939" s="81">
        <f t="shared" ref="G939:Z939" si="421">G908+G912</f>
        <v>390668430.23993433</v>
      </c>
      <c r="H939" s="81">
        <f t="shared" si="421"/>
        <v>117842709.44659914</v>
      </c>
      <c r="I939" s="81">
        <f t="shared" si="421"/>
        <v>0</v>
      </c>
      <c r="J939" s="81">
        <f t="shared" si="421"/>
        <v>10416563.670218231</v>
      </c>
      <c r="K939" s="81">
        <f t="shared" si="421"/>
        <v>134664225.35650334</v>
      </c>
      <c r="L939" s="81">
        <f t="shared" si="421"/>
        <v>0</v>
      </c>
      <c r="M939" s="81">
        <f t="shared" si="421"/>
        <v>0</v>
      </c>
      <c r="N939" s="81">
        <f t="shared" si="421"/>
        <v>119389984.94254033</v>
      </c>
      <c r="O939" s="81">
        <f t="shared" si="421"/>
        <v>66809128.076639012</v>
      </c>
      <c r="P939" s="81">
        <f t="shared" si="421"/>
        <v>39389651.132061489</v>
      </c>
      <c r="Q939" s="81">
        <f t="shared" si="421"/>
        <v>6107250.0112587763</v>
      </c>
      <c r="R939" s="81">
        <f t="shared" si="421"/>
        <v>3328767.5087409001</v>
      </c>
      <c r="S939" s="81">
        <f t="shared" si="421"/>
        <v>13759742.76626602</v>
      </c>
      <c r="T939" s="81">
        <f t="shared" si="421"/>
        <v>179182.28100149453</v>
      </c>
      <c r="U939" s="81">
        <f t="shared" si="421"/>
        <v>228687.58244281661</v>
      </c>
      <c r="V939" s="81">
        <f t="shared" si="421"/>
        <v>0</v>
      </c>
      <c r="W939" s="81">
        <f t="shared" si="421"/>
        <v>0</v>
      </c>
      <c r="X939" s="81">
        <f t="shared" si="421"/>
        <v>0</v>
      </c>
      <c r="Y939" s="81">
        <f t="shared" si="421"/>
        <v>0</v>
      </c>
      <c r="Z939" s="81">
        <f t="shared" si="421"/>
        <v>0</v>
      </c>
      <c r="AA939" s="81">
        <f>ROUND(SUM(G939:Z939),2)</f>
        <v>902784323.00999999</v>
      </c>
      <c r="AB939" s="94" t="str">
        <f>IF(ABS(F939-AA939)&lt;0.01,"ok","err")</f>
        <v>ok</v>
      </c>
    </row>
    <row r="940" spans="1:28" s="61" customFormat="1" x14ac:dyDescent="0.25"/>
    <row r="941" spans="1:28" s="61" customFormat="1" x14ac:dyDescent="0.25">
      <c r="A941" s="61" t="s">
        <v>719</v>
      </c>
      <c r="F941" s="113">
        <f>F910</f>
        <v>2801602.9883563295</v>
      </c>
      <c r="G941" s="113">
        <f t="shared" ref="G941:Z941" si="422">G910</f>
        <v>745293.47382287146</v>
      </c>
      <c r="H941" s="113">
        <f t="shared" si="422"/>
        <v>619854.40835159074</v>
      </c>
      <c r="I941" s="113">
        <f t="shared" si="422"/>
        <v>0</v>
      </c>
      <c r="J941" s="113">
        <f t="shared" si="422"/>
        <v>38220.821306771562</v>
      </c>
      <c r="K941" s="113">
        <f t="shared" si="422"/>
        <v>647966.56052457867</v>
      </c>
      <c r="L941" s="113">
        <f t="shared" si="422"/>
        <v>0</v>
      </c>
      <c r="M941" s="113">
        <f t="shared" si="422"/>
        <v>0</v>
      </c>
      <c r="N941" s="113">
        <f t="shared" si="422"/>
        <v>322966.67847506591</v>
      </c>
      <c r="O941" s="113">
        <f t="shared" si="422"/>
        <v>236622.6589111519</v>
      </c>
      <c r="P941" s="113">
        <f t="shared" si="422"/>
        <v>96462.308863440092</v>
      </c>
      <c r="Q941" s="113">
        <f t="shared" si="422"/>
        <v>7737.0472827626309</v>
      </c>
      <c r="R941" s="113">
        <f t="shared" si="422"/>
        <v>2783.3854605947581</v>
      </c>
      <c r="S941" s="113">
        <f t="shared" si="422"/>
        <v>82015.381634573452</v>
      </c>
      <c r="T941" s="113">
        <f t="shared" si="422"/>
        <v>665.1018025455694</v>
      </c>
      <c r="U941" s="113">
        <f t="shared" si="422"/>
        <v>1015.1619203855329</v>
      </c>
      <c r="V941" s="113">
        <f t="shared" si="422"/>
        <v>0</v>
      </c>
      <c r="W941" s="113">
        <f t="shared" si="422"/>
        <v>0</v>
      </c>
      <c r="X941" s="113">
        <f t="shared" si="422"/>
        <v>0</v>
      </c>
      <c r="Y941" s="113">
        <f t="shared" si="422"/>
        <v>0</v>
      </c>
      <c r="Z941" s="113">
        <f t="shared" si="422"/>
        <v>0</v>
      </c>
      <c r="AA941" s="81">
        <f>ROUND(SUM(G941:Z941),2)</f>
        <v>2801602.99</v>
      </c>
      <c r="AB941" s="94" t="str">
        <f>IF(ABS(F941-AA941)&lt;0.01,"ok","err")</f>
        <v>ok</v>
      </c>
    </row>
    <row r="942" spans="1:28" s="61" customFormat="1" x14ac:dyDescent="0.25">
      <c r="F942" s="113"/>
      <c r="G942" s="113"/>
      <c r="H942" s="113"/>
      <c r="I942" s="113"/>
      <c r="J942" s="113"/>
      <c r="K942" s="113"/>
      <c r="L942" s="113"/>
      <c r="M942" s="113"/>
      <c r="N942" s="113"/>
      <c r="O942" s="113"/>
      <c r="P942" s="113"/>
      <c r="Q942" s="113"/>
      <c r="R942" s="113"/>
      <c r="S942" s="113"/>
      <c r="T942" s="113"/>
      <c r="U942" s="113"/>
      <c r="V942" s="113"/>
      <c r="W942" s="113"/>
      <c r="X942" s="113"/>
      <c r="Y942" s="113"/>
      <c r="Z942" s="113"/>
      <c r="AA942" s="81"/>
      <c r="AB942" s="94"/>
    </row>
    <row r="943" spans="1:28" s="61" customFormat="1" x14ac:dyDescent="0.25">
      <c r="A943" s="61" t="s">
        <v>720</v>
      </c>
      <c r="E943" s="61">
        <f>E877</f>
        <v>0.37318192</v>
      </c>
      <c r="F943" s="113">
        <f>(F931+F932)*$E$943</f>
        <v>0</v>
      </c>
      <c r="G943" s="113">
        <f>(G931+G932)*$E$943</f>
        <v>20822282.173286352</v>
      </c>
      <c r="H943" s="113">
        <f t="shared" ref="H943:Y943" si="423">(H931+H932)*$E$943</f>
        <v>-7463630.1436587777</v>
      </c>
      <c r="I943" s="113">
        <f t="shared" si="423"/>
        <v>0</v>
      </c>
      <c r="J943" s="113">
        <f t="shared" si="423"/>
        <v>-350014.35697968549</v>
      </c>
      <c r="K943" s="113">
        <f t="shared" si="423"/>
        <v>-8575636.0042941775</v>
      </c>
      <c r="L943" s="113">
        <f t="shared" si="423"/>
        <v>0</v>
      </c>
      <c r="M943" s="113">
        <f t="shared" si="423"/>
        <v>0</v>
      </c>
      <c r="N943" s="113">
        <f t="shared" si="423"/>
        <v>-1669149.0784932296</v>
      </c>
      <c r="O943" s="113">
        <f t="shared" si="423"/>
        <v>-2056803.4695126964</v>
      </c>
      <c r="P943" s="113">
        <f t="shared" si="423"/>
        <v>-1071199.4473901957</v>
      </c>
      <c r="Q943" s="113">
        <f t="shared" si="423"/>
        <v>242369.30520014573</v>
      </c>
      <c r="R943" s="113">
        <f t="shared" si="423"/>
        <v>154777.47014381076</v>
      </c>
      <c r="S943" s="113">
        <f t="shared" si="423"/>
        <v>-540.5594335688204</v>
      </c>
      <c r="T943" s="113">
        <f t="shared" si="423"/>
        <v>-15710.391629227292</v>
      </c>
      <c r="U943" s="113">
        <f t="shared" si="423"/>
        <v>-16745.497238790602</v>
      </c>
      <c r="V943" s="113">
        <f t="shared" si="423"/>
        <v>0</v>
      </c>
      <c r="W943" s="113">
        <f t="shared" si="423"/>
        <v>0</v>
      </c>
      <c r="X943" s="113">
        <f t="shared" si="423"/>
        <v>0</v>
      </c>
      <c r="Y943" s="113">
        <f t="shared" si="423"/>
        <v>0</v>
      </c>
      <c r="Z943" s="113">
        <f>(Z931+Z932)*$E$943</f>
        <v>0</v>
      </c>
      <c r="AA943" s="81">
        <f>ROUND(SUM(G943:Z943),2)</f>
        <v>0</v>
      </c>
      <c r="AB943" s="94" t="str">
        <f>IF(ABS(F943-AA943)&lt;0.01,"ok","err")</f>
        <v>ok</v>
      </c>
    </row>
    <row r="944" spans="1:28" s="61" customFormat="1" x14ac:dyDescent="0.25">
      <c r="A944" s="69"/>
      <c r="F944" s="80"/>
      <c r="G944" s="77"/>
      <c r="H944" s="77"/>
      <c r="I944" s="77"/>
      <c r="J944" s="77"/>
      <c r="K944" s="77"/>
      <c r="L944" s="77"/>
      <c r="M944" s="77"/>
      <c r="N944" s="77"/>
      <c r="O944" s="77"/>
      <c r="P944" s="77"/>
      <c r="Q944" s="77"/>
      <c r="R944" s="77"/>
      <c r="S944" s="77"/>
      <c r="T944" s="77"/>
      <c r="U944" s="77"/>
      <c r="V944" s="77"/>
      <c r="W944" s="77"/>
      <c r="X944" s="77"/>
      <c r="Y944" s="77"/>
      <c r="Z944" s="77"/>
      <c r="AA944" s="81"/>
      <c r="AB944" s="94"/>
    </row>
    <row r="945" spans="1:28" s="61" customFormat="1" x14ac:dyDescent="0.25">
      <c r="A945" s="61" t="s">
        <v>138</v>
      </c>
      <c r="F945" s="81">
        <f t="shared" ref="F945:Z945" si="424">SUM(F939:F944)</f>
        <v>905585926.0025624</v>
      </c>
      <c r="G945" s="81">
        <f t="shared" si="424"/>
        <v>412236005.8870436</v>
      </c>
      <c r="H945" s="81">
        <f t="shared" si="424"/>
        <v>110998933.71129195</v>
      </c>
      <c r="I945" s="81">
        <f t="shared" si="424"/>
        <v>0</v>
      </c>
      <c r="J945" s="81">
        <f t="shared" si="424"/>
        <v>10104770.134545317</v>
      </c>
      <c r="K945" s="81">
        <f t="shared" si="424"/>
        <v>126736555.91273375</v>
      </c>
      <c r="L945" s="81">
        <f t="shared" si="424"/>
        <v>0</v>
      </c>
      <c r="M945" s="81">
        <f t="shared" si="424"/>
        <v>0</v>
      </c>
      <c r="N945" s="81">
        <f t="shared" si="424"/>
        <v>118043802.54252218</v>
      </c>
      <c r="O945" s="81">
        <f>SUM(O939:O944)</f>
        <v>64988947.266037472</v>
      </c>
      <c r="P945" s="81">
        <f t="shared" si="424"/>
        <v>38414913.993534729</v>
      </c>
      <c r="Q945" s="81">
        <f t="shared" si="424"/>
        <v>6357356.3637416847</v>
      </c>
      <c r="R945" s="81">
        <f t="shared" si="424"/>
        <v>3486328.3643453056</v>
      </c>
      <c r="S945" s="81">
        <f t="shared" si="424"/>
        <v>13841217.588467024</v>
      </c>
      <c r="T945" s="81">
        <f t="shared" si="424"/>
        <v>164136.99117481281</v>
      </c>
      <c r="U945" s="81">
        <f t="shared" si="424"/>
        <v>212957.24712441151</v>
      </c>
      <c r="V945" s="81">
        <f t="shared" si="424"/>
        <v>0</v>
      </c>
      <c r="W945" s="81">
        <f t="shared" si="424"/>
        <v>0</v>
      </c>
      <c r="X945" s="81">
        <f t="shared" si="424"/>
        <v>0</v>
      </c>
      <c r="Y945" s="81">
        <f t="shared" si="424"/>
        <v>0</v>
      </c>
      <c r="Z945" s="81">
        <f t="shared" si="424"/>
        <v>0</v>
      </c>
      <c r="AA945" s="81">
        <f>ROUND(SUM(G945:Z945),2)</f>
        <v>905585926</v>
      </c>
      <c r="AB945" s="94" t="str">
        <f>IF(ABS(F945-AA945)&lt;0.01,"ok","err")</f>
        <v>ok</v>
      </c>
    </row>
    <row r="946" spans="1:28" s="61" customFormat="1" x14ac:dyDescent="0.25"/>
    <row r="947" spans="1:28" s="61" customFormat="1" x14ac:dyDescent="0.25"/>
    <row r="948" spans="1:28" s="61" customFormat="1" x14ac:dyDescent="0.25">
      <c r="A948" s="66" t="s">
        <v>915</v>
      </c>
      <c r="F948" s="81">
        <f t="shared" ref="F948:Z948" si="425">F934-F945</f>
        <v>139066117.9974376</v>
      </c>
      <c r="G948" s="81">
        <f t="shared" si="425"/>
        <v>75758549.0189358</v>
      </c>
      <c r="H948" s="81">
        <f t="shared" si="425"/>
        <v>16814482.541354641</v>
      </c>
      <c r="I948" s="81">
        <f t="shared" si="425"/>
        <v>0</v>
      </c>
      <c r="J948" s="81">
        <f t="shared" si="425"/>
        <v>1244163.10856653</v>
      </c>
      <c r="K948" s="81">
        <f t="shared" si="425"/>
        <v>16131416.376338437</v>
      </c>
      <c r="L948" s="81">
        <f t="shared" si="425"/>
        <v>0</v>
      </c>
      <c r="M948" s="81">
        <f t="shared" si="425"/>
        <v>0</v>
      </c>
      <c r="N948" s="81">
        <f t="shared" si="425"/>
        <v>13069464.721598119</v>
      </c>
      <c r="O948" s="81">
        <f>O934-O945</f>
        <v>7965335.4474362358</v>
      </c>
      <c r="P948" s="81">
        <f t="shared" si="425"/>
        <v>2856527.5421316177</v>
      </c>
      <c r="Q948" s="81">
        <f t="shared" si="425"/>
        <v>686359.91498508025</v>
      </c>
      <c r="R948" s="81">
        <f t="shared" si="425"/>
        <v>430268.64629994659</v>
      </c>
      <c r="S948" s="81">
        <f t="shared" si="425"/>
        <v>4078731.7340468578</v>
      </c>
      <c r="T948" s="81">
        <f t="shared" si="425"/>
        <v>7984.0360185833997</v>
      </c>
      <c r="U948" s="81">
        <f t="shared" si="425"/>
        <v>22834.909725737758</v>
      </c>
      <c r="V948" s="81">
        <f t="shared" si="425"/>
        <v>0</v>
      </c>
      <c r="W948" s="81">
        <f t="shared" si="425"/>
        <v>0</v>
      </c>
      <c r="X948" s="81">
        <f t="shared" si="425"/>
        <v>0</v>
      </c>
      <c r="Y948" s="81">
        <f t="shared" si="425"/>
        <v>0</v>
      </c>
      <c r="Z948" s="81">
        <f t="shared" si="425"/>
        <v>0</v>
      </c>
      <c r="AA948" s="81">
        <f>ROUND(SUM(G948:Z948),2)</f>
        <v>139066118</v>
      </c>
      <c r="AB948" s="94" t="str">
        <f>IF(ABS(F948-AA948)&lt;0.01,"ok","err")</f>
        <v>ok</v>
      </c>
    </row>
    <row r="949" spans="1:28" s="61" customFormat="1" x14ac:dyDescent="0.25"/>
    <row r="950" spans="1:28" s="61" customFormat="1" x14ac:dyDescent="0.25">
      <c r="A950" s="66" t="s">
        <v>1125</v>
      </c>
      <c r="F950" s="81">
        <f>F919</f>
        <v>2250031689.5289073</v>
      </c>
      <c r="G950" s="81">
        <f t="shared" ref="G950:W950" si="426">G919</f>
        <v>1225741672.3782828</v>
      </c>
      <c r="H950" s="81">
        <f t="shared" si="426"/>
        <v>272051302.68880898</v>
      </c>
      <c r="I950" s="81">
        <f t="shared" si="426"/>
        <v>0</v>
      </c>
      <c r="J950" s="81">
        <f t="shared" si="426"/>
        <v>20130039.304534759</v>
      </c>
      <c r="K950" s="81">
        <f t="shared" si="426"/>
        <v>260999577.51330796</v>
      </c>
      <c r="L950" s="81">
        <f t="shared" si="426"/>
        <v>0</v>
      </c>
      <c r="M950" s="81">
        <f t="shared" si="426"/>
        <v>0</v>
      </c>
      <c r="N950" s="81">
        <f t="shared" si="426"/>
        <v>211458478.97557414</v>
      </c>
      <c r="O950" s="81">
        <f>O919</f>
        <v>128875799.74577057</v>
      </c>
      <c r="P950" s="81">
        <f t="shared" si="426"/>
        <v>46217422.218736798</v>
      </c>
      <c r="Q950" s="81">
        <f t="shared" si="426"/>
        <v>11105016.673919467</v>
      </c>
      <c r="R950" s="81">
        <f t="shared" si="426"/>
        <v>6961566.9375586044</v>
      </c>
      <c r="S950" s="81">
        <f t="shared" si="426"/>
        <v>65992175.425948963</v>
      </c>
      <c r="T950" s="81">
        <f t="shared" si="426"/>
        <v>129178.36717412261</v>
      </c>
      <c r="U950" s="81">
        <f t="shared" si="426"/>
        <v>369459.29929092026</v>
      </c>
      <c r="V950" s="81">
        <f t="shared" si="426"/>
        <v>0</v>
      </c>
      <c r="W950" s="81">
        <f t="shared" si="426"/>
        <v>0</v>
      </c>
      <c r="X950" s="81">
        <f>X797</f>
        <v>0</v>
      </c>
      <c r="Y950" s="81">
        <f>Y797</f>
        <v>0</v>
      </c>
      <c r="Z950" s="81">
        <f>Z797</f>
        <v>0</v>
      </c>
      <c r="AA950" s="81">
        <f>ROUND(SUM(G950:Z950),2)</f>
        <v>2250031689.5300002</v>
      </c>
      <c r="AB950" s="94" t="str">
        <f>IF(ABS(F950-AA950)&lt;0.01,"ok","err")</f>
        <v>ok</v>
      </c>
    </row>
    <row r="951" spans="1:28" s="61" customFormat="1" ht="14.4" thickBot="1" x14ac:dyDescent="0.3"/>
    <row r="952" spans="1:28" s="61" customFormat="1" ht="14.4" thickBot="1" x14ac:dyDescent="0.3">
      <c r="A952" s="328" t="s">
        <v>1143</v>
      </c>
      <c r="B952" s="154"/>
      <c r="C952" s="154"/>
      <c r="D952" s="154"/>
      <c r="E952" s="154"/>
      <c r="F952" s="155">
        <f t="shared" ref="F952:P952" si="427">F948/F950</f>
        <v>6.1806293060056451E-2</v>
      </c>
      <c r="G952" s="155">
        <f t="shared" si="427"/>
        <v>6.1806293060056409E-2</v>
      </c>
      <c r="H952" s="155">
        <f t="shared" si="427"/>
        <v>6.1806293060056416E-2</v>
      </c>
      <c r="I952" s="155" t="e">
        <f t="shared" si="427"/>
        <v>#DIV/0!</v>
      </c>
      <c r="J952" s="155">
        <f t="shared" si="427"/>
        <v>6.1806293060056437E-2</v>
      </c>
      <c r="K952" s="155">
        <f t="shared" si="427"/>
        <v>6.1806293060056472E-2</v>
      </c>
      <c r="L952" s="155" t="e">
        <f t="shared" si="427"/>
        <v>#DIV/0!</v>
      </c>
      <c r="M952" s="155" t="e">
        <f t="shared" si="427"/>
        <v>#DIV/0!</v>
      </c>
      <c r="N952" s="155">
        <f t="shared" si="427"/>
        <v>6.1806293060056444E-2</v>
      </c>
      <c r="O952" s="155">
        <f>O948/O950</f>
        <v>6.1806293060056382E-2</v>
      </c>
      <c r="P952" s="155">
        <f t="shared" si="427"/>
        <v>6.1806293060056597E-2</v>
      </c>
      <c r="Q952" s="155">
        <f>Q948/Q950</f>
        <v>6.1806293060056479E-2</v>
      </c>
      <c r="R952" s="155">
        <f t="shared" ref="R952:Z952" si="428">R948/R950</f>
        <v>6.1806293060056416E-2</v>
      </c>
      <c r="S952" s="155">
        <f t="shared" si="428"/>
        <v>6.1806293060056458E-2</v>
      </c>
      <c r="T952" s="155">
        <f t="shared" si="428"/>
        <v>6.1806293060056458E-2</v>
      </c>
      <c r="U952" s="155">
        <f t="shared" si="428"/>
        <v>6.1806293060056541E-2</v>
      </c>
      <c r="V952" s="155" t="e">
        <f t="shared" si="428"/>
        <v>#DIV/0!</v>
      </c>
      <c r="W952" s="155" t="e">
        <f t="shared" si="428"/>
        <v>#DIV/0!</v>
      </c>
      <c r="X952" s="155" t="e">
        <f t="shared" si="428"/>
        <v>#DIV/0!</v>
      </c>
      <c r="Y952" s="155" t="e">
        <f t="shared" si="428"/>
        <v>#DIV/0!</v>
      </c>
      <c r="Z952" s="155" t="e">
        <f t="shared" si="428"/>
        <v>#DIV/0!</v>
      </c>
      <c r="AA952" s="143"/>
      <c r="AB952" s="143"/>
    </row>
    <row r="953" spans="1:28" s="61" customFormat="1" x14ac:dyDescent="0.25"/>
    <row r="954" spans="1:28" s="61" customFormat="1" x14ac:dyDescent="0.25"/>
    <row r="955" spans="1:28" s="61" customFormat="1" x14ac:dyDescent="0.25"/>
    <row r="956" spans="1:28" s="61" customFormat="1" x14ac:dyDescent="0.25">
      <c r="A956" s="66" t="s">
        <v>918</v>
      </c>
      <c r="B956" s="66"/>
      <c r="F956" s="77">
        <f>F934</f>
        <v>1044652044</v>
      </c>
      <c r="G956" s="77">
        <f t="shared" ref="G956:U956" si="429">G934</f>
        <v>487994554.90597939</v>
      </c>
      <c r="H956" s="77">
        <f t="shared" si="429"/>
        <v>127813416.2526466</v>
      </c>
      <c r="I956" s="77">
        <f t="shared" si="429"/>
        <v>0</v>
      </c>
      <c r="J956" s="77">
        <f t="shared" si="429"/>
        <v>11348933.243111847</v>
      </c>
      <c r="K956" s="77">
        <f t="shared" si="429"/>
        <v>142867972.28907219</v>
      </c>
      <c r="L956" s="77">
        <f t="shared" si="429"/>
        <v>0</v>
      </c>
      <c r="M956" s="77">
        <f t="shared" si="429"/>
        <v>0</v>
      </c>
      <c r="N956" s="77">
        <f t="shared" si="429"/>
        <v>131113267.2641203</v>
      </c>
      <c r="O956" s="77">
        <f t="shared" si="429"/>
        <v>72954282.713473707</v>
      </c>
      <c r="P956" s="77">
        <f t="shared" si="429"/>
        <v>41271441.535666347</v>
      </c>
      <c r="Q956" s="77">
        <f t="shared" si="429"/>
        <v>7043716.278726765</v>
      </c>
      <c r="R956" s="77">
        <f t="shared" si="429"/>
        <v>3916597.0106452522</v>
      </c>
      <c r="S956" s="77">
        <f t="shared" si="429"/>
        <v>17919949.322513882</v>
      </c>
      <c r="T956" s="77">
        <f t="shared" si="429"/>
        <v>172121.02719339621</v>
      </c>
      <c r="U956" s="77">
        <f t="shared" si="429"/>
        <v>235792.15685014927</v>
      </c>
      <c r="V956" s="61">
        <v>1</v>
      </c>
      <c r="W956" s="61">
        <v>1</v>
      </c>
      <c r="Z956" s="81">
        <f>ROUND(SUM(G957:Z957),2)</f>
        <v>0</v>
      </c>
      <c r="AA956" s="81"/>
      <c r="AB956" s="94"/>
    </row>
    <row r="957" spans="1:28" s="61" customFormat="1" x14ac:dyDescent="0.25">
      <c r="A957" s="66"/>
      <c r="B957" s="66"/>
    </row>
    <row r="958" spans="1:28" s="61" customFormat="1" x14ac:dyDescent="0.25">
      <c r="A958" s="66" t="s">
        <v>919</v>
      </c>
      <c r="B958" s="66"/>
      <c r="F958" s="81">
        <f>F931</f>
        <v>0</v>
      </c>
      <c r="G958" s="81">
        <f>G931</f>
        <v>55796599.61363174</v>
      </c>
      <c r="H958" s="81">
        <f t="shared" ref="H958:Z958" si="430">H931</f>
        <v>-19999977.875827365</v>
      </c>
      <c r="I958" s="81">
        <f t="shared" si="430"/>
        <v>0</v>
      </c>
      <c r="J958" s="81">
        <f t="shared" si="430"/>
        <v>-937918.84928317403</v>
      </c>
      <c r="K958" s="81">
        <f t="shared" si="430"/>
        <v>-22979773.522506606</v>
      </c>
      <c r="L958" s="81">
        <f t="shared" si="430"/>
        <v>0</v>
      </c>
      <c r="M958" s="81">
        <f t="shared" si="430"/>
        <v>0</v>
      </c>
      <c r="N958" s="81">
        <f t="shared" si="430"/>
        <v>-4472749.0509005086</v>
      </c>
      <c r="O958" s="81">
        <f>O931</f>
        <v>-5511530.32685157</v>
      </c>
      <c r="P958" s="81">
        <f t="shared" si="430"/>
        <v>-2870448.4059415194</v>
      </c>
      <c r="Q958" s="81">
        <f t="shared" si="430"/>
        <v>649466.90129078529</v>
      </c>
      <c r="R958" s="81">
        <f t="shared" si="430"/>
        <v>414750.72035593458</v>
      </c>
      <c r="S958" s="81">
        <f t="shared" si="430"/>
        <v>-1448.5145303095617</v>
      </c>
      <c r="T958" s="81">
        <f t="shared" si="430"/>
        <v>-42098.480090426921</v>
      </c>
      <c r="U958" s="81">
        <f t="shared" si="430"/>
        <v>-44872.209347094307</v>
      </c>
      <c r="V958" s="81">
        <f t="shared" si="430"/>
        <v>0</v>
      </c>
      <c r="W958" s="81">
        <f t="shared" si="430"/>
        <v>0</v>
      </c>
      <c r="X958" s="81">
        <f t="shared" si="430"/>
        <v>0</v>
      </c>
      <c r="Y958" s="81">
        <f t="shared" si="430"/>
        <v>0</v>
      </c>
      <c r="Z958" s="81">
        <f t="shared" si="430"/>
        <v>0</v>
      </c>
      <c r="AA958" s="81"/>
      <c r="AB958" s="94"/>
    </row>
    <row r="959" spans="1:28" s="61" customFormat="1" x14ac:dyDescent="0.25">
      <c r="A959" s="66"/>
      <c r="B959" s="66"/>
    </row>
    <row r="960" spans="1:28" s="61" customFormat="1" x14ac:dyDescent="0.25">
      <c r="A960" s="66" t="s">
        <v>920</v>
      </c>
      <c r="B960" s="66"/>
      <c r="F960" s="156">
        <f>F958/F956</f>
        <v>0</v>
      </c>
      <c r="G960" s="156">
        <f>G958/G934</f>
        <v>0.11433857007765573</v>
      </c>
      <c r="H960" s="156">
        <f t="shared" ref="H960:Z960" si="431">H958/H956</f>
        <v>-0.15647792275807534</v>
      </c>
      <c r="I960" s="156" t="e">
        <f t="shared" si="431"/>
        <v>#DIV/0!</v>
      </c>
      <c r="J960" s="156">
        <f t="shared" si="431"/>
        <v>-8.2643789437429033E-2</v>
      </c>
      <c r="K960" s="156">
        <f t="shared" si="431"/>
        <v>-0.16084622154509506</v>
      </c>
      <c r="L960" s="156" t="e">
        <f t="shared" si="431"/>
        <v>#DIV/0!</v>
      </c>
      <c r="M960" s="156" t="e">
        <f t="shared" si="431"/>
        <v>#DIV/0!</v>
      </c>
      <c r="N960" s="156">
        <f t="shared" si="431"/>
        <v>-3.4113626669758812E-2</v>
      </c>
      <c r="O960" s="156">
        <f>O958/O956</f>
        <v>-7.5547728273855835E-2</v>
      </c>
      <c r="P960" s="156">
        <f t="shared" si="431"/>
        <v>-6.9550476046757612E-2</v>
      </c>
      <c r="Q960" s="156">
        <f t="shared" si="431"/>
        <v>9.2205147906409449E-2</v>
      </c>
      <c r="R960" s="156">
        <f t="shared" si="431"/>
        <v>0.10589568424544274</v>
      </c>
      <c r="S960" s="156">
        <f t="shared" si="431"/>
        <v>-8.0832512650563589E-5</v>
      </c>
      <c r="T960" s="156">
        <f t="shared" si="431"/>
        <v>-0.24458650274684232</v>
      </c>
      <c r="U960" s="156">
        <f t="shared" si="431"/>
        <v>-0.19030407943386984</v>
      </c>
      <c r="V960" s="156">
        <f>V958/V956</f>
        <v>0</v>
      </c>
      <c r="W960" s="156">
        <f t="shared" si="431"/>
        <v>0</v>
      </c>
      <c r="X960" s="156" t="e">
        <f t="shared" si="431"/>
        <v>#DIV/0!</v>
      </c>
      <c r="Y960" s="156" t="e">
        <f t="shared" si="431"/>
        <v>#DIV/0!</v>
      </c>
      <c r="Z960" s="156" t="e">
        <f t="shared" si="431"/>
        <v>#DIV/0!</v>
      </c>
    </row>
    <row r="961" spans="1:28" s="61" customFormat="1" x14ac:dyDescent="0.25">
      <c r="A961" s="66"/>
      <c r="B961" s="66"/>
      <c r="F961" s="156"/>
      <c r="G961" s="156"/>
      <c r="H961" s="156"/>
      <c r="I961" s="156"/>
      <c r="J961" s="156"/>
      <c r="K961" s="156"/>
      <c r="L961" s="156"/>
      <c r="M961" s="156"/>
      <c r="N961" s="156"/>
      <c r="O961" s="156"/>
      <c r="P961" s="156"/>
      <c r="Q961" s="156"/>
      <c r="R961" s="156"/>
      <c r="S961" s="156"/>
      <c r="T961" s="156"/>
      <c r="U961" s="156"/>
      <c r="V961" s="156"/>
      <c r="W961" s="156"/>
      <c r="X961" s="156"/>
      <c r="Y961" s="156"/>
      <c r="Z961" s="156"/>
    </row>
    <row r="962" spans="1:28" s="61" customFormat="1" x14ac:dyDescent="0.25">
      <c r="A962" s="33" t="s">
        <v>1350</v>
      </c>
      <c r="B962" s="266"/>
      <c r="C962" s="266"/>
      <c r="D962" s="266"/>
      <c r="E962" s="266"/>
      <c r="F962" s="268">
        <f>F931-F900</f>
        <v>0</v>
      </c>
      <c r="G962" s="268">
        <f>G931-G900</f>
        <v>55796599.61363174</v>
      </c>
      <c r="H962" s="268">
        <f t="shared" ref="H962:U962" si="432">H931-H900</f>
        <v>-19999977.875827365</v>
      </c>
      <c r="I962" s="268">
        <f t="shared" si="432"/>
        <v>0</v>
      </c>
      <c r="J962" s="268">
        <f t="shared" si="432"/>
        <v>-937918.84928317403</v>
      </c>
      <c r="K962" s="268">
        <f t="shared" si="432"/>
        <v>-22979773.522506606</v>
      </c>
      <c r="L962" s="268">
        <f t="shared" si="432"/>
        <v>0</v>
      </c>
      <c r="M962" s="268">
        <f t="shared" si="432"/>
        <v>0</v>
      </c>
      <c r="N962" s="268">
        <f t="shared" si="432"/>
        <v>-4472749.0509005086</v>
      </c>
      <c r="O962" s="268">
        <f t="shared" si="432"/>
        <v>-5511530.32685157</v>
      </c>
      <c r="P962" s="268">
        <f t="shared" si="432"/>
        <v>-2870448.4059415194</v>
      </c>
      <c r="Q962" s="268">
        <f t="shared" si="432"/>
        <v>649466.90129078529</v>
      </c>
      <c r="R962" s="268">
        <f t="shared" si="432"/>
        <v>414750.72035593458</v>
      </c>
      <c r="S962" s="268">
        <f t="shared" si="432"/>
        <v>-1448.5145303095617</v>
      </c>
      <c r="T962" s="268">
        <f t="shared" si="432"/>
        <v>-42098.480090426921</v>
      </c>
      <c r="U962" s="268">
        <f t="shared" si="432"/>
        <v>-44872.209347094307</v>
      </c>
      <c r="V962" s="268">
        <f>V930-V898</f>
        <v>0</v>
      </c>
      <c r="W962" s="267" t="str">
        <f>IF(ABS(F962-V962)&lt;0.01,"ok","err")</f>
        <v>ok</v>
      </c>
      <c r="X962" s="156"/>
      <c r="Y962" s="156"/>
      <c r="Z962" s="156"/>
    </row>
    <row r="963" spans="1:28" s="61" customFormat="1" x14ac:dyDescent="0.25">
      <c r="A963" s="66"/>
      <c r="B963" s="66"/>
      <c r="F963" s="156"/>
      <c r="G963" s="156"/>
      <c r="H963" s="156"/>
      <c r="I963" s="156"/>
      <c r="J963" s="156"/>
      <c r="K963" s="156"/>
      <c r="L963" s="156"/>
      <c r="M963" s="156"/>
      <c r="N963" s="156"/>
      <c r="O963" s="156"/>
      <c r="P963" s="156"/>
      <c r="Q963" s="156"/>
      <c r="R963" s="156"/>
      <c r="S963" s="156"/>
      <c r="T963" s="156"/>
      <c r="U963" s="156"/>
      <c r="V963" s="156"/>
      <c r="W963" s="156"/>
      <c r="X963" s="156"/>
      <c r="Y963" s="156"/>
      <c r="Z963" s="156"/>
    </row>
    <row r="964" spans="1:28" s="158" customFormat="1" x14ac:dyDescent="0.25">
      <c r="A964" s="66"/>
      <c r="B964" s="66"/>
      <c r="C964" s="61"/>
      <c r="D964" s="61"/>
      <c r="E964" s="61"/>
      <c r="F964" s="156"/>
      <c r="G964" s="156"/>
      <c r="H964" s="156"/>
      <c r="I964" s="156"/>
      <c r="J964" s="156"/>
      <c r="K964" s="156"/>
      <c r="L964" s="156"/>
      <c r="M964" s="156"/>
      <c r="N964" s="156"/>
      <c r="O964" s="156"/>
      <c r="P964" s="156"/>
      <c r="Q964" s="156"/>
      <c r="R964" s="156"/>
      <c r="S964" s="156"/>
      <c r="T964" s="156"/>
      <c r="U964" s="156"/>
      <c r="V964" s="156"/>
      <c r="W964" s="156"/>
      <c r="X964" s="162"/>
      <c r="Y964" s="162"/>
      <c r="Z964" s="162"/>
    </row>
    <row r="965" spans="1:28" s="245" customFormat="1" x14ac:dyDescent="0.25">
      <c r="A965" s="66" t="s">
        <v>1278</v>
      </c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</row>
    <row r="966" spans="1:28" s="158" customFormat="1" x14ac:dyDescent="0.25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</row>
    <row r="967" spans="1:28" s="158" customFormat="1" x14ac:dyDescent="0.25">
      <c r="A967" s="66" t="s">
        <v>1135</v>
      </c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</row>
    <row r="968" spans="1:28" s="158" customFormat="1" x14ac:dyDescent="0.25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</row>
    <row r="969" spans="1:28" s="158" customFormat="1" x14ac:dyDescent="0.25">
      <c r="A969" s="61" t="s">
        <v>135</v>
      </c>
      <c r="B969" s="61"/>
      <c r="C969" s="61"/>
      <c r="D969" s="61"/>
      <c r="E969" s="61"/>
      <c r="F969" s="81">
        <f>F897</f>
        <v>1044652044</v>
      </c>
      <c r="G969" s="81">
        <f t="shared" ref="G969:Z969" si="433">G897</f>
        <v>432197955.29234767</v>
      </c>
      <c r="H969" s="81">
        <f t="shared" si="433"/>
        <v>147813394.12847397</v>
      </c>
      <c r="I969" s="81">
        <f t="shared" si="433"/>
        <v>0</v>
      </c>
      <c r="J969" s="81">
        <f t="shared" si="433"/>
        <v>12286852.092395021</v>
      </c>
      <c r="K969" s="81">
        <f t="shared" si="433"/>
        <v>165847745.81157878</v>
      </c>
      <c r="L969" s="81">
        <f t="shared" si="433"/>
        <v>0</v>
      </c>
      <c r="M969" s="81">
        <f t="shared" si="433"/>
        <v>0</v>
      </c>
      <c r="N969" s="81">
        <f t="shared" si="433"/>
        <v>135586016.3150208</v>
      </c>
      <c r="O969" s="81">
        <f>O897</f>
        <v>78465813.040325284</v>
      </c>
      <c r="P969" s="81">
        <f t="shared" si="433"/>
        <v>44141889.941607863</v>
      </c>
      <c r="Q969" s="81">
        <f t="shared" si="433"/>
        <v>6394249.3774359794</v>
      </c>
      <c r="R969" s="81">
        <f t="shared" si="433"/>
        <v>3501846.2902893177</v>
      </c>
      <c r="S969" s="81">
        <f t="shared" si="433"/>
        <v>17921397.837044191</v>
      </c>
      <c r="T969" s="81">
        <f t="shared" si="433"/>
        <v>214219.50728382313</v>
      </c>
      <c r="U969" s="81">
        <f t="shared" si="433"/>
        <v>280664.36619724357</v>
      </c>
      <c r="V969" s="81">
        <f t="shared" si="433"/>
        <v>0</v>
      </c>
      <c r="W969" s="81">
        <f t="shared" si="433"/>
        <v>0</v>
      </c>
      <c r="X969" s="81">
        <f t="shared" si="433"/>
        <v>0</v>
      </c>
      <c r="Y969" s="81">
        <f t="shared" si="433"/>
        <v>0</v>
      </c>
      <c r="Z969" s="81">
        <f t="shared" si="433"/>
        <v>0</v>
      </c>
      <c r="AA969" s="159">
        <f>ROUND(SUM(G969:Z969),2)</f>
        <v>1044652044</v>
      </c>
      <c r="AB969" s="160" t="str">
        <f>IF(ABS(F969-AA969)&lt;0.01,"ok","err")</f>
        <v>ok</v>
      </c>
    </row>
    <row r="970" spans="1:28" s="158" customFormat="1" x14ac:dyDescent="0.25">
      <c r="A970" s="61"/>
      <c r="B970" s="61"/>
      <c r="C970" s="61"/>
      <c r="D970" s="61"/>
      <c r="E970" s="6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159"/>
      <c r="Y970" s="159"/>
      <c r="Z970" s="159"/>
      <c r="AA970" s="159"/>
      <c r="AB970" s="160"/>
    </row>
    <row r="971" spans="1:28" s="158" customFormat="1" x14ac:dyDescent="0.25">
      <c r="A971" s="61" t="s">
        <v>136</v>
      </c>
      <c r="B971" s="61"/>
      <c r="C971" s="61"/>
      <c r="D971" s="61"/>
      <c r="E971" s="6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159"/>
      <c r="Y971" s="159"/>
      <c r="Z971" s="159"/>
      <c r="AA971" s="159"/>
      <c r="AB971" s="160"/>
    </row>
    <row r="972" spans="1:28" s="61" customFormat="1" x14ac:dyDescent="0.25">
      <c r="A972" s="61" t="s">
        <v>1281</v>
      </c>
      <c r="F972" s="77">
        <v>30280632.02</v>
      </c>
      <c r="G972" s="77">
        <v>11911869</v>
      </c>
      <c r="H972" s="77">
        <v>4213025</v>
      </c>
      <c r="I972" s="77">
        <v>0</v>
      </c>
      <c r="J972" s="77">
        <v>363789</v>
      </c>
      <c r="K972" s="77">
        <v>4905530</v>
      </c>
      <c r="L972" s="77">
        <f>L969*$E$977</f>
        <v>0</v>
      </c>
      <c r="M972" s="77">
        <f>M969*$E$977</f>
        <v>0</v>
      </c>
      <c r="N972" s="77">
        <v>4187361</v>
      </c>
      <c r="O972" s="77">
        <v>2347552</v>
      </c>
      <c r="P972" s="77">
        <v>1520807</v>
      </c>
      <c r="Q972" s="77">
        <v>194228.01999999955</v>
      </c>
      <c r="R972" s="77">
        <v>103514</v>
      </c>
      <c r="S972" s="77">
        <v>517895</v>
      </c>
      <c r="T972" s="77">
        <v>6886</v>
      </c>
      <c r="U972" s="77">
        <v>8176</v>
      </c>
      <c r="V972" s="77"/>
      <c r="W972" s="77"/>
      <c r="X972" s="77"/>
      <c r="Y972" s="77"/>
      <c r="Z972" s="77"/>
      <c r="AA972" s="81">
        <f>SUM(G972:Z972)</f>
        <v>30280632.02</v>
      </c>
      <c r="AB972" s="94" t="str">
        <f>IF(ABS(F972-AA972)&lt;0.01,"ok","err")</f>
        <v>ok</v>
      </c>
    </row>
    <row r="973" spans="1:28" s="61" customFormat="1" x14ac:dyDescent="0.25">
      <c r="A973" s="61" t="s">
        <v>917</v>
      </c>
      <c r="E973" s="61" t="s">
        <v>183</v>
      </c>
      <c r="F973" s="77">
        <f>F901</f>
        <v>0</v>
      </c>
      <c r="G973" s="77">
        <f t="shared" ref="G973:U973" si="434">G901</f>
        <v>0</v>
      </c>
      <c r="H973" s="77">
        <f t="shared" si="434"/>
        <v>0</v>
      </c>
      <c r="I973" s="77">
        <f t="shared" si="434"/>
        <v>0</v>
      </c>
      <c r="J973" s="77">
        <f t="shared" si="434"/>
        <v>0</v>
      </c>
      <c r="K973" s="77">
        <f t="shared" si="434"/>
        <v>0</v>
      </c>
      <c r="L973" s="77">
        <f t="shared" si="434"/>
        <v>0</v>
      </c>
      <c r="M973" s="77">
        <f t="shared" si="434"/>
        <v>0</v>
      </c>
      <c r="N973" s="77">
        <f t="shared" si="434"/>
        <v>0</v>
      </c>
      <c r="O973" s="77">
        <f>O901</f>
        <v>0</v>
      </c>
      <c r="P973" s="77">
        <f t="shared" si="434"/>
        <v>0</v>
      </c>
      <c r="Q973" s="77">
        <f t="shared" si="434"/>
        <v>0</v>
      </c>
      <c r="R973" s="77">
        <f t="shared" si="434"/>
        <v>0</v>
      </c>
      <c r="S973" s="77">
        <f t="shared" si="434"/>
        <v>0</v>
      </c>
      <c r="T973" s="77">
        <f t="shared" si="434"/>
        <v>0</v>
      </c>
      <c r="U973" s="77">
        <f t="shared" si="434"/>
        <v>0</v>
      </c>
      <c r="V973" s="77">
        <f>IF(VLOOKUP($E973,$D$6:$AN$1141,3,)=0,0,(VLOOKUP($E973,$D$6:$AN$1141,V$2,)/VLOOKUP($E973,$D$6:$AN$1141,3,))*$F973)</f>
        <v>0</v>
      </c>
      <c r="W973" s="77">
        <f>IF(VLOOKUP($E973,$D$6:$AN$1141,3,)=0,0,(VLOOKUP($E973,$D$6:$AN$1141,W$2,)/VLOOKUP($E973,$D$6:$AN$1141,3,))*$F973)</f>
        <v>0</v>
      </c>
      <c r="X973" s="80">
        <f>IF(VLOOKUP($E973,$D$6:$AN$1141,3,)=0,0,(VLOOKUP($E973,$D$6:$AN$1141,X$2,)/VLOOKUP($E973,$D$6:$AN$1141,3,))*$F973)</f>
        <v>0</v>
      </c>
      <c r="Y973" s="80">
        <f>IF(VLOOKUP($E973,$D$6:$AN$1141,3,)=0,0,(VLOOKUP($E973,$D$6:$AN$1141,Y$2,)/VLOOKUP($E973,$D$6:$AN$1141,3,))*$F973)</f>
        <v>0</v>
      </c>
      <c r="Z973" s="80">
        <f>IF(VLOOKUP($E973,$D$6:$AN$1141,3,)=0,0,(VLOOKUP($E973,$D$6:$AN$1141,Z$2,)/VLOOKUP($E973,$D$6:$AN$1141,3,))*$F973)</f>
        <v>0</v>
      </c>
      <c r="AA973" s="81">
        <f>SUM(G973:Z973)</f>
        <v>0</v>
      </c>
      <c r="AB973" s="94" t="str">
        <f>IF(ABS(F973-AA973)&lt;0.01,"ok","err")</f>
        <v>ok</v>
      </c>
    </row>
    <row r="974" spans="1:28" s="158" customFormat="1" x14ac:dyDescent="0.25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</row>
    <row r="975" spans="1:28" s="158" customFormat="1" x14ac:dyDescent="0.25">
      <c r="A975" s="61" t="s">
        <v>137</v>
      </c>
      <c r="B975" s="61"/>
      <c r="C975" s="61"/>
      <c r="D975" s="61"/>
      <c r="E975" s="61"/>
      <c r="F975" s="81">
        <f>SUM(F969:F973)</f>
        <v>1074932676.02</v>
      </c>
      <c r="G975" s="81">
        <f t="shared" ref="G975:P975" si="435">SUM(G969:G973)</f>
        <v>444109824.29234767</v>
      </c>
      <c r="H975" s="81">
        <f t="shared" si="435"/>
        <v>152026419.12847397</v>
      </c>
      <c r="I975" s="81">
        <f t="shared" si="435"/>
        <v>0</v>
      </c>
      <c r="J975" s="81">
        <f t="shared" si="435"/>
        <v>12650641.092395021</v>
      </c>
      <c r="K975" s="81">
        <f t="shared" si="435"/>
        <v>170753275.81157878</v>
      </c>
      <c r="L975" s="81">
        <f t="shared" si="435"/>
        <v>0</v>
      </c>
      <c r="M975" s="81">
        <f t="shared" si="435"/>
        <v>0</v>
      </c>
      <c r="N975" s="81">
        <f t="shared" si="435"/>
        <v>139773377.3150208</v>
      </c>
      <c r="O975" s="81">
        <f>SUM(O969:O973)</f>
        <v>80813365.040325284</v>
      </c>
      <c r="P975" s="81">
        <f t="shared" si="435"/>
        <v>45662696.941607863</v>
      </c>
      <c r="Q975" s="81">
        <f>SUM(Q969:Q973)</f>
        <v>6588477.397435979</v>
      </c>
      <c r="R975" s="81">
        <f t="shared" ref="R975:Z975" si="436">SUM(R969:R973)</f>
        <v>3605360.2902893177</v>
      </c>
      <c r="S975" s="81">
        <f t="shared" si="436"/>
        <v>18439292.837044191</v>
      </c>
      <c r="T975" s="81">
        <f t="shared" si="436"/>
        <v>221105.50728382313</v>
      </c>
      <c r="U975" s="81">
        <f t="shared" si="436"/>
        <v>288840.36619724357</v>
      </c>
      <c r="V975" s="81">
        <f t="shared" si="436"/>
        <v>0</v>
      </c>
      <c r="W975" s="81">
        <f t="shared" si="436"/>
        <v>0</v>
      </c>
      <c r="X975" s="159">
        <f t="shared" si="436"/>
        <v>0</v>
      </c>
      <c r="Y975" s="159">
        <f t="shared" si="436"/>
        <v>0</v>
      </c>
      <c r="Z975" s="159">
        <f t="shared" si="436"/>
        <v>0</v>
      </c>
      <c r="AA975" s="159">
        <f>ROUND(SUM(G975:Z975),2)</f>
        <v>1074932676.02</v>
      </c>
      <c r="AB975" s="160" t="str">
        <f>IF(ABS(F975-AA975)&lt;0.01,"ok","err")</f>
        <v>ok</v>
      </c>
    </row>
    <row r="976" spans="1:28" s="158" customFormat="1" x14ac:dyDescent="0.25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</row>
    <row r="977" spans="1:28" s="158" customFormat="1" x14ac:dyDescent="0.25">
      <c r="A977" s="61"/>
      <c r="B977" s="61"/>
      <c r="C977" s="61"/>
      <c r="D977" s="61"/>
      <c r="E977" s="156">
        <f>F972/F969</f>
        <v>2.8986333003336372E-2</v>
      </c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</row>
    <row r="978" spans="1:28" s="158" customFormat="1" x14ac:dyDescent="0.25">
      <c r="A978" s="66" t="s">
        <v>1139</v>
      </c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</row>
    <row r="979" spans="1:28" s="158" customFormat="1" x14ac:dyDescent="0.25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</row>
    <row r="980" spans="1:28" s="158" customFormat="1" x14ac:dyDescent="0.25">
      <c r="A980" s="61" t="s">
        <v>1142</v>
      </c>
      <c r="B980" s="61"/>
      <c r="C980" s="61"/>
      <c r="D980" s="61"/>
      <c r="E980" s="61"/>
      <c r="F980" s="81">
        <f>F908</f>
        <v>902784323.01420605</v>
      </c>
      <c r="G980" s="81">
        <f t="shared" ref="G980:Z980" si="437">G908</f>
        <v>390668430.23993433</v>
      </c>
      <c r="H980" s="81">
        <f t="shared" si="437"/>
        <v>117842709.44659914</v>
      </c>
      <c r="I980" s="81">
        <f t="shared" si="437"/>
        <v>0</v>
      </c>
      <c r="J980" s="81">
        <f t="shared" si="437"/>
        <v>10416563.670218231</v>
      </c>
      <c r="K980" s="81">
        <f t="shared" si="437"/>
        <v>134664225.35650334</v>
      </c>
      <c r="L980" s="81">
        <f t="shared" si="437"/>
        <v>0</v>
      </c>
      <c r="M980" s="81">
        <f t="shared" si="437"/>
        <v>0</v>
      </c>
      <c r="N980" s="81">
        <f t="shared" si="437"/>
        <v>119389984.94254033</v>
      </c>
      <c r="O980" s="81">
        <f>O908</f>
        <v>66809128.076639012</v>
      </c>
      <c r="P980" s="81">
        <f t="shared" si="437"/>
        <v>39389651.132061489</v>
      </c>
      <c r="Q980" s="81">
        <f t="shared" si="437"/>
        <v>6107250.0112587763</v>
      </c>
      <c r="R980" s="81">
        <f t="shared" si="437"/>
        <v>3328767.5087409001</v>
      </c>
      <c r="S980" s="81">
        <f t="shared" si="437"/>
        <v>13759742.76626602</v>
      </c>
      <c r="T980" s="81">
        <f t="shared" si="437"/>
        <v>179182.28100149453</v>
      </c>
      <c r="U980" s="81">
        <f t="shared" si="437"/>
        <v>228687.58244281661</v>
      </c>
      <c r="V980" s="81">
        <f t="shared" si="437"/>
        <v>0</v>
      </c>
      <c r="W980" s="81">
        <f t="shared" si="437"/>
        <v>0</v>
      </c>
      <c r="X980" s="81">
        <f t="shared" si="437"/>
        <v>0</v>
      </c>
      <c r="Y980" s="81">
        <f t="shared" si="437"/>
        <v>0</v>
      </c>
      <c r="Z980" s="81">
        <f t="shared" si="437"/>
        <v>0</v>
      </c>
      <c r="AA980" s="159">
        <f>ROUND(SUM(G980:Z980),2)</f>
        <v>902784323.00999999</v>
      </c>
      <c r="AB980" s="160" t="str">
        <f>IF(ABS(F980-AA980)&lt;0.01,"ok","err")</f>
        <v>ok</v>
      </c>
    </row>
    <row r="981" spans="1:28" s="158" customFormat="1" x14ac:dyDescent="0.25">
      <c r="A981" s="61"/>
      <c r="B981" s="61"/>
      <c r="C981" s="61"/>
      <c r="D981" s="61"/>
      <c r="E981" s="61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  <c r="AA981" s="159"/>
      <c r="AB981" s="160"/>
    </row>
    <row r="982" spans="1:28" s="61" customFormat="1" x14ac:dyDescent="0.25">
      <c r="A982" s="61" t="s">
        <v>719</v>
      </c>
      <c r="F982" s="113">
        <f>F910</f>
        <v>2801602.9883563295</v>
      </c>
      <c r="G982" s="113">
        <f t="shared" ref="G982:Z982" si="438">G910</f>
        <v>745293.47382287146</v>
      </c>
      <c r="H982" s="113">
        <f t="shared" si="438"/>
        <v>619854.40835159074</v>
      </c>
      <c r="I982" s="113">
        <f t="shared" si="438"/>
        <v>0</v>
      </c>
      <c r="J982" s="113">
        <f t="shared" si="438"/>
        <v>38220.821306771562</v>
      </c>
      <c r="K982" s="113">
        <f t="shared" si="438"/>
        <v>647966.56052457867</v>
      </c>
      <c r="L982" s="113">
        <f t="shared" si="438"/>
        <v>0</v>
      </c>
      <c r="M982" s="113">
        <f t="shared" si="438"/>
        <v>0</v>
      </c>
      <c r="N982" s="113">
        <f t="shared" si="438"/>
        <v>322966.67847506591</v>
      </c>
      <c r="O982" s="113">
        <f>O910</f>
        <v>236622.6589111519</v>
      </c>
      <c r="P982" s="113">
        <f t="shared" si="438"/>
        <v>96462.308863440092</v>
      </c>
      <c r="Q982" s="113">
        <f t="shared" si="438"/>
        <v>7737.0472827626309</v>
      </c>
      <c r="R982" s="113">
        <f t="shared" si="438"/>
        <v>2783.3854605947581</v>
      </c>
      <c r="S982" s="113">
        <f t="shared" si="438"/>
        <v>82015.381634573452</v>
      </c>
      <c r="T982" s="113">
        <f t="shared" si="438"/>
        <v>665.1018025455694</v>
      </c>
      <c r="U982" s="113">
        <f t="shared" si="438"/>
        <v>1015.1619203855329</v>
      </c>
      <c r="V982" s="113">
        <f t="shared" si="438"/>
        <v>0</v>
      </c>
      <c r="W982" s="113">
        <f t="shared" si="438"/>
        <v>0</v>
      </c>
      <c r="X982" s="113">
        <f t="shared" si="438"/>
        <v>0</v>
      </c>
      <c r="Y982" s="113">
        <f t="shared" si="438"/>
        <v>0</v>
      </c>
      <c r="Z982" s="113">
        <f t="shared" si="438"/>
        <v>0</v>
      </c>
      <c r="AA982" s="81">
        <f>ROUND(SUM(G982:Z982),2)</f>
        <v>2801602.99</v>
      </c>
      <c r="AB982" s="94" t="str">
        <f>IF(ABS(F982-AA982)&lt;0.01,"ok","err")</f>
        <v>ok</v>
      </c>
    </row>
    <row r="983" spans="1:28" s="61" customFormat="1" x14ac:dyDescent="0.25">
      <c r="A983" s="61" t="s">
        <v>1380</v>
      </c>
      <c r="E983" s="61" t="s">
        <v>131</v>
      </c>
      <c r="F983" s="80">
        <v>96660</v>
      </c>
      <c r="G983" s="77">
        <f t="shared" ref="G983:P984" si="439">IF(VLOOKUP($E983,$D$6:$AN$1141,3,)=0,0,(VLOOKUP($E983,$D$6:$AN$1141,G$2,)/VLOOKUP($E983,$D$6:$AN$1141,3,))*$F983)</f>
        <v>68994.084902894363</v>
      </c>
      <c r="H983" s="77">
        <f t="shared" si="439"/>
        <v>8511.2068582552874</v>
      </c>
      <c r="I983" s="77">
        <f t="shared" si="439"/>
        <v>0</v>
      </c>
      <c r="J983" s="77">
        <f t="shared" si="439"/>
        <v>13.931680041541252</v>
      </c>
      <c r="K983" s="77">
        <f t="shared" si="439"/>
        <v>533.50700761819962</v>
      </c>
      <c r="L983" s="77">
        <f t="shared" si="439"/>
        <v>0</v>
      </c>
      <c r="M983" s="77">
        <f t="shared" si="439"/>
        <v>0</v>
      </c>
      <c r="N983" s="77">
        <f t="shared" si="439"/>
        <v>20.929327550991196</v>
      </c>
      <c r="O983" s="77">
        <f t="shared" si="439"/>
        <v>60.911340820893834</v>
      </c>
      <c r="P983" s="77">
        <f t="shared" si="439"/>
        <v>2.290139184910891</v>
      </c>
      <c r="Q983" s="77">
        <f t="shared" ref="Q983:Z984" si="440">IF(VLOOKUP($E983,$D$6:$AN$1141,3,)=0,0,(VLOOKUP($E983,$D$6:$AN$1141,Q$2,)/VLOOKUP($E983,$D$6:$AN$1141,3,))*$F983)</f>
        <v>0.19084493207590753</v>
      </c>
      <c r="R983" s="77">
        <f t="shared" si="440"/>
        <v>0.38168986415181505</v>
      </c>
      <c r="S983" s="77">
        <f t="shared" si="440"/>
        <v>18320.079735905048</v>
      </c>
      <c r="T983" s="77">
        <f t="shared" si="440"/>
        <v>29.77180940384158</v>
      </c>
      <c r="U983" s="77">
        <f t="shared" si="440"/>
        <v>172.71466352869635</v>
      </c>
      <c r="V983" s="77">
        <f t="shared" si="440"/>
        <v>0</v>
      </c>
      <c r="W983" s="77">
        <f t="shared" si="440"/>
        <v>0</v>
      </c>
      <c r="X983" s="80">
        <f t="shared" si="440"/>
        <v>0</v>
      </c>
      <c r="Y983" s="80">
        <f t="shared" si="440"/>
        <v>0</v>
      </c>
      <c r="Z983" s="80">
        <f t="shared" si="440"/>
        <v>0</v>
      </c>
      <c r="AA983" s="81">
        <f>SUM(G983:Z983)</f>
        <v>96660</v>
      </c>
      <c r="AB983" s="94" t="str">
        <f>IF(ABS(F983-AA983)&lt;0.01,"ok","err")</f>
        <v>ok</v>
      </c>
    </row>
    <row r="984" spans="1:28" s="61" customFormat="1" x14ac:dyDescent="0.25">
      <c r="A984" s="61" t="s">
        <v>1381</v>
      </c>
      <c r="E984" s="61" t="s">
        <v>130</v>
      </c>
      <c r="F984" s="80">
        <v>58963</v>
      </c>
      <c r="G984" s="77">
        <f t="shared" si="439"/>
        <v>23513.593468997969</v>
      </c>
      <c r="H984" s="77">
        <f t="shared" si="439"/>
        <v>8406.4796828865983</v>
      </c>
      <c r="I984" s="77">
        <f t="shared" si="439"/>
        <v>0</v>
      </c>
      <c r="J984" s="77">
        <f t="shared" si="439"/>
        <v>706.07929095257873</v>
      </c>
      <c r="K984" s="77">
        <f t="shared" si="439"/>
        <v>9546.7310216969345</v>
      </c>
      <c r="L984" s="77">
        <f t="shared" si="439"/>
        <v>0</v>
      </c>
      <c r="M984" s="77">
        <f t="shared" si="439"/>
        <v>0</v>
      </c>
      <c r="N984" s="77">
        <f t="shared" si="439"/>
        <v>7891.3360357993597</v>
      </c>
      <c r="O984" s="77">
        <f t="shared" si="439"/>
        <v>4515.951440899622</v>
      </c>
      <c r="P984" s="77">
        <f t="shared" si="439"/>
        <v>2674.9995591627985</v>
      </c>
      <c r="Q984" s="77">
        <f t="shared" si="440"/>
        <v>380.16103505291284</v>
      </c>
      <c r="R984" s="77">
        <f t="shared" si="440"/>
        <v>198.66194103615982</v>
      </c>
      <c r="S984" s="77">
        <f t="shared" si="440"/>
        <v>1098.7907787271374</v>
      </c>
      <c r="T984" s="77">
        <f t="shared" si="440"/>
        <v>13.566565185952161</v>
      </c>
      <c r="U984" s="77">
        <f t="shared" si="440"/>
        <v>16.649179601976588</v>
      </c>
      <c r="V984" s="77">
        <f t="shared" si="440"/>
        <v>0</v>
      </c>
      <c r="W984" s="77">
        <f t="shared" si="440"/>
        <v>0</v>
      </c>
      <c r="X984" s="80">
        <f t="shared" si="440"/>
        <v>0</v>
      </c>
      <c r="Y984" s="80">
        <f t="shared" si="440"/>
        <v>0</v>
      </c>
      <c r="Z984" s="80">
        <f t="shared" si="440"/>
        <v>0</v>
      </c>
      <c r="AA984" s="81">
        <f>SUM(G984:Z984)</f>
        <v>58963.000000000007</v>
      </c>
      <c r="AB984" s="94" t="str">
        <f>IF(ABS(F984-AA984)&lt;0.01,"ok","err")</f>
        <v>ok</v>
      </c>
    </row>
    <row r="985" spans="1:28" s="158" customFormat="1" x14ac:dyDescent="0.25">
      <c r="A985" s="61"/>
      <c r="B985" s="61"/>
      <c r="C985" s="61"/>
      <c r="D985" s="61"/>
      <c r="E985" s="61"/>
      <c r="F985" s="113"/>
      <c r="G985" s="113"/>
      <c r="H985" s="113"/>
      <c r="I985" s="113"/>
      <c r="J985" s="113"/>
      <c r="K985" s="113"/>
      <c r="L985" s="113"/>
      <c r="M985" s="113"/>
      <c r="N985" s="113"/>
      <c r="O985" s="113"/>
      <c r="P985" s="113"/>
      <c r="Q985" s="113"/>
      <c r="R985" s="113"/>
      <c r="S985" s="113"/>
      <c r="T985" s="113"/>
      <c r="U985" s="113"/>
      <c r="V985" s="113"/>
      <c r="W985" s="113"/>
      <c r="X985" s="163"/>
      <c r="Y985" s="163"/>
      <c r="Z985" s="163"/>
      <c r="AA985" s="159"/>
      <c r="AB985" s="160"/>
    </row>
    <row r="986" spans="1:28" s="158" customFormat="1" x14ac:dyDescent="0.25">
      <c r="A986" s="61" t="s">
        <v>720</v>
      </c>
      <c r="B986" s="61"/>
      <c r="C986" s="61"/>
      <c r="D986" s="61"/>
      <c r="E986" s="61"/>
      <c r="F986" s="113">
        <f>(F972+F973)*$E$943</f>
        <v>11300184.396037078</v>
      </c>
      <c r="G986" s="113">
        <f t="shared" ref="G986:U986" si="441">(G972+G973)*$E$943</f>
        <v>4445294.1442084797</v>
      </c>
      <c r="H986" s="113">
        <f t="shared" si="441"/>
        <v>1572224.7585080001</v>
      </c>
      <c r="I986" s="113">
        <f t="shared" si="441"/>
        <v>0</v>
      </c>
      <c r="J986" s="113">
        <f t="shared" si="441"/>
        <v>135759.47749488</v>
      </c>
      <c r="K986" s="113">
        <f t="shared" si="441"/>
        <v>1830655.1040176</v>
      </c>
      <c r="L986" s="113">
        <f t="shared" si="441"/>
        <v>0</v>
      </c>
      <c r="M986" s="113">
        <f t="shared" si="441"/>
        <v>0</v>
      </c>
      <c r="N986" s="113">
        <f t="shared" si="441"/>
        <v>1562647.4177131201</v>
      </c>
      <c r="O986" s="113">
        <f>(O972+O973)*$E$943</f>
        <v>876063.96265984001</v>
      </c>
      <c r="P986" s="113">
        <f t="shared" si="441"/>
        <v>567537.67620943999</v>
      </c>
      <c r="Q986" s="113">
        <f t="shared" si="441"/>
        <v>72482.385421398227</v>
      </c>
      <c r="R986" s="113">
        <f t="shared" si="441"/>
        <v>38629.553266880001</v>
      </c>
      <c r="S986" s="113">
        <f t="shared" si="441"/>
        <v>193269.05045839999</v>
      </c>
      <c r="T986" s="113">
        <f t="shared" si="441"/>
        <v>2569.73070112</v>
      </c>
      <c r="U986" s="113">
        <f t="shared" si="441"/>
        <v>3051.1353779199999</v>
      </c>
      <c r="V986" s="113">
        <f>(V972+V973)*0.407634</f>
        <v>0</v>
      </c>
      <c r="W986" s="113">
        <f>(W972+W973)*0.407634</f>
        <v>0</v>
      </c>
      <c r="X986" s="163">
        <f>(X972+X973)*0.407634</f>
        <v>0</v>
      </c>
      <c r="Y986" s="163">
        <f>(Y972+Y973)*0.407634</f>
        <v>0</v>
      </c>
      <c r="Z986" s="163">
        <f>(Z972+Z973)*0.407634</f>
        <v>0</v>
      </c>
      <c r="AA986" s="159">
        <f>ROUND(SUM(G986:Z986),2)</f>
        <v>11300184.4</v>
      </c>
      <c r="AB986" s="160" t="str">
        <f>IF(ABS(F986-AA986)&lt;0.01,"ok","err")</f>
        <v>ok</v>
      </c>
    </row>
    <row r="987" spans="1:28" s="158" customFormat="1" x14ac:dyDescent="0.25">
      <c r="A987" s="69"/>
      <c r="B987" s="61"/>
      <c r="C987" s="61"/>
      <c r="D987" s="61"/>
      <c r="E987" s="61"/>
      <c r="F987" s="80"/>
      <c r="G987" s="77"/>
      <c r="H987" s="77"/>
      <c r="I987" s="77"/>
      <c r="J987" s="77"/>
      <c r="K987" s="77"/>
      <c r="L987" s="77"/>
      <c r="M987" s="77"/>
      <c r="N987" s="77"/>
      <c r="O987" s="77"/>
      <c r="P987" s="77"/>
      <c r="Q987" s="77"/>
      <c r="R987" s="77"/>
      <c r="S987" s="77"/>
      <c r="T987" s="77"/>
      <c r="U987" s="77"/>
      <c r="V987" s="77"/>
      <c r="W987" s="77"/>
      <c r="X987" s="161"/>
      <c r="Y987" s="161"/>
      <c r="Z987" s="161"/>
      <c r="AA987" s="159"/>
      <c r="AB987" s="160"/>
    </row>
    <row r="988" spans="1:28" s="158" customFormat="1" x14ac:dyDescent="0.25">
      <c r="A988" s="61" t="s">
        <v>138</v>
      </c>
      <c r="B988" s="61"/>
      <c r="C988" s="61"/>
      <c r="D988" s="61"/>
      <c r="E988" s="61"/>
      <c r="F988" s="81">
        <f t="shared" ref="F988:Z988" si="442">SUM(F980:F987)</f>
        <v>917041733.39859951</v>
      </c>
      <c r="G988" s="81">
        <f t="shared" si="442"/>
        <v>395951525.53633761</v>
      </c>
      <c r="H988" s="81">
        <f t="shared" si="442"/>
        <v>120051706.29999988</v>
      </c>
      <c r="I988" s="81">
        <f t="shared" si="442"/>
        <v>0</v>
      </c>
      <c r="J988" s="81">
        <f t="shared" si="442"/>
        <v>10591263.979990877</v>
      </c>
      <c r="K988" s="81">
        <f t="shared" si="442"/>
        <v>137152927.25907484</v>
      </c>
      <c r="L988" s="81">
        <f t="shared" si="442"/>
        <v>0</v>
      </c>
      <c r="M988" s="81">
        <f t="shared" si="442"/>
        <v>0</v>
      </c>
      <c r="N988" s="81">
        <f t="shared" si="442"/>
        <v>121283511.30409187</v>
      </c>
      <c r="O988" s="81">
        <f>SUM(O980:O987)</f>
        <v>67926391.560991719</v>
      </c>
      <c r="P988" s="81">
        <f t="shared" si="442"/>
        <v>40056328.406832717</v>
      </c>
      <c r="Q988" s="81">
        <f t="shared" si="442"/>
        <v>6187849.7958429214</v>
      </c>
      <c r="R988" s="81">
        <f t="shared" si="442"/>
        <v>3370379.4910992752</v>
      </c>
      <c r="S988" s="81">
        <f t="shared" si="442"/>
        <v>14054446.068873623</v>
      </c>
      <c r="T988" s="81">
        <f t="shared" si="442"/>
        <v>182460.45187974989</v>
      </c>
      <c r="U988" s="81">
        <f t="shared" si="442"/>
        <v>232943.24358425281</v>
      </c>
      <c r="V988" s="81">
        <f t="shared" si="442"/>
        <v>0</v>
      </c>
      <c r="W988" s="81">
        <f t="shared" si="442"/>
        <v>0</v>
      </c>
      <c r="X988" s="159">
        <f t="shared" si="442"/>
        <v>0</v>
      </c>
      <c r="Y988" s="159">
        <f t="shared" si="442"/>
        <v>0</v>
      </c>
      <c r="Z988" s="159">
        <f t="shared" si="442"/>
        <v>0</v>
      </c>
      <c r="AA988" s="159">
        <f>ROUND(SUM(G988:Z988),2)</f>
        <v>917041733.39999998</v>
      </c>
      <c r="AB988" s="160" t="str">
        <f>IF(ABS(F988-AA988)&lt;0.01,"ok","err")</f>
        <v>ok</v>
      </c>
    </row>
    <row r="989" spans="1:28" s="158" customFormat="1" x14ac:dyDescent="0.25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</row>
    <row r="990" spans="1:28" s="158" customFormat="1" x14ac:dyDescent="0.25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</row>
    <row r="991" spans="1:28" s="158" customFormat="1" x14ac:dyDescent="0.25">
      <c r="A991" s="66" t="s">
        <v>915</v>
      </c>
      <c r="B991" s="61"/>
      <c r="C991" s="61"/>
      <c r="D991" s="61"/>
      <c r="E991" s="61"/>
      <c r="F991" s="81">
        <f t="shared" ref="F991:Z991" si="443">F975-F988</f>
        <v>157890942.62140048</v>
      </c>
      <c r="G991" s="81">
        <f t="shared" si="443"/>
        <v>48158298.756010056</v>
      </c>
      <c r="H991" s="81">
        <f t="shared" si="443"/>
        <v>31974712.82847409</v>
      </c>
      <c r="I991" s="81">
        <f t="shared" si="443"/>
        <v>0</v>
      </c>
      <c r="J991" s="81">
        <f t="shared" si="443"/>
        <v>2059377.1124041434</v>
      </c>
      <c r="K991" s="81">
        <f t="shared" si="443"/>
        <v>33600348.552503943</v>
      </c>
      <c r="L991" s="81">
        <f t="shared" si="443"/>
        <v>0</v>
      </c>
      <c r="M991" s="81">
        <f t="shared" si="443"/>
        <v>0</v>
      </c>
      <c r="N991" s="81">
        <f t="shared" si="443"/>
        <v>18489866.010928929</v>
      </c>
      <c r="O991" s="81">
        <f t="shared" si="443"/>
        <v>12886973.479333565</v>
      </c>
      <c r="P991" s="81">
        <f t="shared" si="443"/>
        <v>5606368.5347751454</v>
      </c>
      <c r="Q991" s="81">
        <f t="shared" si="443"/>
        <v>400627.60159305762</v>
      </c>
      <c r="R991" s="81">
        <f t="shared" si="443"/>
        <v>234980.79919004254</v>
      </c>
      <c r="S991" s="81">
        <f t="shared" si="443"/>
        <v>4384846.7681705672</v>
      </c>
      <c r="T991" s="81">
        <f t="shared" si="443"/>
        <v>38645.055404073239</v>
      </c>
      <c r="U991" s="81">
        <f t="shared" si="443"/>
        <v>55897.122612990759</v>
      </c>
      <c r="V991" s="81">
        <f t="shared" si="443"/>
        <v>0</v>
      </c>
      <c r="W991" s="81">
        <f t="shared" si="443"/>
        <v>0</v>
      </c>
      <c r="X991" s="159">
        <f t="shared" si="443"/>
        <v>0</v>
      </c>
      <c r="Y991" s="159">
        <f t="shared" si="443"/>
        <v>0</v>
      </c>
      <c r="Z991" s="159">
        <f t="shared" si="443"/>
        <v>0</v>
      </c>
      <c r="AA991" s="159">
        <f>ROUND(SUM(G991:Z991),2)</f>
        <v>157890942.62</v>
      </c>
      <c r="AB991" s="160" t="str">
        <f>IF(ABS(F991-AA991)&lt;0.01,"ok","err")</f>
        <v>ok</v>
      </c>
    </row>
    <row r="992" spans="1:28" s="158" customFormat="1" x14ac:dyDescent="0.25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</row>
    <row r="993" spans="1:28" s="158" customFormat="1" x14ac:dyDescent="0.25">
      <c r="A993" s="66" t="s">
        <v>1125</v>
      </c>
      <c r="B993" s="61"/>
      <c r="C993" s="61"/>
      <c r="D993" s="61"/>
      <c r="E993" s="61"/>
      <c r="F993" s="81">
        <f>F919</f>
        <v>2250031689.5289073</v>
      </c>
      <c r="G993" s="81">
        <f t="shared" ref="G993:Z993" si="444">G919</f>
        <v>1225741672.3782828</v>
      </c>
      <c r="H993" s="81">
        <f t="shared" si="444"/>
        <v>272051302.68880898</v>
      </c>
      <c r="I993" s="81">
        <f t="shared" si="444"/>
        <v>0</v>
      </c>
      <c r="J993" s="81">
        <f t="shared" si="444"/>
        <v>20130039.304534759</v>
      </c>
      <c r="K993" s="81">
        <f t="shared" si="444"/>
        <v>260999577.51330796</v>
      </c>
      <c r="L993" s="81">
        <f t="shared" si="444"/>
        <v>0</v>
      </c>
      <c r="M993" s="81">
        <f t="shared" si="444"/>
        <v>0</v>
      </c>
      <c r="N993" s="81">
        <f t="shared" si="444"/>
        <v>211458478.97557414</v>
      </c>
      <c r="O993" s="81">
        <f>O919</f>
        <v>128875799.74577057</v>
      </c>
      <c r="P993" s="81">
        <f t="shared" si="444"/>
        <v>46217422.218736798</v>
      </c>
      <c r="Q993" s="81">
        <f t="shared" si="444"/>
        <v>11105016.673919467</v>
      </c>
      <c r="R993" s="81">
        <f t="shared" si="444"/>
        <v>6961566.9375586044</v>
      </c>
      <c r="S993" s="81">
        <f t="shared" si="444"/>
        <v>65992175.425948963</v>
      </c>
      <c r="T993" s="81">
        <f t="shared" si="444"/>
        <v>129178.36717412261</v>
      </c>
      <c r="U993" s="81">
        <f t="shared" si="444"/>
        <v>369459.29929092026</v>
      </c>
      <c r="V993" s="81">
        <f t="shared" si="444"/>
        <v>0</v>
      </c>
      <c r="W993" s="81">
        <f t="shared" si="444"/>
        <v>0</v>
      </c>
      <c r="X993" s="81">
        <f t="shared" si="444"/>
        <v>0</v>
      </c>
      <c r="Y993" s="81">
        <f t="shared" si="444"/>
        <v>0</v>
      </c>
      <c r="Z993" s="81">
        <f t="shared" si="444"/>
        <v>0</v>
      </c>
      <c r="AA993" s="159">
        <f>ROUND(SUM(G993:Z993),2)</f>
        <v>2250031689.5300002</v>
      </c>
      <c r="AB993" s="160" t="str">
        <f>IF(ABS(F993-AA993)&lt;0.01,"ok","err")</f>
        <v>ok</v>
      </c>
    </row>
    <row r="994" spans="1:28" s="158" customFormat="1" ht="14.4" thickBot="1" x14ac:dyDescent="0.3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</row>
    <row r="995" spans="1:28" s="158" customFormat="1" ht="14.4" thickBot="1" x14ac:dyDescent="0.3">
      <c r="A995" s="328" t="s">
        <v>1143</v>
      </c>
      <c r="B995" s="154"/>
      <c r="C995" s="154"/>
      <c r="D995" s="154"/>
      <c r="E995" s="154"/>
      <c r="F995" s="155">
        <f t="shared" ref="F995:P995" si="445">F991/F993</f>
        <v>7.0172763946475064E-2</v>
      </c>
      <c r="G995" s="155">
        <f t="shared" si="445"/>
        <v>3.9289109476525703E-2</v>
      </c>
      <c r="H995" s="155">
        <f t="shared" si="445"/>
        <v>0.11753192325290561</v>
      </c>
      <c r="I995" s="155" t="e">
        <f t="shared" si="445"/>
        <v>#DIV/0!</v>
      </c>
      <c r="J995" s="155">
        <f t="shared" si="445"/>
        <v>0.10230368064607906</v>
      </c>
      <c r="K995" s="155">
        <f t="shared" si="445"/>
        <v>0.12873717602393711</v>
      </c>
      <c r="L995" s="155" t="e">
        <f t="shared" si="445"/>
        <v>#DIV/0!</v>
      </c>
      <c r="M995" s="155" t="e">
        <f t="shared" si="445"/>
        <v>#DIV/0!</v>
      </c>
      <c r="N995" s="155">
        <f t="shared" si="445"/>
        <v>8.7439700221549024E-2</v>
      </c>
      <c r="O995" s="155">
        <f>O991/O993</f>
        <v>9.9995293955539452E-2</v>
      </c>
      <c r="P995" s="155">
        <f t="shared" si="445"/>
        <v>0.12130422394051853</v>
      </c>
      <c r="Q995" s="155">
        <f>Q991/Q993</f>
        <v>3.607627195499364E-2</v>
      </c>
      <c r="R995" s="155">
        <f t="shared" ref="R995:Z995" si="446">R991/R993</f>
        <v>3.3754009879914969E-2</v>
      </c>
      <c r="S995" s="155">
        <f t="shared" si="446"/>
        <v>6.6444949569678682E-2</v>
      </c>
      <c r="T995" s="155">
        <f t="shared" si="446"/>
        <v>0.29916042638921608</v>
      </c>
      <c r="U995" s="155">
        <f t="shared" si="446"/>
        <v>0.15129439892369892</v>
      </c>
      <c r="V995" s="155" t="e">
        <f t="shared" si="446"/>
        <v>#DIV/0!</v>
      </c>
      <c r="W995" s="155" t="e">
        <f t="shared" si="446"/>
        <v>#DIV/0!</v>
      </c>
      <c r="X995" s="164" t="e">
        <f t="shared" si="446"/>
        <v>#DIV/0!</v>
      </c>
      <c r="Y995" s="164" t="e">
        <f t="shared" si="446"/>
        <v>#DIV/0!</v>
      </c>
      <c r="Z995" s="164" t="e">
        <f t="shared" si="446"/>
        <v>#DIV/0!</v>
      </c>
      <c r="AA995" s="165"/>
      <c r="AB995" s="165"/>
    </row>
    <row r="996" spans="1:28" s="158" customFormat="1" x14ac:dyDescent="0.25">
      <c r="A996" s="66"/>
      <c r="B996" s="66"/>
      <c r="C996" s="61"/>
      <c r="D996" s="61"/>
      <c r="E996" s="61"/>
      <c r="F996" s="156"/>
      <c r="G996" s="156"/>
      <c r="H996" s="156"/>
      <c r="I996" s="156"/>
      <c r="J996" s="156"/>
      <c r="K996" s="156"/>
      <c r="L996" s="156"/>
      <c r="M996" s="156"/>
      <c r="N996" s="156"/>
      <c r="O996" s="156"/>
      <c r="P996" s="156"/>
      <c r="Q996" s="156"/>
      <c r="R996" s="156"/>
      <c r="S996" s="156"/>
      <c r="T996" s="156"/>
      <c r="U996" s="156"/>
      <c r="V996" s="156"/>
      <c r="W996" s="156"/>
      <c r="X996" s="162"/>
      <c r="Y996" s="162"/>
      <c r="Z996" s="162"/>
    </row>
    <row r="998" spans="1:28" s="178" customFormat="1" x14ac:dyDescent="0.25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</row>
    <row r="999" spans="1:28" s="178" customFormat="1" x14ac:dyDescent="0.25">
      <c r="A999" s="66" t="s">
        <v>134</v>
      </c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</row>
    <row r="1000" spans="1:28" s="178" customFormat="1" x14ac:dyDescent="0.25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</row>
    <row r="1001" spans="1:28" s="178" customFormat="1" x14ac:dyDescent="0.25">
      <c r="A1001" s="66" t="s">
        <v>1144</v>
      </c>
      <c r="B1001" s="61"/>
      <c r="C1001" s="61"/>
      <c r="D1001" s="61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  <c r="O1001" s="61"/>
      <c r="P1001" s="61"/>
      <c r="Q1001" s="61"/>
      <c r="R1001" s="61"/>
      <c r="S1001" s="61"/>
      <c r="T1001" s="61"/>
      <c r="U1001" s="61"/>
      <c r="V1001" s="61"/>
      <c r="W1001" s="61"/>
    </row>
    <row r="1002" spans="1:28" s="178" customFormat="1" x14ac:dyDescent="0.25">
      <c r="A1002" s="61" t="s">
        <v>1145</v>
      </c>
      <c r="B1002" s="61"/>
      <c r="C1002" s="61"/>
      <c r="D1002" s="61" t="s">
        <v>1114</v>
      </c>
      <c r="E1002" s="61" t="s">
        <v>952</v>
      </c>
      <c r="F1002" s="111">
        <v>1</v>
      </c>
      <c r="G1002" s="111">
        <f t="shared" ref="G1002:Z1002" si="447">IF(VLOOKUP($E1002,$D$6:$AN$1141,3,)=0,0,(VLOOKUP($E1002,$D$6:$AN$1141,G$2,)/VLOOKUP($E1002,$D$6:$AN$1141,3,))*$F1002)</f>
        <v>0.35699146100641843</v>
      </c>
      <c r="H1002" s="111">
        <f t="shared" si="447"/>
        <v>0.11585932826146096</v>
      </c>
      <c r="I1002" s="111">
        <f t="shared" si="447"/>
        <v>0</v>
      </c>
      <c r="J1002" s="111">
        <f t="shared" si="447"/>
        <v>1.3342986867476047E-2</v>
      </c>
      <c r="K1002" s="111">
        <f t="shared" si="447"/>
        <v>0.16447334672595032</v>
      </c>
      <c r="L1002" s="111">
        <f t="shared" si="447"/>
        <v>0</v>
      </c>
      <c r="M1002" s="111">
        <f t="shared" si="447"/>
        <v>0</v>
      </c>
      <c r="N1002" s="111">
        <f t="shared" si="447"/>
        <v>0.16729830889053382</v>
      </c>
      <c r="O1002" s="111">
        <f t="shared" si="447"/>
        <v>8.7042985638825343E-2</v>
      </c>
      <c r="P1002" s="111">
        <f t="shared" si="447"/>
        <v>7.0429686925081669E-2</v>
      </c>
      <c r="Q1002" s="111">
        <f t="shared" si="447"/>
        <v>8.9970788279200714E-3</v>
      </c>
      <c r="R1002" s="111">
        <f t="shared" si="447"/>
        <v>4.7142770731886646E-3</v>
      </c>
      <c r="S1002" s="111">
        <f t="shared" si="447"/>
        <v>1.0302846842916847E-2</v>
      </c>
      <c r="T1002" s="111">
        <f t="shared" si="447"/>
        <v>2.8802788218763793E-4</v>
      </c>
      <c r="U1002" s="111">
        <f t="shared" si="447"/>
        <v>2.5966505804015939E-4</v>
      </c>
      <c r="V1002" s="111">
        <f t="shared" si="447"/>
        <v>0</v>
      </c>
      <c r="W1002" s="111">
        <f t="shared" si="447"/>
        <v>0</v>
      </c>
      <c r="X1002" s="179">
        <f t="shared" si="447"/>
        <v>0</v>
      </c>
      <c r="Y1002" s="179">
        <f t="shared" si="447"/>
        <v>0</v>
      </c>
      <c r="Z1002" s="179">
        <f t="shared" si="447"/>
        <v>0</v>
      </c>
      <c r="AA1002" s="184">
        <f>SUM(G1002:Z1002)</f>
        <v>0.99999999999999978</v>
      </c>
      <c r="AB1002" s="180" t="str">
        <f>IF(ABS(F1002-AA1002)&lt;0.01,"ok","err")</f>
        <v>ok</v>
      </c>
    </row>
    <row r="1003" spans="1:28" s="178" customFormat="1" x14ac:dyDescent="0.25">
      <c r="A1003" s="61"/>
      <c r="B1003" s="61"/>
      <c r="C1003" s="61"/>
      <c r="D1003" s="61"/>
      <c r="E1003" s="61"/>
      <c r="F1003" s="61"/>
      <c r="G1003" s="61"/>
      <c r="H1003" s="61"/>
      <c r="I1003" s="61"/>
      <c r="J1003" s="61"/>
      <c r="K1003" s="61"/>
      <c r="L1003" s="61"/>
      <c r="M1003" s="61"/>
      <c r="N1003" s="61"/>
      <c r="O1003" s="61"/>
      <c r="P1003" s="61"/>
      <c r="Q1003" s="61"/>
      <c r="R1003" s="61"/>
      <c r="S1003" s="61"/>
      <c r="T1003" s="61"/>
      <c r="U1003" s="61"/>
      <c r="V1003" s="61"/>
      <c r="W1003" s="61"/>
    </row>
    <row r="1004" spans="1:28" s="178" customFormat="1" x14ac:dyDescent="0.25">
      <c r="A1004" s="66" t="s">
        <v>1146</v>
      </c>
      <c r="B1004" s="61"/>
      <c r="C1004" s="61"/>
      <c r="D1004" s="61"/>
      <c r="E1004" s="61"/>
      <c r="F1004" s="61"/>
      <c r="G1004" s="61"/>
      <c r="H1004" s="61"/>
      <c r="I1004" s="61"/>
      <c r="J1004" s="61"/>
      <c r="K1004" s="61"/>
      <c r="L1004" s="61"/>
      <c r="M1004" s="61"/>
      <c r="N1004" s="61"/>
      <c r="O1004" s="61"/>
      <c r="P1004" s="61"/>
      <c r="Q1004" s="61"/>
      <c r="R1004" s="61"/>
      <c r="S1004" s="61"/>
      <c r="T1004" s="61"/>
      <c r="U1004" s="61"/>
      <c r="V1004" s="61"/>
      <c r="W1004" s="61"/>
    </row>
    <row r="1005" spans="1:28" s="178" customFormat="1" x14ac:dyDescent="0.25">
      <c r="A1005" s="61" t="s">
        <v>1147</v>
      </c>
      <c r="B1005" s="61"/>
      <c r="C1005" s="61"/>
      <c r="D1005" s="61" t="s">
        <v>1117</v>
      </c>
      <c r="E1005" s="61" t="s">
        <v>707</v>
      </c>
      <c r="F1005" s="82">
        <v>1</v>
      </c>
      <c r="G1005" s="84">
        <f t="shared" ref="G1005:Z1005" si="448">IF(VLOOKUP($E1005,$D$6:$AN$1141,3,)=0,0,(VLOOKUP($E1005,$D$6:$AN$1141,G$2,)/VLOOKUP($E1005,$D$6:$AN$1141,3,))*$F1005)</f>
        <v>0.86034824967089141</v>
      </c>
      <c r="H1005" s="84">
        <f t="shared" si="448"/>
        <v>0.10613376397981089</v>
      </c>
      <c r="I1005" s="84">
        <f t="shared" si="448"/>
        <v>0</v>
      </c>
      <c r="J1005" s="84">
        <f t="shared" si="448"/>
        <v>1.7372643691969717E-4</v>
      </c>
      <c r="K1005" s="84">
        <f t="shared" si="448"/>
        <v>6.6527706083426503E-3</v>
      </c>
      <c r="L1005" s="84">
        <f t="shared" si="448"/>
        <v>0</v>
      </c>
      <c r="M1005" s="84">
        <f t="shared" si="448"/>
        <v>0</v>
      </c>
      <c r="N1005" s="84">
        <f t="shared" si="448"/>
        <v>2.6098629108027566E-4</v>
      </c>
      <c r="O1005" s="84">
        <f t="shared" si="448"/>
        <v>7.5955736689776283E-4</v>
      </c>
      <c r="P1005" s="84">
        <f t="shared" si="448"/>
        <v>0</v>
      </c>
      <c r="Q1005" s="84">
        <f t="shared" si="448"/>
        <v>2.3798142043794131E-6</v>
      </c>
      <c r="R1005" s="84">
        <f t="shared" si="448"/>
        <v>4.7596284087588262E-6</v>
      </c>
      <c r="S1005" s="84">
        <f t="shared" si="448"/>
        <v>2.538325255112777E-2</v>
      </c>
      <c r="T1005" s="84">
        <f t="shared" si="448"/>
        <v>4.1250112875909825E-5</v>
      </c>
      <c r="U1005" s="84">
        <f t="shared" si="448"/>
        <v>2.3930353944037435E-4</v>
      </c>
      <c r="V1005" s="84">
        <f t="shared" si="448"/>
        <v>0</v>
      </c>
      <c r="W1005" s="84">
        <f t="shared" si="448"/>
        <v>0</v>
      </c>
      <c r="X1005" s="179">
        <f t="shared" si="448"/>
        <v>0</v>
      </c>
      <c r="Y1005" s="179">
        <f t="shared" si="448"/>
        <v>0</v>
      </c>
      <c r="Z1005" s="179">
        <f t="shared" si="448"/>
        <v>0</v>
      </c>
      <c r="AA1005" s="185">
        <f t="shared" ref="AA1005:AA1010" si="449">SUM(G1005:Z1005)</f>
        <v>0.99999999999999989</v>
      </c>
      <c r="AB1005" s="180" t="str">
        <f t="shared" ref="AB1005:AB1010" si="450">IF(ABS(F1005-AA1005)&lt;0.01,"ok","err")</f>
        <v>ok</v>
      </c>
    </row>
    <row r="1006" spans="1:28" s="178" customFormat="1" x14ac:dyDescent="0.25">
      <c r="A1006" s="61" t="s">
        <v>194</v>
      </c>
      <c r="B1006" s="61"/>
      <c r="C1006" s="61"/>
      <c r="D1006" s="61" t="s">
        <v>1118</v>
      </c>
      <c r="E1006" s="61"/>
      <c r="F1006" s="82">
        <v>1</v>
      </c>
      <c r="G1006" s="84">
        <f>Services!F10</f>
        <v>0.80732432693026612</v>
      </c>
      <c r="H1006" s="84">
        <f>Services!F12+Services!F14</f>
        <v>0.17238367954812372</v>
      </c>
      <c r="I1006" s="84">
        <v>0</v>
      </c>
      <c r="J1006" s="84">
        <f>Services!F16</f>
        <v>0</v>
      </c>
      <c r="K1006" s="84">
        <f>Services!F18</f>
        <v>1.724656403644911E-2</v>
      </c>
      <c r="L1006" s="84">
        <v>0</v>
      </c>
      <c r="M1006" s="84">
        <f>Services!F22</f>
        <v>0</v>
      </c>
      <c r="N1006" s="84">
        <f>Services!F20+Services!F22</f>
        <v>0</v>
      </c>
      <c r="O1006" s="84">
        <f>Services!F24</f>
        <v>3.0454294851610972E-3</v>
      </c>
      <c r="P1006" s="84">
        <f>Services!F26</f>
        <v>0</v>
      </c>
      <c r="Q1006" s="84">
        <f>Services!F28</f>
        <v>0</v>
      </c>
      <c r="R1006" s="84">
        <f>Services!F30</f>
        <v>0</v>
      </c>
      <c r="S1006" s="84">
        <f>Services!F32</f>
        <v>0</v>
      </c>
      <c r="T1006" s="84">
        <f>Services!F34</f>
        <v>0</v>
      </c>
      <c r="U1006" s="84">
        <f>Services!$F$36</f>
        <v>0</v>
      </c>
      <c r="V1006" s="84">
        <v>0</v>
      </c>
      <c r="W1006" s="84">
        <v>0</v>
      </c>
      <c r="X1006" s="84">
        <v>0</v>
      </c>
      <c r="Y1006" s="84">
        <v>0</v>
      </c>
      <c r="Z1006" s="84">
        <v>0</v>
      </c>
      <c r="AA1006" s="185">
        <f t="shared" si="449"/>
        <v>1</v>
      </c>
      <c r="AB1006" s="180" t="str">
        <f t="shared" si="450"/>
        <v>ok</v>
      </c>
    </row>
    <row r="1007" spans="1:28" s="178" customFormat="1" x14ac:dyDescent="0.25">
      <c r="A1007" s="61" t="s">
        <v>1148</v>
      </c>
      <c r="B1007" s="61"/>
      <c r="C1007" s="61"/>
      <c r="D1007" s="61" t="s">
        <v>1119</v>
      </c>
      <c r="E1007" s="61"/>
      <c r="F1007" s="82">
        <v>1</v>
      </c>
      <c r="G1007" s="84">
        <f>Meters!$F$10</f>
        <v>0.6850404869853528</v>
      </c>
      <c r="H1007" s="84">
        <f>Meters!$F$12+Meters!F14</f>
        <v>0.22420650487731295</v>
      </c>
      <c r="I1007" s="84">
        <v>0</v>
      </c>
      <c r="J1007" s="84">
        <f>Meters!$F$16</f>
        <v>8.1374981469529827E-3</v>
      </c>
      <c r="K1007" s="84">
        <f>Meters!$F$18</f>
        <v>5.2771910931290196E-2</v>
      </c>
      <c r="L1007" s="84">
        <v>0</v>
      </c>
      <c r="M1007" s="84">
        <v>0</v>
      </c>
      <c r="N1007" s="84">
        <f>Meters!$F$20+Meters!$F$22</f>
        <v>1.1689415690966381E-2</v>
      </c>
      <c r="O1007" s="84">
        <f>Meters!$F$24</f>
        <v>6.6167191827424428E-3</v>
      </c>
      <c r="P1007" s="84">
        <f>Meters!$F$26</f>
        <v>9.207209975657148E-3</v>
      </c>
      <c r="Q1007" s="84">
        <f>Meters!$F$28</f>
        <v>1.0659041663495179E-4</v>
      </c>
      <c r="R1007" s="84">
        <f>Meters!$F$30</f>
        <v>2.1318083326990359E-4</v>
      </c>
      <c r="S1007" s="84">
        <f>Meters!$F$32</f>
        <v>0</v>
      </c>
      <c r="T1007" s="84">
        <f>Meters!$F$34</f>
        <v>2.9560352660880292E-4</v>
      </c>
      <c r="U1007" s="84">
        <f>Meters!$F$36</f>
        <v>1.7148794332113248E-3</v>
      </c>
      <c r="V1007" s="84">
        <v>0</v>
      </c>
      <c r="W1007" s="84">
        <v>0</v>
      </c>
      <c r="X1007" s="185">
        <v>0</v>
      </c>
      <c r="Y1007" s="185">
        <v>0</v>
      </c>
      <c r="Z1007" s="185">
        <v>0</v>
      </c>
      <c r="AA1007" s="185">
        <f>SUM(G1007:Z1007)</f>
        <v>1</v>
      </c>
      <c r="AB1007" s="180" t="str">
        <f t="shared" si="450"/>
        <v>ok</v>
      </c>
    </row>
    <row r="1008" spans="1:28" s="178" customFormat="1" x14ac:dyDescent="0.25">
      <c r="A1008" s="61" t="s">
        <v>1149</v>
      </c>
      <c r="B1008" s="61"/>
      <c r="C1008" s="61"/>
      <c r="D1008" s="61" t="s">
        <v>1120</v>
      </c>
      <c r="E1008" s="61" t="s">
        <v>132</v>
      </c>
      <c r="F1008" s="82">
        <v>1</v>
      </c>
      <c r="G1008" s="84">
        <f t="shared" ref="G1008:R1010" si="451">IF(VLOOKUP($E1008,$D$6:$AN$1141,3,)=0,0,(VLOOKUP($E1008,$D$6:$AN$1141,G$2,)/VLOOKUP($E1008,$D$6:$AN$1141,3,))*$F1008)</f>
        <v>0</v>
      </c>
      <c r="H1008" s="84">
        <f t="shared" si="451"/>
        <v>0</v>
      </c>
      <c r="I1008" s="84">
        <f t="shared" si="451"/>
        <v>0</v>
      </c>
      <c r="J1008" s="84">
        <f t="shared" si="451"/>
        <v>0</v>
      </c>
      <c r="K1008" s="84">
        <f t="shared" si="451"/>
        <v>0</v>
      </c>
      <c r="L1008" s="84">
        <f t="shared" si="451"/>
        <v>0</v>
      </c>
      <c r="M1008" s="84">
        <f t="shared" si="451"/>
        <v>0</v>
      </c>
      <c r="N1008" s="84">
        <f t="shared" si="451"/>
        <v>0</v>
      </c>
      <c r="O1008" s="84">
        <f t="shared" si="451"/>
        <v>0</v>
      </c>
      <c r="P1008" s="84">
        <f t="shared" si="451"/>
        <v>0</v>
      </c>
      <c r="Q1008" s="84">
        <f t="shared" si="451"/>
        <v>0</v>
      </c>
      <c r="R1008" s="84">
        <f t="shared" si="451"/>
        <v>0</v>
      </c>
      <c r="S1008" s="84">
        <v>1</v>
      </c>
      <c r="T1008" s="84">
        <v>0</v>
      </c>
      <c r="U1008" s="84">
        <v>0</v>
      </c>
      <c r="V1008" s="84">
        <f t="shared" ref="V1008:Z1010" si="452">IF(VLOOKUP($E1008,$D$6:$AN$1141,3,)=0,0,(VLOOKUP($E1008,$D$6:$AN$1141,V$2,)/VLOOKUP($E1008,$D$6:$AN$1141,3,))*$F1008)</f>
        <v>0</v>
      </c>
      <c r="W1008" s="84">
        <f t="shared" si="452"/>
        <v>0</v>
      </c>
      <c r="X1008" s="179">
        <f t="shared" si="452"/>
        <v>0</v>
      </c>
      <c r="Y1008" s="179">
        <f t="shared" si="452"/>
        <v>0</v>
      </c>
      <c r="Z1008" s="179">
        <f t="shared" si="452"/>
        <v>0</v>
      </c>
      <c r="AA1008" s="185">
        <f t="shared" si="449"/>
        <v>1</v>
      </c>
      <c r="AB1008" s="180" t="str">
        <f t="shared" si="450"/>
        <v>ok</v>
      </c>
    </row>
    <row r="1009" spans="1:29" s="178" customFormat="1" x14ac:dyDescent="0.25">
      <c r="A1009" s="61" t="s">
        <v>1150</v>
      </c>
      <c r="B1009" s="61"/>
      <c r="C1009" s="61"/>
      <c r="D1009" s="61" t="s">
        <v>1121</v>
      </c>
      <c r="E1009" s="61" t="s">
        <v>157</v>
      </c>
      <c r="F1009" s="82">
        <v>1</v>
      </c>
      <c r="G1009" s="84">
        <f t="shared" si="451"/>
        <v>0.74252747788586071</v>
      </c>
      <c r="H1009" s="84">
        <f t="shared" si="451"/>
        <v>0.18319845740747023</v>
      </c>
      <c r="I1009" s="84">
        <f t="shared" si="451"/>
        <v>0</v>
      </c>
      <c r="J1009" s="84">
        <f t="shared" si="451"/>
        <v>7.4967696567886804E-4</v>
      </c>
      <c r="K1009" s="84">
        <f t="shared" si="451"/>
        <v>2.8708519966510623E-2</v>
      </c>
      <c r="L1009" s="84">
        <f t="shared" si="451"/>
        <v>0</v>
      </c>
      <c r="M1009" s="84">
        <f t="shared" si="451"/>
        <v>0</v>
      </c>
      <c r="N1009" s="84">
        <f t="shared" si="451"/>
        <v>5.6311351988207218E-3</v>
      </c>
      <c r="O1009" s="84">
        <f t="shared" si="451"/>
        <v>1.6388486178938726E-2</v>
      </c>
      <c r="P1009" s="84">
        <f t="shared" si="451"/>
        <v>6.1617284850317919E-4</v>
      </c>
      <c r="Q1009" s="84">
        <f t="shared" si="451"/>
        <v>1.0269547475052986E-5</v>
      </c>
      <c r="R1009" s="84">
        <f t="shared" si="451"/>
        <v>2.0539094950105972E-5</v>
      </c>
      <c r="S1009" s="84">
        <f t="shared" ref="S1009:U1010" si="453">IF(VLOOKUP($E1009,$D$6:$AN$1141,3,)=0,0,(VLOOKUP($E1009,$D$6:$AN$1141,S$2,)/VLOOKUP($E1009,$D$6:$AN$1141,3,))*$F1009)</f>
        <v>2.1907131797546595E-2</v>
      </c>
      <c r="T1009" s="84">
        <f t="shared" si="453"/>
        <v>3.5601097913517016E-5</v>
      </c>
      <c r="U1009" s="84">
        <f t="shared" si="453"/>
        <v>2.0653201033162116E-4</v>
      </c>
      <c r="V1009" s="84">
        <f t="shared" si="452"/>
        <v>0</v>
      </c>
      <c r="W1009" s="84">
        <f t="shared" si="452"/>
        <v>0</v>
      </c>
      <c r="X1009" s="179">
        <f t="shared" si="452"/>
        <v>0</v>
      </c>
      <c r="Y1009" s="179">
        <f t="shared" si="452"/>
        <v>0</v>
      </c>
      <c r="Z1009" s="179">
        <f t="shared" si="452"/>
        <v>0</v>
      </c>
      <c r="AA1009" s="185">
        <f t="shared" si="449"/>
        <v>0.99999999999999989</v>
      </c>
      <c r="AB1009" s="180" t="str">
        <f t="shared" si="450"/>
        <v>ok</v>
      </c>
    </row>
    <row r="1010" spans="1:29" s="178" customFormat="1" x14ac:dyDescent="0.25">
      <c r="A1010" s="61" t="s">
        <v>174</v>
      </c>
      <c r="B1010" s="61"/>
      <c r="C1010" s="61"/>
      <c r="D1010" s="61" t="s">
        <v>1122</v>
      </c>
      <c r="E1010" s="61" t="s">
        <v>158</v>
      </c>
      <c r="F1010" s="82">
        <v>1</v>
      </c>
      <c r="G1010" s="84">
        <f t="shared" si="451"/>
        <v>0.86032368074470178</v>
      </c>
      <c r="H1010" s="84">
        <f t="shared" si="451"/>
        <v>0.1061307331226964</v>
      </c>
      <c r="I1010" s="84">
        <f t="shared" si="451"/>
        <v>0</v>
      </c>
      <c r="J1010" s="84">
        <f t="shared" si="451"/>
        <v>1.7372147582166798E-4</v>
      </c>
      <c r="K1010" s="84">
        <f t="shared" si="451"/>
        <v>6.6525806254722304E-3</v>
      </c>
      <c r="L1010" s="84">
        <f t="shared" si="451"/>
        <v>0</v>
      </c>
      <c r="M1010" s="84">
        <f t="shared" si="451"/>
        <v>0</v>
      </c>
      <c r="N1010" s="84">
        <f t="shared" si="451"/>
        <v>2.6097883810652405E-4</v>
      </c>
      <c r="O1010" s="84">
        <f t="shared" si="451"/>
        <v>7.5953567625226988E-4</v>
      </c>
      <c r="P1010" s="84">
        <f t="shared" si="451"/>
        <v>2.8556954929589256E-5</v>
      </c>
      <c r="Q1010" s="84">
        <f t="shared" si="451"/>
        <v>2.3797462441324381E-6</v>
      </c>
      <c r="R1010" s="84">
        <f t="shared" si="451"/>
        <v>4.7594924882648763E-6</v>
      </c>
      <c r="S1010" s="84">
        <f t="shared" si="453"/>
        <v>2.5382527682728702E-2</v>
      </c>
      <c r="T1010" s="84">
        <f t="shared" si="453"/>
        <v>4.1248934898295588E-5</v>
      </c>
      <c r="U1010" s="84">
        <f t="shared" si="453"/>
        <v>2.3929670565998404E-4</v>
      </c>
      <c r="V1010" s="84">
        <f t="shared" si="452"/>
        <v>0</v>
      </c>
      <c r="W1010" s="84">
        <f t="shared" si="452"/>
        <v>0</v>
      </c>
      <c r="X1010" s="179">
        <f t="shared" si="452"/>
        <v>0</v>
      </c>
      <c r="Y1010" s="179">
        <f t="shared" si="452"/>
        <v>0</v>
      </c>
      <c r="Z1010" s="179">
        <f t="shared" si="452"/>
        <v>0</v>
      </c>
      <c r="AA1010" s="185">
        <f t="shared" si="449"/>
        <v>0.99999999999999989</v>
      </c>
      <c r="AB1010" s="180" t="str">
        <f t="shared" si="450"/>
        <v>ok</v>
      </c>
    </row>
    <row r="1011" spans="1:29" s="178" customFormat="1" x14ac:dyDescent="0.25">
      <c r="A1011" s="61"/>
      <c r="B1011" s="61"/>
      <c r="C1011" s="61"/>
      <c r="D1011" s="61"/>
      <c r="E1011" s="61"/>
      <c r="F1011" s="61"/>
      <c r="G1011" s="61"/>
      <c r="H1011" s="61"/>
      <c r="I1011" s="61"/>
      <c r="J1011" s="61"/>
      <c r="K1011" s="61"/>
      <c r="L1011" s="61"/>
      <c r="M1011" s="61"/>
      <c r="N1011" s="61"/>
      <c r="O1011" s="61"/>
      <c r="P1011" s="61"/>
      <c r="Q1011" s="61"/>
      <c r="R1011" s="61"/>
      <c r="S1011" s="61"/>
      <c r="T1011" s="61"/>
      <c r="U1011" s="61"/>
      <c r="V1011" s="61"/>
      <c r="W1011" s="61"/>
    </row>
    <row r="1012" spans="1:29" s="61" customFormat="1" x14ac:dyDescent="0.25">
      <c r="A1012" s="61" t="s">
        <v>1352</v>
      </c>
      <c r="D1012" s="61" t="s">
        <v>130</v>
      </c>
      <c r="F1012" s="80">
        <v>966746905</v>
      </c>
      <c r="G1012" s="80">
        <f>'Billing Det'!$G$8</f>
        <v>385524714</v>
      </c>
      <c r="H1012" s="80">
        <f>'Billing Det'!$G10+'Billing Det'!G12</f>
        <v>137831152</v>
      </c>
      <c r="I1012" s="80">
        <v>0</v>
      </c>
      <c r="J1012" s="80">
        <f>'Billing Det'!$G$14</f>
        <v>11576751</v>
      </c>
      <c r="K1012" s="80">
        <f>'Billing Det'!$G$16</f>
        <v>156526511</v>
      </c>
      <c r="L1012" s="80">
        <v>0</v>
      </c>
      <c r="M1012" s="80">
        <v>0</v>
      </c>
      <c r="N1012" s="80">
        <f>'Billing Det'!$G$18+'Billing Det'!$G$20</f>
        <v>129384948</v>
      </c>
      <c r="O1012" s="80">
        <f>'Billing Det'!$G$22</f>
        <v>74042740</v>
      </c>
      <c r="P1012" s="80">
        <f>'Billing Det'!$G$24</f>
        <v>43858819</v>
      </c>
      <c r="Q1012" s="80">
        <f>'Billing Det'!$G$26</f>
        <v>6233053</v>
      </c>
      <c r="R1012" s="80">
        <f>'Billing Det'!$G$28</f>
        <v>3257226</v>
      </c>
      <c r="S1012" s="80">
        <f>'Billing Det'!$G$30</f>
        <v>18015579</v>
      </c>
      <c r="T1012" s="80">
        <f>'Billing Det'!$G$32</f>
        <v>222435</v>
      </c>
      <c r="U1012" s="80">
        <f>'Billing Det'!$G$34</f>
        <v>272977</v>
      </c>
      <c r="V1012" s="80">
        <v>0</v>
      </c>
      <c r="W1012" s="80">
        <v>0</v>
      </c>
      <c r="X1012" s="80">
        <v>0</v>
      </c>
      <c r="Y1012" s="80">
        <v>0</v>
      </c>
      <c r="Z1012" s="80">
        <v>0</v>
      </c>
      <c r="AA1012" s="80">
        <f>SUM(G1012:Z1012)</f>
        <v>966746905</v>
      </c>
      <c r="AB1012" s="94" t="str">
        <f>IF(ABS(F1012-AA1012)&lt;0.01,"ok","err")</f>
        <v>ok</v>
      </c>
      <c r="AC1012" s="113">
        <f>+AA1012-F1012</f>
        <v>0</v>
      </c>
    </row>
    <row r="1013" spans="1:29" s="178" customFormat="1" x14ac:dyDescent="0.25">
      <c r="A1013" s="61" t="s">
        <v>952</v>
      </c>
      <c r="B1013" s="61"/>
      <c r="C1013" s="61"/>
      <c r="D1013" s="61"/>
      <c r="E1013" s="61"/>
      <c r="F1013" s="80">
        <v>12038236556</v>
      </c>
      <c r="G1013" s="80">
        <f>'Billing Det'!C8</f>
        <v>4267045465</v>
      </c>
      <c r="H1013" s="80">
        <f>'Billing Det'!$C10+'Billing Det'!C12</f>
        <v>1384842707</v>
      </c>
      <c r="I1013" s="80">
        <v>0</v>
      </c>
      <c r="J1013" s="80">
        <f>'Billing Det'!C14</f>
        <v>162948372</v>
      </c>
      <c r="K1013" s="80">
        <f>'Billing Det'!C16</f>
        <v>1965916065</v>
      </c>
      <c r="L1013" s="80">
        <v>0</v>
      </c>
      <c r="M1013" s="80">
        <v>0</v>
      </c>
      <c r="N1013" s="80">
        <f>'Billing Det'!C18+'Billing Det'!C20</f>
        <v>2043094799</v>
      </c>
      <c r="O1013" s="80">
        <f>'Billing Det'!C22</f>
        <v>1040406894</v>
      </c>
      <c r="P1013" s="80">
        <f>'Billing Det'!C24</f>
        <v>876840985</v>
      </c>
      <c r="Q1013" s="80">
        <f>'Billing Det'!C26</f>
        <v>109874900</v>
      </c>
      <c r="R1013" s="80">
        <f>'Billing Det'!C28</f>
        <v>57572100</v>
      </c>
      <c r="S1013" s="80">
        <f>'Billing Det'!C30</f>
        <v>123147808</v>
      </c>
      <c r="T1013" s="80">
        <f>'Billing Det'!C32</f>
        <v>3442738</v>
      </c>
      <c r="U1013" s="80">
        <f>'Billing Det'!C34</f>
        <v>3103723</v>
      </c>
      <c r="V1013" s="80">
        <v>0</v>
      </c>
      <c r="W1013" s="80">
        <v>0</v>
      </c>
      <c r="X1013" s="179">
        <v>0</v>
      </c>
      <c r="Y1013" s="179">
        <v>0</v>
      </c>
      <c r="Z1013" s="179">
        <v>0</v>
      </c>
      <c r="AA1013" s="179">
        <f t="shared" ref="AA1013:AA1023" si="454">SUM(G1013:Z1013)</f>
        <v>12038236556</v>
      </c>
      <c r="AB1013" s="180" t="str">
        <f>IF(ABS(F1013-AA1013)&lt;0.01,"ok","err")</f>
        <v>ok</v>
      </c>
    </row>
    <row r="1014" spans="1:29" s="61" customFormat="1" x14ac:dyDescent="0.25">
      <c r="A1014" s="61" t="s">
        <v>718</v>
      </c>
      <c r="D1014" s="61" t="s">
        <v>952</v>
      </c>
      <c r="F1014" s="80">
        <v>12732670254.287928</v>
      </c>
      <c r="G1014" s="80">
        <f>G1013/0.93875</f>
        <v>4545454556.5912123</v>
      </c>
      <c r="H1014" s="80">
        <f>H1013/0.93875</f>
        <v>1475198622.6364846</v>
      </c>
      <c r="I1014" s="80">
        <f>I1013/0.93875</f>
        <v>0</v>
      </c>
      <c r="J1014" s="80">
        <f>J1013/0.95913</f>
        <v>169891851.99086672</v>
      </c>
      <c r="K1014" s="80">
        <f>K1013/0.93875</f>
        <v>2094184889.4806924</v>
      </c>
      <c r="L1014" s="80">
        <f>L1013/0.95913</f>
        <v>0</v>
      </c>
      <c r="M1014" s="80">
        <f>M1013/(1-0.061646)</f>
        <v>0</v>
      </c>
      <c r="N1014" s="80">
        <f>N1013/0.95913</f>
        <v>2130154201.2031736</v>
      </c>
      <c r="O1014" s="80">
        <f>O1013/0.93875</f>
        <v>1108289634.0878828</v>
      </c>
      <c r="P1014" s="80">
        <f>P1013/0.97779</f>
        <v>896757979.72979879</v>
      </c>
      <c r="Q1014" s="80">
        <f>Q1013/0.95913</f>
        <v>114556837.96774159</v>
      </c>
      <c r="R1014" s="80">
        <f>R1013/0.95913</f>
        <v>60025335.460260861</v>
      </c>
      <c r="S1014" s="80">
        <f>S1013/0.93875</f>
        <v>131182751.53129162</v>
      </c>
      <c r="T1014" s="80">
        <f>T1013/0.93875</f>
        <v>3667364.0479360851</v>
      </c>
      <c r="U1014" s="80">
        <f>U1013/0.93875</f>
        <v>3306229.5605858858</v>
      </c>
      <c r="V1014" s="80">
        <f>V1013/(1-0.041817)</f>
        <v>0</v>
      </c>
      <c r="W1014" s="80">
        <f>W1013/(1-0.061646)</f>
        <v>0</v>
      </c>
      <c r="X1014" s="80">
        <v>0</v>
      </c>
      <c r="Y1014" s="80">
        <v>0</v>
      </c>
      <c r="Z1014" s="80">
        <v>0</v>
      </c>
      <c r="AA1014" s="80">
        <f>SUM(G1014:Z1014)</f>
        <v>12732670254.287928</v>
      </c>
      <c r="AB1014" s="94" t="str">
        <f>IF(ABS(F1014-AA1014)&lt;0.01,"ok","err")</f>
        <v>ok</v>
      </c>
      <c r="AC1014" s="113">
        <f>+AA1014-F1014</f>
        <v>0</v>
      </c>
    </row>
    <row r="1015" spans="1:29" s="178" customFormat="1" x14ac:dyDescent="0.25">
      <c r="A1015" s="61"/>
      <c r="B1015" s="61"/>
      <c r="C1015" s="61"/>
      <c r="D1015" s="61"/>
      <c r="E1015" s="61"/>
      <c r="F1015" s="80"/>
      <c r="G1015" s="80"/>
      <c r="H1015" s="80"/>
      <c r="I1015" s="80"/>
      <c r="J1015" s="80"/>
      <c r="K1015" s="80"/>
      <c r="L1015" s="80"/>
      <c r="M1015" s="80"/>
      <c r="N1015" s="80"/>
      <c r="O1015" s="111"/>
      <c r="P1015" s="111"/>
      <c r="Q1015" s="80"/>
      <c r="R1015" s="80"/>
      <c r="S1015" s="80"/>
      <c r="T1015" s="80"/>
      <c r="U1015" s="80"/>
      <c r="V1015" s="80"/>
      <c r="W1015" s="80"/>
      <c r="X1015" s="179"/>
      <c r="Y1015" s="179"/>
      <c r="Z1015" s="179"/>
      <c r="AA1015" s="179"/>
      <c r="AB1015" s="180"/>
    </row>
    <row r="1016" spans="1:29" s="178" customFormat="1" x14ac:dyDescent="0.25">
      <c r="A1016" s="66" t="s">
        <v>909</v>
      </c>
      <c r="B1016" s="61"/>
      <c r="C1016" s="61"/>
      <c r="D1016" s="61"/>
      <c r="E1016" s="61"/>
      <c r="F1016" s="80"/>
      <c r="G1016" s="80"/>
      <c r="H1016" s="80"/>
      <c r="I1016" s="80"/>
      <c r="J1016" s="80"/>
      <c r="K1016" s="80"/>
      <c r="L1016" s="80"/>
      <c r="M1016" s="80"/>
      <c r="N1016" s="80"/>
      <c r="O1016" s="80"/>
      <c r="P1016" s="80"/>
      <c r="Q1016" s="80"/>
      <c r="R1016" s="80"/>
      <c r="S1016" s="80"/>
      <c r="T1016" s="80"/>
      <c r="U1016" s="80"/>
      <c r="V1016" s="80"/>
      <c r="W1016" s="80"/>
      <c r="X1016" s="179"/>
      <c r="Y1016" s="179"/>
      <c r="Z1016" s="179"/>
      <c r="AA1016" s="179"/>
      <c r="AB1016" s="180"/>
    </row>
    <row r="1017" spans="1:29" s="178" customFormat="1" x14ac:dyDescent="0.25">
      <c r="A1017" s="61" t="s">
        <v>127</v>
      </c>
      <c r="B1017" s="61"/>
      <c r="C1017" s="61"/>
      <c r="D1017" s="61"/>
      <c r="E1017" s="61"/>
      <c r="F1017" s="80">
        <v>6077814</v>
      </c>
      <c r="G1017" s="80">
        <f>'Billing Det'!B8*12</f>
        <v>4338229</v>
      </c>
      <c r="H1017" s="80">
        <f>('Billing Det'!B10*12)+('Billing Det'!B12*12)</f>
        <v>535170</v>
      </c>
      <c r="I1017" s="80">
        <v>0</v>
      </c>
      <c r="J1017" s="80">
        <f>'Billing Det'!B14*12</f>
        <v>876</v>
      </c>
      <c r="K1017" s="80">
        <f>'Billing Det'!B16*12</f>
        <v>33546</v>
      </c>
      <c r="L1017" s="80">
        <v>0</v>
      </c>
      <c r="M1017" s="80">
        <v>0</v>
      </c>
      <c r="N1017" s="80">
        <f>('Billing Det'!B18+'Billing Det'!B20)*12</f>
        <v>1316</v>
      </c>
      <c r="O1017" s="80">
        <f>'Billing Det'!B22*12</f>
        <v>3830</v>
      </c>
      <c r="P1017" s="80">
        <f>'Billing Det'!B24*12</f>
        <v>144</v>
      </c>
      <c r="Q1017" s="80">
        <f>'Billing Det'!B26*12</f>
        <v>12</v>
      </c>
      <c r="R1017" s="80">
        <f>'Billing Det'!B28*12</f>
        <v>24</v>
      </c>
      <c r="S1017" s="80">
        <f>'Billing Det'!B30*12</f>
        <v>1151935</v>
      </c>
      <c r="T1017" s="80">
        <f>'Billing Det'!B32*12</f>
        <v>1872</v>
      </c>
      <c r="U1017" s="80">
        <f>'Billing Det'!B34*12</f>
        <v>10860</v>
      </c>
      <c r="V1017" s="80">
        <v>0</v>
      </c>
      <c r="W1017" s="80">
        <v>0</v>
      </c>
      <c r="X1017" s="179">
        <v>0</v>
      </c>
      <c r="Y1017" s="179">
        <v>0</v>
      </c>
      <c r="Z1017" s="179">
        <v>0</v>
      </c>
      <c r="AA1017" s="179">
        <f t="shared" si="454"/>
        <v>6077814</v>
      </c>
      <c r="AB1017" s="180" t="str">
        <f t="shared" ref="AB1017:AB1025" si="455">IF(ABS(F1017-AA1017)&lt;0.01,"ok","err")</f>
        <v>ok</v>
      </c>
    </row>
    <row r="1018" spans="1:29" s="178" customFormat="1" x14ac:dyDescent="0.25">
      <c r="A1018" s="61" t="s">
        <v>128</v>
      </c>
      <c r="B1018" s="61"/>
      <c r="C1018" s="61"/>
      <c r="D1018" s="61"/>
      <c r="E1018" s="61"/>
      <c r="F1018" s="80">
        <v>506484.5</v>
      </c>
      <c r="G1018" s="80">
        <f>G1017/12</f>
        <v>361519.08333333331</v>
      </c>
      <c r="H1018" s="80">
        <f t="shared" ref="H1018:P1018" si="456">H1017/12</f>
        <v>44597.5</v>
      </c>
      <c r="I1018" s="80">
        <f t="shared" si="456"/>
        <v>0</v>
      </c>
      <c r="J1018" s="80">
        <f t="shared" si="456"/>
        <v>73</v>
      </c>
      <c r="K1018" s="80">
        <f t="shared" si="456"/>
        <v>2795.5</v>
      </c>
      <c r="L1018" s="80">
        <f t="shared" si="456"/>
        <v>0</v>
      </c>
      <c r="M1018" s="80">
        <f t="shared" si="456"/>
        <v>0</v>
      </c>
      <c r="N1018" s="80">
        <f t="shared" si="456"/>
        <v>109.66666666666667</v>
      </c>
      <c r="O1018" s="80">
        <f>O1017/12</f>
        <v>319.16666666666669</v>
      </c>
      <c r="P1018" s="80">
        <f t="shared" si="456"/>
        <v>12</v>
      </c>
      <c r="Q1018" s="80">
        <f>Q1017/12</f>
        <v>1</v>
      </c>
      <c r="R1018" s="80">
        <f>R1017/12</f>
        <v>2</v>
      </c>
      <c r="S1018" s="80">
        <f>S1017/12</f>
        <v>95994.583333333328</v>
      </c>
      <c r="T1018" s="80">
        <f>T1017/12</f>
        <v>156</v>
      </c>
      <c r="U1018" s="80">
        <f t="shared" ref="U1018:Z1018" si="457">U1017/12</f>
        <v>905</v>
      </c>
      <c r="V1018" s="80">
        <f t="shared" si="457"/>
        <v>0</v>
      </c>
      <c r="W1018" s="80">
        <f t="shared" si="457"/>
        <v>0</v>
      </c>
      <c r="X1018" s="179">
        <f t="shared" si="457"/>
        <v>0</v>
      </c>
      <c r="Y1018" s="179">
        <f t="shared" si="457"/>
        <v>0</v>
      </c>
      <c r="Z1018" s="179">
        <f t="shared" si="457"/>
        <v>0</v>
      </c>
      <c r="AA1018" s="179">
        <f t="shared" si="454"/>
        <v>506484.5</v>
      </c>
      <c r="AB1018" s="180" t="str">
        <f t="shared" si="455"/>
        <v>ok</v>
      </c>
    </row>
    <row r="1019" spans="1:29" s="178" customFormat="1" x14ac:dyDescent="0.25">
      <c r="A1019" s="61" t="s">
        <v>129</v>
      </c>
      <c r="B1019" s="61"/>
      <c r="C1019" s="61"/>
      <c r="D1019" s="61"/>
      <c r="E1019" s="61"/>
      <c r="F1019" s="80">
        <v>506484.5</v>
      </c>
      <c r="G1019" s="113">
        <f>G1018</f>
        <v>361519.08333333331</v>
      </c>
      <c r="H1019" s="113">
        <f t="shared" ref="H1019:M1019" si="458">H1018</f>
        <v>44597.5</v>
      </c>
      <c r="I1019" s="113">
        <f t="shared" si="458"/>
        <v>0</v>
      </c>
      <c r="J1019" s="113">
        <f t="shared" si="458"/>
        <v>73</v>
      </c>
      <c r="K1019" s="113">
        <f t="shared" si="458"/>
        <v>2795.5</v>
      </c>
      <c r="L1019" s="113">
        <f t="shared" si="458"/>
        <v>0</v>
      </c>
      <c r="M1019" s="113">
        <f t="shared" si="458"/>
        <v>0</v>
      </c>
      <c r="N1019" s="113">
        <f t="shared" ref="N1019:T1019" si="459">N1018</f>
        <v>109.66666666666667</v>
      </c>
      <c r="O1019" s="113">
        <f>O1018</f>
        <v>319.16666666666669</v>
      </c>
      <c r="P1019" s="113">
        <f t="shared" si="459"/>
        <v>12</v>
      </c>
      <c r="Q1019" s="113">
        <f t="shared" si="459"/>
        <v>1</v>
      </c>
      <c r="R1019" s="113">
        <f t="shared" si="459"/>
        <v>2</v>
      </c>
      <c r="S1019" s="113">
        <f t="shared" si="459"/>
        <v>95994.583333333328</v>
      </c>
      <c r="T1019" s="113">
        <f t="shared" si="459"/>
        <v>156</v>
      </c>
      <c r="U1019" s="113">
        <f t="shared" ref="U1019:Z1020" si="460">U1018</f>
        <v>905</v>
      </c>
      <c r="V1019" s="113">
        <f t="shared" si="460"/>
        <v>0</v>
      </c>
      <c r="W1019" s="113">
        <f t="shared" si="460"/>
        <v>0</v>
      </c>
      <c r="X1019" s="183">
        <f t="shared" si="460"/>
        <v>0</v>
      </c>
      <c r="Y1019" s="183">
        <f t="shared" si="460"/>
        <v>0</v>
      </c>
      <c r="Z1019" s="183">
        <f t="shared" si="460"/>
        <v>0</v>
      </c>
      <c r="AA1019" s="179">
        <f t="shared" si="454"/>
        <v>506484.5</v>
      </c>
      <c r="AB1019" s="180" t="str">
        <f t="shared" si="455"/>
        <v>ok</v>
      </c>
    </row>
    <row r="1020" spans="1:29" s="178" customFormat="1" x14ac:dyDescent="0.25">
      <c r="A1020" s="61" t="s">
        <v>1366</v>
      </c>
      <c r="B1020" s="61"/>
      <c r="C1020" s="61"/>
      <c r="D1020" s="61" t="s">
        <v>157</v>
      </c>
      <c r="E1020" s="61"/>
      <c r="F1020" s="80">
        <v>486876.37037037039</v>
      </c>
      <c r="G1020" s="113">
        <f>G1019</f>
        <v>361519.08333333331</v>
      </c>
      <c r="H1020" s="113">
        <f>H1019*2</f>
        <v>89195</v>
      </c>
      <c r="I1020" s="113">
        <f>I1019*2</f>
        <v>0</v>
      </c>
      <c r="J1020" s="113">
        <f>J1019*5</f>
        <v>365</v>
      </c>
      <c r="K1020" s="113">
        <f>K1019*5</f>
        <v>13977.5</v>
      </c>
      <c r="L1020" s="113">
        <f>L1019*25</f>
        <v>0</v>
      </c>
      <c r="M1020" s="113">
        <f>M1019*25</f>
        <v>0</v>
      </c>
      <c r="N1020" s="113">
        <f>N1019*25</f>
        <v>2741.666666666667</v>
      </c>
      <c r="O1020" s="113">
        <f>O1019*25</f>
        <v>7979.166666666667</v>
      </c>
      <c r="P1020" s="113">
        <f>P1019*25</f>
        <v>300</v>
      </c>
      <c r="Q1020" s="113">
        <f>Q1019*5</f>
        <v>5</v>
      </c>
      <c r="R1020" s="113">
        <f>R1019*5</f>
        <v>10</v>
      </c>
      <c r="S1020" s="113">
        <f>S1019*(1/9)</f>
        <v>10666.064814814814</v>
      </c>
      <c r="T1020" s="113">
        <f>T1019*(1/9)</f>
        <v>17.333333333333332</v>
      </c>
      <c r="U1020" s="113">
        <f>U1019*(1/9)</f>
        <v>100.55555555555554</v>
      </c>
      <c r="V1020" s="113">
        <f t="shared" si="460"/>
        <v>0</v>
      </c>
      <c r="W1020" s="113">
        <f t="shared" si="460"/>
        <v>0</v>
      </c>
      <c r="X1020" s="183">
        <f t="shared" si="460"/>
        <v>0</v>
      </c>
      <c r="Y1020" s="183">
        <f t="shared" si="460"/>
        <v>0</v>
      </c>
      <c r="Z1020" s="183">
        <f t="shared" si="460"/>
        <v>0</v>
      </c>
      <c r="AA1020" s="179">
        <f t="shared" si="454"/>
        <v>486876.37037037039</v>
      </c>
      <c r="AB1020" s="180" t="str">
        <f t="shared" si="455"/>
        <v>ok</v>
      </c>
    </row>
    <row r="1021" spans="1:29" s="178" customFormat="1" x14ac:dyDescent="0.25">
      <c r="A1021" s="61" t="s">
        <v>1109</v>
      </c>
      <c r="B1021" s="61"/>
      <c r="C1021" s="61"/>
      <c r="D1021" s="61" t="s">
        <v>132</v>
      </c>
      <c r="E1021" s="61"/>
      <c r="F1021" s="80">
        <v>95994.583333333328</v>
      </c>
      <c r="G1021" s="61"/>
      <c r="H1021" s="61"/>
      <c r="I1021" s="61"/>
      <c r="J1021" s="61"/>
      <c r="K1021" s="113"/>
      <c r="L1021" s="80">
        <v>0</v>
      </c>
      <c r="M1021" s="61"/>
      <c r="N1021" s="113">
        <v>0</v>
      </c>
      <c r="O1021" s="113">
        <v>0</v>
      </c>
      <c r="P1021" s="113">
        <v>0</v>
      </c>
      <c r="Q1021" s="113">
        <v>0</v>
      </c>
      <c r="R1021" s="113">
        <v>0</v>
      </c>
      <c r="S1021" s="113">
        <f>S1018</f>
        <v>95994.583333333328</v>
      </c>
      <c r="T1021" s="113"/>
      <c r="U1021" s="113"/>
      <c r="V1021" s="113"/>
      <c r="W1021" s="113"/>
      <c r="X1021" s="183"/>
      <c r="Y1021" s="183"/>
      <c r="Z1021" s="183"/>
      <c r="AA1021" s="179">
        <f t="shared" si="454"/>
        <v>95994.583333333328</v>
      </c>
      <c r="AB1021" s="180" t="str">
        <f t="shared" si="455"/>
        <v>ok</v>
      </c>
    </row>
    <row r="1022" spans="1:29" s="178" customFormat="1" x14ac:dyDescent="0.25">
      <c r="A1022" s="61" t="s">
        <v>156</v>
      </c>
      <c r="B1022" s="61"/>
      <c r="C1022" s="61"/>
      <c r="D1022" s="61" t="s">
        <v>131</v>
      </c>
      <c r="E1022" s="61"/>
      <c r="F1022" s="80">
        <v>506484.5</v>
      </c>
      <c r="G1022" s="113">
        <f>G1019</f>
        <v>361519.08333333331</v>
      </c>
      <c r="H1022" s="113">
        <f>H1019</f>
        <v>44597.5</v>
      </c>
      <c r="I1022" s="113">
        <f>I1019</f>
        <v>0</v>
      </c>
      <c r="J1022" s="113">
        <f>J1019</f>
        <v>73</v>
      </c>
      <c r="K1022" s="113">
        <f t="shared" ref="K1022:W1022" si="461">K1019</f>
        <v>2795.5</v>
      </c>
      <c r="L1022" s="113">
        <f t="shared" si="461"/>
        <v>0</v>
      </c>
      <c r="M1022" s="113">
        <f t="shared" si="461"/>
        <v>0</v>
      </c>
      <c r="N1022" s="113">
        <f t="shared" si="461"/>
        <v>109.66666666666667</v>
      </c>
      <c r="O1022" s="113">
        <f>O1019</f>
        <v>319.16666666666669</v>
      </c>
      <c r="P1022" s="113">
        <f t="shared" si="461"/>
        <v>12</v>
      </c>
      <c r="Q1022" s="113">
        <f t="shared" si="461"/>
        <v>1</v>
      </c>
      <c r="R1022" s="113">
        <f t="shared" si="461"/>
        <v>2</v>
      </c>
      <c r="S1022" s="113">
        <f t="shared" si="461"/>
        <v>95994.583333333328</v>
      </c>
      <c r="T1022" s="113">
        <f t="shared" si="461"/>
        <v>156</v>
      </c>
      <c r="U1022" s="113">
        <f t="shared" si="461"/>
        <v>905</v>
      </c>
      <c r="V1022" s="113">
        <f t="shared" si="461"/>
        <v>0</v>
      </c>
      <c r="W1022" s="113">
        <f t="shared" si="461"/>
        <v>0</v>
      </c>
      <c r="X1022" s="183">
        <f>X1020</f>
        <v>0</v>
      </c>
      <c r="Y1022" s="183">
        <f>Y1020</f>
        <v>0</v>
      </c>
      <c r="Z1022" s="183">
        <f>Z1020</f>
        <v>0</v>
      </c>
      <c r="AA1022" s="179">
        <f t="shared" si="454"/>
        <v>506484.5</v>
      </c>
      <c r="AB1022" s="180" t="str">
        <f t="shared" si="455"/>
        <v>ok</v>
      </c>
    </row>
    <row r="1023" spans="1:29" s="178" customFormat="1" x14ac:dyDescent="0.25">
      <c r="A1023" s="61" t="s">
        <v>1367</v>
      </c>
      <c r="B1023" s="61"/>
      <c r="C1023" s="61"/>
      <c r="D1023" s="61" t="s">
        <v>158</v>
      </c>
      <c r="E1023" s="61"/>
      <c r="F1023" s="80">
        <v>420212.87037037039</v>
      </c>
      <c r="G1023" s="113">
        <f>G1019</f>
        <v>361519.08333333331</v>
      </c>
      <c r="H1023" s="113">
        <f t="shared" ref="H1023:N1023" si="462">H1019</f>
        <v>44597.5</v>
      </c>
      <c r="I1023" s="113">
        <f t="shared" si="462"/>
        <v>0</v>
      </c>
      <c r="J1023" s="113">
        <f t="shared" si="462"/>
        <v>73</v>
      </c>
      <c r="K1023" s="113">
        <f t="shared" si="462"/>
        <v>2795.5</v>
      </c>
      <c r="L1023" s="113">
        <f t="shared" si="462"/>
        <v>0</v>
      </c>
      <c r="M1023" s="113">
        <f t="shared" si="462"/>
        <v>0</v>
      </c>
      <c r="N1023" s="113">
        <f t="shared" si="462"/>
        <v>109.66666666666667</v>
      </c>
      <c r="O1023" s="113">
        <f>O1022</f>
        <v>319.16666666666669</v>
      </c>
      <c r="P1023" s="113">
        <f>P1022</f>
        <v>12</v>
      </c>
      <c r="Q1023" s="113">
        <f t="shared" ref="Q1023:W1023" si="463">Q1022</f>
        <v>1</v>
      </c>
      <c r="R1023" s="113">
        <f t="shared" si="463"/>
        <v>2</v>
      </c>
      <c r="S1023" s="113">
        <f>S1022/9</f>
        <v>10666.064814814814</v>
      </c>
      <c r="T1023" s="113">
        <f>T1022/9</f>
        <v>17.333333333333332</v>
      </c>
      <c r="U1023" s="113">
        <f>U1022/9</f>
        <v>100.55555555555556</v>
      </c>
      <c r="V1023" s="113">
        <f t="shared" si="463"/>
        <v>0</v>
      </c>
      <c r="W1023" s="113">
        <f t="shared" si="463"/>
        <v>0</v>
      </c>
      <c r="X1023" s="183"/>
      <c r="Y1023" s="183"/>
      <c r="Z1023" s="183"/>
      <c r="AA1023" s="179">
        <f t="shared" si="454"/>
        <v>420212.87037037039</v>
      </c>
      <c r="AB1023" s="180" t="str">
        <f t="shared" si="455"/>
        <v>ok</v>
      </c>
    </row>
    <row r="1024" spans="1:29" s="178" customFormat="1" x14ac:dyDescent="0.25">
      <c r="A1024" s="61" t="s">
        <v>898</v>
      </c>
      <c r="B1024" s="61"/>
      <c r="C1024" s="61"/>
      <c r="D1024" s="61" t="s">
        <v>706</v>
      </c>
      <c r="E1024" s="61"/>
      <c r="F1024" s="80">
        <v>416900.53703703702</v>
      </c>
      <c r="G1024" s="113">
        <f>G1023</f>
        <v>361519.08333333331</v>
      </c>
      <c r="H1024" s="113">
        <f>H1023</f>
        <v>44597.5</v>
      </c>
      <c r="I1024" s="113">
        <f>I1023</f>
        <v>0</v>
      </c>
      <c r="J1024" s="113">
        <v>0</v>
      </c>
      <c r="K1024" s="113">
        <v>0</v>
      </c>
      <c r="L1024" s="113">
        <v>0</v>
      </c>
      <c r="M1024" s="113">
        <v>0</v>
      </c>
      <c r="N1024" s="113">
        <v>0</v>
      </c>
      <c r="O1024" s="113">
        <v>0</v>
      </c>
      <c r="P1024" s="113">
        <v>0</v>
      </c>
      <c r="Q1024" s="113">
        <v>0</v>
      </c>
      <c r="R1024" s="113">
        <v>0</v>
      </c>
      <c r="S1024" s="113">
        <f>S1022/9</f>
        <v>10666.064814814814</v>
      </c>
      <c r="T1024" s="113">
        <f>T1022/9</f>
        <v>17.333333333333332</v>
      </c>
      <c r="U1024" s="113">
        <f>U1022/9</f>
        <v>100.55555555555556</v>
      </c>
      <c r="V1024" s="113">
        <v>0</v>
      </c>
      <c r="W1024" s="113">
        <f>W1023</f>
        <v>0</v>
      </c>
      <c r="X1024" s="183"/>
      <c r="Y1024" s="183"/>
      <c r="Z1024" s="183"/>
      <c r="AA1024" s="179">
        <f>SUM(G1024:Z1024)</f>
        <v>416900.53703703702</v>
      </c>
      <c r="AB1024" s="180" t="str">
        <f t="shared" si="455"/>
        <v>ok</v>
      </c>
    </row>
    <row r="1025" spans="1:29" s="178" customFormat="1" x14ac:dyDescent="0.25">
      <c r="A1025" s="61" t="s">
        <v>899</v>
      </c>
      <c r="B1025" s="61"/>
      <c r="C1025" s="61"/>
      <c r="D1025" s="61" t="s">
        <v>707</v>
      </c>
      <c r="E1025" s="61"/>
      <c r="F1025" s="80">
        <v>420200.87037037039</v>
      </c>
      <c r="G1025" s="113">
        <f>G1022</f>
        <v>361519.08333333331</v>
      </c>
      <c r="H1025" s="113">
        <f t="shared" ref="H1025:R1025" si="464">H1022</f>
        <v>44597.5</v>
      </c>
      <c r="I1025" s="113">
        <f t="shared" si="464"/>
        <v>0</v>
      </c>
      <c r="J1025" s="113">
        <f t="shared" si="464"/>
        <v>73</v>
      </c>
      <c r="K1025" s="113">
        <f t="shared" si="464"/>
        <v>2795.5</v>
      </c>
      <c r="L1025" s="113">
        <f t="shared" si="464"/>
        <v>0</v>
      </c>
      <c r="M1025" s="113">
        <f t="shared" si="464"/>
        <v>0</v>
      </c>
      <c r="N1025" s="113">
        <f t="shared" si="464"/>
        <v>109.66666666666667</v>
      </c>
      <c r="O1025" s="113">
        <f t="shared" si="464"/>
        <v>319.16666666666669</v>
      </c>
      <c r="P1025" s="113">
        <v>0</v>
      </c>
      <c r="Q1025" s="113">
        <f t="shared" si="464"/>
        <v>1</v>
      </c>
      <c r="R1025" s="113">
        <f t="shared" si="464"/>
        <v>2</v>
      </c>
      <c r="S1025" s="113">
        <f>S1022/9</f>
        <v>10666.064814814814</v>
      </c>
      <c r="T1025" s="113">
        <f>T1022/9</f>
        <v>17.333333333333332</v>
      </c>
      <c r="U1025" s="113">
        <f>U1022/9</f>
        <v>100.55555555555556</v>
      </c>
      <c r="V1025" s="113">
        <f>V1022</f>
        <v>0</v>
      </c>
      <c r="W1025" s="113">
        <f>W1022</f>
        <v>0</v>
      </c>
      <c r="X1025" s="183">
        <f>X1024</f>
        <v>0</v>
      </c>
      <c r="Y1025" s="183">
        <f>Y1024</f>
        <v>0</v>
      </c>
      <c r="Z1025" s="183">
        <f>Z1024</f>
        <v>0</v>
      </c>
      <c r="AA1025" s="179">
        <f>SUM(G1025:Z1025)</f>
        <v>420200.87037037039</v>
      </c>
      <c r="AB1025" s="180" t="str">
        <f t="shared" si="455"/>
        <v>ok</v>
      </c>
    </row>
    <row r="1026" spans="1:29" s="178" customFormat="1" x14ac:dyDescent="0.25">
      <c r="A1026" s="61" t="s">
        <v>1376</v>
      </c>
      <c r="B1026" s="61"/>
      <c r="C1026" s="61"/>
      <c r="D1026" s="61" t="s">
        <v>1377</v>
      </c>
      <c r="E1026" s="61"/>
      <c r="F1026" s="80">
        <v>420015.20370370371</v>
      </c>
      <c r="G1026" s="113">
        <f>G1025</f>
        <v>361519.08333333331</v>
      </c>
      <c r="H1026" s="113">
        <f>H1025</f>
        <v>44597.5</v>
      </c>
      <c r="I1026" s="113">
        <f>I1025</f>
        <v>0</v>
      </c>
      <c r="J1026" s="113"/>
      <c r="K1026" s="113">
        <f>K1025</f>
        <v>2795.5</v>
      </c>
      <c r="L1026" s="113"/>
      <c r="M1026" s="113"/>
      <c r="N1026" s="113"/>
      <c r="O1026" s="113">
        <f>O1025</f>
        <v>319.16666666666669</v>
      </c>
      <c r="P1026" s="113"/>
      <c r="Q1026" s="113"/>
      <c r="R1026" s="113"/>
      <c r="S1026" s="113">
        <f>S1025</f>
        <v>10666.064814814814</v>
      </c>
      <c r="T1026" s="113">
        <f>T1025</f>
        <v>17.333333333333332</v>
      </c>
      <c r="U1026" s="113">
        <f>U1025</f>
        <v>100.55555555555556</v>
      </c>
      <c r="V1026" s="113"/>
      <c r="W1026" s="113"/>
      <c r="X1026" s="183"/>
      <c r="Y1026" s="183"/>
      <c r="Z1026" s="183"/>
      <c r="AA1026" s="179">
        <f>SUM(G1026:Z1026)</f>
        <v>420015.20370370371</v>
      </c>
      <c r="AB1026" s="180" t="str">
        <f>IF(ABS(F1026-AA1026)&lt;0.01,"ok","err")</f>
        <v>ok</v>
      </c>
    </row>
    <row r="1027" spans="1:29" s="178" customFormat="1" x14ac:dyDescent="0.25">
      <c r="A1027" s="61"/>
      <c r="B1027" s="61"/>
      <c r="C1027" s="61"/>
      <c r="D1027" s="61"/>
      <c r="E1027" s="61"/>
      <c r="F1027" s="80"/>
      <c r="G1027" s="113"/>
      <c r="H1027" s="113"/>
      <c r="I1027" s="113"/>
      <c r="J1027" s="113"/>
      <c r="K1027" s="113"/>
      <c r="L1027" s="113"/>
      <c r="M1027" s="113"/>
      <c r="N1027" s="113"/>
      <c r="O1027" s="113"/>
      <c r="P1027" s="113"/>
      <c r="Q1027" s="113"/>
      <c r="R1027" s="113"/>
      <c r="S1027" s="113"/>
      <c r="T1027" s="113"/>
      <c r="U1027" s="113"/>
      <c r="V1027" s="113"/>
      <c r="W1027" s="113"/>
      <c r="X1027" s="183"/>
      <c r="Y1027" s="183"/>
      <c r="Z1027" s="183"/>
      <c r="AA1027" s="179"/>
      <c r="AB1027" s="180"/>
    </row>
    <row r="1028" spans="1:29" s="178" customFormat="1" x14ac:dyDescent="0.25">
      <c r="A1028" s="66" t="s">
        <v>910</v>
      </c>
      <c r="B1028" s="61"/>
      <c r="C1028" s="61"/>
      <c r="D1028" s="61"/>
      <c r="E1028" s="61"/>
      <c r="F1028" s="80"/>
      <c r="G1028" s="80"/>
      <c r="H1028" s="80"/>
      <c r="I1028" s="80"/>
      <c r="J1028" s="80"/>
      <c r="K1028" s="80"/>
      <c r="L1028" s="80"/>
      <c r="M1028" s="80"/>
      <c r="N1028" s="80"/>
      <c r="O1028" s="80"/>
      <c r="P1028" s="80"/>
      <c r="Q1028" s="80"/>
      <c r="R1028" s="80"/>
      <c r="S1028" s="80"/>
      <c r="T1028" s="80"/>
      <c r="U1028" s="80"/>
      <c r="V1028" s="80"/>
      <c r="W1028" s="80"/>
      <c r="X1028" s="179"/>
      <c r="Y1028" s="179"/>
      <c r="Z1028" s="179"/>
      <c r="AA1028" s="179"/>
      <c r="AB1028" s="180"/>
    </row>
    <row r="1029" spans="1:29" s="178" customFormat="1" x14ac:dyDescent="0.25">
      <c r="A1029" s="61" t="s">
        <v>1373</v>
      </c>
      <c r="B1029" s="61"/>
      <c r="C1029" s="61"/>
      <c r="D1029" s="61"/>
      <c r="E1029" s="61"/>
      <c r="F1029" s="80">
        <v>506484.5</v>
      </c>
      <c r="G1029" s="80">
        <f>G1018</f>
        <v>361519.08333333331</v>
      </c>
      <c r="H1029" s="80">
        <f t="shared" ref="H1029:R1029" si="465">H1018</f>
        <v>44597.5</v>
      </c>
      <c r="I1029" s="80">
        <f t="shared" si="465"/>
        <v>0</v>
      </c>
      <c r="J1029" s="80">
        <f t="shared" si="465"/>
        <v>73</v>
      </c>
      <c r="K1029" s="80">
        <f t="shared" si="465"/>
        <v>2795.5</v>
      </c>
      <c r="L1029" s="80">
        <f t="shared" si="465"/>
        <v>0</v>
      </c>
      <c r="M1029" s="80">
        <f t="shared" si="465"/>
        <v>0</v>
      </c>
      <c r="N1029" s="80">
        <f t="shared" si="465"/>
        <v>109.66666666666667</v>
      </c>
      <c r="O1029" s="80">
        <f t="shared" si="465"/>
        <v>319.16666666666669</v>
      </c>
      <c r="P1029" s="80">
        <f t="shared" si="465"/>
        <v>12</v>
      </c>
      <c r="Q1029" s="80">
        <f t="shared" si="465"/>
        <v>1</v>
      </c>
      <c r="R1029" s="80">
        <f t="shared" si="465"/>
        <v>2</v>
      </c>
      <c r="S1029" s="80">
        <f>S1018</f>
        <v>95994.583333333328</v>
      </c>
      <c r="T1029" s="80">
        <f>T1018</f>
        <v>156</v>
      </c>
      <c r="U1029" s="80">
        <f>U1018</f>
        <v>905</v>
      </c>
      <c r="V1029" s="80">
        <v>0</v>
      </c>
      <c r="W1029" s="80">
        <v>0</v>
      </c>
      <c r="X1029" s="179">
        <v>0</v>
      </c>
      <c r="Y1029" s="179">
        <v>0</v>
      </c>
      <c r="Z1029" s="179">
        <v>0</v>
      </c>
      <c r="AA1029" s="179">
        <f t="shared" ref="AA1029:AA1034" si="466">SUM(G1029:Z1029)</f>
        <v>506484.5</v>
      </c>
      <c r="AB1029" s="180" t="str">
        <f t="shared" ref="AB1029:AB1036" si="467">IF(ABS(F1029-AA1029)&lt;0.01,"ok","err")</f>
        <v>ok</v>
      </c>
    </row>
    <row r="1030" spans="1:29" s="178" customFormat="1" x14ac:dyDescent="0.25">
      <c r="A1030" s="61" t="s">
        <v>1374</v>
      </c>
      <c r="B1030" s="61"/>
      <c r="C1030" s="61"/>
      <c r="D1030" s="61"/>
      <c r="E1030" s="61"/>
      <c r="F1030" s="80">
        <v>421155.98148148152</v>
      </c>
      <c r="G1030" s="113">
        <f>G1029</f>
        <v>361519.08333333331</v>
      </c>
      <c r="H1030" s="113">
        <f t="shared" ref="H1030:U1030" si="468">H1029</f>
        <v>44597.5</v>
      </c>
      <c r="I1030" s="113">
        <f t="shared" si="468"/>
        <v>0</v>
      </c>
      <c r="J1030" s="113">
        <f t="shared" si="468"/>
        <v>73</v>
      </c>
      <c r="K1030" s="113">
        <f t="shared" si="468"/>
        <v>2795.5</v>
      </c>
      <c r="L1030" s="113">
        <f t="shared" si="468"/>
        <v>0</v>
      </c>
      <c r="M1030" s="113">
        <f t="shared" si="468"/>
        <v>0</v>
      </c>
      <c r="N1030" s="113">
        <f t="shared" si="468"/>
        <v>109.66666666666667</v>
      </c>
      <c r="O1030" s="113">
        <f t="shared" si="468"/>
        <v>319.16666666666669</v>
      </c>
      <c r="P1030" s="113">
        <f t="shared" si="468"/>
        <v>12</v>
      </c>
      <c r="Q1030" s="113">
        <f t="shared" si="468"/>
        <v>1</v>
      </c>
      <c r="R1030" s="113">
        <f t="shared" si="468"/>
        <v>2</v>
      </c>
      <c r="S1030" s="113">
        <f>S1029/9</f>
        <v>10666.064814814814</v>
      </c>
      <c r="T1030" s="113">
        <f t="shared" si="468"/>
        <v>156</v>
      </c>
      <c r="U1030" s="113">
        <f t="shared" si="468"/>
        <v>905</v>
      </c>
      <c r="V1030" s="113">
        <f t="shared" ref="V1030:Z1031" si="469">V1029</f>
        <v>0</v>
      </c>
      <c r="W1030" s="113">
        <f t="shared" si="469"/>
        <v>0</v>
      </c>
      <c r="X1030" s="183">
        <f t="shared" si="469"/>
        <v>0</v>
      </c>
      <c r="Y1030" s="183">
        <f t="shared" si="469"/>
        <v>0</v>
      </c>
      <c r="Z1030" s="183">
        <f t="shared" si="469"/>
        <v>0</v>
      </c>
      <c r="AA1030" s="179">
        <f t="shared" si="466"/>
        <v>421155.98148148152</v>
      </c>
      <c r="AB1030" s="180" t="str">
        <f t="shared" si="467"/>
        <v>ok</v>
      </c>
    </row>
    <row r="1031" spans="1:29" s="178" customFormat="1" x14ac:dyDescent="0.25">
      <c r="A1031" s="61" t="s">
        <v>1375</v>
      </c>
      <c r="B1031" s="61"/>
      <c r="C1031" s="61"/>
      <c r="D1031" s="61"/>
      <c r="E1031" s="61"/>
      <c r="F1031" s="80">
        <v>486876.37037037039</v>
      </c>
      <c r="G1031" s="113">
        <f>G1020</f>
        <v>361519.08333333331</v>
      </c>
      <c r="H1031" s="113">
        <f>H1030*2</f>
        <v>89195</v>
      </c>
      <c r="I1031" s="113">
        <f>I1030*2</f>
        <v>0</v>
      </c>
      <c r="J1031" s="113">
        <f>J1030*5</f>
        <v>365</v>
      </c>
      <c r="K1031" s="113">
        <f>K1030*5</f>
        <v>13977.5</v>
      </c>
      <c r="L1031" s="113">
        <f>L1030*25</f>
        <v>0</v>
      </c>
      <c r="M1031" s="113">
        <f>M1030*25</f>
        <v>0</v>
      </c>
      <c r="N1031" s="113">
        <f>N1030*25</f>
        <v>2741.666666666667</v>
      </c>
      <c r="O1031" s="113">
        <f>O1030*25</f>
        <v>7979.166666666667</v>
      </c>
      <c r="P1031" s="113">
        <f>P1030*25</f>
        <v>300</v>
      </c>
      <c r="Q1031" s="113">
        <f>Q1030*5</f>
        <v>5</v>
      </c>
      <c r="R1031" s="113">
        <f>R1030*5</f>
        <v>10</v>
      </c>
      <c r="S1031" s="113">
        <f>S1030</f>
        <v>10666.064814814814</v>
      </c>
      <c r="T1031" s="113">
        <f>T1030*1/9</f>
        <v>17.333333333333332</v>
      </c>
      <c r="U1031" s="113">
        <f>U1030*1/9</f>
        <v>100.55555555555556</v>
      </c>
      <c r="V1031" s="113">
        <f t="shared" si="469"/>
        <v>0</v>
      </c>
      <c r="W1031" s="113">
        <f t="shared" si="469"/>
        <v>0</v>
      </c>
      <c r="X1031" s="183">
        <f t="shared" si="469"/>
        <v>0</v>
      </c>
      <c r="Y1031" s="183">
        <f t="shared" si="469"/>
        <v>0</v>
      </c>
      <c r="Z1031" s="183">
        <f t="shared" si="469"/>
        <v>0</v>
      </c>
      <c r="AA1031" s="179">
        <f t="shared" si="466"/>
        <v>486876.37037037039</v>
      </c>
      <c r="AB1031" s="180" t="str">
        <f t="shared" si="467"/>
        <v>ok</v>
      </c>
    </row>
    <row r="1032" spans="1:29" s="178" customFormat="1" x14ac:dyDescent="0.25">
      <c r="A1032" s="112" t="s">
        <v>635</v>
      </c>
      <c r="B1032" s="61"/>
      <c r="C1032" s="61"/>
      <c r="D1032" s="61"/>
      <c r="E1032" s="61"/>
      <c r="F1032" s="113">
        <v>99670957.681538463</v>
      </c>
      <c r="G1032" s="61"/>
      <c r="H1032" s="61"/>
      <c r="I1032" s="61"/>
      <c r="J1032" s="61"/>
      <c r="K1032" s="113"/>
      <c r="L1032" s="80">
        <v>0</v>
      </c>
      <c r="M1032" s="61"/>
      <c r="N1032" s="113">
        <v>0</v>
      </c>
      <c r="O1032" s="113">
        <v>0</v>
      </c>
      <c r="P1032" s="113">
        <v>0</v>
      </c>
      <c r="Q1032" s="113">
        <v>0</v>
      </c>
      <c r="R1032" s="113">
        <v>0</v>
      </c>
      <c r="S1032" s="113">
        <f>Lighting!$O$8+Lighting!$O$7</f>
        <v>0</v>
      </c>
      <c r="T1032" s="113">
        <v>0</v>
      </c>
      <c r="U1032" s="113"/>
      <c r="V1032" s="113">
        <v>0</v>
      </c>
      <c r="W1032" s="113">
        <v>0</v>
      </c>
      <c r="X1032" s="183"/>
      <c r="Y1032" s="183"/>
      <c r="Z1032" s="183"/>
      <c r="AA1032" s="179">
        <f t="shared" si="466"/>
        <v>0</v>
      </c>
      <c r="AB1032" s="180" t="str">
        <f t="shared" si="467"/>
        <v>err</v>
      </c>
    </row>
    <row r="1033" spans="1:29" s="178" customFormat="1" x14ac:dyDescent="0.25">
      <c r="A1033" s="61" t="s">
        <v>156</v>
      </c>
      <c r="B1033" s="61"/>
      <c r="C1033" s="61"/>
      <c r="D1033" s="61"/>
      <c r="E1033" s="61"/>
      <c r="F1033" s="80">
        <v>506484.5</v>
      </c>
      <c r="G1033" s="113">
        <f>G1029</f>
        <v>361519.08333333331</v>
      </c>
      <c r="H1033" s="113">
        <f>H1030</f>
        <v>44597.5</v>
      </c>
      <c r="I1033" s="113">
        <f>I1030</f>
        <v>0</v>
      </c>
      <c r="J1033" s="113">
        <f>J1030</f>
        <v>73</v>
      </c>
      <c r="K1033" s="113">
        <f t="shared" ref="K1033:W1033" si="470">K1030</f>
        <v>2795.5</v>
      </c>
      <c r="L1033" s="113">
        <f t="shared" si="470"/>
        <v>0</v>
      </c>
      <c r="M1033" s="113">
        <f t="shared" si="470"/>
        <v>0</v>
      </c>
      <c r="N1033" s="113">
        <f t="shared" si="470"/>
        <v>109.66666666666667</v>
      </c>
      <c r="O1033" s="113">
        <f>O1030</f>
        <v>319.16666666666669</v>
      </c>
      <c r="P1033" s="113">
        <f t="shared" si="470"/>
        <v>12</v>
      </c>
      <c r="Q1033" s="113">
        <f t="shared" si="470"/>
        <v>1</v>
      </c>
      <c r="R1033" s="113">
        <f t="shared" si="470"/>
        <v>2</v>
      </c>
      <c r="S1033" s="113">
        <f>S1029</f>
        <v>95994.583333333328</v>
      </c>
      <c r="T1033" s="113">
        <f t="shared" si="470"/>
        <v>156</v>
      </c>
      <c r="U1033" s="113">
        <f t="shared" si="470"/>
        <v>905</v>
      </c>
      <c r="V1033" s="113">
        <f t="shared" si="470"/>
        <v>0</v>
      </c>
      <c r="W1033" s="113">
        <f t="shared" si="470"/>
        <v>0</v>
      </c>
      <c r="X1033" s="183">
        <f>X1031</f>
        <v>0</v>
      </c>
      <c r="Y1033" s="183">
        <f>Y1031</f>
        <v>0</v>
      </c>
      <c r="Z1033" s="183">
        <f>Z1031</f>
        <v>0</v>
      </c>
      <c r="AA1033" s="179">
        <f t="shared" si="466"/>
        <v>506484.5</v>
      </c>
      <c r="AB1033" s="180" t="str">
        <f t="shared" si="467"/>
        <v>ok</v>
      </c>
    </row>
    <row r="1034" spans="1:29" s="178" customFormat="1" x14ac:dyDescent="0.25">
      <c r="A1034" s="61" t="s">
        <v>1367</v>
      </c>
      <c r="B1034" s="61"/>
      <c r="C1034" s="61"/>
      <c r="D1034" s="61"/>
      <c r="E1034" s="61"/>
      <c r="F1034" s="80">
        <v>420212.87037037039</v>
      </c>
      <c r="G1034" s="113">
        <f>G1030</f>
        <v>361519.08333333331</v>
      </c>
      <c r="H1034" s="113">
        <f t="shared" ref="H1034:N1034" si="471">H1030</f>
        <v>44597.5</v>
      </c>
      <c r="I1034" s="113">
        <f t="shared" si="471"/>
        <v>0</v>
      </c>
      <c r="J1034" s="113">
        <f t="shared" si="471"/>
        <v>73</v>
      </c>
      <c r="K1034" s="113">
        <f t="shared" si="471"/>
        <v>2795.5</v>
      </c>
      <c r="L1034" s="113">
        <f t="shared" si="471"/>
        <v>0</v>
      </c>
      <c r="M1034" s="113">
        <f t="shared" si="471"/>
        <v>0</v>
      </c>
      <c r="N1034" s="113">
        <f t="shared" si="471"/>
        <v>109.66666666666667</v>
      </c>
      <c r="O1034" s="113">
        <f>O1033</f>
        <v>319.16666666666669</v>
      </c>
      <c r="P1034" s="113">
        <f>P1033</f>
        <v>12</v>
      </c>
      <c r="Q1034" s="113">
        <f>Q1033</f>
        <v>1</v>
      </c>
      <c r="R1034" s="113">
        <f>R1033</f>
        <v>2</v>
      </c>
      <c r="S1034" s="113">
        <f>S1033/9</f>
        <v>10666.064814814814</v>
      </c>
      <c r="T1034" s="113">
        <f>T1033/9</f>
        <v>17.333333333333332</v>
      </c>
      <c r="U1034" s="113">
        <f>U1033/9</f>
        <v>100.55555555555556</v>
      </c>
      <c r="V1034" s="113">
        <f>V1033</f>
        <v>0</v>
      </c>
      <c r="W1034" s="113">
        <f>W1033</f>
        <v>0</v>
      </c>
      <c r="X1034" s="183"/>
      <c r="Y1034" s="183"/>
      <c r="Z1034" s="183"/>
      <c r="AA1034" s="179">
        <f t="shared" si="466"/>
        <v>420212.87037037039</v>
      </c>
      <c r="AB1034" s="180" t="str">
        <f t="shared" si="467"/>
        <v>ok</v>
      </c>
    </row>
    <row r="1035" spans="1:29" s="178" customFormat="1" x14ac:dyDescent="0.25">
      <c r="A1035" s="61" t="s">
        <v>898</v>
      </c>
      <c r="B1035" s="61"/>
      <c r="C1035" s="61"/>
      <c r="D1035" s="61"/>
      <c r="E1035" s="61"/>
      <c r="F1035" s="80">
        <v>420015.20370370371</v>
      </c>
      <c r="G1035" s="113">
        <f>G1034</f>
        <v>361519.08333333331</v>
      </c>
      <c r="H1035" s="113">
        <f>H1034</f>
        <v>44597.5</v>
      </c>
      <c r="I1035" s="113">
        <f>I1034</f>
        <v>0</v>
      </c>
      <c r="J1035" s="113">
        <v>0</v>
      </c>
      <c r="K1035" s="113">
        <f>K1034</f>
        <v>2795.5</v>
      </c>
      <c r="L1035" s="113">
        <v>0</v>
      </c>
      <c r="M1035" s="113">
        <v>0</v>
      </c>
      <c r="N1035" s="113">
        <v>0</v>
      </c>
      <c r="O1035" s="113">
        <f>O1034</f>
        <v>319.16666666666669</v>
      </c>
      <c r="P1035" s="113">
        <v>0</v>
      </c>
      <c r="Q1035" s="113">
        <v>0</v>
      </c>
      <c r="R1035" s="113">
        <v>0</v>
      </c>
      <c r="S1035" s="113">
        <f>S1034</f>
        <v>10666.064814814814</v>
      </c>
      <c r="T1035" s="113">
        <f>T1033/9</f>
        <v>17.333333333333332</v>
      </c>
      <c r="U1035" s="113">
        <f>U1033/9</f>
        <v>100.55555555555556</v>
      </c>
      <c r="V1035" s="113">
        <v>0</v>
      </c>
      <c r="W1035" s="113">
        <f>W1034</f>
        <v>0</v>
      </c>
      <c r="X1035" s="183"/>
      <c r="Y1035" s="183"/>
      <c r="Z1035" s="183"/>
      <c r="AA1035" s="179">
        <f>SUM(G1035:Z1035)</f>
        <v>420015.20370370371</v>
      </c>
      <c r="AB1035" s="180" t="str">
        <f t="shared" si="467"/>
        <v>ok</v>
      </c>
    </row>
    <row r="1036" spans="1:29" s="178" customFormat="1" x14ac:dyDescent="0.25">
      <c r="A1036" s="61" t="s">
        <v>899</v>
      </c>
      <c r="B1036" s="61"/>
      <c r="C1036" s="61"/>
      <c r="D1036" s="61"/>
      <c r="E1036" s="61"/>
      <c r="F1036" s="80">
        <v>420200.87037037039</v>
      </c>
      <c r="G1036" s="113">
        <f>G1034</f>
        <v>361519.08333333331</v>
      </c>
      <c r="H1036" s="113">
        <f t="shared" ref="H1036:Z1036" si="472">+H1029</f>
        <v>44597.5</v>
      </c>
      <c r="I1036" s="113">
        <f t="shared" si="472"/>
        <v>0</v>
      </c>
      <c r="J1036" s="113">
        <f t="shared" si="472"/>
        <v>73</v>
      </c>
      <c r="K1036" s="113">
        <f t="shared" si="472"/>
        <v>2795.5</v>
      </c>
      <c r="L1036" s="113">
        <f t="shared" si="472"/>
        <v>0</v>
      </c>
      <c r="M1036" s="113">
        <f t="shared" si="472"/>
        <v>0</v>
      </c>
      <c r="N1036" s="113">
        <f t="shared" si="472"/>
        <v>109.66666666666667</v>
      </c>
      <c r="O1036" s="113">
        <f t="shared" si="472"/>
        <v>319.16666666666669</v>
      </c>
      <c r="P1036" s="113">
        <v>0</v>
      </c>
      <c r="Q1036" s="113">
        <f t="shared" si="472"/>
        <v>1</v>
      </c>
      <c r="R1036" s="113">
        <f t="shared" si="472"/>
        <v>2</v>
      </c>
      <c r="S1036" s="113">
        <f>+S1029/9</f>
        <v>10666.064814814814</v>
      </c>
      <c r="T1036" s="113">
        <f>+T1029/9</f>
        <v>17.333333333333332</v>
      </c>
      <c r="U1036" s="113">
        <f>+U1029/9</f>
        <v>100.55555555555556</v>
      </c>
      <c r="V1036" s="113">
        <f t="shared" si="472"/>
        <v>0</v>
      </c>
      <c r="W1036" s="113">
        <f t="shared" si="472"/>
        <v>0</v>
      </c>
      <c r="X1036" s="183">
        <f t="shared" si="472"/>
        <v>0</v>
      </c>
      <c r="Y1036" s="183">
        <f t="shared" si="472"/>
        <v>0</v>
      </c>
      <c r="Z1036" s="183">
        <f t="shared" si="472"/>
        <v>0</v>
      </c>
      <c r="AA1036" s="179">
        <f>SUM(G1036:Z1036)</f>
        <v>420200.87037037039</v>
      </c>
      <c r="AB1036" s="180" t="str">
        <f t="shared" si="467"/>
        <v>ok</v>
      </c>
    </row>
    <row r="1037" spans="1:29" s="178" customFormat="1" x14ac:dyDescent="0.25">
      <c r="A1037" s="61" t="s">
        <v>1376</v>
      </c>
      <c r="B1037" s="61"/>
      <c r="C1037" s="61"/>
      <c r="D1037" s="61"/>
      <c r="E1037" s="61"/>
      <c r="F1037" s="80">
        <v>420015.20370370371</v>
      </c>
      <c r="G1037" s="113">
        <f>G1026</f>
        <v>361519.08333333331</v>
      </c>
      <c r="H1037" s="113">
        <f t="shared" ref="H1037:U1037" si="473">H1026</f>
        <v>44597.5</v>
      </c>
      <c r="I1037" s="113">
        <f t="shared" si="473"/>
        <v>0</v>
      </c>
      <c r="J1037" s="113">
        <f t="shared" si="473"/>
        <v>0</v>
      </c>
      <c r="K1037" s="113">
        <f t="shared" si="473"/>
        <v>2795.5</v>
      </c>
      <c r="L1037" s="113">
        <f t="shared" si="473"/>
        <v>0</v>
      </c>
      <c r="M1037" s="113">
        <f t="shared" si="473"/>
        <v>0</v>
      </c>
      <c r="N1037" s="113">
        <f t="shared" si="473"/>
        <v>0</v>
      </c>
      <c r="O1037" s="113">
        <f t="shared" si="473"/>
        <v>319.16666666666669</v>
      </c>
      <c r="P1037" s="113">
        <f t="shared" si="473"/>
        <v>0</v>
      </c>
      <c r="Q1037" s="113">
        <f t="shared" si="473"/>
        <v>0</v>
      </c>
      <c r="R1037" s="113">
        <f t="shared" si="473"/>
        <v>0</v>
      </c>
      <c r="S1037" s="113">
        <f t="shared" si="473"/>
        <v>10666.064814814814</v>
      </c>
      <c r="T1037" s="113">
        <f t="shared" si="473"/>
        <v>17.333333333333332</v>
      </c>
      <c r="U1037" s="113">
        <f t="shared" si="473"/>
        <v>100.55555555555556</v>
      </c>
      <c r="V1037" s="113"/>
      <c r="W1037" s="113"/>
      <c r="X1037" s="183"/>
      <c r="Y1037" s="183"/>
      <c r="Z1037" s="183"/>
      <c r="AA1037" s="179">
        <f>SUM(G1037:Z1037)</f>
        <v>420015.20370370371</v>
      </c>
      <c r="AB1037" s="180" t="str">
        <f>IF(ABS(F1037-AA1037)&lt;0.01,"ok","err")</f>
        <v>ok</v>
      </c>
    </row>
    <row r="1038" spans="1:29" s="178" customFormat="1" x14ac:dyDescent="0.25">
      <c r="A1038" s="61"/>
      <c r="B1038" s="61"/>
      <c r="C1038" s="61"/>
      <c r="D1038" s="61"/>
      <c r="E1038" s="61"/>
      <c r="F1038" s="80"/>
      <c r="G1038" s="113"/>
      <c r="H1038" s="113"/>
      <c r="I1038" s="113"/>
      <c r="J1038" s="113"/>
      <c r="K1038" s="113"/>
      <c r="L1038" s="113"/>
      <c r="M1038" s="113"/>
      <c r="N1038" s="113"/>
      <c r="O1038" s="113"/>
      <c r="P1038" s="113"/>
      <c r="Q1038" s="113"/>
      <c r="R1038" s="113"/>
      <c r="S1038" s="113"/>
      <c r="T1038" s="113"/>
      <c r="U1038" s="113"/>
      <c r="V1038" s="113"/>
      <c r="W1038" s="113"/>
      <c r="X1038" s="183"/>
      <c r="Y1038" s="183"/>
      <c r="Z1038" s="183"/>
      <c r="AA1038" s="179"/>
      <c r="AB1038" s="180"/>
    </row>
    <row r="1039" spans="1:29" s="178" customFormat="1" x14ac:dyDescent="0.25">
      <c r="A1039" s="60" t="s">
        <v>900</v>
      </c>
      <c r="B1039" s="61"/>
      <c r="C1039" s="61"/>
      <c r="D1039" s="61"/>
      <c r="E1039" s="61"/>
      <c r="F1039" s="61"/>
      <c r="G1039" s="61"/>
      <c r="H1039" s="61"/>
      <c r="I1039" s="61"/>
      <c r="J1039" s="61"/>
      <c r="K1039" s="61"/>
      <c r="L1039" s="61"/>
      <c r="M1039" s="61"/>
      <c r="N1039" s="61"/>
      <c r="O1039" s="61"/>
      <c r="P1039" s="61"/>
      <c r="Q1039" s="61"/>
      <c r="R1039" s="61"/>
      <c r="S1039" s="61"/>
      <c r="T1039" s="61"/>
      <c r="U1039" s="61"/>
      <c r="V1039" s="61"/>
      <c r="W1039" s="61"/>
    </row>
    <row r="1040" spans="1:29" s="178" customFormat="1" x14ac:dyDescent="0.25">
      <c r="A1040" s="61" t="s">
        <v>704</v>
      </c>
      <c r="B1040" s="61"/>
      <c r="C1040" s="61"/>
      <c r="D1040" s="61" t="s">
        <v>133</v>
      </c>
      <c r="E1040" s="61"/>
      <c r="F1040" s="370">
        <v>3106454.6996512827</v>
      </c>
      <c r="G1040" s="370">
        <v>1491488.3721648906</v>
      </c>
      <c r="H1040" s="370">
        <v>414954.32695748552</v>
      </c>
      <c r="I1040" s="370">
        <v>0</v>
      </c>
      <c r="J1040" s="370">
        <v>34975.727404350968</v>
      </c>
      <c r="K1040" s="370">
        <v>440624.74024789606</v>
      </c>
      <c r="L1040" s="370">
        <v>0</v>
      </c>
      <c r="M1040" s="370">
        <v>0</v>
      </c>
      <c r="N1040" s="370">
        <v>424412.25829706452</v>
      </c>
      <c r="O1040" s="370">
        <v>222353.33172337341</v>
      </c>
      <c r="P1040" s="370">
        <v>0</v>
      </c>
      <c r="Q1040" s="370">
        <v>24633.348110803403</v>
      </c>
      <c r="R1040" s="370">
        <v>12694.323129493037</v>
      </c>
      <c r="S1040" s="370">
        <v>38768.552518610246</v>
      </c>
      <c r="T1040" s="370">
        <v>1121.4872272036093</v>
      </c>
      <c r="U1040" s="370">
        <v>428.23187011173962</v>
      </c>
      <c r="V1040" s="80">
        <v>0</v>
      </c>
      <c r="W1040" s="80">
        <v>0</v>
      </c>
      <c r="X1040" s="179">
        <v>0</v>
      </c>
      <c r="Y1040" s="179">
        <v>0</v>
      </c>
      <c r="Z1040" s="179">
        <v>0</v>
      </c>
      <c r="AA1040" s="179">
        <f t="shared" ref="AA1040:AA1045" si="474">SUM(G1040:Z1040)</f>
        <v>3106454.6996512827</v>
      </c>
      <c r="AB1040" s="180" t="str">
        <f t="shared" ref="AB1040:AB1047" si="475">IF(ABS(F1040-AA1040)&lt;0.01,"ok","err")</f>
        <v>ok</v>
      </c>
      <c r="AC1040" s="183"/>
    </row>
    <row r="1041" spans="1:29" s="172" customFormat="1" x14ac:dyDescent="0.25">
      <c r="A1041" s="61" t="s">
        <v>1378</v>
      </c>
      <c r="B1041" s="61"/>
      <c r="C1041" s="61"/>
      <c r="D1041" s="61" t="s">
        <v>1379</v>
      </c>
      <c r="E1041" s="61"/>
      <c r="F1041" s="80">
        <v>4618461.0660214517</v>
      </c>
      <c r="G1041" s="80">
        <f>'Billing Det'!L8</f>
        <v>3260862.9911606209</v>
      </c>
      <c r="H1041" s="80">
        <f>'Billing Det'!L10+'Billing Det'!L12</f>
        <v>547290.08016966411</v>
      </c>
      <c r="I1041" s="80">
        <v>0</v>
      </c>
      <c r="J1041" s="80">
        <v>0</v>
      </c>
      <c r="K1041" s="80">
        <f>'Billing Det'!L16</f>
        <v>507998.12126947334</v>
      </c>
      <c r="L1041" s="80">
        <v>0</v>
      </c>
      <c r="M1041" s="80">
        <v>0</v>
      </c>
      <c r="N1041" s="80">
        <v>0</v>
      </c>
      <c r="O1041" s="80">
        <f>'Billing Det'!L22</f>
        <v>264853.28514974541</v>
      </c>
      <c r="P1041" s="80">
        <v>0</v>
      </c>
      <c r="Q1041" s="80">
        <v>0</v>
      </c>
      <c r="R1041" s="80">
        <v>0</v>
      </c>
      <c r="S1041" s="80">
        <f>'Billing Det'!L30</f>
        <v>36016.864101272986</v>
      </c>
      <c r="T1041" s="80">
        <f>'Billing Det'!L32</f>
        <v>1041.8870561163224</v>
      </c>
      <c r="U1041" s="80">
        <f>'Billing Det'!L34</f>
        <v>397.83711455940136</v>
      </c>
      <c r="V1041" s="80">
        <v>0</v>
      </c>
      <c r="W1041" s="80">
        <v>0</v>
      </c>
      <c r="X1041" s="168">
        <v>0</v>
      </c>
      <c r="Y1041" s="168">
        <v>0</v>
      </c>
      <c r="Z1041" s="168">
        <v>0</v>
      </c>
      <c r="AA1041" s="168">
        <f t="shared" si="474"/>
        <v>4618461.0660214527</v>
      </c>
      <c r="AB1041" s="171" t="str">
        <f t="shared" si="475"/>
        <v>ok</v>
      </c>
    </row>
    <row r="1042" spans="1:29" s="172" customFormat="1" x14ac:dyDescent="0.25">
      <c r="A1042" s="61" t="s">
        <v>684</v>
      </c>
      <c r="B1042" s="61"/>
      <c r="C1042" s="61"/>
      <c r="D1042" s="61" t="s">
        <v>685</v>
      </c>
      <c r="E1042" s="61"/>
      <c r="F1042" s="80">
        <v>3845609.6596022341</v>
      </c>
      <c r="G1042" s="80">
        <f>'Billing Det'!L8</f>
        <v>3260862.9911606209</v>
      </c>
      <c r="H1042" s="80">
        <f>'Billing Det'!L10+'Billing Det'!L12</f>
        <v>547290.08016966411</v>
      </c>
      <c r="I1042" s="80">
        <v>0</v>
      </c>
      <c r="J1042" s="80">
        <v>0</v>
      </c>
      <c r="K1042" s="80">
        <v>0</v>
      </c>
      <c r="L1042" s="80">
        <v>0</v>
      </c>
      <c r="M1042" s="80">
        <v>0</v>
      </c>
      <c r="N1042" s="80">
        <v>0</v>
      </c>
      <c r="O1042" s="80">
        <v>0</v>
      </c>
      <c r="P1042" s="80">
        <v>0</v>
      </c>
      <c r="Q1042" s="80">
        <v>0</v>
      </c>
      <c r="R1042" s="80">
        <v>0</v>
      </c>
      <c r="S1042" s="80">
        <f>'Billing Det'!L30</f>
        <v>36016.864101272986</v>
      </c>
      <c r="T1042" s="80">
        <f>'Billing Det'!L32</f>
        <v>1041.8870561163224</v>
      </c>
      <c r="U1042" s="80">
        <f>'Billing Det'!L34</f>
        <v>397.83711455940136</v>
      </c>
      <c r="V1042" s="80">
        <v>0</v>
      </c>
      <c r="W1042" s="80">
        <v>0</v>
      </c>
      <c r="X1042" s="168">
        <v>0</v>
      </c>
      <c r="Y1042" s="168">
        <v>0</v>
      </c>
      <c r="Z1042" s="168">
        <v>0</v>
      </c>
      <c r="AA1042" s="168">
        <f t="shared" si="474"/>
        <v>3845609.6596022341</v>
      </c>
      <c r="AB1042" s="171" t="str">
        <f t="shared" si="475"/>
        <v>ok</v>
      </c>
    </row>
    <row r="1043" spans="1:29" s="172" customFormat="1" x14ac:dyDescent="0.25">
      <c r="A1043" s="61" t="s">
        <v>871</v>
      </c>
      <c r="B1043" s="61"/>
      <c r="C1043" s="61"/>
      <c r="D1043" s="61" t="s">
        <v>178</v>
      </c>
      <c r="E1043" s="61"/>
      <c r="F1043" s="370">
        <v>2717415.4540113104</v>
      </c>
      <c r="G1043" s="370">
        <v>1289234.2673675411</v>
      </c>
      <c r="H1043" s="370">
        <v>375649.50700073724</v>
      </c>
      <c r="I1043" s="370">
        <v>0</v>
      </c>
      <c r="J1043" s="370">
        <v>31373.858852704318</v>
      </c>
      <c r="K1043" s="370">
        <v>398207.71988157957</v>
      </c>
      <c r="L1043" s="370">
        <v>0</v>
      </c>
      <c r="M1043" s="370">
        <v>0</v>
      </c>
      <c r="N1043" s="370">
        <v>328119.40009586897</v>
      </c>
      <c r="O1043" s="370">
        <v>195638.65172859316</v>
      </c>
      <c r="P1043" s="370">
        <v>71480.468986718784</v>
      </c>
      <c r="Q1043" s="370">
        <v>16094.309149559142</v>
      </c>
      <c r="R1043" s="370">
        <v>11245.542673329724</v>
      </c>
      <c r="S1043" s="370">
        <v>0</v>
      </c>
      <c r="T1043" s="370">
        <v>0</v>
      </c>
      <c r="U1043" s="370">
        <v>371.72827467831064</v>
      </c>
      <c r="V1043" s="80">
        <v>0</v>
      </c>
      <c r="W1043" s="80">
        <v>0</v>
      </c>
      <c r="X1043" s="168"/>
      <c r="Y1043" s="168"/>
      <c r="Z1043" s="168"/>
      <c r="AA1043" s="168">
        <f t="shared" si="474"/>
        <v>2717415.4540113104</v>
      </c>
      <c r="AB1043" s="171" t="str">
        <f t="shared" si="475"/>
        <v>ok</v>
      </c>
      <c r="AC1043" s="173"/>
    </row>
    <row r="1044" spans="1:29" s="172" customFormat="1" x14ac:dyDescent="0.25">
      <c r="A1044" s="61" t="s">
        <v>872</v>
      </c>
      <c r="B1044" s="61"/>
      <c r="C1044" s="61"/>
      <c r="D1044" s="61" t="s">
        <v>179</v>
      </c>
      <c r="E1044" s="61"/>
      <c r="F1044" s="370">
        <v>1957960.0997302877</v>
      </c>
      <c r="G1044" s="370">
        <v>1030613.9482222227</v>
      </c>
      <c r="H1044" s="370">
        <v>161455.02052059601</v>
      </c>
      <c r="I1044" s="370">
        <v>0</v>
      </c>
      <c r="J1044" s="370">
        <v>18889.279694939298</v>
      </c>
      <c r="K1044" s="370">
        <v>248963.49707598926</v>
      </c>
      <c r="L1044" s="370">
        <v>0</v>
      </c>
      <c r="M1044" s="370">
        <v>0</v>
      </c>
      <c r="N1044" s="370">
        <v>210345.65867656894</v>
      </c>
      <c r="O1044" s="370">
        <v>120373.01984907595</v>
      </c>
      <c r="P1044" s="370">
        <v>101637.23269295377</v>
      </c>
      <c r="Q1044" s="370">
        <v>15578.339608954604</v>
      </c>
      <c r="R1044" s="370">
        <v>10028.508484064499</v>
      </c>
      <c r="S1044" s="370">
        <v>38768.552518610246</v>
      </c>
      <c r="T1044" s="370">
        <v>888.59727701919928</v>
      </c>
      <c r="U1044" s="370">
        <v>418.44510929334581</v>
      </c>
      <c r="V1044" s="80">
        <v>0</v>
      </c>
      <c r="W1044" s="80">
        <v>0</v>
      </c>
      <c r="X1044" s="168"/>
      <c r="Y1044" s="168"/>
      <c r="Z1044" s="168"/>
      <c r="AA1044" s="168">
        <f t="shared" si="474"/>
        <v>1957960.0997302877</v>
      </c>
      <c r="AB1044" s="171" t="str">
        <f t="shared" si="475"/>
        <v>ok</v>
      </c>
    </row>
    <row r="1045" spans="1:29" s="172" customFormat="1" x14ac:dyDescent="0.25">
      <c r="A1045" s="61" t="s">
        <v>869</v>
      </c>
      <c r="B1045" s="61"/>
      <c r="C1045" s="61"/>
      <c r="D1045" s="61" t="s">
        <v>870</v>
      </c>
      <c r="E1045" s="61"/>
      <c r="F1045" s="80">
        <v>1449529.8599999999</v>
      </c>
      <c r="G1045" s="80">
        <f>ROUND(G1014/8784,2)</f>
        <v>517469.78</v>
      </c>
      <c r="H1045" s="80">
        <f t="shared" ref="H1045:U1045" si="476">ROUND(H1014/8784,2)</f>
        <v>167941.56</v>
      </c>
      <c r="I1045" s="80">
        <f t="shared" si="476"/>
        <v>0</v>
      </c>
      <c r="J1045" s="80">
        <f t="shared" si="476"/>
        <v>19341.060000000001</v>
      </c>
      <c r="K1045" s="80">
        <f t="shared" si="476"/>
        <v>238409.03</v>
      </c>
      <c r="L1045" s="80">
        <f t="shared" si="476"/>
        <v>0</v>
      </c>
      <c r="M1045" s="80">
        <v>0</v>
      </c>
      <c r="N1045" s="80">
        <f t="shared" si="476"/>
        <v>242503.89</v>
      </c>
      <c r="O1045" s="80">
        <f t="shared" si="476"/>
        <v>126171.41</v>
      </c>
      <c r="P1045" s="80">
        <f t="shared" si="476"/>
        <v>102089.93</v>
      </c>
      <c r="Q1045" s="80">
        <f t="shared" si="476"/>
        <v>13041.53</v>
      </c>
      <c r="R1045" s="80">
        <f t="shared" si="476"/>
        <v>6833.49</v>
      </c>
      <c r="S1045" s="80">
        <f t="shared" si="476"/>
        <v>14934.28</v>
      </c>
      <c r="T1045" s="80">
        <f t="shared" si="476"/>
        <v>417.51</v>
      </c>
      <c r="U1045" s="80">
        <f t="shared" si="476"/>
        <v>376.39</v>
      </c>
      <c r="V1045" s="80">
        <f>ROUND(V1014/8760,2)</f>
        <v>0</v>
      </c>
      <c r="W1045" s="80">
        <f>ROUND(W1014/8760,2)</f>
        <v>0</v>
      </c>
      <c r="X1045" s="168"/>
      <c r="Y1045" s="168"/>
      <c r="Z1045" s="168"/>
      <c r="AA1045" s="168">
        <f t="shared" si="474"/>
        <v>1449529.86</v>
      </c>
      <c r="AB1045" s="171" t="str">
        <f t="shared" si="475"/>
        <v>ok</v>
      </c>
      <c r="AC1045" s="177"/>
    </row>
    <row r="1046" spans="1:29" s="172" customFormat="1" x14ac:dyDescent="0.25">
      <c r="A1046" s="61" t="s">
        <v>1396</v>
      </c>
      <c r="B1046" s="61"/>
      <c r="C1046" s="61"/>
      <c r="D1046" s="61" t="s">
        <v>1397</v>
      </c>
      <c r="E1046" s="61"/>
      <c r="F1046" s="370">
        <v>2083908.6853018294</v>
      </c>
      <c r="G1046" s="370">
        <v>955458.59495721676</v>
      </c>
      <c r="H1046" s="370">
        <v>254636.99722872212</v>
      </c>
      <c r="I1046" s="370">
        <v>0</v>
      </c>
      <c r="J1046" s="370">
        <v>24516.693762380328</v>
      </c>
      <c r="K1046" s="370">
        <v>311775.2704098394</v>
      </c>
      <c r="L1046" s="370">
        <v>0</v>
      </c>
      <c r="M1046" s="370">
        <v>0</v>
      </c>
      <c r="N1046" s="370">
        <v>263803.77388591628</v>
      </c>
      <c r="O1046" s="370">
        <v>155859.60175676513</v>
      </c>
      <c r="P1046" s="370">
        <v>86154.35236438764</v>
      </c>
      <c r="Q1046" s="370">
        <v>13424.205971794288</v>
      </c>
      <c r="R1046" s="370">
        <v>9426.1373669274963</v>
      </c>
      <c r="S1046" s="370">
        <v>8268.6452230803352</v>
      </c>
      <c r="T1046" s="370">
        <v>204.21912165016238</v>
      </c>
      <c r="U1046" s="370">
        <v>380.19325314955944</v>
      </c>
      <c r="V1046" s="80"/>
      <c r="W1046" s="80"/>
      <c r="X1046" s="168"/>
      <c r="Y1046" s="168"/>
      <c r="Z1046" s="168"/>
      <c r="AA1046" s="168">
        <f t="shared" ref="AA1046:AA1047" si="477">SUM(G1046:Z1046)</f>
        <v>2083908.6853018294</v>
      </c>
      <c r="AB1046" s="171" t="str">
        <f t="shared" si="475"/>
        <v>ok</v>
      </c>
      <c r="AC1046" s="177"/>
    </row>
    <row r="1047" spans="1:29" s="172" customFormat="1" x14ac:dyDescent="0.25">
      <c r="A1047" s="61" t="s">
        <v>1398</v>
      </c>
      <c r="B1047" s="61"/>
      <c r="C1047" s="61"/>
      <c r="D1047" s="61" t="s">
        <v>1399</v>
      </c>
      <c r="E1047" s="61"/>
      <c r="F1047" s="370">
        <v>2728939.9039527918</v>
      </c>
      <c r="G1047" s="370">
        <v>1362445.8824575085</v>
      </c>
      <c r="H1047" s="370">
        <v>337707.49221991916</v>
      </c>
      <c r="I1047" s="370">
        <v>0</v>
      </c>
      <c r="J1047" s="370">
        <v>30500.251896481641</v>
      </c>
      <c r="K1047" s="370">
        <v>387873.68123478477</v>
      </c>
      <c r="L1047" s="370">
        <v>0</v>
      </c>
      <c r="M1047" s="370">
        <v>0</v>
      </c>
      <c r="N1047" s="370">
        <v>314959.6758065155</v>
      </c>
      <c r="O1047" s="370">
        <v>192207.51478925569</v>
      </c>
      <c r="P1047" s="370">
        <v>75993.488581610771</v>
      </c>
      <c r="Q1047" s="370">
        <v>16275.582459770778</v>
      </c>
      <c r="R1047" s="370">
        <v>10605.108227235938</v>
      </c>
      <c r="S1047" s="370">
        <v>0</v>
      </c>
      <c r="T1047" s="370">
        <v>0</v>
      </c>
      <c r="U1047" s="370">
        <v>371.22627970954892</v>
      </c>
      <c r="V1047" s="80"/>
      <c r="W1047" s="80"/>
      <c r="X1047" s="168"/>
      <c r="Y1047" s="168"/>
      <c r="Z1047" s="168"/>
      <c r="AA1047" s="168">
        <f t="shared" si="477"/>
        <v>2728939.9039527918</v>
      </c>
      <c r="AB1047" s="171" t="str">
        <f t="shared" si="475"/>
        <v>ok</v>
      </c>
      <c r="AC1047" s="177"/>
    </row>
    <row r="1048" spans="1:29" s="172" customFormat="1" x14ac:dyDescent="0.25">
      <c r="A1048" s="61"/>
      <c r="B1048" s="61"/>
      <c r="C1048" s="61"/>
      <c r="D1048" s="61"/>
      <c r="E1048" s="61"/>
      <c r="F1048" s="111"/>
      <c r="G1048" s="84"/>
      <c r="H1048" s="84"/>
      <c r="I1048" s="84"/>
      <c r="J1048" s="84"/>
      <c r="K1048" s="84"/>
      <c r="L1048" s="84"/>
      <c r="M1048" s="84"/>
      <c r="N1048" s="84"/>
      <c r="O1048" s="84"/>
      <c r="P1048" s="84"/>
      <c r="Q1048" s="84"/>
      <c r="R1048" s="84"/>
      <c r="S1048" s="84"/>
      <c r="T1048" s="84"/>
      <c r="U1048" s="84"/>
      <c r="V1048" s="84"/>
      <c r="W1048" s="84"/>
      <c r="X1048" s="175"/>
      <c r="Y1048" s="175"/>
      <c r="Z1048" s="175"/>
      <c r="AA1048" s="175"/>
      <c r="AB1048" s="171"/>
    </row>
    <row r="1049" spans="1:29" s="172" customFormat="1" x14ac:dyDescent="0.25">
      <c r="A1049" s="66" t="s">
        <v>1289</v>
      </c>
      <c r="B1049" s="61"/>
      <c r="C1049" s="61"/>
      <c r="D1049" s="61"/>
      <c r="E1049" s="61"/>
      <c r="F1049" s="111"/>
      <c r="G1049" s="84"/>
      <c r="H1049" s="84"/>
      <c r="I1049" s="84"/>
      <c r="J1049" s="84"/>
      <c r="K1049" s="84"/>
      <c r="L1049" s="84"/>
      <c r="M1049" s="84"/>
      <c r="N1049" s="84"/>
      <c r="O1049" s="84"/>
      <c r="P1049" s="84"/>
      <c r="Q1049" s="84"/>
      <c r="R1049" s="84"/>
      <c r="S1049" s="84"/>
      <c r="T1049" s="84"/>
      <c r="U1049" s="84"/>
      <c r="V1049" s="84"/>
      <c r="W1049" s="84"/>
      <c r="X1049" s="175"/>
      <c r="Y1049" s="175"/>
      <c r="Z1049" s="175"/>
      <c r="AA1049" s="175"/>
      <c r="AB1049" s="171"/>
    </row>
    <row r="1050" spans="1:29" s="172" customFormat="1" x14ac:dyDescent="0.25">
      <c r="A1050" s="61"/>
      <c r="B1050" s="61"/>
      <c r="C1050" s="61"/>
      <c r="D1050" s="61"/>
      <c r="E1050" s="61"/>
      <c r="F1050" s="111"/>
      <c r="G1050" s="84"/>
      <c r="H1050" s="84"/>
      <c r="I1050" s="84"/>
      <c r="J1050" s="84"/>
      <c r="K1050" s="84"/>
      <c r="L1050" s="84"/>
      <c r="M1050" s="84"/>
      <c r="N1050" s="84"/>
      <c r="O1050" s="84"/>
      <c r="P1050" s="84"/>
      <c r="Q1050" s="84"/>
      <c r="R1050" s="84"/>
      <c r="S1050" s="84"/>
      <c r="T1050" s="84"/>
      <c r="U1050" s="84"/>
      <c r="V1050" s="84"/>
      <c r="W1050" s="84"/>
      <c r="X1050" s="175"/>
      <c r="Y1050" s="175"/>
      <c r="Z1050" s="175"/>
      <c r="AA1050" s="175"/>
      <c r="AB1050" s="171"/>
    </row>
    <row r="1051" spans="1:29" s="172" customFormat="1" x14ac:dyDescent="0.25">
      <c r="A1051" s="229" t="s">
        <v>911</v>
      </c>
      <c r="B1051" s="61"/>
      <c r="C1051" s="61"/>
      <c r="D1051" s="61"/>
      <c r="E1051" s="61"/>
      <c r="F1051" s="111"/>
      <c r="G1051" s="84"/>
      <c r="H1051" s="84"/>
      <c r="I1051" s="84"/>
      <c r="J1051" s="84"/>
      <c r="K1051" s="84"/>
      <c r="L1051" s="84"/>
      <c r="M1051" s="84"/>
      <c r="N1051" s="84"/>
      <c r="O1051" s="84"/>
      <c r="P1051" s="84"/>
      <c r="Q1051" s="84"/>
      <c r="R1051" s="84"/>
      <c r="S1051" s="84"/>
      <c r="T1051" s="84"/>
      <c r="U1051" s="84"/>
      <c r="V1051" s="84"/>
      <c r="W1051" s="84"/>
      <c r="X1051" s="175"/>
      <c r="Y1051" s="175"/>
      <c r="Z1051" s="175"/>
      <c r="AA1051" s="175"/>
      <c r="AB1051" s="171"/>
    </row>
    <row r="1052" spans="1:29" s="172" customFormat="1" x14ac:dyDescent="0.25">
      <c r="A1052" s="61" t="s">
        <v>674</v>
      </c>
      <c r="B1052" s="61"/>
      <c r="C1052" s="61"/>
      <c r="D1052" s="61" t="s">
        <v>187</v>
      </c>
      <c r="E1052" s="61"/>
      <c r="F1052" s="80">
        <f t="shared" ref="F1052:Z1052" si="478">F1044</f>
        <v>1957960.0997302877</v>
      </c>
      <c r="G1052" s="80">
        <f t="shared" si="478"/>
        <v>1030613.9482222227</v>
      </c>
      <c r="H1052" s="80">
        <f t="shared" si="478"/>
        <v>161455.02052059601</v>
      </c>
      <c r="I1052" s="80">
        <f t="shared" si="478"/>
        <v>0</v>
      </c>
      <c r="J1052" s="80">
        <f t="shared" si="478"/>
        <v>18889.279694939298</v>
      </c>
      <c r="K1052" s="80">
        <f t="shared" si="478"/>
        <v>248963.49707598926</v>
      </c>
      <c r="L1052" s="80">
        <f t="shared" si="478"/>
        <v>0</v>
      </c>
      <c r="M1052" s="80">
        <f t="shared" si="478"/>
        <v>0</v>
      </c>
      <c r="N1052" s="80">
        <f t="shared" si="478"/>
        <v>210345.65867656894</v>
      </c>
      <c r="O1052" s="80">
        <f>O1044</f>
        <v>120373.01984907595</v>
      </c>
      <c r="P1052" s="80">
        <f t="shared" si="478"/>
        <v>101637.23269295377</v>
      </c>
      <c r="Q1052" s="80">
        <f t="shared" si="478"/>
        <v>15578.339608954604</v>
      </c>
      <c r="R1052" s="80">
        <f t="shared" si="478"/>
        <v>10028.508484064499</v>
      </c>
      <c r="S1052" s="80">
        <f t="shared" si="478"/>
        <v>38768.552518610246</v>
      </c>
      <c r="T1052" s="80">
        <f t="shared" si="478"/>
        <v>888.59727701919928</v>
      </c>
      <c r="U1052" s="80">
        <f t="shared" si="478"/>
        <v>418.44510929334581</v>
      </c>
      <c r="V1052" s="80">
        <f t="shared" si="478"/>
        <v>0</v>
      </c>
      <c r="W1052" s="80">
        <f t="shared" si="478"/>
        <v>0</v>
      </c>
      <c r="X1052" s="168">
        <f t="shared" si="478"/>
        <v>0</v>
      </c>
      <c r="Y1052" s="168">
        <f t="shared" si="478"/>
        <v>0</v>
      </c>
      <c r="Z1052" s="168">
        <f t="shared" si="478"/>
        <v>0</v>
      </c>
      <c r="AA1052" s="168">
        <f>SUM(G1052:Z1052)</f>
        <v>1957960.0997302877</v>
      </c>
      <c r="AB1052" s="171" t="str">
        <f t="shared" ref="AB1052:AB1057" si="479">IF(ABS(F1052-AA1052)&lt;0.01,"ok","err")</f>
        <v>ok</v>
      </c>
    </row>
    <row r="1053" spans="1:29" s="172" customFormat="1" x14ac:dyDescent="0.25">
      <c r="A1053" s="61" t="s">
        <v>675</v>
      </c>
      <c r="B1053" s="61"/>
      <c r="C1053" s="61"/>
      <c r="D1053" s="61"/>
      <c r="E1053" s="61"/>
      <c r="F1053" s="81">
        <f>F183</f>
        <v>37929127.904174156</v>
      </c>
      <c r="G1053" s="61"/>
      <c r="H1053" s="61"/>
      <c r="I1053" s="61"/>
      <c r="J1053" s="61"/>
      <c r="K1053" s="61"/>
      <c r="L1053" s="61"/>
      <c r="M1053" s="61"/>
      <c r="N1053" s="61"/>
      <c r="O1053" s="61"/>
      <c r="P1053" s="61"/>
      <c r="Q1053" s="61"/>
      <c r="R1053" s="61"/>
      <c r="S1053" s="61"/>
      <c r="T1053" s="61"/>
      <c r="U1053" s="61"/>
      <c r="V1053" s="61"/>
      <c r="W1053" s="61"/>
      <c r="AA1053" s="174">
        <f>F1053</f>
        <v>37929127.904174156</v>
      </c>
      <c r="AB1053" s="171" t="str">
        <f t="shared" si="479"/>
        <v>ok</v>
      </c>
    </row>
    <row r="1054" spans="1:29" s="172" customFormat="1" x14ac:dyDescent="0.25">
      <c r="A1054" s="61" t="s">
        <v>155</v>
      </c>
      <c r="B1054" s="61"/>
      <c r="C1054" s="61"/>
      <c r="D1054" s="61"/>
      <c r="E1054" s="61"/>
      <c r="F1054" s="81">
        <v>0</v>
      </c>
      <c r="G1054" s="61"/>
      <c r="H1054" s="80">
        <v>0</v>
      </c>
      <c r="I1054" s="77">
        <v>0</v>
      </c>
      <c r="J1054" s="80">
        <v>0</v>
      </c>
      <c r="K1054" s="80">
        <v>0</v>
      </c>
      <c r="L1054" s="113">
        <v>0</v>
      </c>
      <c r="M1054" s="80">
        <v>0</v>
      </c>
      <c r="N1054" s="80">
        <v>0</v>
      </c>
      <c r="O1054" s="80">
        <v>0</v>
      </c>
      <c r="P1054" s="80">
        <v>0</v>
      </c>
      <c r="Q1054" s="61"/>
      <c r="R1054" s="61"/>
      <c r="S1054" s="61"/>
      <c r="T1054" s="80">
        <v>0</v>
      </c>
      <c r="U1054" s="61"/>
      <c r="V1054" s="80">
        <v>0</v>
      </c>
      <c r="W1054" s="80">
        <v>0</v>
      </c>
      <c r="AA1054" s="174">
        <f>SUM(G1054:Z1054)</f>
        <v>0</v>
      </c>
      <c r="AB1054" s="171" t="str">
        <f t="shared" si="479"/>
        <v>ok</v>
      </c>
    </row>
    <row r="1055" spans="1:29" s="172" customFormat="1" x14ac:dyDescent="0.25">
      <c r="A1055" s="61" t="s">
        <v>676</v>
      </c>
      <c r="B1055" s="61"/>
      <c r="C1055" s="61"/>
      <c r="D1055" s="61"/>
      <c r="E1055" s="61" t="s">
        <v>187</v>
      </c>
      <c r="F1055" s="81">
        <f>F1053-F1054</f>
        <v>37929127.904174156</v>
      </c>
      <c r="G1055" s="77">
        <f t="shared" ref="G1055:Z1055" si="480">IF(VLOOKUP($E1055,$D$6:$AN$1141,3,)=0,0,(VLOOKUP($E1055,$D$6:$AN$1141,G$2,)/VLOOKUP($E1055,$D$6:$AN$1141,3,))*$F1055)</f>
        <v>19964803.300808512</v>
      </c>
      <c r="H1055" s="77">
        <f t="shared" si="480"/>
        <v>3127667.4764415883</v>
      </c>
      <c r="I1055" s="77">
        <f t="shared" si="480"/>
        <v>0</v>
      </c>
      <c r="J1055" s="77">
        <f t="shared" si="480"/>
        <v>365918.54229601781</v>
      </c>
      <c r="K1055" s="77">
        <f t="shared" si="480"/>
        <v>4822860.4481605478</v>
      </c>
      <c r="L1055" s="77">
        <f t="shared" si="480"/>
        <v>0</v>
      </c>
      <c r="M1055" s="77">
        <f t="shared" si="480"/>
        <v>0</v>
      </c>
      <c r="N1055" s="77">
        <f t="shared" si="480"/>
        <v>4074765.0542676318</v>
      </c>
      <c r="O1055" s="77">
        <f t="shared" si="480"/>
        <v>2331836.9290039269</v>
      </c>
      <c r="P1055" s="77">
        <f t="shared" si="480"/>
        <v>1968891.8069210853</v>
      </c>
      <c r="Q1055" s="77">
        <f t="shared" si="480"/>
        <v>301779.81443242653</v>
      </c>
      <c r="R1055" s="77">
        <f t="shared" si="480"/>
        <v>194269.83268585251</v>
      </c>
      <c r="S1055" s="77">
        <f t="shared" si="480"/>
        <v>751014.99123532651</v>
      </c>
      <c r="T1055" s="77">
        <f t="shared" si="480"/>
        <v>17213.690810147167</v>
      </c>
      <c r="U1055" s="77">
        <f t="shared" si="480"/>
        <v>8106.0171110993224</v>
      </c>
      <c r="V1055" s="77">
        <f t="shared" si="480"/>
        <v>0</v>
      </c>
      <c r="W1055" s="77">
        <f t="shared" si="480"/>
        <v>0</v>
      </c>
      <c r="X1055" s="169">
        <f t="shared" si="480"/>
        <v>0</v>
      </c>
      <c r="Y1055" s="169">
        <f t="shared" si="480"/>
        <v>0</v>
      </c>
      <c r="Z1055" s="169">
        <f t="shared" si="480"/>
        <v>0</v>
      </c>
      <c r="AA1055" s="174">
        <f>SUM(G1055:Z1055)</f>
        <v>37929127.904174156</v>
      </c>
      <c r="AB1055" s="171" t="str">
        <f t="shared" si="479"/>
        <v>ok</v>
      </c>
    </row>
    <row r="1056" spans="1:29" s="172" customFormat="1" x14ac:dyDescent="0.25">
      <c r="A1056" s="61" t="s">
        <v>677</v>
      </c>
      <c r="B1056" s="61"/>
      <c r="C1056" s="61"/>
      <c r="D1056" s="61" t="s">
        <v>188</v>
      </c>
      <c r="E1056" s="61"/>
      <c r="F1056" s="81">
        <f t="shared" ref="F1056:W1056" si="481">F1054+F1055</f>
        <v>37929127.904174156</v>
      </c>
      <c r="G1056" s="81">
        <f t="shared" si="481"/>
        <v>19964803.300808512</v>
      </c>
      <c r="H1056" s="81">
        <f t="shared" si="481"/>
        <v>3127667.4764415883</v>
      </c>
      <c r="I1056" s="81">
        <f t="shared" si="481"/>
        <v>0</v>
      </c>
      <c r="J1056" s="81">
        <f t="shared" si="481"/>
        <v>365918.54229601781</v>
      </c>
      <c r="K1056" s="81">
        <f t="shared" si="481"/>
        <v>4822860.4481605478</v>
      </c>
      <c r="L1056" s="81">
        <f t="shared" si="481"/>
        <v>0</v>
      </c>
      <c r="M1056" s="81">
        <f t="shared" si="481"/>
        <v>0</v>
      </c>
      <c r="N1056" s="81">
        <f t="shared" si="481"/>
        <v>4074765.0542676318</v>
      </c>
      <c r="O1056" s="81">
        <f>O1054+O1055</f>
        <v>2331836.9290039269</v>
      </c>
      <c r="P1056" s="81">
        <f t="shared" si="481"/>
        <v>1968891.8069210853</v>
      </c>
      <c r="Q1056" s="81">
        <f t="shared" si="481"/>
        <v>301779.81443242653</v>
      </c>
      <c r="R1056" s="81">
        <f t="shared" si="481"/>
        <v>194269.83268585251</v>
      </c>
      <c r="S1056" s="81">
        <f t="shared" si="481"/>
        <v>751014.99123532651</v>
      </c>
      <c r="T1056" s="81">
        <f t="shared" si="481"/>
        <v>17213.690810147167</v>
      </c>
      <c r="U1056" s="81">
        <f t="shared" si="481"/>
        <v>8106.0171110993224</v>
      </c>
      <c r="V1056" s="81">
        <f t="shared" si="481"/>
        <v>0</v>
      </c>
      <c r="W1056" s="81">
        <f t="shared" si="481"/>
        <v>0</v>
      </c>
      <c r="X1056" s="174">
        <f>X1054+X1055</f>
        <v>0</v>
      </c>
      <c r="Y1056" s="174">
        <f>Y1054+Y1055</f>
        <v>0</v>
      </c>
      <c r="Z1056" s="174">
        <f>Z1054+Z1055</f>
        <v>0</v>
      </c>
      <c r="AA1056" s="174">
        <f>SUM(G1056:Z1056)</f>
        <v>37929127.904174156</v>
      </c>
      <c r="AB1056" s="171" t="str">
        <f t="shared" si="479"/>
        <v>ok</v>
      </c>
    </row>
    <row r="1057" spans="1:28" s="172" customFormat="1" x14ac:dyDescent="0.25">
      <c r="A1057" s="61" t="s">
        <v>678</v>
      </c>
      <c r="B1057" s="61"/>
      <c r="C1057" s="61"/>
      <c r="D1057" s="61" t="s">
        <v>189</v>
      </c>
      <c r="E1057" s="61" t="s">
        <v>188</v>
      </c>
      <c r="F1057" s="111">
        <v>1</v>
      </c>
      <c r="G1057" s="84">
        <f t="shared" ref="G1057:Z1057" si="482">IF(VLOOKUP($E1057,$D$6:$AN$1141,3,)=0,0,(VLOOKUP($E1057,$D$6:$AN$1141,G$2,)/VLOOKUP($E1057,$D$6:$AN$1141,3,))*$F1057)</f>
        <v>0.5263712720009931</v>
      </c>
      <c r="H1057" s="84">
        <f t="shared" si="482"/>
        <v>8.2460832854988578E-2</v>
      </c>
      <c r="I1057" s="84">
        <f t="shared" si="482"/>
        <v>0</v>
      </c>
      <c r="J1057" s="84">
        <f t="shared" si="482"/>
        <v>9.6474283094641865E-3</v>
      </c>
      <c r="K1057" s="84">
        <f t="shared" si="482"/>
        <v>0.12715453042699104</v>
      </c>
      <c r="L1057" s="84">
        <f t="shared" si="482"/>
        <v>0</v>
      </c>
      <c r="M1057" s="84">
        <f t="shared" si="482"/>
        <v>0</v>
      </c>
      <c r="N1057" s="84">
        <f t="shared" si="482"/>
        <v>0.10743102410797054</v>
      </c>
      <c r="O1057" s="84">
        <f t="shared" si="482"/>
        <v>6.1478791046690656E-2</v>
      </c>
      <c r="P1057" s="84">
        <f t="shared" si="482"/>
        <v>5.1909756846911473E-2</v>
      </c>
      <c r="Q1057" s="84">
        <f t="shared" si="482"/>
        <v>7.9564132134768966E-3</v>
      </c>
      <c r="R1057" s="84">
        <f t="shared" si="482"/>
        <v>5.1219166751385508E-3</v>
      </c>
      <c r="S1057" s="84">
        <f t="shared" si="482"/>
        <v>1.9800481390785583E-2</v>
      </c>
      <c r="T1057" s="84">
        <f t="shared" si="482"/>
        <v>4.5383829687929038E-4</v>
      </c>
      <c r="U1057" s="84">
        <f t="shared" si="482"/>
        <v>2.1371482971026189E-4</v>
      </c>
      <c r="V1057" s="84">
        <f t="shared" si="482"/>
        <v>0</v>
      </c>
      <c r="W1057" s="84">
        <f t="shared" si="482"/>
        <v>0</v>
      </c>
      <c r="X1057" s="175">
        <f t="shared" si="482"/>
        <v>0</v>
      </c>
      <c r="Y1057" s="175">
        <f t="shared" si="482"/>
        <v>0</v>
      </c>
      <c r="Z1057" s="175">
        <f t="shared" si="482"/>
        <v>0</v>
      </c>
      <c r="AA1057" s="175">
        <f>SUM(G1057:Z1057)</f>
        <v>1.0000000000000002</v>
      </c>
      <c r="AB1057" s="171" t="str">
        <f t="shared" si="479"/>
        <v>ok</v>
      </c>
    </row>
    <row r="1058" spans="1:28" s="172" customFormat="1" x14ac:dyDescent="0.25">
      <c r="A1058" s="61"/>
      <c r="B1058" s="61"/>
      <c r="C1058" s="61"/>
      <c r="D1058" s="61"/>
      <c r="E1058" s="61"/>
      <c r="F1058" s="111"/>
      <c r="G1058" s="84"/>
      <c r="H1058" s="84"/>
      <c r="I1058" s="84"/>
      <c r="J1058" s="84"/>
      <c r="K1058" s="84"/>
      <c r="L1058" s="84"/>
      <c r="M1058" s="84"/>
      <c r="N1058" s="84"/>
      <c r="O1058" s="84"/>
      <c r="P1058" s="84"/>
      <c r="Q1058" s="84"/>
      <c r="R1058" s="84"/>
      <c r="S1058" s="84"/>
      <c r="T1058" s="84"/>
      <c r="U1058" s="84"/>
      <c r="V1058" s="84"/>
      <c r="W1058" s="84"/>
      <c r="X1058" s="175"/>
      <c r="Y1058" s="175"/>
      <c r="Z1058" s="175"/>
      <c r="AA1058" s="175"/>
      <c r="AB1058" s="171"/>
    </row>
    <row r="1059" spans="1:28" s="172" customFormat="1" x14ac:dyDescent="0.25">
      <c r="A1059" s="61" t="s">
        <v>679</v>
      </c>
      <c r="B1059" s="61"/>
      <c r="C1059" s="61"/>
      <c r="D1059" s="61" t="s">
        <v>190</v>
      </c>
      <c r="E1059" s="61"/>
      <c r="F1059" s="80">
        <f t="shared" ref="F1059:Z1059" si="483">F1043</f>
        <v>2717415.4540113104</v>
      </c>
      <c r="G1059" s="80">
        <f t="shared" si="483"/>
        <v>1289234.2673675411</v>
      </c>
      <c r="H1059" s="80">
        <f t="shared" si="483"/>
        <v>375649.50700073724</v>
      </c>
      <c r="I1059" s="80">
        <f t="shared" si="483"/>
        <v>0</v>
      </c>
      <c r="J1059" s="80">
        <f t="shared" si="483"/>
        <v>31373.858852704318</v>
      </c>
      <c r="K1059" s="80">
        <f t="shared" si="483"/>
        <v>398207.71988157957</v>
      </c>
      <c r="L1059" s="80">
        <f t="shared" si="483"/>
        <v>0</v>
      </c>
      <c r="M1059" s="80">
        <f t="shared" si="483"/>
        <v>0</v>
      </c>
      <c r="N1059" s="80">
        <f t="shared" si="483"/>
        <v>328119.40009586897</v>
      </c>
      <c r="O1059" s="80">
        <f>O1043</f>
        <v>195638.65172859316</v>
      </c>
      <c r="P1059" s="80">
        <f t="shared" si="483"/>
        <v>71480.468986718784</v>
      </c>
      <c r="Q1059" s="80">
        <f t="shared" si="483"/>
        <v>16094.309149559142</v>
      </c>
      <c r="R1059" s="80">
        <f t="shared" si="483"/>
        <v>11245.542673329724</v>
      </c>
      <c r="S1059" s="80">
        <f t="shared" si="483"/>
        <v>0</v>
      </c>
      <c r="T1059" s="80">
        <f t="shared" si="483"/>
        <v>0</v>
      </c>
      <c r="U1059" s="80">
        <f t="shared" si="483"/>
        <v>371.72827467831064</v>
      </c>
      <c r="V1059" s="80">
        <f t="shared" si="483"/>
        <v>0</v>
      </c>
      <c r="W1059" s="80">
        <f t="shared" si="483"/>
        <v>0</v>
      </c>
      <c r="X1059" s="168">
        <f t="shared" si="483"/>
        <v>0</v>
      </c>
      <c r="Y1059" s="168">
        <f t="shared" si="483"/>
        <v>0</v>
      </c>
      <c r="Z1059" s="168">
        <f t="shared" si="483"/>
        <v>0</v>
      </c>
      <c r="AA1059" s="168">
        <f>SUM(G1059:Z1059)</f>
        <v>2717415.4540113104</v>
      </c>
      <c r="AB1059" s="171" t="str">
        <f t="shared" ref="AB1059:AB1064" si="484">IF(ABS(F1059-AA1059)&lt;0.01,"ok","err")</f>
        <v>ok</v>
      </c>
    </row>
    <row r="1060" spans="1:28" s="172" customFormat="1" x14ac:dyDescent="0.25">
      <c r="A1060" s="61" t="s">
        <v>680</v>
      </c>
      <c r="B1060" s="61"/>
      <c r="C1060" s="61"/>
      <c r="D1060" s="61"/>
      <c r="E1060" s="61"/>
      <c r="F1060" s="81">
        <f>F184</f>
        <v>34388610.947080187</v>
      </c>
      <c r="G1060" s="61"/>
      <c r="H1060" s="61"/>
      <c r="I1060" s="61"/>
      <c r="J1060" s="61"/>
      <c r="K1060" s="61"/>
      <c r="L1060" s="61"/>
      <c r="M1060" s="61"/>
      <c r="N1060" s="61"/>
      <c r="O1060" s="61"/>
      <c r="P1060" s="61"/>
      <c r="Q1060" s="61"/>
      <c r="R1060" s="61"/>
      <c r="S1060" s="61"/>
      <c r="T1060" s="61"/>
      <c r="U1060" s="61"/>
      <c r="V1060" s="61"/>
      <c r="W1060" s="61"/>
      <c r="AA1060" s="174">
        <f>F1060</f>
        <v>34388610.947080187</v>
      </c>
      <c r="AB1060" s="171" t="str">
        <f t="shared" si="484"/>
        <v>ok</v>
      </c>
    </row>
    <row r="1061" spans="1:28" s="172" customFormat="1" x14ac:dyDescent="0.25">
      <c r="A1061" s="61" t="s">
        <v>155</v>
      </c>
      <c r="B1061" s="61"/>
      <c r="C1061" s="61"/>
      <c r="D1061" s="61"/>
      <c r="E1061" s="61"/>
      <c r="F1061" s="81">
        <v>0</v>
      </c>
      <c r="G1061" s="61"/>
      <c r="H1061" s="80">
        <v>0</v>
      </c>
      <c r="I1061" s="77">
        <v>0</v>
      </c>
      <c r="J1061" s="80">
        <v>0</v>
      </c>
      <c r="K1061" s="80">
        <v>0</v>
      </c>
      <c r="L1061" s="113">
        <v>0</v>
      </c>
      <c r="M1061" s="80">
        <v>0</v>
      </c>
      <c r="N1061" s="80">
        <v>0</v>
      </c>
      <c r="O1061" s="80">
        <v>0</v>
      </c>
      <c r="P1061" s="80">
        <v>0</v>
      </c>
      <c r="Q1061" s="61"/>
      <c r="R1061" s="61"/>
      <c r="S1061" s="61"/>
      <c r="T1061" s="80">
        <v>0</v>
      </c>
      <c r="U1061" s="61"/>
      <c r="V1061" s="80">
        <v>0</v>
      </c>
      <c r="W1061" s="80">
        <v>0</v>
      </c>
      <c r="AA1061" s="174">
        <f>SUM(G1061:Z1061)</f>
        <v>0</v>
      </c>
      <c r="AB1061" s="171" t="str">
        <f t="shared" si="484"/>
        <v>ok</v>
      </c>
    </row>
    <row r="1062" spans="1:28" s="172" customFormat="1" x14ac:dyDescent="0.25">
      <c r="A1062" s="61" t="s">
        <v>681</v>
      </c>
      <c r="B1062" s="61"/>
      <c r="C1062" s="61"/>
      <c r="D1062" s="61"/>
      <c r="E1062" s="61" t="s">
        <v>190</v>
      </c>
      <c r="F1062" s="81">
        <f>F1060-F1061</f>
        <v>34388610.947080187</v>
      </c>
      <c r="G1062" s="77">
        <f t="shared" ref="G1062:Z1062" si="485">IF(VLOOKUP($E1062,$D$6:$AN$1141,3,)=0,0,(VLOOKUP($E1062,$D$6:$AN$1141,G$2,)/VLOOKUP($E1062,$D$6:$AN$1141,3,))*$F1062)</f>
        <v>16315126.04180612</v>
      </c>
      <c r="H1062" s="77">
        <f t="shared" si="485"/>
        <v>4753805.5800933344</v>
      </c>
      <c r="I1062" s="77">
        <f t="shared" si="485"/>
        <v>0</v>
      </c>
      <c r="J1062" s="77">
        <f t="shared" si="485"/>
        <v>397032.93230397807</v>
      </c>
      <c r="K1062" s="77">
        <f t="shared" si="485"/>
        <v>5039277.4262461122</v>
      </c>
      <c r="L1062" s="77">
        <f t="shared" si="485"/>
        <v>0</v>
      </c>
      <c r="M1062" s="77">
        <f t="shared" si="485"/>
        <v>0</v>
      </c>
      <c r="N1062" s="77">
        <f t="shared" si="485"/>
        <v>4152317.0030662599</v>
      </c>
      <c r="O1062" s="77">
        <f t="shared" si="485"/>
        <v>2475786.8623197665</v>
      </c>
      <c r="P1062" s="77">
        <f t="shared" si="485"/>
        <v>904577.92704113782</v>
      </c>
      <c r="Q1062" s="77">
        <f t="shared" si="485"/>
        <v>203671.81432976379</v>
      </c>
      <c r="R1062" s="77">
        <f t="shared" si="485"/>
        <v>142311.17708227853</v>
      </c>
      <c r="S1062" s="77">
        <f t="shared" si="485"/>
        <v>0</v>
      </c>
      <c r="T1062" s="77">
        <f t="shared" si="485"/>
        <v>0</v>
      </c>
      <c r="U1062" s="77">
        <f t="shared" si="485"/>
        <v>4704.1827914358282</v>
      </c>
      <c r="V1062" s="77">
        <f t="shared" si="485"/>
        <v>0</v>
      </c>
      <c r="W1062" s="77">
        <f t="shared" si="485"/>
        <v>0</v>
      </c>
      <c r="X1062" s="169">
        <f t="shared" si="485"/>
        <v>0</v>
      </c>
      <c r="Y1062" s="169">
        <f t="shared" si="485"/>
        <v>0</v>
      </c>
      <c r="Z1062" s="169">
        <f t="shared" si="485"/>
        <v>0</v>
      </c>
      <c r="AA1062" s="174">
        <f>SUM(G1062:Z1062)</f>
        <v>34388610.947080187</v>
      </c>
      <c r="AB1062" s="171" t="str">
        <f t="shared" si="484"/>
        <v>ok</v>
      </c>
    </row>
    <row r="1063" spans="1:28" s="172" customFormat="1" x14ac:dyDescent="0.25">
      <c r="A1063" s="61" t="s">
        <v>682</v>
      </c>
      <c r="B1063" s="61"/>
      <c r="C1063" s="61"/>
      <c r="D1063" s="61" t="s">
        <v>191</v>
      </c>
      <c r="E1063" s="61"/>
      <c r="F1063" s="81">
        <f t="shared" ref="F1063:Z1063" si="486">F1061+F1062</f>
        <v>34388610.947080187</v>
      </c>
      <c r="G1063" s="81">
        <f t="shared" si="486"/>
        <v>16315126.04180612</v>
      </c>
      <c r="H1063" s="81">
        <f t="shared" si="486"/>
        <v>4753805.5800933344</v>
      </c>
      <c r="I1063" s="81">
        <f t="shared" si="486"/>
        <v>0</v>
      </c>
      <c r="J1063" s="81">
        <f t="shared" si="486"/>
        <v>397032.93230397807</v>
      </c>
      <c r="K1063" s="81">
        <f t="shared" si="486"/>
        <v>5039277.4262461122</v>
      </c>
      <c r="L1063" s="81">
        <f t="shared" si="486"/>
        <v>0</v>
      </c>
      <c r="M1063" s="81">
        <f t="shared" si="486"/>
        <v>0</v>
      </c>
      <c r="N1063" s="81">
        <f t="shared" si="486"/>
        <v>4152317.0030662599</v>
      </c>
      <c r="O1063" s="81">
        <f>O1061+O1062</f>
        <v>2475786.8623197665</v>
      </c>
      <c r="P1063" s="81">
        <f t="shared" si="486"/>
        <v>904577.92704113782</v>
      </c>
      <c r="Q1063" s="81">
        <f t="shared" si="486"/>
        <v>203671.81432976379</v>
      </c>
      <c r="R1063" s="81">
        <f t="shared" si="486"/>
        <v>142311.17708227853</v>
      </c>
      <c r="S1063" s="81">
        <f t="shared" si="486"/>
        <v>0</v>
      </c>
      <c r="T1063" s="81">
        <f t="shared" si="486"/>
        <v>0</v>
      </c>
      <c r="U1063" s="81">
        <f t="shared" si="486"/>
        <v>4704.1827914358282</v>
      </c>
      <c r="V1063" s="81">
        <f t="shared" si="486"/>
        <v>0</v>
      </c>
      <c r="W1063" s="81">
        <f t="shared" si="486"/>
        <v>0</v>
      </c>
      <c r="X1063" s="174">
        <f t="shared" si="486"/>
        <v>0</v>
      </c>
      <c r="Y1063" s="174">
        <f t="shared" si="486"/>
        <v>0</v>
      </c>
      <c r="Z1063" s="174">
        <f t="shared" si="486"/>
        <v>0</v>
      </c>
      <c r="AA1063" s="174">
        <f>SUM(G1063:Z1063)</f>
        <v>34388610.947080187</v>
      </c>
      <c r="AB1063" s="171" t="str">
        <f t="shared" si="484"/>
        <v>ok</v>
      </c>
    </row>
    <row r="1064" spans="1:28" s="172" customFormat="1" x14ac:dyDescent="0.25">
      <c r="A1064" s="61" t="s">
        <v>683</v>
      </c>
      <c r="B1064" s="61"/>
      <c r="C1064" s="61"/>
      <c r="D1064" s="61" t="s">
        <v>192</v>
      </c>
      <c r="E1064" s="61" t="s">
        <v>191</v>
      </c>
      <c r="F1064" s="111">
        <v>1</v>
      </c>
      <c r="G1064" s="84">
        <f t="shared" ref="G1064:Z1064" si="487">IF(VLOOKUP($E1064,$D$6:$AN$1141,3,)=0,0,(VLOOKUP($E1064,$D$6:$AN$1141,G$2,)/VLOOKUP($E1064,$D$6:$AN$1141,3,))*$F1064)</f>
        <v>0.47443399406021597</v>
      </c>
      <c r="H1064" s="84">
        <f t="shared" si="487"/>
        <v>0.13823779004650266</v>
      </c>
      <c r="I1064" s="84">
        <f t="shared" si="487"/>
        <v>0</v>
      </c>
      <c r="J1064" s="84">
        <f t="shared" si="487"/>
        <v>1.1545477452257742E-2</v>
      </c>
      <c r="K1064" s="84">
        <f t="shared" si="487"/>
        <v>0.14653913861193568</v>
      </c>
      <c r="L1064" s="84">
        <f t="shared" si="487"/>
        <v>0</v>
      </c>
      <c r="M1064" s="84">
        <f t="shared" si="487"/>
        <v>0</v>
      </c>
      <c r="N1064" s="84">
        <f t="shared" si="487"/>
        <v>0.12074686614868398</v>
      </c>
      <c r="O1064" s="84">
        <f t="shared" si="487"/>
        <v>7.1994384016548271E-2</v>
      </c>
      <c r="P1064" s="84">
        <f t="shared" si="487"/>
        <v>2.6304578816317158E-2</v>
      </c>
      <c r="Q1064" s="84">
        <f t="shared" si="487"/>
        <v>5.9226531319682982E-3</v>
      </c>
      <c r="R1064" s="84">
        <f t="shared" si="487"/>
        <v>4.1383229261943094E-3</v>
      </c>
      <c r="S1064" s="84">
        <f t="shared" si="487"/>
        <v>0</v>
      </c>
      <c r="T1064" s="84">
        <f t="shared" si="487"/>
        <v>0</v>
      </c>
      <c r="U1064" s="84">
        <f t="shared" si="487"/>
        <v>1.3679478937590655E-4</v>
      </c>
      <c r="V1064" s="84">
        <f t="shared" si="487"/>
        <v>0</v>
      </c>
      <c r="W1064" s="84">
        <f t="shared" si="487"/>
        <v>0</v>
      </c>
      <c r="X1064" s="175">
        <f t="shared" si="487"/>
        <v>0</v>
      </c>
      <c r="Y1064" s="175">
        <f t="shared" si="487"/>
        <v>0</v>
      </c>
      <c r="Z1064" s="175">
        <f t="shared" si="487"/>
        <v>0</v>
      </c>
      <c r="AA1064" s="175">
        <f>SUM(G1064:Z1064)</f>
        <v>1</v>
      </c>
      <c r="AB1064" s="171" t="str">
        <f t="shared" si="484"/>
        <v>ok</v>
      </c>
    </row>
    <row r="1065" spans="1:28" s="172" customFormat="1" x14ac:dyDescent="0.25">
      <c r="A1065" s="61"/>
      <c r="B1065" s="61"/>
      <c r="C1065" s="61"/>
      <c r="D1065" s="61"/>
      <c r="E1065" s="61"/>
      <c r="F1065" s="111"/>
      <c r="G1065" s="84"/>
      <c r="H1065" s="84"/>
      <c r="I1065" s="84"/>
      <c r="J1065" s="84"/>
      <c r="K1065" s="84"/>
      <c r="L1065" s="84"/>
      <c r="M1065" s="84"/>
      <c r="N1065" s="84"/>
      <c r="O1065" s="84"/>
      <c r="P1065" s="84"/>
      <c r="Q1065" s="84"/>
      <c r="R1065" s="84"/>
      <c r="S1065" s="84"/>
      <c r="T1065" s="84"/>
      <c r="U1065" s="84"/>
      <c r="V1065" s="84"/>
      <c r="W1065" s="84"/>
      <c r="X1065" s="175"/>
      <c r="Y1065" s="175"/>
      <c r="Z1065" s="175"/>
      <c r="AA1065" s="175"/>
      <c r="AB1065" s="171"/>
    </row>
    <row r="1066" spans="1:28" s="172" customFormat="1" x14ac:dyDescent="0.25">
      <c r="A1066" s="61" t="s">
        <v>873</v>
      </c>
      <c r="B1066" s="61"/>
      <c r="C1066" s="61"/>
      <c r="D1066" s="61" t="s">
        <v>878</v>
      </c>
      <c r="E1066" s="61"/>
      <c r="F1066" s="80">
        <f>F1045</f>
        <v>1449529.8599999999</v>
      </c>
      <c r="G1066" s="80">
        <f t="shared" ref="G1066:Z1066" si="488">G1045</f>
        <v>517469.78</v>
      </c>
      <c r="H1066" s="80">
        <f t="shared" si="488"/>
        <v>167941.56</v>
      </c>
      <c r="I1066" s="80">
        <f t="shared" si="488"/>
        <v>0</v>
      </c>
      <c r="J1066" s="80">
        <f t="shared" si="488"/>
        <v>19341.060000000001</v>
      </c>
      <c r="K1066" s="80">
        <f t="shared" si="488"/>
        <v>238409.03</v>
      </c>
      <c r="L1066" s="80">
        <f t="shared" si="488"/>
        <v>0</v>
      </c>
      <c r="M1066" s="80">
        <f t="shared" si="488"/>
        <v>0</v>
      </c>
      <c r="N1066" s="80">
        <f t="shared" si="488"/>
        <v>242503.89</v>
      </c>
      <c r="O1066" s="80">
        <f>O1045</f>
        <v>126171.41</v>
      </c>
      <c r="P1066" s="80">
        <f t="shared" si="488"/>
        <v>102089.93</v>
      </c>
      <c r="Q1066" s="80">
        <f t="shared" si="488"/>
        <v>13041.53</v>
      </c>
      <c r="R1066" s="80">
        <f t="shared" si="488"/>
        <v>6833.49</v>
      </c>
      <c r="S1066" s="80">
        <f t="shared" si="488"/>
        <v>14934.28</v>
      </c>
      <c r="T1066" s="80">
        <f t="shared" si="488"/>
        <v>417.51</v>
      </c>
      <c r="U1066" s="80">
        <f t="shared" si="488"/>
        <v>376.39</v>
      </c>
      <c r="V1066" s="80">
        <f t="shared" si="488"/>
        <v>0</v>
      </c>
      <c r="W1066" s="80">
        <f t="shared" si="488"/>
        <v>0</v>
      </c>
      <c r="X1066" s="168">
        <f t="shared" si="488"/>
        <v>0</v>
      </c>
      <c r="Y1066" s="168">
        <f t="shared" si="488"/>
        <v>0</v>
      </c>
      <c r="Z1066" s="168">
        <f t="shared" si="488"/>
        <v>0</v>
      </c>
      <c r="AA1066" s="168">
        <f>SUM(G1066:Z1066)</f>
        <v>1449529.86</v>
      </c>
      <c r="AB1066" s="171" t="str">
        <f t="shared" ref="AB1066:AB1071" si="489">IF(ABS(F1066-AA1066)&lt;0.01,"ok","err")</f>
        <v>ok</v>
      </c>
    </row>
    <row r="1067" spans="1:28" s="172" customFormat="1" x14ac:dyDescent="0.25">
      <c r="A1067" s="61" t="s">
        <v>874</v>
      </c>
      <c r="B1067" s="61"/>
      <c r="C1067" s="61"/>
      <c r="D1067" s="61"/>
      <c r="E1067" s="61"/>
      <c r="F1067" s="81">
        <f>F182</f>
        <v>38923063.964036517</v>
      </c>
      <c r="G1067" s="61"/>
      <c r="H1067" s="61"/>
      <c r="I1067" s="61"/>
      <c r="J1067" s="61"/>
      <c r="K1067" s="61"/>
      <c r="L1067" s="61"/>
      <c r="M1067" s="61"/>
      <c r="N1067" s="61"/>
      <c r="O1067" s="61"/>
      <c r="P1067" s="61"/>
      <c r="Q1067" s="61"/>
      <c r="R1067" s="61"/>
      <c r="S1067" s="61"/>
      <c r="T1067" s="61"/>
      <c r="U1067" s="61"/>
      <c r="V1067" s="61"/>
      <c r="W1067" s="61"/>
      <c r="AA1067" s="174">
        <f>F1067</f>
        <v>38923063.964036517</v>
      </c>
      <c r="AB1067" s="171" t="str">
        <f t="shared" si="489"/>
        <v>ok</v>
      </c>
    </row>
    <row r="1068" spans="1:28" s="172" customFormat="1" x14ac:dyDescent="0.25">
      <c r="A1068" s="61" t="s">
        <v>155</v>
      </c>
      <c r="B1068" s="61"/>
      <c r="C1068" s="61"/>
      <c r="D1068" s="61"/>
      <c r="E1068" s="61"/>
      <c r="F1068" s="81">
        <v>0</v>
      </c>
      <c r="G1068" s="61"/>
      <c r="H1068" s="80">
        <v>0</v>
      </c>
      <c r="I1068" s="77">
        <v>0</v>
      </c>
      <c r="J1068" s="80">
        <v>0</v>
      </c>
      <c r="K1068" s="80">
        <v>0</v>
      </c>
      <c r="L1068" s="113">
        <v>0</v>
      </c>
      <c r="M1068" s="80">
        <v>0</v>
      </c>
      <c r="N1068" s="80">
        <v>0</v>
      </c>
      <c r="O1068" s="80">
        <v>0</v>
      </c>
      <c r="P1068" s="80">
        <v>0</v>
      </c>
      <c r="Q1068" s="61"/>
      <c r="R1068" s="61"/>
      <c r="S1068" s="61"/>
      <c r="T1068" s="80">
        <v>0</v>
      </c>
      <c r="U1068" s="61"/>
      <c r="V1068" s="80">
        <v>0</v>
      </c>
      <c r="W1068" s="80">
        <v>0</v>
      </c>
      <c r="AA1068" s="174">
        <f>SUM(G1068:Z1068)</f>
        <v>0</v>
      </c>
      <c r="AB1068" s="171" t="str">
        <f t="shared" si="489"/>
        <v>ok</v>
      </c>
    </row>
    <row r="1069" spans="1:28" s="172" customFormat="1" x14ac:dyDescent="0.25">
      <c r="A1069" s="61" t="s">
        <v>875</v>
      </c>
      <c r="B1069" s="61"/>
      <c r="C1069" s="61"/>
      <c r="D1069" s="61"/>
      <c r="E1069" s="61" t="s">
        <v>878</v>
      </c>
      <c r="F1069" s="81">
        <f>F1067-F1068</f>
        <v>38923063.964036517</v>
      </c>
      <c r="G1069" s="77">
        <f t="shared" ref="G1069:Z1069" si="490">IF(VLOOKUP($E1069,$D$6:$AN$1141,3,)=0,0,(VLOOKUP($E1069,$D$6:$AN$1141,G$2,)/VLOOKUP($E1069,$D$6:$AN$1141,3,))*$F1069)</f>
        <v>13895201.404402878</v>
      </c>
      <c r="H1069" s="77">
        <f t="shared" si="490"/>
        <v>4509600.1555291014</v>
      </c>
      <c r="I1069" s="77">
        <f t="shared" si="490"/>
        <v>0</v>
      </c>
      <c r="J1069" s="77">
        <f t="shared" si="490"/>
        <v>519349.98807976831</v>
      </c>
      <c r="K1069" s="77">
        <f t="shared" si="490"/>
        <v>6401806.6687456174</v>
      </c>
      <c r="L1069" s="77">
        <f t="shared" si="490"/>
        <v>0</v>
      </c>
      <c r="M1069" s="77">
        <f t="shared" si="490"/>
        <v>0</v>
      </c>
      <c r="N1069" s="77">
        <f t="shared" si="490"/>
        <v>6511762.6635146914</v>
      </c>
      <c r="O1069" s="77">
        <f t="shared" si="490"/>
        <v>3387979.7839160603</v>
      </c>
      <c r="P1069" s="77">
        <f t="shared" si="490"/>
        <v>2741339.095611325</v>
      </c>
      <c r="Q1069" s="77">
        <f t="shared" si="490"/>
        <v>350193.75618719659</v>
      </c>
      <c r="R1069" s="77">
        <f t="shared" si="490"/>
        <v>183494.23196263367</v>
      </c>
      <c r="S1069" s="77">
        <f t="shared" si="490"/>
        <v>401018.25546169246</v>
      </c>
      <c r="T1069" s="77">
        <f t="shared" si="490"/>
        <v>11211.061520060641</v>
      </c>
      <c r="U1069" s="77">
        <f t="shared" si="490"/>
        <v>10106.899105495973</v>
      </c>
      <c r="V1069" s="77">
        <f t="shared" si="490"/>
        <v>0</v>
      </c>
      <c r="W1069" s="77">
        <f t="shared" si="490"/>
        <v>0</v>
      </c>
      <c r="X1069" s="169">
        <f t="shared" si="490"/>
        <v>0</v>
      </c>
      <c r="Y1069" s="169">
        <f t="shared" si="490"/>
        <v>0</v>
      </c>
      <c r="Z1069" s="169">
        <f t="shared" si="490"/>
        <v>0</v>
      </c>
      <c r="AA1069" s="174">
        <f>SUM(G1069:Z1069)</f>
        <v>38923063.964036524</v>
      </c>
      <c r="AB1069" s="171" t="str">
        <f t="shared" si="489"/>
        <v>ok</v>
      </c>
    </row>
    <row r="1070" spans="1:28" s="172" customFormat="1" x14ac:dyDescent="0.25">
      <c r="A1070" s="61" t="s">
        <v>876</v>
      </c>
      <c r="B1070" s="61"/>
      <c r="C1070" s="61"/>
      <c r="D1070" s="61" t="s">
        <v>879</v>
      </c>
      <c r="E1070" s="61"/>
      <c r="F1070" s="81">
        <f t="shared" ref="F1070:Z1070" si="491">F1068+F1069</f>
        <v>38923063.964036517</v>
      </c>
      <c r="G1070" s="81">
        <f t="shared" si="491"/>
        <v>13895201.404402878</v>
      </c>
      <c r="H1070" s="81">
        <f t="shared" si="491"/>
        <v>4509600.1555291014</v>
      </c>
      <c r="I1070" s="81">
        <f t="shared" si="491"/>
        <v>0</v>
      </c>
      <c r="J1070" s="81">
        <f t="shared" si="491"/>
        <v>519349.98807976831</v>
      </c>
      <c r="K1070" s="81">
        <f t="shared" si="491"/>
        <v>6401806.6687456174</v>
      </c>
      <c r="L1070" s="81">
        <f t="shared" si="491"/>
        <v>0</v>
      </c>
      <c r="M1070" s="81">
        <f t="shared" si="491"/>
        <v>0</v>
      </c>
      <c r="N1070" s="81">
        <f t="shared" si="491"/>
        <v>6511762.6635146914</v>
      </c>
      <c r="O1070" s="81">
        <f>O1068+O1069</f>
        <v>3387979.7839160603</v>
      </c>
      <c r="P1070" s="81">
        <f t="shared" si="491"/>
        <v>2741339.095611325</v>
      </c>
      <c r="Q1070" s="81">
        <f t="shared" si="491"/>
        <v>350193.75618719659</v>
      </c>
      <c r="R1070" s="81">
        <f t="shared" si="491"/>
        <v>183494.23196263367</v>
      </c>
      <c r="S1070" s="81">
        <f t="shared" si="491"/>
        <v>401018.25546169246</v>
      </c>
      <c r="T1070" s="81">
        <f t="shared" si="491"/>
        <v>11211.061520060641</v>
      </c>
      <c r="U1070" s="81">
        <f t="shared" si="491"/>
        <v>10106.899105495973</v>
      </c>
      <c r="V1070" s="81">
        <f t="shared" si="491"/>
        <v>0</v>
      </c>
      <c r="W1070" s="81">
        <f t="shared" si="491"/>
        <v>0</v>
      </c>
      <c r="X1070" s="174">
        <f t="shared" si="491"/>
        <v>0</v>
      </c>
      <c r="Y1070" s="174">
        <f t="shared" si="491"/>
        <v>0</v>
      </c>
      <c r="Z1070" s="174">
        <f t="shared" si="491"/>
        <v>0</v>
      </c>
      <c r="AA1070" s="174">
        <f>SUM(G1070:Z1070)</f>
        <v>38923063.964036524</v>
      </c>
      <c r="AB1070" s="171" t="str">
        <f t="shared" si="489"/>
        <v>ok</v>
      </c>
    </row>
    <row r="1071" spans="1:28" s="172" customFormat="1" x14ac:dyDescent="0.25">
      <c r="A1071" s="61" t="s">
        <v>877</v>
      </c>
      <c r="B1071" s="61"/>
      <c r="C1071" s="61"/>
      <c r="D1071" s="61" t="s">
        <v>880</v>
      </c>
      <c r="E1071" s="61" t="s">
        <v>879</v>
      </c>
      <c r="F1071" s="111">
        <v>1</v>
      </c>
      <c r="G1071" s="84">
        <f t="shared" ref="G1071:Z1071" si="492">IF(VLOOKUP($E1071,$D$6:$AN$1141,3,)=0,0,(VLOOKUP($E1071,$D$6:$AN$1141,G$2,)/VLOOKUP($E1071,$D$6:$AN$1141,3,))*$F1071)</f>
        <v>0.35699145928597847</v>
      </c>
      <c r="H1071" s="84">
        <f t="shared" si="492"/>
        <v>0.1158593311075358</v>
      </c>
      <c r="I1071" s="84">
        <f t="shared" si="492"/>
        <v>0</v>
      </c>
      <c r="J1071" s="84">
        <f t="shared" si="492"/>
        <v>1.3342988325883817E-2</v>
      </c>
      <c r="K1071" s="84">
        <f t="shared" si="492"/>
        <v>0.16447334862077281</v>
      </c>
      <c r="L1071" s="84">
        <f t="shared" si="492"/>
        <v>0</v>
      </c>
      <c r="M1071" s="84">
        <f t="shared" si="492"/>
        <v>0</v>
      </c>
      <c r="N1071" s="84">
        <f t="shared" si="492"/>
        <v>0.16729830594866121</v>
      </c>
      <c r="O1071" s="84">
        <f t="shared" si="492"/>
        <v>8.7042987855386444E-2</v>
      </c>
      <c r="P1071" s="84">
        <f t="shared" si="492"/>
        <v>7.0429684008027266E-2</v>
      </c>
      <c r="Q1071" s="84">
        <f t="shared" si="492"/>
        <v>8.9970757829024653E-3</v>
      </c>
      <c r="R1071" s="84">
        <f t="shared" si="492"/>
        <v>4.7142802563584305E-3</v>
      </c>
      <c r="S1071" s="84">
        <f t="shared" si="492"/>
        <v>1.0302843985566466E-2</v>
      </c>
      <c r="T1071" s="84">
        <f t="shared" si="492"/>
        <v>2.8803132072077498E-4</v>
      </c>
      <c r="U1071" s="84">
        <f t="shared" si="492"/>
        <v>2.5966350220615669E-4</v>
      </c>
      <c r="V1071" s="84">
        <f t="shared" si="492"/>
        <v>0</v>
      </c>
      <c r="W1071" s="84">
        <f t="shared" si="492"/>
        <v>0</v>
      </c>
      <c r="X1071" s="169">
        <f t="shared" si="492"/>
        <v>0</v>
      </c>
      <c r="Y1071" s="169">
        <f t="shared" si="492"/>
        <v>0</v>
      </c>
      <c r="Z1071" s="169">
        <f t="shared" si="492"/>
        <v>0</v>
      </c>
      <c r="AA1071" s="175">
        <f>SUM(G1071:Z1071)</f>
        <v>1.0000000000000002</v>
      </c>
      <c r="AB1071" s="171" t="str">
        <f t="shared" si="489"/>
        <v>ok</v>
      </c>
    </row>
    <row r="1072" spans="1:28" s="178" customFormat="1" x14ac:dyDescent="0.25">
      <c r="A1072" s="61"/>
      <c r="B1072" s="61"/>
      <c r="C1072" s="61"/>
      <c r="D1072" s="61"/>
      <c r="E1072" s="61"/>
      <c r="F1072" s="111"/>
      <c r="G1072" s="84"/>
      <c r="H1072" s="84"/>
      <c r="I1072" s="84"/>
      <c r="J1072" s="84"/>
      <c r="K1072" s="84"/>
      <c r="L1072" s="84"/>
      <c r="M1072" s="84"/>
      <c r="N1072" s="84"/>
      <c r="O1072" s="84"/>
      <c r="P1072" s="84"/>
      <c r="Q1072" s="84"/>
      <c r="R1072" s="84"/>
      <c r="S1072" s="84"/>
      <c r="T1072" s="84"/>
      <c r="U1072" s="84"/>
      <c r="V1072" s="84"/>
      <c r="W1072" s="185"/>
      <c r="X1072" s="185"/>
      <c r="Y1072" s="185"/>
      <c r="Z1072" s="185"/>
      <c r="AA1072" s="185"/>
      <c r="AB1072" s="180"/>
    </row>
    <row r="1073" spans="1:29" s="178" customFormat="1" x14ac:dyDescent="0.25">
      <c r="A1073" s="66" t="s">
        <v>1289</v>
      </c>
      <c r="B1073" s="61"/>
      <c r="C1073" s="61"/>
      <c r="D1073" s="61"/>
      <c r="E1073" s="61"/>
      <c r="F1073" s="111"/>
      <c r="G1073" s="84"/>
      <c r="H1073" s="84"/>
      <c r="I1073" s="84"/>
      <c r="J1073" s="84"/>
      <c r="K1073" s="84"/>
      <c r="L1073" s="84"/>
      <c r="M1073" s="84"/>
      <c r="N1073" s="84"/>
      <c r="O1073" s="84"/>
      <c r="P1073" s="84"/>
      <c r="Q1073" s="84"/>
      <c r="R1073" s="84"/>
      <c r="S1073" s="84"/>
      <c r="T1073" s="84"/>
      <c r="U1073" s="84"/>
      <c r="V1073" s="84"/>
      <c r="W1073" s="185"/>
      <c r="X1073" s="185"/>
      <c r="Y1073" s="185"/>
      <c r="Z1073" s="185"/>
      <c r="AA1073" s="185"/>
      <c r="AB1073" s="180"/>
    </row>
    <row r="1074" spans="1:29" s="178" customFormat="1" x14ac:dyDescent="0.25">
      <c r="A1074" s="61"/>
      <c r="B1074" s="61"/>
      <c r="C1074" s="61"/>
      <c r="D1074" s="61"/>
      <c r="E1074" s="61"/>
      <c r="F1074" s="111"/>
      <c r="G1074" s="84"/>
      <c r="H1074" s="84"/>
      <c r="I1074" s="84"/>
      <c r="J1074" s="84"/>
      <c r="K1074" s="84"/>
      <c r="L1074" s="84"/>
      <c r="M1074" s="84"/>
      <c r="N1074" s="84"/>
      <c r="O1074" s="84"/>
      <c r="P1074" s="84"/>
      <c r="Q1074" s="84"/>
      <c r="R1074" s="84"/>
      <c r="S1074" s="84"/>
      <c r="T1074" s="84"/>
      <c r="U1074" s="84"/>
      <c r="V1074" s="84"/>
      <c r="W1074" s="185"/>
      <c r="X1074" s="185"/>
      <c r="Y1074" s="185"/>
      <c r="Z1074" s="185"/>
      <c r="AA1074" s="185"/>
      <c r="AB1074" s="180"/>
    </row>
    <row r="1075" spans="1:29" s="172" customFormat="1" x14ac:dyDescent="0.25">
      <c r="A1075" s="66" t="s">
        <v>702</v>
      </c>
      <c r="B1075" s="61"/>
      <c r="C1075" s="61"/>
      <c r="D1075" s="61"/>
      <c r="E1075" s="61"/>
      <c r="F1075" s="111"/>
      <c r="G1075" s="84"/>
      <c r="H1075" s="84"/>
      <c r="I1075" s="84"/>
      <c r="J1075" s="84"/>
      <c r="K1075" s="84"/>
      <c r="L1075" s="84"/>
      <c r="M1075" s="84"/>
      <c r="N1075" s="84"/>
      <c r="O1075" s="84"/>
      <c r="P1075" s="84"/>
      <c r="Q1075" s="84"/>
      <c r="R1075" s="84"/>
      <c r="S1075" s="84"/>
      <c r="T1075" s="84"/>
      <c r="U1075" s="84"/>
      <c r="V1075" s="84"/>
      <c r="W1075" s="84"/>
      <c r="X1075" s="175"/>
      <c r="Y1075" s="175"/>
      <c r="Z1075" s="175"/>
      <c r="AA1075" s="175"/>
      <c r="AB1075" s="171"/>
    </row>
    <row r="1076" spans="1:29" s="178" customFormat="1" x14ac:dyDescent="0.25">
      <c r="A1076" s="61"/>
      <c r="B1076" s="61"/>
      <c r="C1076" s="61"/>
      <c r="D1076" s="61"/>
      <c r="E1076" s="61"/>
      <c r="F1076" s="80"/>
      <c r="G1076" s="80"/>
      <c r="H1076" s="80"/>
      <c r="I1076" s="80"/>
      <c r="J1076" s="80"/>
      <c r="K1076" s="80"/>
      <c r="L1076" s="80"/>
      <c r="M1076" s="80"/>
      <c r="N1076" s="80"/>
      <c r="O1076" s="84"/>
      <c r="P1076" s="84"/>
      <c r="Q1076" s="84"/>
      <c r="R1076" s="84"/>
      <c r="S1076" s="80"/>
      <c r="T1076" s="80"/>
      <c r="U1076" s="80"/>
      <c r="V1076" s="84"/>
      <c r="W1076" s="185"/>
      <c r="X1076" s="185"/>
      <c r="Y1076" s="185"/>
      <c r="Z1076" s="185"/>
      <c r="AA1076" s="186"/>
      <c r="AB1076" s="180"/>
    </row>
    <row r="1077" spans="1:29" s="178" customFormat="1" x14ac:dyDescent="0.25">
      <c r="A1077" s="61" t="s">
        <v>732</v>
      </c>
      <c r="B1077" s="61"/>
      <c r="C1077" s="61"/>
      <c r="D1077" s="61" t="s">
        <v>733</v>
      </c>
      <c r="E1077" s="61"/>
      <c r="F1077" s="80">
        <v>2474606.9999999995</v>
      </c>
      <c r="G1077" s="80">
        <v>2028704.89</v>
      </c>
      <c r="H1077" s="80">
        <f>127367.38+192764.41</f>
        <v>320131.79000000004</v>
      </c>
      <c r="I1077" s="80">
        <v>0</v>
      </c>
      <c r="J1077" s="80">
        <v>2958.09</v>
      </c>
      <c r="K1077" s="80">
        <v>71052.52</v>
      </c>
      <c r="L1077" s="80">
        <v>0</v>
      </c>
      <c r="M1077" s="80"/>
      <c r="N1077" s="80">
        <f>4991.94+20821.26</f>
        <v>25813.199999999997</v>
      </c>
      <c r="O1077" s="80">
        <v>25946.51</v>
      </c>
      <c r="P1077" s="80">
        <v>0</v>
      </c>
      <c r="Q1077" s="80">
        <v>0</v>
      </c>
      <c r="R1077" s="80">
        <v>0</v>
      </c>
      <c r="S1077" s="80">
        <v>0</v>
      </c>
      <c r="T1077" s="80">
        <v>0</v>
      </c>
      <c r="U1077" s="80">
        <v>0</v>
      </c>
      <c r="V1077" s="80"/>
      <c r="W1077" s="179"/>
      <c r="X1077" s="179"/>
      <c r="Y1077" s="179"/>
      <c r="Z1077" s="179"/>
      <c r="AA1077" s="183">
        <f t="shared" ref="AA1077:AA1082" si="493">SUM(G1077:Z1077)</f>
        <v>2474606.9999999995</v>
      </c>
      <c r="AB1077" s="180" t="str">
        <f>IF(ABS(F1077-AA1077)&lt;0.01,"ok","err")</f>
        <v>ok</v>
      </c>
    </row>
    <row r="1078" spans="1:29" s="178" customFormat="1" x14ac:dyDescent="0.25">
      <c r="A1078" s="61" t="s">
        <v>1336</v>
      </c>
      <c r="B1078" s="61"/>
      <c r="C1078" s="61"/>
      <c r="D1078" s="61" t="s">
        <v>183</v>
      </c>
      <c r="E1078" s="61"/>
      <c r="F1078" s="84">
        <v>1</v>
      </c>
      <c r="G1078" s="84">
        <f>0.8451</f>
        <v>0.84509999999999996</v>
      </c>
      <c r="H1078" s="84">
        <v>0.15490000000000001</v>
      </c>
      <c r="I1078" s="84">
        <v>0</v>
      </c>
      <c r="J1078" s="80">
        <v>0</v>
      </c>
      <c r="K1078" s="80">
        <v>0</v>
      </c>
      <c r="L1078" s="80">
        <v>0</v>
      </c>
      <c r="M1078" s="80">
        <v>0</v>
      </c>
      <c r="N1078" s="80">
        <v>0</v>
      </c>
      <c r="O1078" s="80">
        <v>0</v>
      </c>
      <c r="P1078" s="80">
        <v>0</v>
      </c>
      <c r="Q1078" s="80"/>
      <c r="R1078" s="80"/>
      <c r="S1078" s="80"/>
      <c r="T1078" s="80"/>
      <c r="U1078" s="80"/>
      <c r="V1078" s="80"/>
      <c r="W1078" s="179"/>
      <c r="X1078" s="179"/>
      <c r="Y1078" s="179"/>
      <c r="Z1078" s="179"/>
      <c r="AA1078" s="183">
        <f t="shared" si="493"/>
        <v>1</v>
      </c>
      <c r="AB1078" s="180" t="str">
        <f>IF(ROUND(F1078-AA1078,2)=0,"ok","err")</f>
        <v>ok</v>
      </c>
      <c r="AC1078" s="225"/>
    </row>
    <row r="1079" spans="1:29" s="178" customFormat="1" x14ac:dyDescent="0.25">
      <c r="A1079" s="61" t="s">
        <v>1279</v>
      </c>
      <c r="B1079" s="61"/>
      <c r="C1079" s="61"/>
      <c r="D1079" s="61" t="s">
        <v>1280</v>
      </c>
      <c r="E1079" s="61"/>
      <c r="F1079" s="81">
        <f t="shared" ref="F1079:L1079" si="494">SUM(F759:F774)-SUM(F797:F821)</f>
        <v>-9657266.5700000003</v>
      </c>
      <c r="G1079" s="81">
        <f t="shared" si="494"/>
        <v>-3575537.6561082071</v>
      </c>
      <c r="H1079" s="81">
        <f t="shared" si="494"/>
        <v>-1138190.5290949557</v>
      </c>
      <c r="I1079" s="81">
        <v>0</v>
      </c>
      <c r="J1079" s="81">
        <f t="shared" si="494"/>
        <v>-125446.48718956654</v>
      </c>
      <c r="K1079" s="81">
        <f t="shared" si="494"/>
        <v>-1517657.4073847095</v>
      </c>
      <c r="L1079" s="81">
        <f t="shared" si="494"/>
        <v>0</v>
      </c>
      <c r="M1079" s="81">
        <v>0</v>
      </c>
      <c r="N1079" s="81">
        <f t="shared" ref="N1079:Z1079" si="495">SUM(N759:N774)-SUM(N797:N821)</f>
        <v>-1531518.5023559118</v>
      </c>
      <c r="O1079" s="81">
        <f t="shared" si="495"/>
        <v>-768875.35963811609</v>
      </c>
      <c r="P1079" s="81">
        <f t="shared" si="495"/>
        <v>-624045.00740574324</v>
      </c>
      <c r="Q1079" s="81">
        <f t="shared" si="495"/>
        <v>-227449.66001013864</v>
      </c>
      <c r="R1079" s="81">
        <f t="shared" si="495"/>
        <v>-42838.694427414644</v>
      </c>
      <c r="S1079" s="81">
        <f t="shared" si="495"/>
        <v>-105753.14759576241</v>
      </c>
      <c r="T1079" s="81">
        <f t="shared" si="495"/>
        <v>72.284717784224597</v>
      </c>
      <c r="U1079" s="81">
        <f t="shared" si="495"/>
        <v>-26.403507260530162</v>
      </c>
      <c r="V1079" s="81">
        <f t="shared" si="495"/>
        <v>0</v>
      </c>
      <c r="W1079" s="186">
        <f t="shared" si="495"/>
        <v>0</v>
      </c>
      <c r="X1079" s="186">
        <f t="shared" si="495"/>
        <v>0</v>
      </c>
      <c r="Y1079" s="186">
        <f t="shared" si="495"/>
        <v>0</v>
      </c>
      <c r="Z1079" s="186">
        <f t="shared" si="495"/>
        <v>0</v>
      </c>
      <c r="AA1079" s="182">
        <f t="shared" si="493"/>
        <v>-9657266.5700000022</v>
      </c>
      <c r="AB1079" s="180" t="str">
        <f t="shared" ref="AB1079:AB1088" si="496">IF(ABS(F1079-AA1079)&lt;0.01,"ok","err")</f>
        <v>ok</v>
      </c>
    </row>
    <row r="1080" spans="1:29" s="178" customFormat="1" x14ac:dyDescent="0.25">
      <c r="A1080" s="61" t="s">
        <v>1332</v>
      </c>
      <c r="B1080" s="61"/>
      <c r="C1080" s="61"/>
      <c r="D1080" s="61" t="s">
        <v>1275</v>
      </c>
      <c r="E1080" s="61"/>
      <c r="F1080" s="80">
        <v>0</v>
      </c>
      <c r="G1080" s="80"/>
      <c r="H1080" s="80"/>
      <c r="I1080" s="80"/>
      <c r="J1080" s="80"/>
      <c r="K1080" s="80"/>
      <c r="L1080" s="80"/>
      <c r="M1080" s="80"/>
      <c r="N1080" s="80"/>
      <c r="O1080" s="80"/>
      <c r="P1080" s="80"/>
      <c r="Q1080" s="80"/>
      <c r="R1080" s="80"/>
      <c r="S1080" s="80"/>
      <c r="T1080" s="80"/>
      <c r="U1080" s="80"/>
      <c r="V1080" s="80"/>
      <c r="W1080" s="80"/>
      <c r="X1080" s="179"/>
      <c r="Y1080" s="179"/>
      <c r="Z1080" s="179"/>
      <c r="AA1080" s="179">
        <f t="shared" si="493"/>
        <v>0</v>
      </c>
      <c r="AB1080" s="180" t="str">
        <f t="shared" si="496"/>
        <v>ok</v>
      </c>
    </row>
    <row r="1081" spans="1:29" s="178" customFormat="1" x14ac:dyDescent="0.25">
      <c r="A1081" s="61" t="s">
        <v>1273</v>
      </c>
      <c r="B1081" s="61"/>
      <c r="C1081" s="61"/>
      <c r="D1081" s="61" t="s">
        <v>1271</v>
      </c>
      <c r="E1081" s="61"/>
      <c r="F1081" s="80">
        <v>0</v>
      </c>
      <c r="G1081" s="80"/>
      <c r="H1081" s="80"/>
      <c r="I1081" s="80"/>
      <c r="J1081" s="80"/>
      <c r="K1081" s="80"/>
      <c r="L1081" s="80"/>
      <c r="M1081" s="80"/>
      <c r="N1081" s="80"/>
      <c r="O1081" s="80"/>
      <c r="P1081" s="80"/>
      <c r="Q1081" s="80"/>
      <c r="R1081" s="80"/>
      <c r="S1081" s="80"/>
      <c r="T1081" s="80"/>
      <c r="U1081" s="80"/>
      <c r="V1081" s="80"/>
      <c r="W1081" s="80"/>
      <c r="X1081" s="179"/>
      <c r="Y1081" s="179"/>
      <c r="Z1081" s="179"/>
      <c r="AA1081" s="179">
        <f t="shared" si="493"/>
        <v>0</v>
      </c>
      <c r="AB1081" s="180" t="str">
        <f t="shared" si="496"/>
        <v>ok</v>
      </c>
    </row>
    <row r="1082" spans="1:29" s="178" customFormat="1" x14ac:dyDescent="0.25">
      <c r="A1082" s="61" t="s">
        <v>1274</v>
      </c>
      <c r="B1082" s="61"/>
      <c r="C1082" s="61"/>
      <c r="D1082" s="61" t="s">
        <v>1272</v>
      </c>
      <c r="E1082" s="61"/>
      <c r="F1082" s="80">
        <v>0</v>
      </c>
      <c r="G1082" s="80"/>
      <c r="H1082" s="80"/>
      <c r="I1082" s="80"/>
      <c r="J1082" s="80"/>
      <c r="K1082" s="80"/>
      <c r="L1082" s="80"/>
      <c r="M1082" s="80"/>
      <c r="N1082" s="80"/>
      <c r="O1082" s="80"/>
      <c r="P1082" s="80"/>
      <c r="Q1082" s="80"/>
      <c r="R1082" s="80"/>
      <c r="S1082" s="80"/>
      <c r="T1082" s="80"/>
      <c r="U1082" s="80"/>
      <c r="V1082" s="80"/>
      <c r="W1082" s="80"/>
      <c r="X1082" s="179"/>
      <c r="Y1082" s="179"/>
      <c r="Z1082" s="179"/>
      <c r="AA1082" s="179">
        <f t="shared" si="493"/>
        <v>0</v>
      </c>
      <c r="AB1082" s="180" t="str">
        <f t="shared" si="496"/>
        <v>ok</v>
      </c>
    </row>
    <row r="1083" spans="1:29" s="178" customFormat="1" x14ac:dyDescent="0.25">
      <c r="A1083" s="61" t="s">
        <v>913</v>
      </c>
      <c r="B1083" s="61"/>
      <c r="C1083" s="61"/>
      <c r="D1083" s="61" t="s">
        <v>914</v>
      </c>
      <c r="E1083" s="61"/>
      <c r="F1083" s="80">
        <v>0</v>
      </c>
      <c r="G1083" s="80"/>
      <c r="H1083" s="80"/>
      <c r="I1083" s="80"/>
      <c r="J1083" s="80"/>
      <c r="K1083" s="80"/>
      <c r="L1083" s="80"/>
      <c r="M1083" s="80"/>
      <c r="N1083" s="80"/>
      <c r="O1083" s="80"/>
      <c r="P1083" s="80"/>
      <c r="Q1083" s="80"/>
      <c r="R1083" s="80"/>
      <c r="S1083" s="80"/>
      <c r="T1083" s="80"/>
      <c r="U1083" s="80"/>
      <c r="V1083" s="80">
        <v>0</v>
      </c>
      <c r="W1083" s="80">
        <v>0</v>
      </c>
      <c r="X1083" s="179"/>
      <c r="Y1083" s="179"/>
      <c r="Z1083" s="179"/>
      <c r="AA1083" s="179">
        <f t="shared" ref="AA1083:AA1088" si="497">SUM(G1083:Z1083)</f>
        <v>0</v>
      </c>
      <c r="AB1083" s="180" t="str">
        <f t="shared" si="496"/>
        <v>ok</v>
      </c>
    </row>
    <row r="1084" spans="1:29" s="178" customFormat="1" x14ac:dyDescent="0.25">
      <c r="A1084" s="61" t="s">
        <v>941</v>
      </c>
      <c r="B1084" s="61"/>
      <c r="C1084" s="61"/>
      <c r="D1084" s="61" t="s">
        <v>940</v>
      </c>
      <c r="E1084" s="61"/>
      <c r="F1084" s="80">
        <v>0</v>
      </c>
      <c r="G1084" s="80"/>
      <c r="H1084" s="80"/>
      <c r="I1084" s="80"/>
      <c r="J1084" s="80"/>
      <c r="K1084" s="80"/>
      <c r="L1084" s="80"/>
      <c r="M1084" s="80"/>
      <c r="N1084" s="80"/>
      <c r="O1084" s="80"/>
      <c r="P1084" s="80"/>
      <c r="Q1084" s="80"/>
      <c r="R1084" s="80"/>
      <c r="S1084" s="80"/>
      <c r="T1084" s="80"/>
      <c r="U1084" s="80"/>
      <c r="V1084" s="80">
        <v>0</v>
      </c>
      <c r="W1084" s="80">
        <v>0</v>
      </c>
      <c r="X1084" s="179"/>
      <c r="Y1084" s="179"/>
      <c r="Z1084" s="179"/>
      <c r="AA1084" s="179">
        <f t="shared" si="497"/>
        <v>0</v>
      </c>
      <c r="AB1084" s="180" t="str">
        <f t="shared" si="496"/>
        <v>ok</v>
      </c>
    </row>
    <row r="1085" spans="1:29" s="172" customFormat="1" x14ac:dyDescent="0.25">
      <c r="A1085" s="61" t="s">
        <v>638</v>
      </c>
      <c r="B1085" s="61"/>
      <c r="C1085" s="61"/>
      <c r="D1085" s="61" t="s">
        <v>701</v>
      </c>
      <c r="E1085" s="61"/>
      <c r="F1085" s="80">
        <v>122493053</v>
      </c>
      <c r="G1085" s="80">
        <f>5717841+37700640</f>
        <v>43418481</v>
      </c>
      <c r="H1085" s="80">
        <f>3511580+651184+10620099</f>
        <v>14782863</v>
      </c>
      <c r="I1085" s="80">
        <v>0</v>
      </c>
      <c r="J1085" s="80">
        <f>1472676+197438</f>
        <v>1670114</v>
      </c>
      <c r="K1085" s="80">
        <f>17790883+2420274</f>
        <v>20211157</v>
      </c>
      <c r="L1085" s="80">
        <v>0</v>
      </c>
      <c r="M1085" s="80"/>
      <c r="N1085" s="80">
        <f>15216647+1610913+3368650+351843</f>
        <v>20548053</v>
      </c>
      <c r="O1085" s="80">
        <f>9427672+1084253</f>
        <v>10511925</v>
      </c>
      <c r="P1085" s="80">
        <f>8051886+541227</f>
        <v>8593113</v>
      </c>
      <c r="Q1085" s="80">
        <f>990192+62269</f>
        <v>1052461</v>
      </c>
      <c r="R1085" s="80">
        <f>522424+41741</f>
        <v>564165</v>
      </c>
      <c r="S1085" s="80">
        <v>1140721</v>
      </c>
      <c r="T1085" s="80"/>
      <c r="U1085" s="80"/>
      <c r="V1085" s="80">
        <v>0</v>
      </c>
      <c r="W1085" s="80">
        <v>0</v>
      </c>
      <c r="X1085" s="168"/>
      <c r="Y1085" s="168"/>
      <c r="Z1085" s="168"/>
      <c r="AA1085" s="168">
        <f t="shared" si="497"/>
        <v>122493053</v>
      </c>
      <c r="AB1085" s="171" t="str">
        <f t="shared" si="496"/>
        <v>ok</v>
      </c>
    </row>
    <row r="1086" spans="1:29" s="172" customFormat="1" x14ac:dyDescent="0.25">
      <c r="A1086" s="61" t="s">
        <v>1277</v>
      </c>
      <c r="B1086" s="61"/>
      <c r="C1086" s="61"/>
      <c r="D1086" s="61" t="s">
        <v>1276</v>
      </c>
      <c r="E1086" s="61"/>
      <c r="F1086" s="80">
        <v>0</v>
      </c>
      <c r="G1086" s="80"/>
      <c r="H1086" s="80"/>
      <c r="I1086" s="80"/>
      <c r="J1086" s="80"/>
      <c r="K1086" s="80"/>
      <c r="L1086" s="80"/>
      <c r="M1086" s="80"/>
      <c r="N1086" s="80"/>
      <c r="O1086" s="80"/>
      <c r="P1086" s="80"/>
      <c r="Q1086" s="80"/>
      <c r="R1086" s="80"/>
      <c r="S1086" s="80"/>
      <c r="T1086" s="80"/>
      <c r="U1086" s="80"/>
      <c r="V1086" s="80"/>
      <c r="W1086" s="80"/>
      <c r="X1086" s="168"/>
      <c r="Y1086" s="168"/>
      <c r="Z1086" s="168"/>
      <c r="AA1086" s="168">
        <f>SUM(G1086:Z1086)</f>
        <v>0</v>
      </c>
      <c r="AB1086" s="171" t="str">
        <f t="shared" si="496"/>
        <v>ok</v>
      </c>
    </row>
    <row r="1087" spans="1:29" s="178" customFormat="1" x14ac:dyDescent="0.25">
      <c r="A1087" s="61" t="s">
        <v>639</v>
      </c>
      <c r="B1087" s="61"/>
      <c r="C1087" s="61"/>
      <c r="D1087" s="112" t="s">
        <v>886</v>
      </c>
      <c r="E1087" s="61"/>
      <c r="F1087" s="80">
        <v>0</v>
      </c>
      <c r="G1087" s="80"/>
      <c r="H1087" s="80"/>
      <c r="I1087" s="80"/>
      <c r="J1087" s="80"/>
      <c r="K1087" s="80"/>
      <c r="L1087" s="80"/>
      <c r="M1087" s="80"/>
      <c r="N1087" s="80"/>
      <c r="O1087" s="80"/>
      <c r="P1087" s="80"/>
      <c r="Q1087" s="80"/>
      <c r="R1087" s="80"/>
      <c r="S1087" s="80"/>
      <c r="T1087" s="80"/>
      <c r="U1087" s="80"/>
      <c r="V1087" s="80">
        <v>0</v>
      </c>
      <c r="W1087" s="80">
        <v>0</v>
      </c>
      <c r="X1087" s="179"/>
      <c r="Y1087" s="179"/>
      <c r="Z1087" s="179"/>
      <c r="AA1087" s="179">
        <f t="shared" si="497"/>
        <v>0</v>
      </c>
      <c r="AB1087" s="180" t="str">
        <f t="shared" si="496"/>
        <v>ok</v>
      </c>
      <c r="AC1087" s="181"/>
    </row>
    <row r="1088" spans="1:29" s="61" customFormat="1" x14ac:dyDescent="0.25">
      <c r="A1088" s="61" t="s">
        <v>1199</v>
      </c>
      <c r="D1088" s="170" t="s">
        <v>884</v>
      </c>
      <c r="F1088" s="80">
        <v>0</v>
      </c>
      <c r="G1088" s="80"/>
      <c r="H1088" s="80"/>
      <c r="I1088" s="80"/>
      <c r="J1088" s="80"/>
      <c r="K1088" s="80"/>
      <c r="L1088" s="80"/>
      <c r="M1088" s="80"/>
      <c r="N1088" s="80"/>
      <c r="O1088" s="80"/>
      <c r="P1088" s="80"/>
      <c r="Q1088" s="80"/>
      <c r="R1088" s="80"/>
      <c r="S1088" s="80"/>
      <c r="T1088" s="80"/>
      <c r="U1088" s="80"/>
      <c r="V1088" s="80">
        <f>V1029</f>
        <v>0</v>
      </c>
      <c r="W1088" s="80">
        <f>W1029</f>
        <v>0</v>
      </c>
      <c r="X1088" s="80">
        <f>X1029</f>
        <v>0</v>
      </c>
      <c r="Y1088" s="80">
        <f>Y1029</f>
        <v>0</v>
      </c>
      <c r="Z1088" s="80">
        <f>Z1029</f>
        <v>0</v>
      </c>
      <c r="AA1088" s="80">
        <f t="shared" si="497"/>
        <v>0</v>
      </c>
      <c r="AB1088" s="94" t="str">
        <f t="shared" si="496"/>
        <v>ok</v>
      </c>
      <c r="AC1088" s="138"/>
    </row>
    <row r="1089" spans="1:28" s="178" customFormat="1" x14ac:dyDescent="0.25">
      <c r="A1089" s="61"/>
      <c r="B1089" s="61"/>
      <c r="C1089" s="61"/>
      <c r="D1089" s="61"/>
      <c r="E1089" s="61"/>
      <c r="F1089" s="111"/>
      <c r="G1089" s="84"/>
      <c r="H1089" s="84"/>
      <c r="I1089" s="84"/>
      <c r="J1089" s="84"/>
      <c r="K1089" s="84"/>
      <c r="L1089" s="84"/>
      <c r="M1089" s="84"/>
      <c r="N1089" s="84"/>
      <c r="O1089" s="84"/>
      <c r="P1089" s="84"/>
      <c r="Q1089" s="84"/>
      <c r="R1089" s="84"/>
      <c r="S1089" s="84"/>
      <c r="T1089" s="84"/>
      <c r="U1089" s="84"/>
      <c r="V1089" s="84"/>
      <c r="W1089" s="185"/>
      <c r="X1089" s="185"/>
      <c r="Y1089" s="185"/>
      <c r="Z1089" s="185"/>
      <c r="AA1089" s="185"/>
      <c r="AB1089" s="180"/>
    </row>
    <row r="1090" spans="1:28" s="178" customFormat="1" x14ac:dyDescent="0.25">
      <c r="A1090" s="61" t="s">
        <v>1342</v>
      </c>
      <c r="B1090" s="61"/>
      <c r="C1090" s="61"/>
      <c r="D1090" s="61"/>
      <c r="E1090" s="61"/>
      <c r="F1090" s="80">
        <v>0</v>
      </c>
      <c r="G1090" s="80"/>
      <c r="H1090" s="80"/>
      <c r="I1090" s="80"/>
      <c r="J1090" s="80"/>
      <c r="K1090" s="80"/>
      <c r="L1090" s="80"/>
      <c r="M1090" s="80"/>
      <c r="N1090" s="80"/>
      <c r="O1090" s="80"/>
      <c r="P1090" s="80"/>
      <c r="Q1090" s="80"/>
      <c r="R1090" s="80"/>
      <c r="S1090" s="80"/>
      <c r="T1090" s="80"/>
      <c r="U1090" s="80"/>
      <c r="V1090" s="80"/>
      <c r="W1090" s="80"/>
      <c r="X1090" s="80"/>
      <c r="Y1090" s="80"/>
      <c r="Z1090" s="80"/>
      <c r="AA1090" s="80">
        <f>SUM(G1090:Z1090)</f>
        <v>0</v>
      </c>
      <c r="AB1090" s="94" t="str">
        <f>IF(ABS(F1090-AA1090)&lt;0.01,"ok","err")</f>
        <v>ok</v>
      </c>
    </row>
    <row r="1091" spans="1:28" s="178" customFormat="1" x14ac:dyDescent="0.25">
      <c r="A1091" s="61"/>
      <c r="B1091" s="61"/>
      <c r="C1091" s="61"/>
      <c r="D1091" s="61"/>
      <c r="E1091" s="61"/>
      <c r="F1091" s="111"/>
      <c r="G1091" s="84"/>
      <c r="H1091" s="84"/>
      <c r="I1091" s="84"/>
      <c r="J1091" s="84"/>
      <c r="K1091" s="84"/>
      <c r="L1091" s="84"/>
      <c r="M1091" s="84"/>
      <c r="N1091" s="84"/>
      <c r="O1091" s="84"/>
      <c r="P1091" s="84"/>
      <c r="Q1091" s="84"/>
      <c r="R1091" s="84"/>
      <c r="S1091" s="84"/>
      <c r="T1091" s="84"/>
      <c r="U1091" s="84"/>
      <c r="V1091" s="84"/>
      <c r="W1091" s="185"/>
      <c r="X1091" s="185"/>
      <c r="Y1091" s="185"/>
      <c r="Z1091" s="185"/>
      <c r="AA1091" s="185"/>
      <c r="AB1091" s="180"/>
    </row>
    <row r="1092" spans="1:28" s="178" customFormat="1" x14ac:dyDescent="0.25">
      <c r="A1092" s="66" t="s">
        <v>858</v>
      </c>
      <c r="B1092" s="61"/>
      <c r="C1092" s="61"/>
      <c r="D1092" s="61"/>
      <c r="E1092" s="61"/>
      <c r="F1092" s="111"/>
      <c r="G1092" s="84"/>
      <c r="H1092" s="84"/>
      <c r="I1092" s="84"/>
      <c r="J1092" s="84"/>
      <c r="K1092" s="84"/>
      <c r="L1092" s="84"/>
      <c r="M1092" s="84"/>
      <c r="N1092" s="84"/>
      <c r="O1092" s="84"/>
      <c r="P1092" s="84"/>
      <c r="Q1092" s="84"/>
      <c r="R1092" s="84"/>
      <c r="S1092" s="84"/>
      <c r="T1092" s="84"/>
      <c r="U1092" s="84"/>
      <c r="V1092" s="84"/>
      <c r="W1092" s="185"/>
      <c r="X1092" s="185"/>
      <c r="Y1092" s="185"/>
      <c r="Z1092" s="185"/>
      <c r="AA1092" s="185"/>
      <c r="AB1092" s="180"/>
    </row>
    <row r="1093" spans="1:28" s="178" customFormat="1" x14ac:dyDescent="0.25">
      <c r="A1093" s="61"/>
      <c r="B1093" s="61"/>
      <c r="C1093" s="61"/>
      <c r="D1093" s="61"/>
      <c r="E1093" s="61"/>
      <c r="F1093" s="61"/>
      <c r="G1093" s="84"/>
      <c r="H1093" s="84"/>
      <c r="I1093" s="84"/>
      <c r="J1093" s="84"/>
      <c r="K1093" s="84"/>
      <c r="L1093" s="84"/>
      <c r="M1093" s="84"/>
      <c r="N1093" s="84"/>
      <c r="O1093" s="84"/>
      <c r="P1093" s="84"/>
      <c r="Q1093" s="84"/>
      <c r="R1093" s="84"/>
      <c r="S1093" s="84"/>
      <c r="T1093" s="84"/>
      <c r="U1093" s="84"/>
      <c r="V1093" s="84"/>
      <c r="W1093" s="185"/>
      <c r="X1093" s="185"/>
      <c r="Y1093" s="185"/>
      <c r="Z1093" s="185"/>
      <c r="AA1093" s="185"/>
      <c r="AB1093" s="180"/>
    </row>
    <row r="1094" spans="1:28" s="178" customFormat="1" x14ac:dyDescent="0.25">
      <c r="A1094" s="61" t="s">
        <v>860</v>
      </c>
      <c r="B1094" s="61"/>
      <c r="C1094" s="61"/>
      <c r="D1094" s="61"/>
      <c r="E1094" s="61" t="s">
        <v>1126</v>
      </c>
      <c r="F1094" s="77">
        <f>F699</f>
        <v>71794397</v>
      </c>
      <c r="G1094" s="77">
        <f t="shared" ref="G1094:Z1094" si="498">IF(VLOOKUP($E1094,$D$6:$AN$1141,3,)=0,0,(VLOOKUP($E1094,$D$6:$AN$1141,G$2,)/VLOOKUP($E1094,$D$6:$AN$1141,3,))*$F1094)</f>
        <v>35426174.373400718</v>
      </c>
      <c r="H1094" s="77">
        <f t="shared" si="498"/>
        <v>8861415.0193422977</v>
      </c>
      <c r="I1094" s="77">
        <f t="shared" si="498"/>
        <v>0</v>
      </c>
      <c r="J1094" s="77">
        <f t="shared" si="498"/>
        <v>808778.51335235545</v>
      </c>
      <c r="K1094" s="77">
        <f t="shared" si="498"/>
        <v>10269988.540494056</v>
      </c>
      <c r="L1094" s="77">
        <f t="shared" si="498"/>
        <v>0</v>
      </c>
      <c r="M1094" s="77">
        <f t="shared" si="498"/>
        <v>0</v>
      </c>
      <c r="N1094" s="77">
        <f t="shared" si="498"/>
        <v>8438485.0251357369</v>
      </c>
      <c r="O1094" s="77">
        <f t="shared" si="498"/>
        <v>5105473.1206644671</v>
      </c>
      <c r="P1094" s="77">
        <f t="shared" si="498"/>
        <v>2124322.4507618961</v>
      </c>
      <c r="Q1094" s="77">
        <f t="shared" si="498"/>
        <v>437093.23960539035</v>
      </c>
      <c r="R1094" s="77">
        <f t="shared" si="498"/>
        <v>281436.60282540502</v>
      </c>
      <c r="S1094" s="77">
        <f t="shared" si="498"/>
        <v>30254.836704960817</v>
      </c>
      <c r="T1094" s="77">
        <f t="shared" si="498"/>
        <v>845.80860755526714</v>
      </c>
      <c r="U1094" s="77">
        <f t="shared" si="498"/>
        <v>10129.469105174692</v>
      </c>
      <c r="V1094" s="77">
        <f t="shared" si="498"/>
        <v>0</v>
      </c>
      <c r="W1094" s="182">
        <f t="shared" si="498"/>
        <v>0</v>
      </c>
      <c r="X1094" s="182">
        <f t="shared" si="498"/>
        <v>0</v>
      </c>
      <c r="Y1094" s="182">
        <f t="shared" si="498"/>
        <v>0</v>
      </c>
      <c r="Z1094" s="182">
        <f t="shared" si="498"/>
        <v>0</v>
      </c>
      <c r="AA1094" s="186">
        <f>SUM(G1094:Z1094)</f>
        <v>71794397</v>
      </c>
      <c r="AB1094" s="180" t="str">
        <f>IF(ABS(F1094-AA1094)&lt;0.01,"ok","err")</f>
        <v>ok</v>
      </c>
    </row>
    <row r="1095" spans="1:28" s="178" customFormat="1" x14ac:dyDescent="0.25">
      <c r="A1095" s="61"/>
      <c r="B1095" s="61"/>
      <c r="C1095" s="61"/>
      <c r="D1095" s="61"/>
      <c r="E1095" s="61"/>
      <c r="F1095" s="61"/>
      <c r="G1095" s="84"/>
      <c r="H1095" s="84"/>
      <c r="I1095" s="84"/>
      <c r="J1095" s="84"/>
      <c r="K1095" s="84"/>
      <c r="L1095" s="84"/>
      <c r="M1095" s="84"/>
      <c r="N1095" s="84"/>
      <c r="O1095" s="84"/>
      <c r="P1095" s="84"/>
      <c r="Q1095" s="84"/>
      <c r="R1095" s="84"/>
      <c r="S1095" s="84"/>
      <c r="T1095" s="84"/>
      <c r="U1095" s="84"/>
      <c r="V1095" s="84"/>
      <c r="W1095" s="185"/>
      <c r="X1095" s="185"/>
      <c r="Y1095" s="185"/>
      <c r="Z1095" s="185"/>
      <c r="AA1095" s="185"/>
      <c r="AB1095" s="180"/>
    </row>
    <row r="1096" spans="1:28" s="178" customFormat="1" x14ac:dyDescent="0.25">
      <c r="A1096" s="61" t="s">
        <v>867</v>
      </c>
      <c r="B1096" s="61"/>
      <c r="C1096" s="61"/>
      <c r="D1096" s="61"/>
      <c r="E1096" s="61"/>
      <c r="F1096" s="61"/>
      <c r="G1096" s="84"/>
      <c r="H1096" s="84"/>
      <c r="I1096" s="84"/>
      <c r="J1096" s="84"/>
      <c r="K1096" s="84"/>
      <c r="L1096" s="84"/>
      <c r="M1096" s="84"/>
      <c r="N1096" s="84"/>
      <c r="O1096" s="84"/>
      <c r="P1096" s="84"/>
      <c r="Q1096" s="84"/>
      <c r="R1096" s="84"/>
      <c r="S1096" s="84"/>
      <c r="T1096" s="84"/>
      <c r="U1096" s="84"/>
      <c r="V1096" s="84"/>
      <c r="W1096" s="185"/>
      <c r="X1096" s="185"/>
      <c r="Y1096" s="185"/>
      <c r="Z1096" s="185"/>
      <c r="AA1096" s="185"/>
      <c r="AB1096" s="180"/>
    </row>
    <row r="1097" spans="1:28" s="178" customFormat="1" x14ac:dyDescent="0.25">
      <c r="A1097" s="61" t="s">
        <v>862</v>
      </c>
      <c r="B1097" s="61"/>
      <c r="C1097" s="61"/>
      <c r="D1097" s="61"/>
      <c r="E1097" s="61" t="s">
        <v>952</v>
      </c>
      <c r="F1097" s="77">
        <v>34956798</v>
      </c>
      <c r="G1097" s="77">
        <f t="shared" ref="G1097:P1098" si="499">IF(VLOOKUP($E1097,$D$6:$AN$1141,3,)=0,0,(VLOOKUP($E1097,$D$6:$AN$1141,G$2,)/VLOOKUP($E1097,$D$6:$AN$1141,3,))*$F1097)</f>
        <v>12479278.390126245</v>
      </c>
      <c r="H1097" s="77">
        <f t="shared" si="499"/>
        <v>4050071.1344515821</v>
      </c>
      <c r="I1097" s="77">
        <f t="shared" si="499"/>
        <v>0</v>
      </c>
      <c r="J1097" s="77">
        <f t="shared" si="499"/>
        <v>466428.09664301295</v>
      </c>
      <c r="K1097" s="77">
        <f t="shared" si="499"/>
        <v>5749461.5578830065</v>
      </c>
      <c r="L1097" s="77">
        <f t="shared" si="499"/>
        <v>0</v>
      </c>
      <c r="M1097" s="77">
        <f t="shared" si="499"/>
        <v>0</v>
      </c>
      <c r="N1097" s="77">
        <f t="shared" si="499"/>
        <v>5848213.1896279948</v>
      </c>
      <c r="O1097" s="77">
        <f t="shared" si="499"/>
        <v>3042744.0662933183</v>
      </c>
      <c r="P1097" s="77">
        <f t="shared" si="499"/>
        <v>2461996.3390433211</v>
      </c>
      <c r="Q1097" s="77">
        <f t="shared" ref="Q1097:Z1098" si="500">IF(VLOOKUP($E1097,$D$6:$AN$1141,3,)=0,0,(VLOOKUP($E1097,$D$6:$AN$1141,Q$2,)/VLOOKUP($E1097,$D$6:$AN$1141,3,))*$F1097)</f>
        <v>314509.06717767869</v>
      </c>
      <c r="R1097" s="77">
        <f t="shared" si="500"/>
        <v>164796.03136348736</v>
      </c>
      <c r="S1097" s="77">
        <f t="shared" si="500"/>
        <v>360154.53591278195</v>
      </c>
      <c r="T1097" s="77">
        <f t="shared" si="500"/>
        <v>10068.532496001057</v>
      </c>
      <c r="U1097" s="77">
        <f t="shared" si="500"/>
        <v>9077.0589815681269</v>
      </c>
      <c r="V1097" s="77">
        <f t="shared" si="500"/>
        <v>0</v>
      </c>
      <c r="W1097" s="182">
        <f t="shared" si="500"/>
        <v>0</v>
      </c>
      <c r="X1097" s="179">
        <f t="shared" si="500"/>
        <v>0</v>
      </c>
      <c r="Y1097" s="179">
        <f t="shared" si="500"/>
        <v>0</v>
      </c>
      <c r="Z1097" s="179">
        <f t="shared" si="500"/>
        <v>0</v>
      </c>
      <c r="AA1097" s="186">
        <f>SUM(G1097:Z1097)</f>
        <v>34956797.999999985</v>
      </c>
      <c r="AB1097" s="180" t="str">
        <f>IF(ABS(F1097-AA1097)&lt;0.01,"ok","err")</f>
        <v>ok</v>
      </c>
    </row>
    <row r="1098" spans="1:28" s="178" customFormat="1" x14ac:dyDescent="0.25">
      <c r="A1098" s="61" t="s">
        <v>863</v>
      </c>
      <c r="B1098" s="61"/>
      <c r="C1098" s="61"/>
      <c r="D1098" s="61"/>
      <c r="E1098" s="61" t="s">
        <v>1126</v>
      </c>
      <c r="F1098" s="80">
        <f>-F1097</f>
        <v>-34956798</v>
      </c>
      <c r="G1098" s="80">
        <f t="shared" si="499"/>
        <v>-17249056.656660065</v>
      </c>
      <c r="H1098" s="80">
        <f t="shared" si="499"/>
        <v>-4314636.0686797714</v>
      </c>
      <c r="I1098" s="80">
        <f t="shared" si="499"/>
        <v>0</v>
      </c>
      <c r="J1098" s="80">
        <f t="shared" si="499"/>
        <v>-393795.45339726983</v>
      </c>
      <c r="K1098" s="80">
        <f t="shared" si="499"/>
        <v>-5000472.597776196</v>
      </c>
      <c r="L1098" s="80">
        <f t="shared" si="499"/>
        <v>0</v>
      </c>
      <c r="M1098" s="80">
        <f t="shared" si="499"/>
        <v>0</v>
      </c>
      <c r="N1098" s="80">
        <f t="shared" si="499"/>
        <v>-4108710.8294773321</v>
      </c>
      <c r="O1098" s="80">
        <f t="shared" si="499"/>
        <v>-2485862.4075287855</v>
      </c>
      <c r="P1098" s="80">
        <f t="shared" si="499"/>
        <v>-1034335.7406866798</v>
      </c>
      <c r="Q1098" s="80">
        <f t="shared" si="500"/>
        <v>-212821.34431815383</v>
      </c>
      <c r="R1098" s="80">
        <f t="shared" si="500"/>
        <v>-137031.89783422669</v>
      </c>
      <c r="S1098" s="80">
        <f t="shared" si="500"/>
        <v>-14731.124703482095</v>
      </c>
      <c r="T1098" s="80">
        <f t="shared" si="500"/>
        <v>-411.82546098925724</v>
      </c>
      <c r="U1098" s="80">
        <f t="shared" si="500"/>
        <v>-4932.0534770538216</v>
      </c>
      <c r="V1098" s="80">
        <f t="shared" si="500"/>
        <v>0</v>
      </c>
      <c r="W1098" s="179">
        <f t="shared" si="500"/>
        <v>0</v>
      </c>
      <c r="X1098" s="179">
        <f t="shared" si="500"/>
        <v>0</v>
      </c>
      <c r="Y1098" s="179">
        <f t="shared" si="500"/>
        <v>0</v>
      </c>
      <c r="Z1098" s="179">
        <f t="shared" si="500"/>
        <v>0</v>
      </c>
      <c r="AA1098" s="179">
        <f>SUM(G1098:Z1098)</f>
        <v>-34956798.000000007</v>
      </c>
      <c r="AB1098" s="180" t="str">
        <f>IF(ABS(F1098-AA1098)&lt;0.01,"ok","err")</f>
        <v>ok</v>
      </c>
    </row>
    <row r="1099" spans="1:28" s="178" customFormat="1" x14ac:dyDescent="0.25">
      <c r="A1099" s="61" t="s">
        <v>864</v>
      </c>
      <c r="B1099" s="61"/>
      <c r="C1099" s="61"/>
      <c r="D1099" s="61"/>
      <c r="E1099" s="61"/>
      <c r="F1099" s="80">
        <f>F1097+F1098</f>
        <v>0</v>
      </c>
      <c r="G1099" s="80">
        <f t="shared" ref="G1099:W1099" si="501">G1097+G1098</f>
        <v>-4769778.26653382</v>
      </c>
      <c r="H1099" s="80">
        <f t="shared" si="501"/>
        <v>-264564.93422818929</v>
      </c>
      <c r="I1099" s="80">
        <f t="shared" si="501"/>
        <v>0</v>
      </c>
      <c r="J1099" s="80">
        <f t="shared" si="501"/>
        <v>72632.643245743122</v>
      </c>
      <c r="K1099" s="80">
        <f t="shared" si="501"/>
        <v>748988.96010681055</v>
      </c>
      <c r="L1099" s="80">
        <f t="shared" si="501"/>
        <v>0</v>
      </c>
      <c r="M1099" s="80">
        <f t="shared" si="501"/>
        <v>0</v>
      </c>
      <c r="N1099" s="80">
        <f t="shared" si="501"/>
        <v>1739502.3601506627</v>
      </c>
      <c r="O1099" s="80">
        <f>O1097+O1098</f>
        <v>556881.65876453277</v>
      </c>
      <c r="P1099" s="80">
        <f t="shared" si="501"/>
        <v>1427660.5983566414</v>
      </c>
      <c r="Q1099" s="80">
        <f t="shared" si="501"/>
        <v>101687.72285952486</v>
      </c>
      <c r="R1099" s="80">
        <f t="shared" si="501"/>
        <v>27764.133529260667</v>
      </c>
      <c r="S1099" s="80">
        <f t="shared" si="501"/>
        <v>345423.41120929987</v>
      </c>
      <c r="T1099" s="80">
        <f t="shared" si="501"/>
        <v>9656.7070350117992</v>
      </c>
      <c r="U1099" s="80">
        <f t="shared" si="501"/>
        <v>4145.0055045143054</v>
      </c>
      <c r="V1099" s="80">
        <f t="shared" si="501"/>
        <v>0</v>
      </c>
      <c r="W1099" s="179">
        <f t="shared" si="501"/>
        <v>0</v>
      </c>
      <c r="X1099" s="179">
        <f>X1097+X1098</f>
        <v>0</v>
      </c>
      <c r="Y1099" s="179">
        <f>Y1097+Y1098</f>
        <v>0</v>
      </c>
      <c r="Z1099" s="179">
        <f>Z1097+Z1098</f>
        <v>0</v>
      </c>
      <c r="AA1099" s="179"/>
      <c r="AB1099" s="180"/>
    </row>
    <row r="1100" spans="1:28" s="178" customFormat="1" x14ac:dyDescent="0.25">
      <c r="A1100" s="61"/>
      <c r="B1100" s="61"/>
      <c r="C1100" s="61"/>
      <c r="D1100" s="61"/>
      <c r="E1100" s="61"/>
      <c r="F1100" s="111"/>
      <c r="G1100" s="84"/>
      <c r="H1100" s="84"/>
      <c r="I1100" s="84"/>
      <c r="J1100" s="84"/>
      <c r="K1100" s="84"/>
      <c r="L1100" s="84"/>
      <c r="M1100" s="84"/>
      <c r="N1100" s="84"/>
      <c r="O1100" s="84"/>
      <c r="P1100" s="84"/>
      <c r="Q1100" s="84"/>
      <c r="R1100" s="84"/>
      <c r="S1100" s="84"/>
      <c r="T1100" s="84"/>
      <c r="U1100" s="84"/>
      <c r="V1100" s="84"/>
      <c r="W1100" s="185"/>
      <c r="X1100" s="185"/>
      <c r="Y1100" s="185"/>
      <c r="Z1100" s="185"/>
      <c r="AA1100" s="185"/>
      <c r="AB1100" s="180"/>
    </row>
    <row r="1101" spans="1:28" s="178" customFormat="1" x14ac:dyDescent="0.25">
      <c r="A1101" s="61" t="s">
        <v>865</v>
      </c>
      <c r="B1101" s="61"/>
      <c r="C1101" s="61"/>
      <c r="D1101" s="61" t="s">
        <v>866</v>
      </c>
      <c r="E1101" s="61"/>
      <c r="F1101" s="77">
        <f>F1094-F1099</f>
        <v>71794397</v>
      </c>
      <c r="G1101" s="77">
        <f t="shared" ref="G1101:Z1101" si="502">G1094-G1099</f>
        <v>40195952.63993454</v>
      </c>
      <c r="H1101" s="77">
        <f t="shared" si="502"/>
        <v>9125979.953570487</v>
      </c>
      <c r="I1101" s="77">
        <f t="shared" si="502"/>
        <v>0</v>
      </c>
      <c r="J1101" s="77">
        <f t="shared" si="502"/>
        <v>736145.87010661233</v>
      </c>
      <c r="K1101" s="77">
        <f t="shared" si="502"/>
        <v>9520999.5803872459</v>
      </c>
      <c r="L1101" s="77">
        <f t="shared" si="502"/>
        <v>0</v>
      </c>
      <c r="M1101" s="77">
        <f t="shared" si="502"/>
        <v>0</v>
      </c>
      <c r="N1101" s="77">
        <f t="shared" si="502"/>
        <v>6698982.6649850737</v>
      </c>
      <c r="O1101" s="77">
        <f>O1094-O1099</f>
        <v>4548591.4618999343</v>
      </c>
      <c r="P1101" s="77">
        <f t="shared" si="502"/>
        <v>696661.85240525473</v>
      </c>
      <c r="Q1101" s="77">
        <f t="shared" si="502"/>
        <v>335405.51674586546</v>
      </c>
      <c r="R1101" s="77">
        <f t="shared" si="502"/>
        <v>253672.46929614435</v>
      </c>
      <c r="S1101" s="77">
        <f t="shared" si="502"/>
        <v>-315168.57450433908</v>
      </c>
      <c r="T1101" s="77">
        <f t="shared" si="502"/>
        <v>-8810.8984274565319</v>
      </c>
      <c r="U1101" s="77">
        <f t="shared" si="502"/>
        <v>5984.4636006603869</v>
      </c>
      <c r="V1101" s="77">
        <f t="shared" si="502"/>
        <v>0</v>
      </c>
      <c r="W1101" s="182">
        <f t="shared" si="502"/>
        <v>0</v>
      </c>
      <c r="X1101" s="179">
        <f t="shared" si="502"/>
        <v>0</v>
      </c>
      <c r="Y1101" s="179">
        <f t="shared" si="502"/>
        <v>0</v>
      </c>
      <c r="Z1101" s="179">
        <f t="shared" si="502"/>
        <v>0</v>
      </c>
      <c r="AA1101" s="186">
        <f>SUM(G1101:Z1101)</f>
        <v>71794397.000000015</v>
      </c>
      <c r="AB1101" s="180" t="str">
        <f>IF(ABS(F1101-AA1101)&lt;0.01,"ok","err")</f>
        <v>ok</v>
      </c>
    </row>
    <row r="1102" spans="1:28" s="178" customFormat="1" x14ac:dyDescent="0.25">
      <c r="A1102" s="61"/>
      <c r="B1102" s="61"/>
      <c r="C1102" s="61"/>
      <c r="D1102" s="61"/>
      <c r="E1102" s="61"/>
      <c r="F1102" s="111"/>
      <c r="G1102" s="84"/>
      <c r="H1102" s="84"/>
      <c r="I1102" s="84"/>
      <c r="J1102" s="84"/>
      <c r="K1102" s="84"/>
      <c r="L1102" s="84"/>
      <c r="M1102" s="84"/>
      <c r="N1102" s="84"/>
      <c r="O1102" s="84"/>
      <c r="P1102" s="84"/>
      <c r="Q1102" s="84"/>
      <c r="R1102" s="84"/>
      <c r="S1102" s="84"/>
      <c r="T1102" s="84"/>
      <c r="U1102" s="84"/>
      <c r="V1102" s="84"/>
      <c r="W1102" s="185"/>
      <c r="X1102" s="185"/>
      <c r="Y1102" s="185"/>
      <c r="Z1102" s="185"/>
      <c r="AA1102" s="185"/>
      <c r="AB1102" s="180"/>
    </row>
    <row r="1103" spans="1:28" s="178" customFormat="1" x14ac:dyDescent="0.25">
      <c r="A1103" s="61"/>
      <c r="B1103" s="61"/>
      <c r="C1103" s="61"/>
      <c r="D1103" s="61"/>
      <c r="E1103" s="61"/>
      <c r="F1103" s="111"/>
      <c r="G1103" s="84"/>
      <c r="H1103" s="84"/>
      <c r="I1103" s="84"/>
      <c r="J1103" s="84"/>
      <c r="K1103" s="84"/>
      <c r="L1103" s="84"/>
      <c r="M1103" s="84"/>
      <c r="N1103" s="84"/>
      <c r="O1103" s="84"/>
      <c r="P1103" s="84"/>
      <c r="Q1103" s="84"/>
      <c r="R1103" s="84"/>
      <c r="S1103" s="84"/>
      <c r="T1103" s="84"/>
      <c r="U1103" s="84"/>
      <c r="V1103" s="84"/>
      <c r="W1103" s="185"/>
      <c r="X1103" s="185"/>
      <c r="Y1103" s="185"/>
      <c r="Z1103" s="185"/>
      <c r="AA1103" s="185"/>
      <c r="AB1103" s="180"/>
    </row>
    <row r="1104" spans="1:28" s="172" customFormat="1" x14ac:dyDescent="0.25">
      <c r="A1104" s="66" t="s">
        <v>703</v>
      </c>
      <c r="B1104" s="61"/>
      <c r="C1104" s="61"/>
      <c r="D1104" s="61"/>
      <c r="E1104" s="61"/>
      <c r="F1104" s="111"/>
      <c r="G1104" s="84"/>
      <c r="H1104" s="84"/>
      <c r="I1104" s="84"/>
      <c r="J1104" s="84"/>
      <c r="K1104" s="84"/>
      <c r="L1104" s="84"/>
      <c r="M1104" s="84"/>
      <c r="N1104" s="84"/>
      <c r="O1104" s="84"/>
      <c r="P1104" s="84"/>
      <c r="Q1104" s="84"/>
      <c r="R1104" s="84"/>
      <c r="S1104" s="84"/>
      <c r="T1104" s="84"/>
      <c r="U1104" s="84"/>
      <c r="V1104" s="84"/>
      <c r="W1104" s="84"/>
      <c r="X1104" s="175"/>
      <c r="Y1104" s="175"/>
      <c r="Z1104" s="175"/>
      <c r="AA1104" s="175"/>
      <c r="AB1104" s="171"/>
    </row>
    <row r="1105" spans="1:29" s="172" customFormat="1" x14ac:dyDescent="0.25">
      <c r="A1105" s="61" t="s">
        <v>930</v>
      </c>
      <c r="B1105" s="61"/>
      <c r="C1105" s="61"/>
      <c r="D1105" s="61" t="s">
        <v>710</v>
      </c>
      <c r="E1105" s="61"/>
      <c r="F1105" s="80">
        <f t="shared" ref="F1105:Z1105" si="503">F10+F11</f>
        <v>1585675288.6598892</v>
      </c>
      <c r="G1105" s="80">
        <f t="shared" si="503"/>
        <v>791661540.37324667</v>
      </c>
      <c r="H1105" s="80">
        <f t="shared" si="503"/>
        <v>196228002.10176089</v>
      </c>
      <c r="I1105" s="80">
        <f t="shared" si="503"/>
        <v>0</v>
      </c>
      <c r="J1105" s="80">
        <f t="shared" si="503"/>
        <v>17722448.068607047</v>
      </c>
      <c r="K1105" s="80">
        <f t="shared" si="503"/>
        <v>225377521.34617209</v>
      </c>
      <c r="L1105" s="80">
        <f t="shared" si="503"/>
        <v>0</v>
      </c>
      <c r="M1105" s="80">
        <f t="shared" si="503"/>
        <v>0</v>
      </c>
      <c r="N1105" s="80">
        <f t="shared" si="503"/>
        <v>183010177.00218332</v>
      </c>
      <c r="O1105" s="80">
        <f t="shared" si="503"/>
        <v>111683920.2118704</v>
      </c>
      <c r="P1105" s="80">
        <f t="shared" si="503"/>
        <v>44156705.967901811</v>
      </c>
      <c r="Q1105" s="80">
        <f t="shared" si="503"/>
        <v>9457074.8434668742</v>
      </c>
      <c r="R1105" s="80">
        <f t="shared" si="503"/>
        <v>6162194.3470187224</v>
      </c>
      <c r="S1105" s="80">
        <f t="shared" si="503"/>
        <v>0</v>
      </c>
      <c r="T1105" s="80">
        <f t="shared" si="503"/>
        <v>0</v>
      </c>
      <c r="U1105" s="80">
        <f t="shared" si="503"/>
        <v>215704.39766150262</v>
      </c>
      <c r="V1105" s="80">
        <f t="shared" si="503"/>
        <v>0</v>
      </c>
      <c r="W1105" s="80">
        <f t="shared" si="503"/>
        <v>0</v>
      </c>
      <c r="X1105" s="168">
        <f t="shared" si="503"/>
        <v>0</v>
      </c>
      <c r="Y1105" s="168">
        <f t="shared" si="503"/>
        <v>0</v>
      </c>
      <c r="Z1105" s="168">
        <f t="shared" si="503"/>
        <v>0</v>
      </c>
      <c r="AA1105" s="174">
        <f>SUM(G1105:Z1105)</f>
        <v>1585675288.6598892</v>
      </c>
      <c r="AB1105" s="171" t="str">
        <f>IF(ABS(F1105-AA1105)&lt;0.01,"ok","err")</f>
        <v>ok</v>
      </c>
    </row>
    <row r="1106" spans="1:29" s="172" customFormat="1" x14ac:dyDescent="0.25">
      <c r="A1106" s="61" t="s">
        <v>711</v>
      </c>
      <c r="B1106" s="61"/>
      <c r="C1106" s="61"/>
      <c r="D1106" s="61" t="s">
        <v>712</v>
      </c>
      <c r="E1106" s="61"/>
      <c r="F1106" s="83">
        <f t="shared" ref="F1106:Z1106" si="504">F233-F185</f>
        <v>222470694.50755167</v>
      </c>
      <c r="G1106" s="83">
        <f t="shared" si="504"/>
        <v>129680691.59975013</v>
      </c>
      <c r="H1106" s="83">
        <f t="shared" si="504"/>
        <v>29833686.317848988</v>
      </c>
      <c r="I1106" s="83">
        <f t="shared" si="504"/>
        <v>0</v>
      </c>
      <c r="J1106" s="83">
        <f t="shared" si="504"/>
        <v>1835628.9421347706</v>
      </c>
      <c r="K1106" s="83">
        <f t="shared" si="504"/>
        <v>23294194.726012185</v>
      </c>
      <c r="L1106" s="83">
        <f t="shared" si="504"/>
        <v>0</v>
      </c>
      <c r="M1106" s="83">
        <f t="shared" si="504"/>
        <v>0</v>
      </c>
      <c r="N1106" s="83">
        <f t="shared" si="504"/>
        <v>18357305.086650163</v>
      </c>
      <c r="O1106" s="83">
        <f t="shared" si="504"/>
        <v>11313304.293472916</v>
      </c>
      <c r="P1106" s="83">
        <f t="shared" si="504"/>
        <v>3814135.317999009</v>
      </c>
      <c r="Q1106" s="83">
        <f t="shared" si="504"/>
        <v>953612.49021014012</v>
      </c>
      <c r="R1106" s="83">
        <f t="shared" si="504"/>
        <v>601310.3192071435</v>
      </c>
      <c r="S1106" s="83">
        <f t="shared" si="504"/>
        <v>2717295.8777055228</v>
      </c>
      <c r="T1106" s="83">
        <f t="shared" si="504"/>
        <v>14699.811251263105</v>
      </c>
      <c r="U1106" s="83">
        <f t="shared" si="504"/>
        <v>54829.725309274552</v>
      </c>
      <c r="V1106" s="83">
        <f t="shared" si="504"/>
        <v>0</v>
      </c>
      <c r="W1106" s="83">
        <f t="shared" si="504"/>
        <v>0</v>
      </c>
      <c r="X1106" s="176">
        <f t="shared" si="504"/>
        <v>0</v>
      </c>
      <c r="Y1106" s="176">
        <f t="shared" si="504"/>
        <v>0</v>
      </c>
      <c r="Z1106" s="176">
        <f t="shared" si="504"/>
        <v>0</v>
      </c>
      <c r="AA1106" s="174">
        <f>SUM(G1106:Z1106)</f>
        <v>222470694.50755146</v>
      </c>
      <c r="AB1106" s="171" t="str">
        <f>IF(ABS(F1106-AA1106)&lt;0.01,"ok","err")</f>
        <v>ok</v>
      </c>
    </row>
    <row r="1107" spans="1:29" s="172" customFormat="1" x14ac:dyDescent="0.25">
      <c r="A1107" s="61" t="s">
        <v>868</v>
      </c>
      <c r="B1107" s="61"/>
      <c r="C1107" s="61"/>
      <c r="D1107" s="61"/>
      <c r="E1107" s="61"/>
      <c r="F1107" s="80">
        <v>966746905</v>
      </c>
      <c r="G1107" s="80">
        <f>'Billing Det'!$G$8</f>
        <v>385524714</v>
      </c>
      <c r="H1107" s="80">
        <f>'Billing Det'!$G$10</f>
        <v>41736639</v>
      </c>
      <c r="I1107" s="80">
        <f>'Billing Det'!$G$12</f>
        <v>96094513</v>
      </c>
      <c r="J1107" s="80">
        <f>'Billing Det'!$G$14</f>
        <v>11576751</v>
      </c>
      <c r="K1107" s="80">
        <f>'Billing Det'!$G$16</f>
        <v>156526511</v>
      </c>
      <c r="L1107" s="80">
        <v>0</v>
      </c>
      <c r="M1107" s="80">
        <v>0</v>
      </c>
      <c r="N1107" s="80">
        <f>'Billing Det'!$G$18+'Billing Det'!$G$20</f>
        <v>129384948</v>
      </c>
      <c r="O1107" s="80">
        <f>'Billing Det'!$G$22</f>
        <v>74042740</v>
      </c>
      <c r="P1107" s="80">
        <f>'Billing Det'!$G$24</f>
        <v>43858819</v>
      </c>
      <c r="Q1107" s="80">
        <f>'Billing Det'!$G$26</f>
        <v>6233053</v>
      </c>
      <c r="R1107" s="80">
        <f>'Billing Det'!$G$28</f>
        <v>3257226</v>
      </c>
      <c r="S1107" s="80">
        <f>'Billing Det'!$G$30</f>
        <v>18015579</v>
      </c>
      <c r="T1107" s="80">
        <f>'Billing Det'!$G$32</f>
        <v>222435</v>
      </c>
      <c r="U1107" s="80">
        <f>'Billing Det'!$G$34</f>
        <v>272977</v>
      </c>
      <c r="V1107" s="80">
        <v>0</v>
      </c>
      <c r="W1107" s="80">
        <v>0</v>
      </c>
      <c r="X1107" s="168">
        <v>0</v>
      </c>
      <c r="Y1107" s="168">
        <v>0</v>
      </c>
      <c r="Z1107" s="168">
        <v>0</v>
      </c>
      <c r="AA1107" s="168">
        <f>SUM(G1107:Z1107)</f>
        <v>966746905</v>
      </c>
      <c r="AB1107" s="171" t="str">
        <f>IF(ABS(F1107-AA1107)&lt;0.01,"ok","err")</f>
        <v>ok</v>
      </c>
    </row>
    <row r="1108" spans="1:29" s="172" customFormat="1" x14ac:dyDescent="0.25">
      <c r="A1108" s="61"/>
      <c r="B1108" s="61"/>
      <c r="C1108" s="61"/>
      <c r="D1108" s="61"/>
      <c r="E1108" s="61"/>
      <c r="F1108" s="111"/>
      <c r="G1108" s="84"/>
      <c r="H1108" s="84"/>
      <c r="I1108" s="84"/>
      <c r="J1108" s="84"/>
      <c r="K1108" s="84"/>
      <c r="L1108" s="84"/>
      <c r="M1108" s="84"/>
      <c r="N1108" s="84"/>
      <c r="O1108" s="84"/>
      <c r="P1108" s="84"/>
      <c r="Q1108" s="84"/>
      <c r="R1108" s="84"/>
      <c r="S1108" s="84"/>
      <c r="T1108" s="84"/>
      <c r="U1108" s="84"/>
      <c r="V1108" s="84"/>
      <c r="W1108" s="84"/>
      <c r="X1108" s="175"/>
      <c r="Y1108" s="175"/>
      <c r="Z1108" s="175"/>
      <c r="AA1108" s="175"/>
      <c r="AB1108" s="171"/>
    </row>
    <row r="1109" spans="1:29" s="61" customFormat="1" x14ac:dyDescent="0.25">
      <c r="A1109" s="66" t="s">
        <v>901</v>
      </c>
      <c r="F1109" s="111"/>
      <c r="G1109" s="111"/>
      <c r="H1109" s="111"/>
      <c r="I1109" s="111"/>
      <c r="J1109" s="111"/>
      <c r="K1109" s="111"/>
      <c r="L1109" s="111"/>
      <c r="M1109" s="111"/>
      <c r="N1109" s="111"/>
      <c r="O1109" s="111"/>
      <c r="P1109" s="111"/>
      <c r="Q1109" s="111"/>
      <c r="R1109" s="111"/>
      <c r="S1109" s="111"/>
      <c r="T1109" s="111"/>
      <c r="U1109" s="111"/>
      <c r="V1109" s="111"/>
      <c r="W1109" s="111"/>
      <c r="X1109" s="111"/>
      <c r="Y1109" s="111"/>
      <c r="Z1109" s="111"/>
      <c r="AA1109" s="329"/>
      <c r="AB1109" s="94"/>
    </row>
    <row r="1110" spans="1:29" s="61" customFormat="1" x14ac:dyDescent="0.25">
      <c r="A1110" s="61" t="s">
        <v>902</v>
      </c>
      <c r="F1110" s="80">
        <f>SUM(G1110:Z1110)</f>
        <v>799607.4418604651</v>
      </c>
      <c r="G1110" s="111"/>
      <c r="H1110" s="111"/>
      <c r="I1110" s="111"/>
      <c r="J1110" s="111"/>
      <c r="K1110" s="80"/>
      <c r="L1110" s="111"/>
      <c r="M1110" s="80"/>
      <c r="N1110" s="80"/>
      <c r="O1110" s="80"/>
      <c r="P1110" s="80">
        <f>P1112/P1111</f>
        <v>799607.4418604651</v>
      </c>
      <c r="Q1110" s="111"/>
      <c r="R1110" s="111"/>
      <c r="S1110" s="111"/>
      <c r="T1110" s="111"/>
      <c r="U1110" s="111"/>
      <c r="V1110" s="111"/>
      <c r="W1110" s="111"/>
      <c r="X1110" s="111"/>
      <c r="Y1110" s="111"/>
      <c r="Z1110" s="111"/>
      <c r="AA1110" s="329"/>
      <c r="AB1110" s="94"/>
    </row>
    <row r="1111" spans="1:29" s="61" customFormat="1" x14ac:dyDescent="0.25">
      <c r="A1111" s="61" t="s">
        <v>903</v>
      </c>
      <c r="F1111" s="80"/>
      <c r="G1111" s="111"/>
      <c r="H1111" s="111"/>
      <c r="I1111" s="111"/>
      <c r="J1111" s="111"/>
      <c r="K1111" s="343"/>
      <c r="L1111" s="111"/>
      <c r="M1111" s="343"/>
      <c r="N1111" s="343"/>
      <c r="O1111" s="343"/>
      <c r="P1111" s="343">
        <v>4.3</v>
      </c>
      <c r="Q1111" s="111"/>
      <c r="R1111" s="111"/>
      <c r="S1111" s="111"/>
      <c r="T1111" s="111"/>
      <c r="U1111" s="111"/>
      <c r="V1111" s="111"/>
      <c r="W1111" s="111"/>
      <c r="X1111" s="111"/>
      <c r="Y1111" s="111"/>
      <c r="Z1111" s="111"/>
      <c r="AA1111" s="329"/>
      <c r="AB1111" s="94"/>
    </row>
    <row r="1112" spans="1:29" s="61" customFormat="1" x14ac:dyDescent="0.25">
      <c r="A1112" s="61" t="s">
        <v>904</v>
      </c>
      <c r="F1112" s="80">
        <f>SUM(G1112:Z1112)</f>
        <v>3438312</v>
      </c>
      <c r="G1112" s="111"/>
      <c r="H1112" s="111"/>
      <c r="I1112" s="111"/>
      <c r="J1112" s="111"/>
      <c r="K1112" s="80"/>
      <c r="L1112" s="111"/>
      <c r="M1112" s="80"/>
      <c r="N1112" s="80"/>
      <c r="O1112" s="80"/>
      <c r="P1112" s="80">
        <f>3438312</f>
        <v>3438312</v>
      </c>
      <c r="Q1112" s="111"/>
      <c r="R1112" s="111"/>
      <c r="S1112" s="111"/>
      <c r="T1112" s="111"/>
      <c r="U1112" s="111"/>
      <c r="V1112" s="111"/>
      <c r="W1112" s="111"/>
      <c r="X1112" s="111"/>
      <c r="Y1112" s="111"/>
      <c r="Z1112" s="111"/>
      <c r="AA1112" s="329"/>
      <c r="AB1112" s="94"/>
    </row>
    <row r="1113" spans="1:29" x14ac:dyDescent="0.25">
      <c r="D1113" s="170"/>
      <c r="F1113" s="80"/>
      <c r="G1113" s="77"/>
      <c r="H1113" s="77"/>
      <c r="I1113" s="77"/>
      <c r="J1113" s="77"/>
      <c r="K1113" s="77"/>
      <c r="L1113" s="77"/>
      <c r="M1113" s="77"/>
      <c r="N1113" s="77"/>
      <c r="O1113" s="77"/>
      <c r="P1113" s="77"/>
      <c r="Q1113" s="77"/>
      <c r="R1113" s="77"/>
      <c r="S1113" s="77"/>
      <c r="T1113" s="77"/>
      <c r="U1113" s="77"/>
      <c r="V1113" s="77"/>
      <c r="W1113" s="77"/>
      <c r="X1113" s="77"/>
      <c r="Y1113" s="77"/>
      <c r="Z1113" s="77"/>
      <c r="AA1113" s="80"/>
      <c r="AB1113" s="94"/>
      <c r="AC1113" s="76"/>
    </row>
    <row r="1114" spans="1:29" x14ac:dyDescent="0.25">
      <c r="A1114" s="143"/>
      <c r="B1114" s="71"/>
      <c r="C1114" s="71"/>
      <c r="D1114" s="71"/>
      <c r="E1114" s="71"/>
      <c r="F1114" s="71"/>
      <c r="G1114" s="71"/>
      <c r="H1114" s="71"/>
      <c r="I1114" s="71"/>
      <c r="J1114" s="71"/>
      <c r="K1114" s="71"/>
      <c r="L1114" s="71"/>
      <c r="M1114" s="71"/>
      <c r="N1114" s="71"/>
      <c r="O1114" s="71"/>
      <c r="P1114" s="71"/>
      <c r="Q1114" s="71"/>
      <c r="R1114" s="71"/>
      <c r="S1114" s="71"/>
      <c r="T1114" s="71"/>
      <c r="U1114" s="71"/>
      <c r="V1114" s="71"/>
      <c r="W1114" s="71"/>
      <c r="X1114" s="70"/>
      <c r="Y1114" s="70"/>
      <c r="Z1114" s="70"/>
      <c r="AA1114" s="70"/>
      <c r="AB1114" s="70"/>
    </row>
    <row r="1115" spans="1:29" x14ac:dyDescent="0.25">
      <c r="A1115" s="143"/>
      <c r="B1115" s="71"/>
      <c r="C1115" s="71"/>
      <c r="D1115" s="71"/>
      <c r="E1115" s="71"/>
      <c r="F1115" s="71"/>
      <c r="G1115" s="71"/>
      <c r="H1115" s="71"/>
      <c r="I1115" s="71"/>
      <c r="J1115" s="71"/>
      <c r="K1115" s="71"/>
      <c r="L1115" s="71"/>
      <c r="M1115" s="71"/>
      <c r="N1115" s="71"/>
      <c r="O1115" s="71"/>
      <c r="P1115" s="71"/>
      <c r="Q1115" s="71"/>
      <c r="R1115" s="71"/>
      <c r="S1115" s="71"/>
      <c r="T1115" s="71"/>
      <c r="U1115" s="71"/>
      <c r="V1115" s="71"/>
      <c r="W1115" s="71"/>
      <c r="X1115" s="70"/>
      <c r="Y1115" s="70"/>
      <c r="Z1115" s="70"/>
      <c r="AA1115" s="70"/>
      <c r="AB1115" s="70"/>
    </row>
    <row r="1116" spans="1:29" x14ac:dyDescent="0.25">
      <c r="A1116" s="143"/>
      <c r="B1116" s="71"/>
      <c r="C1116" s="71"/>
      <c r="D1116" s="71"/>
      <c r="E1116" s="71"/>
      <c r="F1116" s="71"/>
      <c r="G1116" s="71"/>
      <c r="H1116" s="71"/>
      <c r="I1116" s="71"/>
      <c r="J1116" s="71"/>
      <c r="K1116" s="71"/>
      <c r="L1116" s="71"/>
      <c r="M1116" s="71"/>
      <c r="N1116" s="71"/>
      <c r="O1116" s="71"/>
      <c r="P1116" s="71"/>
      <c r="Q1116" s="71"/>
      <c r="R1116" s="71"/>
      <c r="S1116" s="71"/>
      <c r="T1116" s="71"/>
      <c r="U1116" s="71"/>
      <c r="V1116" s="71"/>
      <c r="W1116" s="71"/>
      <c r="X1116" s="70"/>
      <c r="Y1116" s="70"/>
      <c r="Z1116" s="70"/>
      <c r="AA1116" s="70"/>
      <c r="AB1116" s="70"/>
    </row>
    <row r="1117" spans="1:29" x14ac:dyDescent="0.25">
      <c r="A1117" s="71"/>
      <c r="B1117" s="71"/>
      <c r="C1117" s="71"/>
      <c r="D1117" s="71"/>
      <c r="E1117" s="71"/>
      <c r="F1117" s="157"/>
      <c r="G1117" s="157"/>
      <c r="H1117" s="157"/>
      <c r="I1117" s="157"/>
      <c r="J1117" s="157"/>
      <c r="K1117" s="157"/>
      <c r="L1117" s="157"/>
      <c r="M1117" s="157"/>
      <c r="N1117" s="157"/>
      <c r="O1117" s="157"/>
      <c r="P1117" s="157"/>
      <c r="Q1117" s="157"/>
      <c r="R1117" s="157"/>
      <c r="S1117" s="157"/>
      <c r="T1117" s="157"/>
      <c r="U1117" s="157"/>
      <c r="V1117" s="157"/>
      <c r="W1117" s="157"/>
      <c r="X1117" s="346"/>
      <c r="Y1117" s="346"/>
      <c r="Z1117" s="346"/>
      <c r="AA1117" s="346"/>
      <c r="AB1117" s="295"/>
    </row>
    <row r="1118" spans="1:29" x14ac:dyDescent="0.25">
      <c r="A1118" s="71"/>
      <c r="B1118" s="71"/>
      <c r="C1118" s="71"/>
      <c r="D1118" s="71"/>
      <c r="E1118" s="71"/>
      <c r="F1118" s="157"/>
      <c r="G1118" s="157"/>
      <c r="H1118" s="157"/>
      <c r="I1118" s="157"/>
      <c r="J1118" s="157"/>
      <c r="K1118" s="157"/>
      <c r="L1118" s="157"/>
      <c r="M1118" s="157"/>
      <c r="N1118" s="157"/>
      <c r="O1118" s="157"/>
      <c r="P1118" s="157"/>
      <c r="Q1118" s="157"/>
      <c r="R1118" s="157"/>
      <c r="S1118" s="157"/>
      <c r="T1118" s="157"/>
      <c r="U1118" s="157"/>
      <c r="V1118" s="157"/>
      <c r="W1118" s="157"/>
      <c r="X1118" s="346"/>
      <c r="Y1118" s="346"/>
      <c r="Z1118" s="346"/>
      <c r="AA1118" s="346"/>
      <c r="AB1118" s="295"/>
    </row>
    <row r="1119" spans="1:29" x14ac:dyDescent="0.25">
      <c r="A1119" s="71"/>
      <c r="B1119" s="71"/>
      <c r="C1119" s="71"/>
      <c r="D1119" s="71"/>
      <c r="E1119" s="71"/>
      <c r="F1119" s="157"/>
      <c r="G1119" s="157"/>
      <c r="H1119" s="157"/>
      <c r="I1119" s="157"/>
      <c r="J1119" s="157"/>
      <c r="K1119" s="157"/>
      <c r="L1119" s="157"/>
      <c r="M1119" s="157"/>
      <c r="N1119" s="157"/>
      <c r="O1119" s="157"/>
      <c r="P1119" s="157"/>
      <c r="Q1119" s="157"/>
      <c r="R1119" s="157"/>
      <c r="S1119" s="157"/>
      <c r="T1119" s="157"/>
      <c r="U1119" s="157"/>
      <c r="V1119" s="157"/>
      <c r="W1119" s="157"/>
      <c r="X1119" s="346"/>
      <c r="Y1119" s="346"/>
      <c r="Z1119" s="346"/>
      <c r="AA1119" s="346"/>
      <c r="AB1119" s="295"/>
    </row>
    <row r="1120" spans="1:29" x14ac:dyDescent="0.25">
      <c r="A1120" s="71"/>
      <c r="B1120" s="71"/>
      <c r="C1120" s="71"/>
      <c r="D1120" s="71"/>
      <c r="E1120" s="71"/>
      <c r="F1120" s="157"/>
      <c r="G1120" s="157"/>
      <c r="H1120" s="157"/>
      <c r="I1120" s="157"/>
      <c r="J1120" s="157"/>
      <c r="K1120" s="157"/>
      <c r="L1120" s="157"/>
      <c r="M1120" s="157"/>
      <c r="N1120" s="157"/>
      <c r="O1120" s="157"/>
      <c r="P1120" s="157"/>
      <c r="Q1120" s="157"/>
      <c r="R1120" s="157"/>
      <c r="S1120" s="157"/>
      <c r="T1120" s="157"/>
      <c r="U1120" s="157"/>
      <c r="V1120" s="157"/>
      <c r="W1120" s="157"/>
      <c r="X1120" s="346"/>
      <c r="Y1120" s="346"/>
      <c r="Z1120" s="346"/>
      <c r="AA1120" s="346"/>
      <c r="AB1120" s="295"/>
    </row>
    <row r="1121" spans="1:29" x14ac:dyDescent="0.25">
      <c r="A1121" s="71"/>
      <c r="B1121" s="71"/>
      <c r="C1121" s="71"/>
      <c r="D1121" s="71"/>
      <c r="E1121" s="71"/>
      <c r="F1121" s="157"/>
      <c r="G1121" s="157"/>
      <c r="H1121" s="157"/>
      <c r="I1121" s="157"/>
      <c r="J1121" s="157"/>
      <c r="K1121" s="157"/>
      <c r="L1121" s="157"/>
      <c r="M1121" s="157"/>
      <c r="N1121" s="157"/>
      <c r="O1121" s="157"/>
      <c r="P1121" s="157"/>
      <c r="Q1121" s="157"/>
      <c r="R1121" s="157"/>
      <c r="S1121" s="157"/>
      <c r="T1121" s="157"/>
      <c r="U1121" s="157"/>
      <c r="V1121" s="157"/>
      <c r="W1121" s="157"/>
      <c r="X1121" s="346"/>
      <c r="Y1121" s="346"/>
      <c r="Z1121" s="346"/>
      <c r="AA1121" s="346"/>
      <c r="AB1121" s="295"/>
    </row>
    <row r="1122" spans="1:29" x14ac:dyDescent="0.25">
      <c r="A1122" s="71"/>
      <c r="B1122" s="71"/>
      <c r="C1122" s="71"/>
      <c r="D1122" s="71"/>
      <c r="E1122" s="71"/>
      <c r="F1122" s="157"/>
      <c r="G1122" s="157"/>
      <c r="H1122" s="157"/>
      <c r="I1122" s="157"/>
      <c r="J1122" s="157"/>
      <c r="K1122" s="157"/>
      <c r="L1122" s="157"/>
      <c r="M1122" s="157"/>
      <c r="N1122" s="157"/>
      <c r="O1122" s="157"/>
      <c r="P1122" s="157"/>
      <c r="Q1122" s="157"/>
      <c r="R1122" s="157"/>
      <c r="S1122" s="157"/>
      <c r="T1122" s="157"/>
      <c r="U1122" s="157"/>
      <c r="V1122" s="157"/>
      <c r="W1122" s="157"/>
      <c r="X1122" s="346"/>
      <c r="Y1122" s="346"/>
      <c r="Z1122" s="346"/>
      <c r="AA1122" s="346"/>
      <c r="AB1122" s="295"/>
    </row>
    <row r="1123" spans="1:29" x14ac:dyDescent="0.25">
      <c r="A1123" s="71"/>
      <c r="B1123" s="71"/>
      <c r="C1123" s="71"/>
      <c r="D1123" s="71"/>
      <c r="E1123" s="71"/>
      <c r="F1123" s="157"/>
      <c r="G1123" s="157"/>
      <c r="H1123" s="157"/>
      <c r="I1123" s="157"/>
      <c r="J1123" s="157"/>
      <c r="K1123" s="157"/>
      <c r="L1123" s="157"/>
      <c r="M1123" s="157"/>
      <c r="N1123" s="157"/>
      <c r="O1123" s="157"/>
      <c r="P1123" s="157"/>
      <c r="Q1123" s="157"/>
      <c r="R1123" s="157"/>
      <c r="S1123" s="157"/>
      <c r="T1123" s="157"/>
      <c r="U1123" s="157"/>
      <c r="V1123" s="157"/>
      <c r="W1123" s="157"/>
      <c r="X1123" s="346"/>
      <c r="Y1123" s="346"/>
      <c r="Z1123" s="346"/>
      <c r="AA1123" s="346"/>
      <c r="AB1123" s="295"/>
    </row>
    <row r="1124" spans="1:29" x14ac:dyDescent="0.25">
      <c r="A1124" s="71"/>
      <c r="B1124" s="71"/>
      <c r="C1124" s="71"/>
      <c r="D1124" s="71"/>
      <c r="E1124" s="71"/>
      <c r="F1124" s="157"/>
      <c r="G1124" s="157"/>
      <c r="H1124" s="157"/>
      <c r="I1124" s="157"/>
      <c r="J1124" s="157"/>
      <c r="K1124" s="157"/>
      <c r="L1124" s="157"/>
      <c r="M1124" s="157"/>
      <c r="N1124" s="157"/>
      <c r="O1124" s="157"/>
      <c r="P1124" s="157"/>
      <c r="Q1124" s="157"/>
      <c r="R1124" s="157"/>
      <c r="S1124" s="157"/>
      <c r="T1124" s="157"/>
      <c r="U1124" s="157"/>
      <c r="V1124" s="157"/>
      <c r="W1124" s="157"/>
      <c r="X1124" s="346"/>
      <c r="Y1124" s="346"/>
      <c r="Z1124" s="346"/>
      <c r="AA1124" s="346"/>
      <c r="AB1124" s="295"/>
    </row>
    <row r="1125" spans="1:29" x14ac:dyDescent="0.25">
      <c r="A1125" s="71"/>
      <c r="B1125" s="71"/>
      <c r="C1125" s="71"/>
      <c r="D1125" s="71"/>
      <c r="E1125" s="71"/>
      <c r="F1125" s="347"/>
      <c r="G1125" s="347"/>
      <c r="H1125" s="347"/>
      <c r="I1125" s="347"/>
      <c r="J1125" s="347"/>
      <c r="K1125" s="347"/>
      <c r="L1125" s="347"/>
      <c r="M1125" s="347"/>
      <c r="N1125" s="347"/>
      <c r="O1125" s="347"/>
      <c r="P1125" s="347"/>
      <c r="Q1125" s="347"/>
      <c r="R1125" s="347"/>
      <c r="S1125" s="347"/>
      <c r="T1125" s="347"/>
      <c r="U1125" s="347"/>
      <c r="V1125" s="347"/>
      <c r="W1125" s="347"/>
      <c r="X1125" s="348"/>
      <c r="Y1125" s="348"/>
      <c r="Z1125" s="348"/>
      <c r="AA1125" s="346"/>
      <c r="AB1125" s="295"/>
    </row>
    <row r="1126" spans="1:29" x14ac:dyDescent="0.25">
      <c r="A1126" s="71"/>
      <c r="B1126" s="71"/>
      <c r="C1126" s="71"/>
      <c r="D1126" s="71"/>
      <c r="E1126" s="349"/>
      <c r="F1126" s="157"/>
      <c r="G1126" s="157"/>
      <c r="H1126" s="157"/>
      <c r="I1126" s="157"/>
      <c r="J1126" s="157"/>
      <c r="K1126" s="157"/>
      <c r="L1126" s="157"/>
      <c r="M1126" s="157"/>
      <c r="N1126" s="157"/>
      <c r="O1126" s="157"/>
      <c r="P1126" s="157"/>
      <c r="Q1126" s="157"/>
      <c r="R1126" s="157"/>
      <c r="S1126" s="157"/>
      <c r="T1126" s="157"/>
      <c r="U1126" s="157"/>
      <c r="V1126" s="157"/>
      <c r="W1126" s="157"/>
      <c r="X1126" s="346"/>
      <c r="Y1126" s="346"/>
      <c r="Z1126" s="346"/>
      <c r="AA1126" s="346"/>
      <c r="AB1126" s="295"/>
    </row>
    <row r="1127" spans="1:29" x14ac:dyDescent="0.25">
      <c r="A1127" s="71"/>
      <c r="B1127" s="71"/>
      <c r="C1127" s="71"/>
      <c r="D1127" s="71"/>
      <c r="E1127" s="71"/>
      <c r="F1127" s="157"/>
      <c r="G1127" s="71"/>
      <c r="H1127" s="71"/>
      <c r="I1127" s="71"/>
      <c r="J1127" s="71"/>
      <c r="K1127" s="71"/>
      <c r="L1127" s="71"/>
      <c r="M1127" s="71"/>
      <c r="N1127" s="71"/>
      <c r="O1127" s="71"/>
      <c r="P1127" s="71"/>
      <c r="Q1127" s="71"/>
      <c r="R1127" s="71"/>
      <c r="S1127" s="71"/>
      <c r="T1127" s="71"/>
      <c r="U1127" s="71"/>
      <c r="V1127" s="71"/>
      <c r="W1127" s="71"/>
      <c r="X1127" s="70"/>
      <c r="Y1127" s="70"/>
      <c r="Z1127" s="70"/>
      <c r="AA1127" s="70"/>
      <c r="AB1127" s="70"/>
    </row>
    <row r="1128" spans="1:29" x14ac:dyDescent="0.25">
      <c r="A1128" s="143"/>
      <c r="B1128" s="71"/>
      <c r="C1128" s="71"/>
      <c r="D1128" s="71"/>
      <c r="E1128" s="350"/>
      <c r="F1128" s="157"/>
      <c r="G1128" s="71"/>
      <c r="H1128" s="71"/>
      <c r="I1128" s="71"/>
      <c r="J1128" s="71"/>
      <c r="K1128" s="71"/>
      <c r="L1128" s="71"/>
      <c r="M1128" s="71"/>
      <c r="N1128" s="71"/>
      <c r="O1128" s="71"/>
      <c r="P1128" s="71"/>
      <c r="Q1128" s="71"/>
      <c r="R1128" s="71"/>
      <c r="S1128" s="71"/>
      <c r="T1128" s="71"/>
      <c r="U1128" s="71"/>
      <c r="V1128" s="71"/>
      <c r="W1128" s="71"/>
      <c r="X1128" s="70"/>
      <c r="Y1128" s="70"/>
      <c r="Z1128" s="70"/>
      <c r="AA1128" s="70"/>
      <c r="AB1128" s="70"/>
    </row>
    <row r="1129" spans="1:29" x14ac:dyDescent="0.25">
      <c r="A1129" s="71"/>
      <c r="B1129" s="71"/>
      <c r="C1129" s="71"/>
      <c r="D1129" s="71"/>
      <c r="E1129" s="349"/>
      <c r="F1129" s="231"/>
      <c r="G1129" s="157"/>
      <c r="H1129" s="157"/>
      <c r="I1129" s="157"/>
      <c r="J1129" s="157"/>
      <c r="K1129" s="157"/>
      <c r="L1129" s="157"/>
      <c r="M1129" s="157"/>
      <c r="N1129" s="157"/>
      <c r="O1129" s="157"/>
      <c r="P1129" s="157"/>
      <c r="Q1129" s="157"/>
      <c r="R1129" s="157"/>
      <c r="S1129" s="157"/>
      <c r="T1129" s="157"/>
      <c r="U1129" s="157"/>
      <c r="V1129" s="157"/>
      <c r="W1129" s="157"/>
      <c r="X1129" s="346"/>
      <c r="Y1129" s="346"/>
      <c r="Z1129" s="346"/>
      <c r="AA1129" s="346"/>
      <c r="AB1129" s="295"/>
    </row>
    <row r="1130" spans="1:29" x14ac:dyDescent="0.25">
      <c r="A1130" s="71"/>
      <c r="B1130" s="71"/>
      <c r="C1130" s="71"/>
      <c r="D1130" s="71"/>
      <c r="E1130" s="71"/>
      <c r="F1130" s="157"/>
      <c r="G1130" s="157"/>
      <c r="H1130" s="157"/>
      <c r="I1130" s="157"/>
      <c r="J1130" s="157"/>
      <c r="K1130" s="157"/>
      <c r="L1130" s="157"/>
      <c r="M1130" s="157"/>
      <c r="N1130" s="157"/>
      <c r="O1130" s="157"/>
      <c r="P1130" s="157"/>
      <c r="Q1130" s="157"/>
      <c r="R1130" s="157"/>
      <c r="S1130" s="157"/>
      <c r="T1130" s="157"/>
      <c r="U1130" s="157"/>
      <c r="V1130" s="157"/>
      <c r="W1130" s="157"/>
      <c r="X1130" s="346"/>
      <c r="Y1130" s="346"/>
      <c r="Z1130" s="346"/>
      <c r="AA1130" s="346"/>
      <c r="AB1130" s="295"/>
    </row>
    <row r="1131" spans="1:29" x14ac:dyDescent="0.25">
      <c r="A1131" s="71"/>
      <c r="B1131" s="71"/>
      <c r="C1131" s="71"/>
      <c r="D1131" s="71"/>
      <c r="E1131" s="71"/>
      <c r="F1131" s="157"/>
      <c r="G1131" s="157"/>
      <c r="H1131" s="157"/>
      <c r="I1131" s="157"/>
      <c r="J1131" s="157"/>
      <c r="K1131" s="157"/>
      <c r="L1131" s="157"/>
      <c r="M1131" s="157"/>
      <c r="N1131" s="157"/>
      <c r="O1131" s="157"/>
      <c r="P1131" s="157"/>
      <c r="Q1131" s="157"/>
      <c r="R1131" s="157"/>
      <c r="S1131" s="157"/>
      <c r="T1131" s="157"/>
      <c r="U1131" s="157"/>
      <c r="V1131" s="157"/>
      <c r="W1131" s="157"/>
      <c r="X1131" s="346"/>
      <c r="Y1131" s="346"/>
      <c r="Z1131" s="346"/>
      <c r="AA1131" s="346"/>
      <c r="AB1131" s="295"/>
    </row>
    <row r="1132" spans="1:29" x14ac:dyDescent="0.25">
      <c r="A1132" s="71"/>
      <c r="B1132" s="71"/>
      <c r="C1132" s="71"/>
      <c r="D1132" s="71"/>
      <c r="E1132" s="71"/>
      <c r="F1132" s="157"/>
      <c r="G1132" s="157"/>
      <c r="H1132" s="157"/>
      <c r="I1132" s="157"/>
      <c r="J1132" s="157"/>
      <c r="K1132" s="157"/>
      <c r="L1132" s="157"/>
      <c r="M1132" s="157"/>
      <c r="N1132" s="157"/>
      <c r="O1132" s="157"/>
      <c r="P1132" s="157"/>
      <c r="Q1132" s="157"/>
      <c r="R1132" s="157"/>
      <c r="S1132" s="157"/>
      <c r="T1132" s="157"/>
      <c r="U1132" s="157"/>
      <c r="V1132" s="157"/>
      <c r="W1132" s="157"/>
      <c r="X1132" s="346"/>
      <c r="Y1132" s="346"/>
      <c r="Z1132" s="346"/>
      <c r="AA1132" s="346"/>
      <c r="AB1132" s="295"/>
    </row>
    <row r="1133" spans="1:29" x14ac:dyDescent="0.25">
      <c r="A1133" s="71"/>
      <c r="B1133" s="71"/>
      <c r="C1133" s="71"/>
      <c r="D1133" s="71"/>
      <c r="E1133" s="71"/>
      <c r="F1133" s="157"/>
      <c r="G1133" s="157"/>
      <c r="H1133" s="157"/>
      <c r="I1133" s="157"/>
      <c r="J1133" s="157"/>
      <c r="K1133" s="157"/>
      <c r="L1133" s="157"/>
      <c r="M1133" s="157"/>
      <c r="N1133" s="157"/>
      <c r="O1133" s="157"/>
      <c r="P1133" s="157"/>
      <c r="Q1133" s="157"/>
      <c r="R1133" s="157"/>
      <c r="S1133" s="157"/>
      <c r="T1133" s="157"/>
      <c r="U1133" s="157"/>
      <c r="V1133" s="157"/>
      <c r="W1133" s="157"/>
      <c r="X1133" s="346"/>
      <c r="Y1133" s="346"/>
      <c r="Z1133" s="346"/>
      <c r="AA1133" s="346"/>
      <c r="AB1133" s="295"/>
    </row>
    <row r="1134" spans="1:29" x14ac:dyDescent="0.25">
      <c r="A1134" s="71"/>
      <c r="B1134" s="71"/>
      <c r="C1134" s="71"/>
      <c r="D1134" s="71"/>
      <c r="E1134" s="71"/>
      <c r="F1134" s="157"/>
      <c r="G1134" s="157"/>
      <c r="H1134" s="157"/>
      <c r="I1134" s="157"/>
      <c r="J1134" s="157"/>
      <c r="K1134" s="157"/>
      <c r="L1134" s="157"/>
      <c r="M1134" s="157"/>
      <c r="N1134" s="157"/>
      <c r="O1134" s="157"/>
      <c r="P1134" s="157"/>
      <c r="Q1134" s="157"/>
      <c r="R1134" s="157"/>
      <c r="S1134" s="157"/>
      <c r="T1134" s="157"/>
      <c r="U1134" s="157"/>
      <c r="V1134" s="157"/>
      <c r="W1134" s="157"/>
      <c r="X1134" s="346"/>
      <c r="Y1134" s="346"/>
      <c r="Z1134" s="346"/>
      <c r="AA1134" s="346"/>
      <c r="AB1134" s="295"/>
    </row>
    <row r="1135" spans="1:29" x14ac:dyDescent="0.25">
      <c r="A1135" s="71"/>
      <c r="B1135" s="71"/>
      <c r="C1135" s="71"/>
      <c r="D1135" s="71"/>
      <c r="E1135" s="71"/>
      <c r="F1135" s="157"/>
      <c r="G1135" s="157"/>
      <c r="H1135" s="157"/>
      <c r="I1135" s="157"/>
      <c r="J1135" s="157"/>
      <c r="K1135" s="157"/>
      <c r="L1135" s="157"/>
      <c r="M1135" s="157"/>
      <c r="N1135" s="157"/>
      <c r="O1135" s="157"/>
      <c r="P1135" s="157"/>
      <c r="Q1135" s="157"/>
      <c r="R1135" s="157"/>
      <c r="S1135" s="157"/>
      <c r="T1135" s="157"/>
      <c r="U1135" s="157"/>
      <c r="V1135" s="157"/>
      <c r="W1135" s="157"/>
      <c r="X1135" s="346"/>
      <c r="Y1135" s="346"/>
      <c r="Z1135" s="346"/>
      <c r="AA1135" s="346"/>
      <c r="AB1135" s="295"/>
      <c r="AC1135" s="65"/>
    </row>
    <row r="1136" spans="1:29" x14ac:dyDescent="0.25">
      <c r="A1136" s="71"/>
      <c r="B1136" s="71"/>
      <c r="C1136" s="71"/>
      <c r="D1136" s="71"/>
      <c r="E1136" s="71"/>
      <c r="F1136" s="157"/>
      <c r="G1136" s="157"/>
      <c r="H1136" s="157"/>
      <c r="I1136" s="157"/>
      <c r="J1136" s="157"/>
      <c r="K1136" s="157"/>
      <c r="L1136" s="157"/>
      <c r="M1136" s="157"/>
      <c r="N1136" s="157"/>
      <c r="O1136" s="157"/>
      <c r="P1136" s="157"/>
      <c r="Q1136" s="157"/>
      <c r="R1136" s="157"/>
      <c r="S1136" s="157"/>
      <c r="T1136" s="157"/>
      <c r="U1136" s="157"/>
      <c r="V1136" s="157"/>
      <c r="W1136" s="157"/>
      <c r="X1136" s="346"/>
      <c r="Y1136" s="346"/>
      <c r="Z1136" s="346"/>
      <c r="AA1136" s="346"/>
      <c r="AB1136" s="295"/>
    </row>
    <row r="1137" spans="1:28" x14ac:dyDescent="0.25">
      <c r="A1137" s="71"/>
      <c r="B1137" s="71"/>
      <c r="C1137" s="71"/>
      <c r="D1137" s="71"/>
      <c r="E1137" s="71"/>
      <c r="F1137" s="347"/>
      <c r="G1137" s="347"/>
      <c r="H1137" s="347"/>
      <c r="I1137" s="347"/>
      <c r="J1137" s="347"/>
      <c r="K1137" s="347"/>
      <c r="L1137" s="347"/>
      <c r="M1137" s="347"/>
      <c r="N1137" s="347"/>
      <c r="O1137" s="347"/>
      <c r="P1137" s="347"/>
      <c r="Q1137" s="347"/>
      <c r="R1137" s="347"/>
      <c r="S1137" s="347"/>
      <c r="T1137" s="347"/>
      <c r="U1137" s="347"/>
      <c r="V1137" s="347"/>
      <c r="W1137" s="347"/>
      <c r="X1137" s="348"/>
      <c r="Y1137" s="348"/>
      <c r="Z1137" s="348"/>
      <c r="AA1137" s="346"/>
      <c r="AB1137" s="295"/>
    </row>
    <row r="1138" spans="1:28" x14ac:dyDescent="0.25">
      <c r="A1138" s="71"/>
      <c r="B1138" s="71"/>
      <c r="C1138" s="71"/>
      <c r="D1138" s="71"/>
      <c r="E1138" s="71"/>
      <c r="F1138" s="157"/>
      <c r="G1138" s="157"/>
      <c r="H1138" s="157"/>
      <c r="I1138" s="157"/>
      <c r="J1138" s="157"/>
      <c r="K1138" s="157"/>
      <c r="L1138" s="157"/>
      <c r="M1138" s="157"/>
      <c r="N1138" s="157"/>
      <c r="O1138" s="157"/>
      <c r="P1138" s="157"/>
      <c r="Q1138" s="157"/>
      <c r="R1138" s="157"/>
      <c r="S1138" s="157"/>
      <c r="T1138" s="157"/>
      <c r="U1138" s="157"/>
      <c r="V1138" s="157"/>
      <c r="W1138" s="157"/>
      <c r="X1138" s="346"/>
      <c r="Y1138" s="346"/>
      <c r="Z1138" s="346"/>
      <c r="AA1138" s="346"/>
      <c r="AB1138" s="295"/>
    </row>
    <row r="1139" spans="1:28" x14ac:dyDescent="0.25">
      <c r="A1139" s="71"/>
      <c r="B1139" s="71"/>
      <c r="C1139" s="71"/>
      <c r="D1139" s="71"/>
      <c r="E1139" s="71"/>
      <c r="F1139" s="157"/>
      <c r="G1139" s="71"/>
      <c r="H1139" s="71"/>
      <c r="I1139" s="71"/>
      <c r="J1139" s="71"/>
      <c r="K1139" s="71"/>
      <c r="L1139" s="71"/>
      <c r="M1139" s="71"/>
      <c r="N1139" s="71"/>
      <c r="O1139" s="71"/>
      <c r="P1139" s="71"/>
      <c r="Q1139" s="71"/>
      <c r="R1139" s="71"/>
      <c r="S1139" s="71"/>
      <c r="T1139" s="71"/>
      <c r="U1139" s="71"/>
      <c r="V1139" s="71"/>
      <c r="W1139" s="71"/>
      <c r="X1139" s="70"/>
      <c r="Y1139" s="70"/>
      <c r="Z1139" s="70"/>
      <c r="AA1139" s="70"/>
      <c r="AB1139" s="70"/>
    </row>
    <row r="1140" spans="1:28" x14ac:dyDescent="0.25">
      <c r="A1140" s="71"/>
      <c r="B1140" s="71"/>
      <c r="C1140" s="71"/>
      <c r="D1140" s="71"/>
      <c r="E1140" s="71"/>
      <c r="F1140" s="157"/>
      <c r="G1140" s="71"/>
      <c r="H1140" s="71"/>
      <c r="I1140" s="71"/>
      <c r="J1140" s="71"/>
      <c r="K1140" s="71"/>
      <c r="L1140" s="71"/>
      <c r="M1140" s="71"/>
      <c r="N1140" s="71"/>
      <c r="O1140" s="71"/>
      <c r="P1140" s="71"/>
      <c r="Q1140" s="71"/>
      <c r="R1140" s="71"/>
      <c r="S1140" s="71"/>
      <c r="T1140" s="71"/>
      <c r="U1140" s="71"/>
      <c r="V1140" s="71"/>
      <c r="W1140" s="71"/>
      <c r="X1140" s="70"/>
      <c r="Y1140" s="70"/>
      <c r="Z1140" s="70"/>
      <c r="AA1140" s="70"/>
      <c r="AB1140" s="70"/>
    </row>
    <row r="1141" spans="1:28" x14ac:dyDescent="0.25">
      <c r="A1141" s="143"/>
      <c r="B1141" s="71"/>
      <c r="C1141" s="71"/>
      <c r="D1141" s="71"/>
      <c r="E1141" s="71"/>
      <c r="F1141" s="157"/>
      <c r="G1141" s="157"/>
      <c r="H1141" s="71"/>
      <c r="I1141" s="71"/>
      <c r="J1141" s="71"/>
      <c r="K1141" s="71"/>
      <c r="L1141" s="71"/>
      <c r="M1141" s="71"/>
      <c r="N1141" s="71"/>
      <c r="O1141" s="71"/>
      <c r="P1141" s="71"/>
      <c r="Q1141" s="71"/>
      <c r="R1141" s="71"/>
      <c r="S1141" s="71"/>
      <c r="T1141" s="71"/>
      <c r="U1141" s="71"/>
      <c r="V1141" s="71"/>
      <c r="W1141" s="71"/>
      <c r="X1141" s="70"/>
      <c r="Y1141" s="70"/>
      <c r="Z1141" s="70"/>
      <c r="AA1141" s="70"/>
      <c r="AB1141" s="70"/>
    </row>
    <row r="1142" spans="1:28" x14ac:dyDescent="0.25">
      <c r="A1142" s="71"/>
      <c r="B1142" s="71"/>
      <c r="C1142" s="71"/>
      <c r="D1142" s="71"/>
      <c r="E1142" s="71"/>
      <c r="F1142" s="157"/>
      <c r="G1142" s="157"/>
      <c r="H1142" s="157"/>
      <c r="I1142" s="157"/>
      <c r="J1142" s="157"/>
      <c r="K1142" s="157"/>
      <c r="L1142" s="157"/>
      <c r="M1142" s="157"/>
      <c r="N1142" s="157"/>
      <c r="O1142" s="157"/>
      <c r="P1142" s="157"/>
      <c r="Q1142" s="157"/>
      <c r="R1142" s="157"/>
      <c r="S1142" s="157"/>
      <c r="T1142" s="157"/>
      <c r="U1142" s="157"/>
      <c r="V1142" s="157"/>
      <c r="W1142" s="157"/>
      <c r="X1142" s="157"/>
      <c r="Y1142" s="157"/>
      <c r="Z1142" s="157"/>
      <c r="AA1142" s="346"/>
      <c r="AB1142" s="295"/>
    </row>
    <row r="1143" spans="1:28" x14ac:dyDescent="0.25">
      <c r="A1143" s="71"/>
      <c r="B1143" s="71"/>
      <c r="C1143" s="71"/>
      <c r="D1143" s="71"/>
      <c r="E1143" s="71"/>
      <c r="F1143" s="157"/>
      <c r="G1143" s="157"/>
      <c r="H1143" s="157"/>
      <c r="I1143" s="157"/>
      <c r="J1143" s="157"/>
      <c r="K1143" s="157"/>
      <c r="L1143" s="157"/>
      <c r="M1143" s="157"/>
      <c r="N1143" s="157"/>
      <c r="O1143" s="157"/>
      <c r="P1143" s="157"/>
      <c r="Q1143" s="157"/>
      <c r="R1143" s="157"/>
      <c r="S1143" s="157"/>
      <c r="T1143" s="157"/>
      <c r="U1143" s="157"/>
      <c r="V1143" s="157"/>
      <c r="W1143" s="157"/>
      <c r="X1143" s="157"/>
      <c r="Y1143" s="157"/>
      <c r="Z1143" s="157"/>
      <c r="AA1143" s="346"/>
      <c r="AB1143" s="295"/>
    </row>
    <row r="1144" spans="1:28" x14ac:dyDescent="0.25">
      <c r="A1144" s="71"/>
      <c r="B1144" s="71"/>
      <c r="C1144" s="71"/>
      <c r="D1144" s="71"/>
      <c r="E1144" s="71"/>
      <c r="F1144" s="157"/>
      <c r="G1144" s="157"/>
      <c r="H1144" s="157"/>
      <c r="I1144" s="157"/>
      <c r="J1144" s="157"/>
      <c r="K1144" s="157"/>
      <c r="L1144" s="157"/>
      <c r="M1144" s="157"/>
      <c r="N1144" s="157"/>
      <c r="O1144" s="157"/>
      <c r="P1144" s="157"/>
      <c r="Q1144" s="157"/>
      <c r="R1144" s="157"/>
      <c r="S1144" s="157"/>
      <c r="T1144" s="157"/>
      <c r="U1144" s="157"/>
      <c r="V1144" s="157"/>
      <c r="W1144" s="157"/>
      <c r="X1144" s="157"/>
      <c r="Y1144" s="157"/>
      <c r="Z1144" s="157"/>
      <c r="AA1144" s="346"/>
      <c r="AB1144" s="295"/>
    </row>
    <row r="1145" spans="1:28" x14ac:dyDescent="0.25">
      <c r="A1145" s="71"/>
      <c r="B1145" s="71"/>
      <c r="C1145" s="71"/>
      <c r="D1145" s="71"/>
      <c r="E1145" s="71"/>
      <c r="F1145" s="157"/>
      <c r="G1145" s="157"/>
      <c r="H1145" s="157"/>
      <c r="I1145" s="157"/>
      <c r="J1145" s="157"/>
      <c r="K1145" s="157"/>
      <c r="L1145" s="157"/>
      <c r="M1145" s="157"/>
      <c r="N1145" s="157"/>
      <c r="O1145" s="157"/>
      <c r="P1145" s="157"/>
      <c r="Q1145" s="157"/>
      <c r="R1145" s="157"/>
      <c r="S1145" s="157"/>
      <c r="T1145" s="157"/>
      <c r="U1145" s="157"/>
      <c r="V1145" s="157"/>
      <c r="W1145" s="157"/>
      <c r="X1145" s="157"/>
      <c r="Y1145" s="157"/>
      <c r="Z1145" s="157"/>
      <c r="AA1145" s="346"/>
      <c r="AB1145" s="295"/>
    </row>
    <row r="1146" spans="1:28" x14ac:dyDescent="0.25">
      <c r="A1146" s="71"/>
      <c r="B1146" s="71"/>
      <c r="C1146" s="71"/>
      <c r="D1146" s="71"/>
      <c r="E1146" s="71"/>
      <c r="F1146" s="157"/>
      <c r="G1146" s="157"/>
      <c r="H1146" s="157"/>
      <c r="I1146" s="157"/>
      <c r="J1146" s="157"/>
      <c r="K1146" s="157"/>
      <c r="L1146" s="157"/>
      <c r="M1146" s="157"/>
      <c r="N1146" s="157"/>
      <c r="O1146" s="157"/>
      <c r="P1146" s="157"/>
      <c r="Q1146" s="157"/>
      <c r="R1146" s="157"/>
      <c r="S1146" s="157"/>
      <c r="T1146" s="157"/>
      <c r="U1146" s="157"/>
      <c r="V1146" s="157"/>
      <c r="W1146" s="157"/>
      <c r="X1146" s="157"/>
      <c r="Y1146" s="157"/>
      <c r="Z1146" s="157"/>
      <c r="AA1146" s="346"/>
      <c r="AB1146" s="295"/>
    </row>
    <row r="1147" spans="1:28" x14ac:dyDescent="0.25">
      <c r="A1147" s="71"/>
      <c r="B1147" s="71"/>
      <c r="C1147" s="71"/>
      <c r="D1147" s="71"/>
      <c r="E1147" s="71"/>
      <c r="F1147" s="157"/>
      <c r="G1147" s="157"/>
      <c r="H1147" s="157"/>
      <c r="I1147" s="157"/>
      <c r="J1147" s="157"/>
      <c r="K1147" s="157"/>
      <c r="L1147" s="157"/>
      <c r="M1147" s="157"/>
      <c r="N1147" s="157"/>
      <c r="O1147" s="157"/>
      <c r="P1147" s="157"/>
      <c r="Q1147" s="157"/>
      <c r="R1147" s="157"/>
      <c r="S1147" s="157"/>
      <c r="T1147" s="157"/>
      <c r="U1147" s="157"/>
      <c r="V1147" s="157"/>
      <c r="W1147" s="157"/>
      <c r="X1147" s="157"/>
      <c r="Y1147" s="157"/>
      <c r="Z1147" s="157"/>
      <c r="AA1147" s="346"/>
      <c r="AB1147" s="295"/>
    </row>
    <row r="1148" spans="1:28" x14ac:dyDescent="0.25">
      <c r="A1148" s="71"/>
      <c r="B1148" s="71"/>
      <c r="C1148" s="71"/>
      <c r="D1148" s="71"/>
      <c r="E1148" s="71"/>
      <c r="F1148" s="157"/>
      <c r="G1148" s="157"/>
      <c r="H1148" s="157"/>
      <c r="I1148" s="157"/>
      <c r="J1148" s="157"/>
      <c r="K1148" s="157"/>
      <c r="L1148" s="157"/>
      <c r="M1148" s="157"/>
      <c r="N1148" s="157"/>
      <c r="O1148" s="157"/>
      <c r="P1148" s="157"/>
      <c r="Q1148" s="157"/>
      <c r="R1148" s="157"/>
      <c r="S1148" s="157"/>
      <c r="T1148" s="157"/>
      <c r="U1148" s="157"/>
      <c r="V1148" s="157"/>
      <c r="W1148" s="157"/>
      <c r="X1148" s="157"/>
      <c r="Y1148" s="157"/>
      <c r="Z1148" s="157"/>
      <c r="AA1148" s="346"/>
      <c r="AB1148" s="295"/>
    </row>
    <row r="1149" spans="1:28" x14ac:dyDescent="0.25">
      <c r="A1149" s="71"/>
      <c r="B1149" s="71"/>
      <c r="C1149" s="71"/>
      <c r="D1149" s="71"/>
      <c r="E1149" s="71"/>
      <c r="F1149" s="157"/>
      <c r="G1149" s="157"/>
      <c r="H1149" s="157"/>
      <c r="I1149" s="157"/>
      <c r="J1149" s="157"/>
      <c r="K1149" s="157"/>
      <c r="L1149" s="157"/>
      <c r="M1149" s="157"/>
      <c r="N1149" s="157"/>
      <c r="O1149" s="157"/>
      <c r="P1149" s="157"/>
      <c r="Q1149" s="157"/>
      <c r="R1149" s="157"/>
      <c r="S1149" s="157"/>
      <c r="T1149" s="157"/>
      <c r="U1149" s="157"/>
      <c r="V1149" s="157"/>
      <c r="W1149" s="157"/>
      <c r="X1149" s="157"/>
      <c r="Y1149" s="157"/>
      <c r="Z1149" s="157"/>
      <c r="AA1149" s="346"/>
      <c r="AB1149" s="295"/>
    </row>
    <row r="1150" spans="1:28" x14ac:dyDescent="0.25">
      <c r="A1150" s="71"/>
      <c r="B1150" s="71"/>
      <c r="C1150" s="71"/>
      <c r="D1150" s="71"/>
      <c r="E1150" s="71"/>
      <c r="F1150" s="347"/>
      <c r="G1150" s="347"/>
      <c r="H1150" s="347"/>
      <c r="I1150" s="347"/>
      <c r="J1150" s="347"/>
      <c r="K1150" s="347"/>
      <c r="L1150" s="347"/>
      <c r="M1150" s="347"/>
      <c r="N1150" s="347"/>
      <c r="O1150" s="347"/>
      <c r="P1150" s="347"/>
      <c r="Q1150" s="347"/>
      <c r="R1150" s="347"/>
      <c r="S1150" s="347"/>
      <c r="T1150" s="347"/>
      <c r="U1150" s="347"/>
      <c r="V1150" s="347"/>
      <c r="W1150" s="347"/>
      <c r="X1150" s="347"/>
      <c r="Y1150" s="347"/>
      <c r="Z1150" s="347"/>
      <c r="AA1150" s="346"/>
      <c r="AB1150" s="295"/>
    </row>
    <row r="1151" spans="1:28" x14ac:dyDescent="0.25">
      <c r="A1151" s="71"/>
      <c r="B1151" s="71"/>
      <c r="C1151" s="71"/>
      <c r="D1151" s="71"/>
      <c r="E1151" s="71"/>
      <c r="F1151" s="157"/>
      <c r="G1151" s="157"/>
      <c r="H1151" s="157"/>
      <c r="I1151" s="157"/>
      <c r="J1151" s="157"/>
      <c r="K1151" s="157"/>
      <c r="L1151" s="157"/>
      <c r="M1151" s="157"/>
      <c r="N1151" s="157"/>
      <c r="O1151" s="157"/>
      <c r="P1151" s="157"/>
      <c r="Q1151" s="157"/>
      <c r="R1151" s="157"/>
      <c r="S1151" s="157"/>
      <c r="T1151" s="157"/>
      <c r="U1151" s="157"/>
      <c r="V1151" s="157"/>
      <c r="W1151" s="157"/>
      <c r="X1151" s="157"/>
      <c r="Y1151" s="157"/>
      <c r="Z1151" s="157"/>
      <c r="AA1151" s="346"/>
      <c r="AB1151" s="295"/>
    </row>
    <row r="1152" spans="1:28" x14ac:dyDescent="0.25">
      <c r="A1152" s="71"/>
      <c r="B1152" s="71"/>
      <c r="C1152" s="71"/>
      <c r="D1152" s="71"/>
      <c r="E1152" s="71"/>
      <c r="F1152" s="157"/>
      <c r="G1152" s="71"/>
      <c r="H1152" s="71"/>
      <c r="I1152" s="71"/>
      <c r="J1152" s="71"/>
      <c r="K1152" s="71"/>
      <c r="L1152" s="71"/>
      <c r="M1152" s="71"/>
      <c r="N1152" s="71"/>
      <c r="O1152" s="71"/>
      <c r="P1152" s="71"/>
      <c r="Q1152" s="71"/>
      <c r="R1152" s="71"/>
      <c r="S1152" s="71"/>
      <c r="T1152" s="71"/>
      <c r="U1152" s="71"/>
      <c r="V1152" s="71"/>
      <c r="W1152" s="71"/>
      <c r="X1152" s="70"/>
      <c r="Y1152" s="70"/>
      <c r="Z1152" s="70"/>
      <c r="AA1152" s="70"/>
      <c r="AB1152" s="70"/>
    </row>
    <row r="1153" spans="1:28" x14ac:dyDescent="0.25">
      <c r="A1153" s="71"/>
      <c r="B1153" s="71"/>
      <c r="C1153" s="71"/>
      <c r="D1153" s="71"/>
      <c r="E1153" s="71"/>
      <c r="F1153" s="157"/>
      <c r="G1153" s="71"/>
      <c r="H1153" s="71"/>
      <c r="I1153" s="71"/>
      <c r="J1153" s="71"/>
      <c r="K1153" s="71"/>
      <c r="L1153" s="71"/>
      <c r="M1153" s="71"/>
      <c r="N1153" s="71"/>
      <c r="O1153" s="71"/>
      <c r="P1153" s="71"/>
      <c r="Q1153" s="71"/>
      <c r="R1153" s="71"/>
      <c r="S1153" s="71"/>
      <c r="T1153" s="71"/>
      <c r="U1153" s="71"/>
      <c r="V1153" s="71"/>
      <c r="W1153" s="71"/>
      <c r="X1153" s="70"/>
      <c r="Y1153" s="70"/>
      <c r="Z1153" s="70"/>
      <c r="AA1153" s="70"/>
      <c r="AB1153" s="70"/>
    </row>
    <row r="1154" spans="1:28" x14ac:dyDescent="0.25">
      <c r="A1154" s="143"/>
      <c r="B1154" s="71"/>
      <c r="C1154" s="71"/>
      <c r="D1154" s="71"/>
      <c r="E1154" s="71"/>
      <c r="F1154" s="231"/>
      <c r="G1154" s="71"/>
      <c r="H1154" s="71"/>
      <c r="I1154" s="71"/>
      <c r="J1154" s="71"/>
      <c r="K1154" s="71"/>
      <c r="L1154" s="71"/>
      <c r="M1154" s="71"/>
      <c r="N1154" s="71"/>
      <c r="O1154" s="71"/>
      <c r="P1154" s="71"/>
      <c r="Q1154" s="71"/>
      <c r="R1154" s="71"/>
      <c r="S1154" s="71"/>
      <c r="T1154" s="71"/>
      <c r="U1154" s="71"/>
      <c r="V1154" s="71"/>
      <c r="W1154" s="71"/>
      <c r="X1154" s="70"/>
      <c r="Y1154" s="70"/>
      <c r="Z1154" s="70"/>
      <c r="AA1154" s="70"/>
      <c r="AB1154" s="70"/>
    </row>
    <row r="1155" spans="1:28" x14ac:dyDescent="0.25">
      <c r="A1155" s="71"/>
      <c r="B1155" s="71"/>
      <c r="C1155" s="71"/>
      <c r="D1155" s="71"/>
      <c r="E1155" s="71"/>
      <c r="F1155" s="71"/>
      <c r="G1155" s="166"/>
      <c r="H1155" s="166"/>
      <c r="I1155" s="351"/>
      <c r="J1155" s="351"/>
      <c r="K1155" s="351"/>
      <c r="L1155" s="351"/>
      <c r="M1155" s="351"/>
      <c r="N1155" s="351"/>
      <c r="O1155" s="351"/>
      <c r="P1155" s="351"/>
      <c r="Q1155" s="351"/>
      <c r="R1155" s="351"/>
      <c r="S1155" s="352"/>
      <c r="T1155" s="352"/>
      <c r="U1155" s="352"/>
      <c r="V1155" s="351"/>
      <c r="W1155" s="351"/>
      <c r="X1155" s="353"/>
      <c r="Y1155" s="353"/>
      <c r="Z1155" s="353"/>
      <c r="AA1155" s="70"/>
      <c r="AB1155" s="70"/>
    </row>
    <row r="1156" spans="1:28" s="61" customFormat="1" x14ac:dyDescent="0.25">
      <c r="A1156" s="71"/>
      <c r="B1156" s="71"/>
      <c r="C1156" s="71"/>
      <c r="D1156" s="71"/>
      <c r="E1156" s="71"/>
      <c r="F1156" s="71"/>
      <c r="G1156" s="166"/>
      <c r="H1156" s="166"/>
      <c r="I1156" s="351"/>
      <c r="J1156" s="351"/>
      <c r="K1156" s="351"/>
      <c r="L1156" s="351"/>
      <c r="M1156" s="351"/>
      <c r="N1156" s="351"/>
      <c r="O1156" s="351"/>
      <c r="P1156" s="351"/>
      <c r="Q1156" s="351"/>
      <c r="R1156" s="351"/>
      <c r="S1156" s="352"/>
      <c r="T1156" s="352"/>
      <c r="U1156" s="352"/>
      <c r="V1156" s="351"/>
      <c r="W1156" s="351"/>
      <c r="X1156" s="71"/>
      <c r="Y1156" s="71"/>
      <c r="Z1156" s="71"/>
      <c r="AA1156" s="71"/>
      <c r="AB1156" s="71"/>
    </row>
    <row r="1157" spans="1:28" s="61" customFormat="1" x14ac:dyDescent="0.25">
      <c r="A1157" s="71"/>
      <c r="B1157" s="71"/>
      <c r="C1157" s="71"/>
      <c r="D1157" s="71"/>
      <c r="E1157" s="71"/>
      <c r="F1157" s="71"/>
      <c r="G1157" s="354"/>
      <c r="H1157" s="354"/>
      <c r="I1157" s="351"/>
      <c r="J1157" s="351"/>
      <c r="K1157" s="351"/>
      <c r="L1157" s="351"/>
      <c r="M1157" s="351"/>
      <c r="N1157" s="351"/>
      <c r="O1157" s="351"/>
      <c r="P1157" s="351"/>
      <c r="Q1157" s="351"/>
      <c r="R1157" s="351"/>
      <c r="S1157" s="352"/>
      <c r="T1157" s="352"/>
      <c r="U1157" s="352"/>
      <c r="V1157" s="351"/>
      <c r="W1157" s="351"/>
      <c r="X1157" s="71"/>
      <c r="Y1157" s="71"/>
      <c r="Z1157" s="71"/>
      <c r="AA1157" s="71"/>
      <c r="AB1157" s="71"/>
    </row>
    <row r="1158" spans="1:28" s="61" customFormat="1" x14ac:dyDescent="0.25">
      <c r="A1158" s="71"/>
      <c r="B1158" s="71"/>
      <c r="C1158" s="71"/>
      <c r="D1158" s="71"/>
      <c r="E1158" s="71"/>
      <c r="F1158" s="71"/>
      <c r="G1158" s="166"/>
      <c r="H1158" s="166"/>
      <c r="I1158" s="351"/>
      <c r="J1158" s="351"/>
      <c r="K1158" s="351"/>
      <c r="L1158" s="351"/>
      <c r="M1158" s="351"/>
      <c r="N1158" s="351"/>
      <c r="O1158" s="351"/>
      <c r="P1158" s="351"/>
      <c r="Q1158" s="351"/>
      <c r="R1158" s="351"/>
      <c r="S1158" s="352"/>
      <c r="T1158" s="352"/>
      <c r="U1158" s="352"/>
      <c r="V1158" s="351"/>
      <c r="W1158" s="351"/>
      <c r="X1158" s="71"/>
      <c r="Y1158" s="71"/>
      <c r="Z1158" s="71"/>
      <c r="AA1158" s="71"/>
      <c r="AB1158" s="71"/>
    </row>
    <row r="1159" spans="1:28" s="61" customFormat="1" x14ac:dyDescent="0.25">
      <c r="A1159" s="71"/>
      <c r="B1159" s="71"/>
      <c r="C1159" s="71"/>
      <c r="D1159" s="71"/>
      <c r="E1159" s="71"/>
      <c r="F1159" s="71"/>
      <c r="G1159" s="166"/>
      <c r="H1159" s="166"/>
      <c r="I1159" s="351"/>
      <c r="J1159" s="351"/>
      <c r="K1159" s="351"/>
      <c r="L1159" s="351"/>
      <c r="M1159" s="351"/>
      <c r="N1159" s="351"/>
      <c r="O1159" s="351"/>
      <c r="P1159" s="351"/>
      <c r="Q1159" s="351"/>
      <c r="R1159" s="351"/>
      <c r="S1159" s="352"/>
      <c r="T1159" s="352"/>
      <c r="U1159" s="352"/>
      <c r="V1159" s="351"/>
      <c r="W1159" s="351"/>
      <c r="X1159" s="71"/>
      <c r="Y1159" s="71"/>
      <c r="Z1159" s="71"/>
      <c r="AA1159" s="71"/>
      <c r="AB1159" s="71"/>
    </row>
    <row r="1160" spans="1:28" s="61" customFormat="1" x14ac:dyDescent="0.25">
      <c r="A1160" s="71"/>
      <c r="B1160" s="71"/>
      <c r="C1160" s="71"/>
      <c r="D1160" s="71"/>
      <c r="E1160" s="71"/>
      <c r="F1160" s="71"/>
      <c r="G1160" s="354"/>
      <c r="H1160" s="354"/>
      <c r="I1160" s="351"/>
      <c r="J1160" s="351"/>
      <c r="K1160" s="351"/>
      <c r="L1160" s="351"/>
      <c r="M1160" s="351"/>
      <c r="N1160" s="351"/>
      <c r="O1160" s="351"/>
      <c r="P1160" s="351"/>
      <c r="Q1160" s="351"/>
      <c r="R1160" s="351"/>
      <c r="S1160" s="352"/>
      <c r="T1160" s="352"/>
      <c r="U1160" s="352"/>
      <c r="V1160" s="351"/>
      <c r="W1160" s="351"/>
      <c r="X1160" s="71"/>
      <c r="Y1160" s="71"/>
      <c r="Z1160" s="71"/>
      <c r="AA1160" s="71"/>
      <c r="AB1160" s="71"/>
    </row>
    <row r="1161" spans="1:28" x14ac:dyDescent="0.25">
      <c r="A1161" s="71"/>
      <c r="B1161" s="71"/>
      <c r="C1161" s="71"/>
      <c r="D1161" s="71"/>
      <c r="E1161" s="71"/>
      <c r="F1161" s="71"/>
      <c r="G1161" s="166"/>
      <c r="H1161" s="166"/>
      <c r="I1161" s="71"/>
      <c r="J1161" s="71"/>
      <c r="K1161" s="71"/>
      <c r="L1161" s="71"/>
      <c r="M1161" s="71"/>
      <c r="N1161" s="71"/>
      <c r="O1161" s="71"/>
      <c r="P1161" s="71"/>
      <c r="Q1161" s="71"/>
      <c r="R1161" s="71"/>
      <c r="S1161" s="352"/>
      <c r="T1161" s="352"/>
      <c r="U1161" s="352"/>
      <c r="V1161" s="71"/>
      <c r="W1161" s="71"/>
      <c r="X1161" s="70"/>
      <c r="Y1161" s="70"/>
      <c r="Z1161" s="70"/>
      <c r="AA1161" s="70"/>
      <c r="AB1161" s="70"/>
    </row>
    <row r="1162" spans="1:28" x14ac:dyDescent="0.25">
      <c r="A1162" s="71"/>
      <c r="B1162" s="71"/>
      <c r="C1162" s="71"/>
      <c r="D1162" s="71"/>
      <c r="E1162" s="71"/>
      <c r="F1162" s="71"/>
      <c r="G1162" s="166"/>
      <c r="H1162" s="166"/>
      <c r="I1162" s="351"/>
      <c r="J1162" s="351"/>
      <c r="K1162" s="351"/>
      <c r="L1162" s="351"/>
      <c r="M1162" s="351"/>
      <c r="N1162" s="351"/>
      <c r="O1162" s="351"/>
      <c r="P1162" s="351"/>
      <c r="Q1162" s="351"/>
      <c r="R1162" s="351"/>
      <c r="S1162" s="352"/>
      <c r="T1162" s="352"/>
      <c r="U1162" s="352"/>
      <c r="V1162" s="351"/>
      <c r="W1162" s="351"/>
      <c r="X1162" s="70"/>
      <c r="Y1162" s="70"/>
      <c r="Z1162" s="70"/>
      <c r="AA1162" s="70"/>
      <c r="AB1162" s="70"/>
    </row>
    <row r="1163" spans="1:28" x14ac:dyDescent="0.25">
      <c r="A1163" s="71"/>
      <c r="B1163" s="71"/>
      <c r="C1163" s="71"/>
      <c r="D1163" s="71"/>
      <c r="E1163" s="71"/>
      <c r="F1163" s="71"/>
      <c r="G1163" s="230"/>
      <c r="H1163" s="230"/>
      <c r="I1163" s="230"/>
      <c r="J1163" s="230"/>
      <c r="K1163" s="230"/>
      <c r="L1163" s="230"/>
      <c r="M1163" s="230"/>
      <c r="N1163" s="230"/>
      <c r="O1163" s="230"/>
      <c r="P1163" s="230"/>
      <c r="Q1163" s="230"/>
      <c r="R1163" s="230"/>
      <c r="S1163" s="230"/>
      <c r="T1163" s="352"/>
      <c r="U1163" s="352"/>
      <c r="V1163" s="230"/>
      <c r="W1163" s="230"/>
      <c r="X1163" s="355"/>
      <c r="Y1163" s="355"/>
      <c r="Z1163" s="355"/>
      <c r="AA1163" s="70"/>
      <c r="AB1163" s="70"/>
    </row>
    <row r="1164" spans="1:28" x14ac:dyDescent="0.25">
      <c r="A1164" s="71"/>
      <c r="B1164" s="71"/>
      <c r="C1164" s="71"/>
      <c r="D1164" s="71"/>
      <c r="E1164" s="71"/>
      <c r="F1164" s="71"/>
      <c r="G1164" s="230"/>
      <c r="H1164" s="230"/>
      <c r="I1164" s="230"/>
      <c r="J1164" s="230"/>
      <c r="K1164" s="230"/>
      <c r="L1164" s="230"/>
      <c r="M1164" s="230"/>
      <c r="N1164" s="230"/>
      <c r="O1164" s="230"/>
      <c r="P1164" s="230"/>
      <c r="Q1164" s="230"/>
      <c r="R1164" s="230"/>
      <c r="S1164" s="230"/>
      <c r="T1164" s="352"/>
      <c r="U1164" s="352"/>
      <c r="V1164" s="230"/>
      <c r="W1164" s="230"/>
      <c r="X1164" s="355"/>
      <c r="Y1164" s="355"/>
      <c r="Z1164" s="355"/>
      <c r="AA1164" s="70"/>
      <c r="AB1164" s="70"/>
    </row>
    <row r="1165" spans="1:28" x14ac:dyDescent="0.25">
      <c r="A1165" s="71"/>
      <c r="B1165" s="71"/>
      <c r="C1165" s="71"/>
      <c r="D1165" s="71"/>
      <c r="E1165" s="71"/>
      <c r="F1165" s="71"/>
      <c r="G1165" s="71"/>
      <c r="H1165" s="71"/>
      <c r="I1165" s="71"/>
      <c r="J1165" s="71"/>
      <c r="K1165" s="71"/>
      <c r="L1165" s="71"/>
      <c r="M1165" s="71"/>
      <c r="N1165" s="71"/>
      <c r="O1165" s="71"/>
      <c r="P1165" s="71"/>
      <c r="Q1165" s="71"/>
      <c r="R1165" s="71"/>
      <c r="S1165" s="71"/>
      <c r="T1165" s="71"/>
      <c r="U1165" s="71"/>
      <c r="V1165" s="71"/>
      <c r="W1165" s="71"/>
      <c r="X1165" s="70"/>
      <c r="Y1165" s="70"/>
      <c r="Z1165" s="70"/>
      <c r="AA1165" s="70"/>
      <c r="AB1165" s="70"/>
    </row>
    <row r="1166" spans="1:28" x14ac:dyDescent="0.25">
      <c r="A1166" s="71"/>
      <c r="B1166" s="71"/>
      <c r="C1166" s="71"/>
      <c r="D1166" s="71"/>
      <c r="E1166" s="71"/>
      <c r="F1166" s="71"/>
      <c r="G1166" s="71"/>
      <c r="H1166" s="71"/>
      <c r="I1166" s="71"/>
      <c r="J1166" s="71"/>
      <c r="K1166" s="71"/>
      <c r="L1166" s="71"/>
      <c r="M1166" s="71"/>
      <c r="N1166" s="71"/>
      <c r="O1166" s="71"/>
      <c r="P1166" s="71"/>
      <c r="Q1166" s="71"/>
      <c r="R1166" s="71"/>
      <c r="S1166" s="71"/>
      <c r="T1166" s="71"/>
      <c r="U1166" s="71"/>
      <c r="V1166" s="71"/>
      <c r="W1166" s="71"/>
      <c r="X1166" s="70"/>
      <c r="Y1166" s="70"/>
      <c r="Z1166" s="70"/>
      <c r="AA1166" s="70"/>
      <c r="AB1166" s="70"/>
    </row>
    <row r="1167" spans="1:28" x14ac:dyDescent="0.25">
      <c r="A1167" s="143"/>
      <c r="B1167" s="71"/>
      <c r="C1167" s="71"/>
      <c r="D1167" s="71"/>
      <c r="E1167" s="71"/>
      <c r="F1167" s="71"/>
      <c r="G1167" s="71"/>
      <c r="H1167" s="71"/>
      <c r="I1167" s="71"/>
      <c r="J1167" s="71"/>
      <c r="K1167" s="71"/>
      <c r="L1167" s="71"/>
      <c r="M1167" s="71"/>
      <c r="N1167" s="71"/>
      <c r="O1167" s="71"/>
      <c r="P1167" s="71"/>
      <c r="Q1167" s="71"/>
      <c r="R1167" s="71"/>
      <c r="S1167" s="71"/>
      <c r="T1167" s="71"/>
      <c r="U1167" s="71"/>
      <c r="V1167" s="71"/>
      <c r="W1167" s="71"/>
      <c r="X1167" s="70"/>
      <c r="Y1167" s="70"/>
      <c r="Z1167" s="70"/>
      <c r="AA1167" s="70"/>
      <c r="AB1167" s="70"/>
    </row>
    <row r="1168" spans="1:28" x14ac:dyDescent="0.25">
      <c r="A1168" s="71"/>
      <c r="B1168" s="71"/>
      <c r="C1168" s="71"/>
      <c r="D1168" s="71"/>
      <c r="E1168" s="71"/>
      <c r="F1168" s="71"/>
      <c r="G1168" s="356"/>
      <c r="H1168" s="356"/>
      <c r="I1168" s="351"/>
      <c r="J1168" s="351"/>
      <c r="K1168" s="351"/>
      <c r="L1168" s="351"/>
      <c r="M1168" s="351"/>
      <c r="N1168" s="351"/>
      <c r="O1168" s="351"/>
      <c r="P1168" s="351"/>
      <c r="Q1168" s="351"/>
      <c r="R1168" s="351"/>
      <c r="S1168" s="356"/>
      <c r="T1168" s="356"/>
      <c r="U1168" s="356"/>
      <c r="V1168" s="351"/>
      <c r="W1168" s="351"/>
      <c r="X1168" s="70"/>
      <c r="Y1168" s="70"/>
      <c r="Z1168" s="70"/>
      <c r="AA1168" s="70"/>
      <c r="AB1168" s="70"/>
    </row>
    <row r="1169" spans="1:28" s="61" customFormat="1" x14ac:dyDescent="0.25">
      <c r="A1169" s="71"/>
      <c r="B1169" s="71"/>
      <c r="C1169" s="71"/>
      <c r="D1169" s="71"/>
      <c r="E1169" s="71"/>
      <c r="F1169" s="71"/>
      <c r="G1169" s="356"/>
      <c r="H1169" s="356"/>
      <c r="I1169" s="351"/>
      <c r="J1169" s="351"/>
      <c r="K1169" s="351"/>
      <c r="L1169" s="351"/>
      <c r="M1169" s="351"/>
      <c r="N1169" s="351"/>
      <c r="O1169" s="351"/>
      <c r="P1169" s="351"/>
      <c r="Q1169" s="351"/>
      <c r="R1169" s="351"/>
      <c r="S1169" s="356"/>
      <c r="T1169" s="357"/>
      <c r="U1169" s="357"/>
      <c r="V1169" s="351"/>
      <c r="W1169" s="351"/>
      <c r="X1169" s="356"/>
      <c r="Y1169" s="356"/>
      <c r="Z1169" s="356"/>
      <c r="AA1169" s="71"/>
      <c r="AB1169" s="71"/>
    </row>
    <row r="1170" spans="1:28" s="61" customFormat="1" x14ac:dyDescent="0.25">
      <c r="A1170" s="71"/>
      <c r="B1170" s="71"/>
      <c r="C1170" s="71"/>
      <c r="D1170" s="71"/>
      <c r="E1170" s="71"/>
      <c r="F1170" s="71"/>
      <c r="G1170" s="356"/>
      <c r="H1170" s="356"/>
      <c r="I1170" s="356"/>
      <c r="J1170" s="356"/>
      <c r="K1170" s="356"/>
      <c r="L1170" s="356"/>
      <c r="M1170" s="356"/>
      <c r="N1170" s="356"/>
      <c r="O1170" s="356"/>
      <c r="P1170" s="356"/>
      <c r="Q1170" s="356"/>
      <c r="R1170" s="356"/>
      <c r="S1170" s="356"/>
      <c r="T1170" s="356"/>
      <c r="U1170" s="356"/>
      <c r="V1170" s="356"/>
      <c r="W1170" s="356"/>
      <c r="X1170" s="356"/>
      <c r="Y1170" s="356"/>
      <c r="Z1170" s="356"/>
      <c r="AA1170" s="71"/>
      <c r="AB1170" s="71"/>
    </row>
    <row r="1171" spans="1:28" s="61" customFormat="1" x14ac:dyDescent="0.25">
      <c r="A1171" s="71"/>
      <c r="B1171" s="71"/>
      <c r="C1171" s="71"/>
      <c r="D1171" s="71"/>
      <c r="E1171" s="71"/>
      <c r="F1171" s="71"/>
      <c r="G1171" s="356"/>
      <c r="H1171" s="356"/>
      <c r="I1171" s="351"/>
      <c r="J1171" s="351"/>
      <c r="K1171" s="351"/>
      <c r="L1171" s="351"/>
      <c r="M1171" s="351"/>
      <c r="N1171" s="351"/>
      <c r="O1171" s="351"/>
      <c r="P1171" s="351"/>
      <c r="Q1171" s="351"/>
      <c r="R1171" s="351"/>
      <c r="S1171" s="356"/>
      <c r="T1171" s="356"/>
      <c r="U1171" s="356"/>
      <c r="V1171" s="351"/>
      <c r="W1171" s="351"/>
      <c r="X1171" s="356"/>
      <c r="Y1171" s="356"/>
      <c r="Z1171" s="356"/>
      <c r="AA1171" s="71"/>
      <c r="AB1171" s="71"/>
    </row>
    <row r="1172" spans="1:28" s="61" customFormat="1" x14ac:dyDescent="0.25">
      <c r="A1172" s="71"/>
      <c r="B1172" s="71"/>
      <c r="C1172" s="71"/>
      <c r="D1172" s="71"/>
      <c r="E1172" s="71"/>
      <c r="F1172" s="71"/>
      <c r="G1172" s="356"/>
      <c r="H1172" s="356"/>
      <c r="I1172" s="351"/>
      <c r="J1172" s="351"/>
      <c r="K1172" s="351"/>
      <c r="L1172" s="351"/>
      <c r="M1172" s="351"/>
      <c r="N1172" s="351"/>
      <c r="O1172" s="351"/>
      <c r="P1172" s="351"/>
      <c r="Q1172" s="351"/>
      <c r="R1172" s="351"/>
      <c r="S1172" s="356"/>
      <c r="T1172" s="356"/>
      <c r="U1172" s="356"/>
      <c r="V1172" s="351"/>
      <c r="W1172" s="351"/>
      <c r="X1172" s="71"/>
      <c r="Y1172" s="71"/>
      <c r="Z1172" s="71"/>
      <c r="AA1172" s="71"/>
      <c r="AB1172" s="71"/>
    </row>
    <row r="1173" spans="1:28" s="61" customFormat="1" x14ac:dyDescent="0.25">
      <c r="A1173" s="71"/>
      <c r="B1173" s="71"/>
      <c r="C1173" s="71"/>
      <c r="D1173" s="71"/>
      <c r="E1173" s="71"/>
      <c r="F1173" s="71"/>
      <c r="G1173" s="356"/>
      <c r="H1173" s="356"/>
      <c r="I1173" s="351"/>
      <c r="J1173" s="351"/>
      <c r="K1173" s="351"/>
      <c r="L1173" s="351"/>
      <c r="M1173" s="351"/>
      <c r="N1173" s="351"/>
      <c r="O1173" s="351"/>
      <c r="P1173" s="351"/>
      <c r="Q1173" s="351"/>
      <c r="R1173" s="351"/>
      <c r="S1173" s="356"/>
      <c r="T1173" s="356"/>
      <c r="U1173" s="356"/>
      <c r="V1173" s="351"/>
      <c r="W1173" s="351"/>
      <c r="X1173" s="71"/>
      <c r="Y1173" s="71"/>
      <c r="Z1173" s="71"/>
      <c r="AA1173" s="71"/>
      <c r="AB1173" s="71"/>
    </row>
    <row r="1174" spans="1:28" s="61" customFormat="1" x14ac:dyDescent="0.25">
      <c r="A1174" s="71"/>
      <c r="B1174" s="71"/>
      <c r="C1174" s="71"/>
      <c r="D1174" s="71"/>
      <c r="E1174" s="71"/>
      <c r="F1174" s="71"/>
      <c r="G1174" s="356"/>
      <c r="H1174" s="356"/>
      <c r="I1174" s="71"/>
      <c r="J1174" s="71"/>
      <c r="K1174" s="71"/>
      <c r="L1174" s="71"/>
      <c r="M1174" s="71"/>
      <c r="N1174" s="71"/>
      <c r="O1174" s="71"/>
      <c r="P1174" s="71"/>
      <c r="Q1174" s="71"/>
      <c r="R1174" s="71"/>
      <c r="S1174" s="356"/>
      <c r="T1174" s="356"/>
      <c r="U1174" s="356"/>
      <c r="V1174" s="71"/>
      <c r="W1174" s="71"/>
      <c r="X1174" s="71"/>
      <c r="Y1174" s="71"/>
      <c r="Z1174" s="71"/>
      <c r="AA1174" s="71"/>
      <c r="AB1174" s="71"/>
    </row>
    <row r="1175" spans="1:28" s="61" customFormat="1" x14ac:dyDescent="0.25">
      <c r="A1175" s="71"/>
      <c r="B1175" s="71"/>
      <c r="C1175" s="71"/>
      <c r="D1175" s="71"/>
      <c r="E1175" s="71"/>
      <c r="F1175" s="71"/>
      <c r="G1175" s="356"/>
      <c r="H1175" s="356"/>
      <c r="I1175" s="349"/>
      <c r="J1175" s="349"/>
      <c r="K1175" s="349"/>
      <c r="L1175" s="349"/>
      <c r="M1175" s="349"/>
      <c r="N1175" s="349"/>
      <c r="O1175" s="349"/>
      <c r="P1175" s="349"/>
      <c r="Q1175" s="349"/>
      <c r="R1175" s="349"/>
      <c r="S1175" s="356"/>
      <c r="T1175" s="356"/>
      <c r="U1175" s="356"/>
      <c r="V1175" s="349"/>
      <c r="W1175" s="349"/>
      <c r="X1175" s="71"/>
      <c r="Y1175" s="71"/>
      <c r="Z1175" s="71"/>
      <c r="AA1175" s="71"/>
      <c r="AB1175" s="71"/>
    </row>
    <row r="1176" spans="1:28" s="61" customFormat="1" x14ac:dyDescent="0.25">
      <c r="A1176" s="71"/>
      <c r="B1176" s="71"/>
      <c r="C1176" s="71"/>
      <c r="D1176" s="71"/>
      <c r="E1176" s="71"/>
      <c r="F1176" s="71"/>
      <c r="G1176" s="356"/>
      <c r="H1176" s="356"/>
      <c r="I1176" s="356"/>
      <c r="J1176" s="356"/>
      <c r="K1176" s="356"/>
      <c r="L1176" s="356"/>
      <c r="M1176" s="356"/>
      <c r="N1176" s="356"/>
      <c r="O1176" s="356"/>
      <c r="P1176" s="356"/>
      <c r="Q1176" s="356"/>
      <c r="R1176" s="356"/>
      <c r="S1176" s="356"/>
      <c r="T1176" s="356"/>
      <c r="U1176" s="356"/>
      <c r="V1176" s="356"/>
      <c r="W1176" s="356"/>
      <c r="X1176" s="71"/>
      <c r="Y1176" s="71"/>
      <c r="Z1176" s="71"/>
      <c r="AA1176" s="71"/>
      <c r="AB1176" s="71"/>
    </row>
    <row r="1177" spans="1:28" x14ac:dyDescent="0.25">
      <c r="A1177" s="71"/>
      <c r="B1177" s="71"/>
      <c r="C1177" s="71"/>
      <c r="D1177" s="71"/>
      <c r="E1177" s="71"/>
      <c r="F1177" s="71"/>
      <c r="G1177" s="350"/>
      <c r="H1177" s="350"/>
      <c r="I1177" s="350"/>
      <c r="J1177" s="350"/>
      <c r="K1177" s="350"/>
      <c r="L1177" s="350"/>
      <c r="M1177" s="350"/>
      <c r="N1177" s="350"/>
      <c r="O1177" s="350"/>
      <c r="P1177" s="350"/>
      <c r="Q1177" s="350"/>
      <c r="R1177" s="350"/>
      <c r="S1177" s="350"/>
      <c r="T1177" s="350"/>
      <c r="U1177" s="350"/>
      <c r="V1177" s="350"/>
      <c r="W1177" s="350"/>
      <c r="X1177" s="70"/>
      <c r="Y1177" s="70"/>
      <c r="Z1177" s="70"/>
      <c r="AA1177" s="70"/>
      <c r="AB1177" s="70"/>
    </row>
    <row r="1178" spans="1:28" x14ac:dyDescent="0.25">
      <c r="A1178" s="71"/>
      <c r="B1178" s="71"/>
      <c r="C1178" s="71"/>
      <c r="D1178" s="71"/>
      <c r="E1178" s="71"/>
      <c r="F1178" s="71"/>
      <c r="G1178" s="350"/>
      <c r="H1178" s="350"/>
      <c r="I1178" s="350"/>
      <c r="J1178" s="350"/>
      <c r="K1178" s="350"/>
      <c r="L1178" s="350"/>
      <c r="M1178" s="350"/>
      <c r="N1178" s="350"/>
      <c r="O1178" s="350"/>
      <c r="P1178" s="350"/>
      <c r="Q1178" s="350"/>
      <c r="R1178" s="350"/>
      <c r="S1178" s="350"/>
      <c r="T1178" s="350"/>
      <c r="U1178" s="350"/>
      <c r="V1178" s="350"/>
      <c r="W1178" s="350"/>
      <c r="X1178" s="70"/>
      <c r="Y1178" s="70"/>
      <c r="Z1178" s="70"/>
      <c r="AA1178" s="70"/>
      <c r="AB1178" s="70"/>
    </row>
    <row r="1179" spans="1:28" x14ac:dyDescent="0.25">
      <c r="A1179" s="358"/>
      <c r="B1179" s="71"/>
      <c r="C1179" s="71"/>
      <c r="D1179" s="71"/>
      <c r="E1179" s="71"/>
      <c r="F1179" s="71"/>
      <c r="G1179" s="350"/>
      <c r="H1179" s="350"/>
      <c r="I1179" s="350"/>
      <c r="J1179" s="350"/>
      <c r="K1179" s="350"/>
      <c r="L1179" s="350"/>
      <c r="M1179" s="350"/>
      <c r="N1179" s="350"/>
      <c r="O1179" s="350"/>
      <c r="P1179" s="350"/>
      <c r="Q1179" s="350"/>
      <c r="R1179" s="350"/>
      <c r="S1179" s="350"/>
      <c r="T1179" s="350"/>
      <c r="U1179" s="350"/>
      <c r="V1179" s="350"/>
      <c r="W1179" s="350"/>
      <c r="X1179" s="70"/>
      <c r="Y1179" s="70"/>
      <c r="Z1179" s="70"/>
      <c r="AA1179" s="70"/>
      <c r="AB1179" s="70"/>
    </row>
    <row r="1180" spans="1:28" x14ac:dyDescent="0.25">
      <c r="A1180" s="358"/>
      <c r="B1180" s="71"/>
      <c r="C1180" s="71"/>
      <c r="D1180" s="71"/>
      <c r="E1180" s="71"/>
      <c r="F1180" s="71"/>
      <c r="G1180" s="350"/>
      <c r="H1180" s="350"/>
      <c r="I1180" s="350"/>
      <c r="J1180" s="350"/>
      <c r="K1180" s="350"/>
      <c r="L1180" s="350"/>
      <c r="M1180" s="350"/>
      <c r="N1180" s="350"/>
      <c r="O1180" s="350"/>
      <c r="P1180" s="350"/>
      <c r="Q1180" s="350"/>
      <c r="R1180" s="350"/>
      <c r="S1180" s="350"/>
      <c r="T1180" s="350"/>
      <c r="U1180" s="350"/>
      <c r="V1180" s="350"/>
      <c r="W1180" s="350"/>
      <c r="X1180" s="70"/>
      <c r="Y1180" s="70"/>
      <c r="Z1180" s="70"/>
      <c r="AA1180" s="70"/>
      <c r="AB1180" s="70"/>
    </row>
    <row r="1181" spans="1:28" x14ac:dyDescent="0.25">
      <c r="A1181" s="358"/>
      <c r="B1181" s="71"/>
      <c r="C1181" s="71"/>
      <c r="D1181" s="71"/>
      <c r="E1181" s="71"/>
      <c r="F1181" s="71"/>
      <c r="G1181" s="350"/>
      <c r="H1181" s="350"/>
      <c r="I1181" s="350"/>
      <c r="J1181" s="350"/>
      <c r="K1181" s="350"/>
      <c r="L1181" s="350"/>
      <c r="M1181" s="350"/>
      <c r="N1181" s="350"/>
      <c r="O1181" s="350"/>
      <c r="P1181" s="350"/>
      <c r="Q1181" s="350"/>
      <c r="R1181" s="350"/>
      <c r="S1181" s="350"/>
      <c r="T1181" s="350"/>
      <c r="U1181" s="350"/>
      <c r="V1181" s="350"/>
      <c r="W1181" s="350"/>
      <c r="X1181" s="70"/>
      <c r="Y1181" s="70"/>
      <c r="Z1181" s="70"/>
      <c r="AA1181" s="70"/>
      <c r="AB1181" s="70"/>
    </row>
    <row r="1182" spans="1:28" x14ac:dyDescent="0.25">
      <c r="A1182" s="358"/>
      <c r="B1182" s="71"/>
      <c r="C1182" s="71"/>
      <c r="D1182" s="71"/>
      <c r="E1182" s="71"/>
      <c r="F1182" s="71"/>
      <c r="G1182" s="350"/>
      <c r="H1182" s="350"/>
      <c r="I1182" s="350"/>
      <c r="J1182" s="350"/>
      <c r="K1182" s="350"/>
      <c r="L1182" s="350"/>
      <c r="M1182" s="350"/>
      <c r="N1182" s="350"/>
      <c r="O1182" s="350"/>
      <c r="P1182" s="350"/>
      <c r="Q1182" s="350"/>
      <c r="R1182" s="350"/>
      <c r="S1182" s="350"/>
      <c r="T1182" s="350"/>
      <c r="U1182" s="350"/>
      <c r="V1182" s="350"/>
      <c r="W1182" s="350"/>
      <c r="X1182" s="70"/>
      <c r="Y1182" s="70"/>
      <c r="Z1182" s="70"/>
      <c r="AA1182" s="70"/>
      <c r="AB1182" s="70"/>
    </row>
    <row r="1183" spans="1:28" x14ac:dyDescent="0.25">
      <c r="A1183" s="143"/>
      <c r="B1183" s="71"/>
      <c r="C1183" s="71"/>
      <c r="D1183" s="71"/>
      <c r="E1183" s="71"/>
      <c r="F1183" s="71"/>
      <c r="G1183" s="71"/>
      <c r="H1183" s="71"/>
      <c r="I1183" s="71"/>
      <c r="J1183" s="71"/>
      <c r="K1183" s="71"/>
      <c r="L1183" s="71"/>
      <c r="M1183" s="71"/>
      <c r="N1183" s="71"/>
      <c r="O1183" s="71"/>
      <c r="P1183" s="71"/>
      <c r="Q1183" s="71"/>
      <c r="R1183" s="71"/>
      <c r="S1183" s="71"/>
      <c r="T1183" s="71"/>
      <c r="U1183" s="71"/>
      <c r="V1183" s="71"/>
      <c r="W1183" s="71"/>
      <c r="X1183" s="70"/>
      <c r="Y1183" s="70"/>
      <c r="Z1183" s="70"/>
      <c r="AA1183" s="70"/>
      <c r="AB1183" s="70"/>
    </row>
    <row r="1184" spans="1:28" x14ac:dyDescent="0.25">
      <c r="A1184" s="143"/>
      <c r="B1184" s="71"/>
      <c r="C1184" s="71"/>
      <c r="D1184" s="71"/>
      <c r="E1184" s="71"/>
      <c r="F1184" s="71"/>
      <c r="G1184" s="71"/>
      <c r="H1184" s="71"/>
      <c r="I1184" s="71"/>
      <c r="J1184" s="71"/>
      <c r="K1184" s="71"/>
      <c r="L1184" s="71"/>
      <c r="M1184" s="71"/>
      <c r="N1184" s="71"/>
      <c r="O1184" s="71"/>
      <c r="P1184" s="71"/>
      <c r="Q1184" s="71"/>
      <c r="R1184" s="71"/>
      <c r="S1184" s="71"/>
      <c r="T1184" s="71"/>
      <c r="U1184" s="71"/>
      <c r="V1184" s="71"/>
      <c r="W1184" s="71"/>
      <c r="X1184" s="70"/>
      <c r="Y1184" s="70"/>
      <c r="Z1184" s="70"/>
      <c r="AA1184" s="70"/>
      <c r="AB1184" s="70"/>
    </row>
    <row r="1185" spans="1:28" x14ac:dyDescent="0.25">
      <c r="A1185" s="143"/>
      <c r="B1185" s="71"/>
      <c r="C1185" s="71"/>
      <c r="D1185" s="71"/>
      <c r="E1185" s="71"/>
      <c r="F1185" s="71"/>
      <c r="G1185" s="71"/>
      <c r="H1185" s="71"/>
      <c r="I1185" s="71"/>
      <c r="J1185" s="71"/>
      <c r="K1185" s="71"/>
      <c r="L1185" s="71"/>
      <c r="M1185" s="71"/>
      <c r="N1185" s="71"/>
      <c r="O1185" s="71"/>
      <c r="P1185" s="71"/>
      <c r="Q1185" s="71"/>
      <c r="R1185" s="71"/>
      <c r="S1185" s="71"/>
      <c r="T1185" s="71"/>
      <c r="U1185" s="71"/>
      <c r="V1185" s="71"/>
      <c r="W1185" s="71"/>
      <c r="X1185" s="70"/>
      <c r="Y1185" s="70"/>
      <c r="Z1185" s="70"/>
      <c r="AA1185" s="70"/>
      <c r="AB1185" s="70"/>
    </row>
    <row r="1186" spans="1:28" x14ac:dyDescent="0.25">
      <c r="A1186" s="71"/>
      <c r="B1186" s="71"/>
      <c r="C1186" s="71"/>
      <c r="D1186" s="71"/>
      <c r="E1186" s="71"/>
      <c r="F1186" s="71"/>
      <c r="G1186" s="166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  <c r="U1186" s="166"/>
      <c r="V1186" s="166"/>
      <c r="W1186" s="166"/>
      <c r="X1186" s="353"/>
      <c r="Y1186" s="353"/>
      <c r="Z1186" s="353"/>
      <c r="AA1186" s="70"/>
      <c r="AB1186" s="70"/>
    </row>
    <row r="1187" spans="1:28" ht="15.6" x14ac:dyDescent="0.4">
      <c r="A1187" s="71"/>
      <c r="B1187" s="71"/>
      <c r="C1187" s="71"/>
      <c r="D1187" s="71"/>
      <c r="E1187" s="71"/>
      <c r="F1187" s="71"/>
      <c r="G1187" s="359"/>
      <c r="H1187" s="359"/>
      <c r="I1187" s="359"/>
      <c r="J1187" s="359"/>
      <c r="K1187" s="359"/>
      <c r="L1187" s="359"/>
      <c r="M1187" s="359"/>
      <c r="N1187" s="359"/>
      <c r="O1187" s="359"/>
      <c r="P1187" s="359"/>
      <c r="Q1187" s="359"/>
      <c r="R1187" s="359"/>
      <c r="S1187" s="359"/>
      <c r="T1187" s="359"/>
      <c r="U1187" s="359"/>
      <c r="V1187" s="359"/>
      <c r="W1187" s="359"/>
      <c r="X1187" s="353"/>
      <c r="Y1187" s="353"/>
      <c r="Z1187" s="353"/>
      <c r="AA1187" s="70"/>
      <c r="AB1187" s="70"/>
    </row>
    <row r="1188" spans="1:28" x14ac:dyDescent="0.25">
      <c r="A1188" s="71"/>
      <c r="B1188" s="71"/>
      <c r="C1188" s="71"/>
      <c r="D1188" s="71"/>
      <c r="E1188" s="71"/>
      <c r="F1188" s="71"/>
      <c r="G1188" s="166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  <c r="U1188" s="166"/>
      <c r="V1188" s="166"/>
      <c r="W1188" s="166"/>
      <c r="X1188" s="353"/>
      <c r="Y1188" s="353"/>
      <c r="Z1188" s="353"/>
      <c r="AA1188" s="70"/>
      <c r="AB1188" s="70"/>
    </row>
    <row r="1189" spans="1:28" x14ac:dyDescent="0.25">
      <c r="A1189" s="143"/>
      <c r="B1189" s="71"/>
      <c r="C1189" s="71"/>
      <c r="D1189" s="71"/>
      <c r="E1189" s="71"/>
      <c r="F1189" s="71"/>
      <c r="G1189" s="71"/>
      <c r="H1189" s="71"/>
      <c r="I1189" s="71"/>
      <c r="J1189" s="71"/>
      <c r="K1189" s="71"/>
      <c r="L1189" s="71"/>
      <c r="M1189" s="71"/>
      <c r="N1189" s="71"/>
      <c r="O1189" s="71"/>
      <c r="P1189" s="71"/>
      <c r="Q1189" s="71"/>
      <c r="R1189" s="71"/>
      <c r="S1189" s="71"/>
      <c r="T1189" s="71"/>
      <c r="U1189" s="71"/>
      <c r="V1189" s="71"/>
      <c r="W1189" s="71"/>
      <c r="X1189" s="70"/>
      <c r="Y1189" s="70"/>
      <c r="Z1189" s="70"/>
      <c r="AA1189" s="70"/>
      <c r="AB1189" s="70"/>
    </row>
    <row r="1190" spans="1:28" x14ac:dyDescent="0.25">
      <c r="A1190" s="143"/>
      <c r="B1190" s="71"/>
      <c r="C1190" s="71"/>
      <c r="D1190" s="71"/>
      <c r="E1190" s="71"/>
      <c r="F1190" s="71"/>
      <c r="G1190" s="71"/>
      <c r="H1190" s="71"/>
      <c r="I1190" s="71"/>
      <c r="J1190" s="71"/>
      <c r="K1190" s="71"/>
      <c r="L1190" s="71"/>
      <c r="M1190" s="71"/>
      <c r="N1190" s="71"/>
      <c r="O1190" s="71"/>
      <c r="P1190" s="71"/>
      <c r="Q1190" s="71"/>
      <c r="R1190" s="71"/>
      <c r="S1190" s="71"/>
      <c r="T1190" s="71"/>
      <c r="U1190" s="71"/>
      <c r="V1190" s="71"/>
      <c r="W1190" s="71"/>
      <c r="X1190" s="70"/>
      <c r="Y1190" s="70"/>
      <c r="Z1190" s="70"/>
      <c r="AA1190" s="70"/>
      <c r="AB1190" s="70"/>
    </row>
    <row r="1191" spans="1:28" x14ac:dyDescent="0.25">
      <c r="A1191" s="71"/>
      <c r="B1191" s="71"/>
      <c r="C1191" s="71"/>
      <c r="D1191" s="71"/>
      <c r="E1191" s="71"/>
      <c r="F1191" s="71"/>
      <c r="G1191" s="166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  <c r="U1191" s="166"/>
      <c r="V1191" s="166"/>
      <c r="W1191" s="166"/>
      <c r="X1191" s="353"/>
      <c r="Y1191" s="353"/>
      <c r="Z1191" s="353"/>
      <c r="AA1191" s="70"/>
      <c r="AB1191" s="70"/>
    </row>
    <row r="1192" spans="1:28" ht="15.6" x14ac:dyDescent="0.4">
      <c r="A1192" s="71"/>
      <c r="B1192" s="71"/>
      <c r="C1192" s="71"/>
      <c r="D1192" s="71"/>
      <c r="E1192" s="71"/>
      <c r="F1192" s="71"/>
      <c r="G1192" s="359"/>
      <c r="H1192" s="359"/>
      <c r="I1192" s="359"/>
      <c r="J1192" s="359"/>
      <c r="K1192" s="359"/>
      <c r="L1192" s="359"/>
      <c r="M1192" s="359"/>
      <c r="N1192" s="359"/>
      <c r="O1192" s="359"/>
      <c r="P1192" s="359"/>
      <c r="Q1192" s="359"/>
      <c r="R1192" s="359"/>
      <c r="S1192" s="359"/>
      <c r="T1192" s="359"/>
      <c r="U1192" s="359"/>
      <c r="V1192" s="359"/>
      <c r="W1192" s="359"/>
      <c r="X1192" s="353"/>
      <c r="Y1192" s="353"/>
      <c r="Z1192" s="353"/>
      <c r="AA1192" s="70"/>
      <c r="AB1192" s="70"/>
    </row>
    <row r="1193" spans="1:28" x14ac:dyDescent="0.25">
      <c r="A1193" s="71"/>
      <c r="B1193" s="71"/>
      <c r="C1193" s="71"/>
      <c r="D1193" s="71"/>
      <c r="E1193" s="71"/>
      <c r="F1193" s="71"/>
      <c r="G1193" s="166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  <c r="U1193" s="166"/>
      <c r="V1193" s="166"/>
      <c r="W1193" s="166"/>
      <c r="X1193" s="353"/>
      <c r="Y1193" s="353"/>
      <c r="Z1193" s="353"/>
      <c r="AA1193" s="70"/>
      <c r="AB1193" s="70"/>
    </row>
    <row r="1194" spans="1:28" x14ac:dyDescent="0.25">
      <c r="A1194" s="71"/>
      <c r="B1194" s="71"/>
      <c r="C1194" s="71"/>
      <c r="D1194" s="71"/>
      <c r="E1194" s="71"/>
      <c r="F1194" s="71"/>
      <c r="G1194" s="71"/>
      <c r="H1194" s="71"/>
      <c r="I1194" s="71"/>
      <c r="J1194" s="71"/>
      <c r="K1194" s="71"/>
      <c r="L1194" s="71"/>
      <c r="M1194" s="71"/>
      <c r="N1194" s="71"/>
      <c r="O1194" s="71"/>
      <c r="P1194" s="71"/>
      <c r="Q1194" s="71"/>
      <c r="R1194" s="71"/>
      <c r="S1194" s="71"/>
      <c r="T1194" s="71"/>
      <c r="U1194" s="71"/>
      <c r="V1194" s="71"/>
      <c r="W1194" s="71"/>
      <c r="X1194" s="70"/>
      <c r="Y1194" s="70"/>
      <c r="Z1194" s="70"/>
      <c r="AA1194" s="70"/>
      <c r="AB1194" s="70"/>
    </row>
    <row r="1195" spans="1:28" x14ac:dyDescent="0.25">
      <c r="A1195" s="143"/>
      <c r="B1195" s="71"/>
      <c r="C1195" s="71"/>
      <c r="D1195" s="71"/>
      <c r="E1195" s="71"/>
      <c r="F1195" s="71"/>
      <c r="G1195" s="71"/>
      <c r="H1195" s="71"/>
      <c r="I1195" s="71"/>
      <c r="J1195" s="71"/>
      <c r="K1195" s="71"/>
      <c r="L1195" s="71"/>
      <c r="M1195" s="71"/>
      <c r="N1195" s="71"/>
      <c r="O1195" s="71"/>
      <c r="P1195" s="71"/>
      <c r="Q1195" s="71"/>
      <c r="R1195" s="71"/>
      <c r="S1195" s="71"/>
      <c r="T1195" s="71"/>
      <c r="U1195" s="71"/>
      <c r="V1195" s="71"/>
      <c r="W1195" s="71"/>
      <c r="X1195" s="70"/>
      <c r="Y1195" s="70"/>
      <c r="Z1195" s="70"/>
      <c r="AA1195" s="70"/>
      <c r="AB1195" s="70"/>
    </row>
    <row r="1196" spans="1:28" x14ac:dyDescent="0.25">
      <c r="A1196" s="71"/>
      <c r="B1196" s="71"/>
      <c r="C1196" s="71"/>
      <c r="D1196" s="71"/>
      <c r="E1196" s="71"/>
      <c r="F1196" s="71"/>
      <c r="G1196" s="166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  <c r="U1196" s="166"/>
      <c r="V1196" s="166"/>
      <c r="W1196" s="166"/>
      <c r="X1196" s="353"/>
      <c r="Y1196" s="353"/>
      <c r="Z1196" s="353"/>
      <c r="AA1196" s="70"/>
      <c r="AB1196" s="70"/>
    </row>
    <row r="1197" spans="1:28" ht="15.6" x14ac:dyDescent="0.4">
      <c r="A1197" s="71"/>
      <c r="B1197" s="71"/>
      <c r="C1197" s="71"/>
      <c r="D1197" s="71"/>
      <c r="E1197" s="71"/>
      <c r="F1197" s="71"/>
      <c r="G1197" s="359"/>
      <c r="H1197" s="359"/>
      <c r="I1197" s="359"/>
      <c r="J1197" s="359"/>
      <c r="K1197" s="359"/>
      <c r="L1197" s="359"/>
      <c r="M1197" s="359"/>
      <c r="N1197" s="359"/>
      <c r="O1197" s="359"/>
      <c r="P1197" s="359"/>
      <c r="Q1197" s="359"/>
      <c r="R1197" s="359"/>
      <c r="S1197" s="359"/>
      <c r="T1197" s="359"/>
      <c r="U1197" s="359"/>
      <c r="V1197" s="359"/>
      <c r="W1197" s="359"/>
      <c r="X1197" s="353"/>
      <c r="Y1197" s="353"/>
      <c r="Z1197" s="353"/>
      <c r="AA1197" s="70"/>
      <c r="AB1197" s="70"/>
    </row>
    <row r="1198" spans="1:28" x14ac:dyDescent="0.25">
      <c r="A1198" s="71"/>
      <c r="B1198" s="71"/>
      <c r="C1198" s="71"/>
      <c r="D1198" s="71"/>
      <c r="E1198" s="71"/>
      <c r="F1198" s="71"/>
      <c r="G1198" s="166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  <c r="U1198" s="166"/>
      <c r="V1198" s="166"/>
      <c r="W1198" s="166"/>
      <c r="X1198" s="353"/>
      <c r="Y1198" s="353"/>
      <c r="Z1198" s="353"/>
      <c r="AA1198" s="70"/>
      <c r="AB1198" s="70"/>
    </row>
    <row r="1199" spans="1:28" x14ac:dyDescent="0.25">
      <c r="A1199" s="71"/>
      <c r="B1199" s="71"/>
      <c r="C1199" s="71"/>
      <c r="D1199" s="71"/>
      <c r="E1199" s="71"/>
      <c r="F1199" s="71"/>
      <c r="G1199" s="166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  <c r="U1199" s="166"/>
      <c r="V1199" s="166"/>
      <c r="W1199" s="166"/>
      <c r="X1199" s="353"/>
      <c r="Y1199" s="353"/>
      <c r="Z1199" s="353"/>
      <c r="AA1199" s="70"/>
      <c r="AB1199" s="70"/>
    </row>
    <row r="1200" spans="1:28" x14ac:dyDescent="0.25">
      <c r="A1200" s="143"/>
      <c r="B1200" s="71"/>
      <c r="C1200" s="71"/>
      <c r="D1200" s="71"/>
      <c r="E1200" s="71"/>
      <c r="F1200" s="71"/>
      <c r="G1200" s="71"/>
      <c r="H1200" s="71"/>
      <c r="I1200" s="71"/>
      <c r="J1200" s="71"/>
      <c r="K1200" s="71"/>
      <c r="L1200" s="71"/>
      <c r="M1200" s="71"/>
      <c r="N1200" s="71"/>
      <c r="O1200" s="71"/>
      <c r="P1200" s="71"/>
      <c r="Q1200" s="71"/>
      <c r="R1200" s="71"/>
      <c r="S1200" s="71"/>
      <c r="T1200" s="71"/>
      <c r="U1200" s="71"/>
      <c r="V1200" s="71"/>
      <c r="W1200" s="71"/>
      <c r="X1200" s="70"/>
      <c r="Y1200" s="70"/>
      <c r="Z1200" s="70"/>
      <c r="AA1200" s="70"/>
      <c r="AB1200" s="70"/>
    </row>
    <row r="1201" spans="1:28" x14ac:dyDescent="0.25">
      <c r="A1201" s="71"/>
      <c r="B1201" s="71"/>
      <c r="C1201" s="71"/>
      <c r="D1201" s="71"/>
      <c r="E1201" s="71"/>
      <c r="F1201" s="71"/>
      <c r="G1201" s="166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  <c r="U1201" s="166"/>
      <c r="V1201" s="166"/>
      <c r="W1201" s="166"/>
      <c r="X1201" s="353"/>
      <c r="Y1201" s="353"/>
      <c r="Z1201" s="353"/>
      <c r="AA1201" s="70"/>
      <c r="AB1201" s="70"/>
    </row>
    <row r="1202" spans="1:28" ht="15.6" x14ac:dyDescent="0.4">
      <c r="A1202" s="71"/>
      <c r="B1202" s="71"/>
      <c r="C1202" s="71"/>
      <c r="D1202" s="71"/>
      <c r="E1202" s="71"/>
      <c r="F1202" s="71"/>
      <c r="G1202" s="359"/>
      <c r="H1202" s="359"/>
      <c r="I1202" s="359"/>
      <c r="J1202" s="359"/>
      <c r="K1202" s="359"/>
      <c r="L1202" s="359"/>
      <c r="M1202" s="359"/>
      <c r="N1202" s="359"/>
      <c r="O1202" s="359"/>
      <c r="P1202" s="359"/>
      <c r="Q1202" s="359"/>
      <c r="R1202" s="359"/>
      <c r="S1202" s="359"/>
      <c r="T1202" s="359"/>
      <c r="U1202" s="359"/>
      <c r="V1202" s="359"/>
      <c r="W1202" s="359"/>
      <c r="X1202" s="353"/>
      <c r="Y1202" s="353"/>
      <c r="Z1202" s="353"/>
      <c r="AA1202" s="70"/>
      <c r="AB1202" s="70"/>
    </row>
    <row r="1203" spans="1:28" x14ac:dyDescent="0.25">
      <c r="A1203" s="71"/>
      <c r="B1203" s="71"/>
      <c r="C1203" s="71"/>
      <c r="D1203" s="71"/>
      <c r="E1203" s="71"/>
      <c r="F1203" s="71"/>
      <c r="G1203" s="166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  <c r="U1203" s="166"/>
      <c r="V1203" s="166"/>
      <c r="W1203" s="166"/>
      <c r="X1203" s="353"/>
      <c r="Y1203" s="353"/>
      <c r="Z1203" s="353"/>
      <c r="AA1203" s="70"/>
      <c r="AB1203" s="70"/>
    </row>
    <row r="1204" spans="1:28" x14ac:dyDescent="0.25">
      <c r="A1204" s="71"/>
      <c r="B1204" s="71"/>
      <c r="C1204" s="71"/>
      <c r="D1204" s="71"/>
      <c r="E1204" s="71"/>
      <c r="F1204" s="71"/>
      <c r="G1204" s="166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  <c r="U1204" s="166"/>
      <c r="V1204" s="166"/>
      <c r="W1204" s="166"/>
      <c r="X1204" s="353"/>
      <c r="Y1204" s="353"/>
      <c r="Z1204" s="353"/>
      <c r="AA1204" s="70"/>
      <c r="AB1204" s="70"/>
    </row>
    <row r="1205" spans="1:28" x14ac:dyDescent="0.25">
      <c r="A1205" s="143"/>
      <c r="B1205" s="71"/>
      <c r="C1205" s="71"/>
      <c r="D1205" s="71"/>
      <c r="E1205" s="71"/>
      <c r="F1205" s="71"/>
      <c r="G1205" s="71"/>
      <c r="H1205" s="71"/>
      <c r="I1205" s="71"/>
      <c r="J1205" s="71"/>
      <c r="K1205" s="71"/>
      <c r="L1205" s="71"/>
      <c r="M1205" s="71"/>
      <c r="N1205" s="71"/>
      <c r="O1205" s="71"/>
      <c r="P1205" s="71"/>
      <c r="Q1205" s="71"/>
      <c r="R1205" s="71"/>
      <c r="S1205" s="71"/>
      <c r="T1205" s="71"/>
      <c r="U1205" s="71"/>
      <c r="V1205" s="71"/>
      <c r="W1205" s="71"/>
      <c r="X1205" s="70"/>
      <c r="Y1205" s="70"/>
      <c r="Z1205" s="70"/>
      <c r="AA1205" s="70"/>
      <c r="AB1205" s="70"/>
    </row>
    <row r="1206" spans="1:28" x14ac:dyDescent="0.25">
      <c r="A1206" s="71"/>
      <c r="B1206" s="71"/>
      <c r="C1206" s="71"/>
      <c r="D1206" s="71"/>
      <c r="E1206" s="71"/>
      <c r="F1206" s="71"/>
      <c r="G1206" s="166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  <c r="U1206" s="166"/>
      <c r="V1206" s="166"/>
      <c r="W1206" s="166"/>
      <c r="X1206" s="353"/>
      <c r="Y1206" s="353"/>
      <c r="Z1206" s="353"/>
      <c r="AA1206" s="70"/>
      <c r="AB1206" s="70"/>
    </row>
    <row r="1207" spans="1:28" ht="15.6" x14ac:dyDescent="0.4">
      <c r="A1207" s="71"/>
      <c r="B1207" s="71"/>
      <c r="C1207" s="71"/>
      <c r="D1207" s="71"/>
      <c r="E1207" s="71"/>
      <c r="F1207" s="71"/>
      <c r="G1207" s="359"/>
      <c r="H1207" s="359"/>
      <c r="I1207" s="359"/>
      <c r="J1207" s="359"/>
      <c r="K1207" s="359"/>
      <c r="L1207" s="359"/>
      <c r="M1207" s="359"/>
      <c r="N1207" s="359"/>
      <c r="O1207" s="359"/>
      <c r="P1207" s="359"/>
      <c r="Q1207" s="359"/>
      <c r="R1207" s="359"/>
      <c r="S1207" s="359"/>
      <c r="T1207" s="359"/>
      <c r="U1207" s="359"/>
      <c r="V1207" s="359"/>
      <c r="W1207" s="359"/>
      <c r="X1207" s="353"/>
      <c r="Y1207" s="353"/>
      <c r="Z1207" s="353"/>
      <c r="AA1207" s="70"/>
      <c r="AB1207" s="70"/>
    </row>
    <row r="1208" spans="1:28" x14ac:dyDescent="0.25">
      <c r="A1208" s="71"/>
      <c r="B1208" s="71"/>
      <c r="C1208" s="71"/>
      <c r="D1208" s="71"/>
      <c r="E1208" s="71"/>
      <c r="F1208" s="71"/>
      <c r="G1208" s="166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  <c r="U1208" s="166"/>
      <c r="V1208" s="166"/>
      <c r="W1208" s="166"/>
      <c r="X1208" s="353"/>
      <c r="Y1208" s="353"/>
      <c r="Z1208" s="353"/>
      <c r="AA1208" s="70"/>
      <c r="AB1208" s="70"/>
    </row>
    <row r="1209" spans="1:28" x14ac:dyDescent="0.25">
      <c r="A1209" s="71"/>
      <c r="B1209" s="71"/>
      <c r="C1209" s="71"/>
      <c r="D1209" s="71"/>
      <c r="E1209" s="71"/>
      <c r="F1209" s="71"/>
      <c r="G1209" s="71"/>
      <c r="H1209" s="71"/>
      <c r="I1209" s="71"/>
      <c r="J1209" s="71"/>
      <c r="K1209" s="71"/>
      <c r="L1209" s="71"/>
      <c r="M1209" s="71"/>
      <c r="N1209" s="71"/>
      <c r="O1209" s="71"/>
      <c r="P1209" s="71"/>
      <c r="Q1209" s="71"/>
      <c r="R1209" s="71"/>
      <c r="S1209" s="71"/>
      <c r="T1209" s="71"/>
      <c r="U1209" s="71"/>
      <c r="V1209" s="71"/>
      <c r="W1209" s="71"/>
      <c r="X1209" s="70"/>
      <c r="Y1209" s="70"/>
      <c r="Z1209" s="70"/>
      <c r="AA1209" s="70"/>
      <c r="AB1209" s="70"/>
    </row>
    <row r="1210" spans="1:28" x14ac:dyDescent="0.25">
      <c r="A1210" s="143"/>
      <c r="B1210" s="71"/>
      <c r="C1210" s="71"/>
      <c r="D1210" s="71"/>
      <c r="E1210" s="71"/>
      <c r="F1210" s="71"/>
      <c r="G1210" s="71"/>
      <c r="H1210" s="71"/>
      <c r="I1210" s="71"/>
      <c r="J1210" s="71"/>
      <c r="K1210" s="71"/>
      <c r="L1210" s="71"/>
      <c r="M1210" s="71"/>
      <c r="N1210" s="71"/>
      <c r="O1210" s="71"/>
      <c r="P1210" s="71"/>
      <c r="Q1210" s="71"/>
      <c r="R1210" s="71"/>
      <c r="S1210" s="71"/>
      <c r="T1210" s="71"/>
      <c r="U1210" s="71"/>
      <c r="V1210" s="71"/>
      <c r="W1210" s="71"/>
      <c r="X1210" s="70"/>
      <c r="Y1210" s="70"/>
      <c r="Z1210" s="70"/>
      <c r="AA1210" s="70"/>
      <c r="AB1210" s="70"/>
    </row>
    <row r="1211" spans="1:28" x14ac:dyDescent="0.25">
      <c r="A1211" s="71"/>
      <c r="B1211" s="71"/>
      <c r="C1211" s="71"/>
      <c r="D1211" s="71"/>
      <c r="E1211" s="71"/>
      <c r="F1211" s="71"/>
      <c r="G1211" s="166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  <c r="U1211" s="166"/>
      <c r="V1211" s="166"/>
      <c r="W1211" s="166"/>
      <c r="X1211" s="353"/>
      <c r="Y1211" s="353"/>
      <c r="Z1211" s="353"/>
      <c r="AA1211" s="70"/>
      <c r="AB1211" s="70"/>
    </row>
    <row r="1212" spans="1:28" ht="15.6" x14ac:dyDescent="0.4">
      <c r="A1212" s="71"/>
      <c r="B1212" s="71"/>
      <c r="C1212" s="71"/>
      <c r="D1212" s="71"/>
      <c r="E1212" s="71"/>
      <c r="F1212" s="71"/>
      <c r="G1212" s="359"/>
      <c r="H1212" s="359"/>
      <c r="I1212" s="359"/>
      <c r="J1212" s="359"/>
      <c r="K1212" s="359"/>
      <c r="L1212" s="359"/>
      <c r="M1212" s="359"/>
      <c r="N1212" s="359"/>
      <c r="O1212" s="359"/>
      <c r="P1212" s="359"/>
      <c r="Q1212" s="359"/>
      <c r="R1212" s="359"/>
      <c r="S1212" s="359"/>
      <c r="T1212" s="359"/>
      <c r="U1212" s="359"/>
      <c r="V1212" s="359"/>
      <c r="W1212" s="359"/>
      <c r="X1212" s="353"/>
      <c r="Y1212" s="353"/>
      <c r="Z1212" s="353"/>
      <c r="AA1212" s="70"/>
      <c r="AB1212" s="70"/>
    </row>
    <row r="1213" spans="1:28" x14ac:dyDescent="0.25">
      <c r="A1213" s="71"/>
      <c r="B1213" s="71"/>
      <c r="C1213" s="71"/>
      <c r="D1213" s="71"/>
      <c r="E1213" s="71"/>
      <c r="F1213" s="71"/>
      <c r="G1213" s="166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  <c r="U1213" s="166"/>
      <c r="V1213" s="166"/>
      <c r="W1213" s="166"/>
      <c r="X1213" s="353"/>
      <c r="Y1213" s="353"/>
      <c r="Z1213" s="353"/>
      <c r="AA1213" s="70"/>
      <c r="AB1213" s="70"/>
    </row>
    <row r="1214" spans="1:28" x14ac:dyDescent="0.25">
      <c r="A1214" s="71"/>
      <c r="B1214" s="71"/>
      <c r="C1214" s="71"/>
      <c r="D1214" s="71"/>
      <c r="E1214" s="71"/>
      <c r="F1214" s="71"/>
      <c r="G1214" s="71"/>
      <c r="H1214" s="71"/>
      <c r="I1214" s="71"/>
      <c r="J1214" s="71"/>
      <c r="K1214" s="71"/>
      <c r="L1214" s="71"/>
      <c r="M1214" s="71"/>
      <c r="N1214" s="71"/>
      <c r="O1214" s="71"/>
      <c r="P1214" s="71"/>
      <c r="Q1214" s="71"/>
      <c r="R1214" s="71"/>
      <c r="S1214" s="71"/>
      <c r="T1214" s="71"/>
      <c r="U1214" s="71"/>
      <c r="V1214" s="71"/>
      <c r="W1214" s="71"/>
      <c r="X1214" s="70"/>
      <c r="Y1214" s="70"/>
      <c r="Z1214" s="70"/>
      <c r="AA1214" s="70"/>
      <c r="AB1214" s="70"/>
    </row>
    <row r="1215" spans="1:28" x14ac:dyDescent="0.25">
      <c r="A1215" s="143"/>
      <c r="B1215" s="71"/>
      <c r="C1215" s="71"/>
      <c r="D1215" s="71"/>
      <c r="E1215" s="71"/>
      <c r="F1215" s="71"/>
      <c r="G1215" s="71"/>
      <c r="H1215" s="71"/>
      <c r="I1215" s="71"/>
      <c r="J1215" s="71"/>
      <c r="K1215" s="71"/>
      <c r="L1215" s="71"/>
      <c r="M1215" s="71"/>
      <c r="N1215" s="71"/>
      <c r="O1215" s="71"/>
      <c r="P1215" s="71"/>
      <c r="Q1215" s="71"/>
      <c r="R1215" s="71"/>
      <c r="S1215" s="71"/>
      <c r="T1215" s="71"/>
      <c r="U1215" s="71"/>
      <c r="V1215" s="71"/>
      <c r="W1215" s="71"/>
      <c r="X1215" s="70"/>
      <c r="Y1215" s="70"/>
      <c r="Z1215" s="70"/>
      <c r="AA1215" s="70"/>
      <c r="AB1215" s="70"/>
    </row>
    <row r="1216" spans="1:28" x14ac:dyDescent="0.25">
      <c r="A1216" s="71"/>
      <c r="B1216" s="71"/>
      <c r="C1216" s="71"/>
      <c r="D1216" s="71"/>
      <c r="E1216" s="71"/>
      <c r="F1216" s="71"/>
      <c r="G1216" s="166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  <c r="U1216" s="166"/>
      <c r="V1216" s="166"/>
      <c r="W1216" s="166"/>
      <c r="X1216" s="353"/>
      <c r="Y1216" s="353"/>
      <c r="Z1216" s="353"/>
      <c r="AA1216" s="70"/>
      <c r="AB1216" s="70"/>
    </row>
    <row r="1217" spans="1:28" ht="15.6" x14ac:dyDescent="0.4">
      <c r="A1217" s="71"/>
      <c r="B1217" s="71"/>
      <c r="C1217" s="71"/>
      <c r="D1217" s="71"/>
      <c r="E1217" s="71"/>
      <c r="F1217" s="71"/>
      <c r="G1217" s="359"/>
      <c r="H1217" s="359"/>
      <c r="I1217" s="359"/>
      <c r="J1217" s="359"/>
      <c r="K1217" s="359"/>
      <c r="L1217" s="359"/>
      <c r="M1217" s="359"/>
      <c r="N1217" s="359"/>
      <c r="O1217" s="359"/>
      <c r="P1217" s="359"/>
      <c r="Q1217" s="359"/>
      <c r="R1217" s="359"/>
      <c r="S1217" s="359"/>
      <c r="T1217" s="359"/>
      <c r="U1217" s="359"/>
      <c r="V1217" s="359"/>
      <c r="W1217" s="359"/>
      <c r="X1217" s="353"/>
      <c r="Y1217" s="353"/>
      <c r="Z1217" s="353"/>
      <c r="AA1217" s="70"/>
      <c r="AB1217" s="70"/>
    </row>
    <row r="1218" spans="1:28" x14ac:dyDescent="0.25">
      <c r="A1218" s="71"/>
      <c r="B1218" s="71"/>
      <c r="C1218" s="71"/>
      <c r="D1218" s="71"/>
      <c r="E1218" s="71"/>
      <c r="F1218" s="71"/>
      <c r="G1218" s="166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  <c r="U1218" s="166"/>
      <c r="V1218" s="166"/>
      <c r="W1218" s="166"/>
      <c r="X1218" s="353"/>
      <c r="Y1218" s="353"/>
      <c r="Z1218" s="353"/>
      <c r="AA1218" s="70"/>
      <c r="AB1218" s="70"/>
    </row>
    <row r="1219" spans="1:28" x14ac:dyDescent="0.25">
      <c r="A1219" s="71"/>
      <c r="B1219" s="71"/>
      <c r="C1219" s="71"/>
      <c r="D1219" s="71"/>
      <c r="E1219" s="71"/>
      <c r="F1219" s="71"/>
      <c r="G1219" s="71"/>
      <c r="H1219" s="71"/>
      <c r="I1219" s="71"/>
      <c r="J1219" s="71"/>
      <c r="K1219" s="71"/>
      <c r="L1219" s="71"/>
      <c r="M1219" s="71"/>
      <c r="N1219" s="71"/>
      <c r="O1219" s="71"/>
      <c r="P1219" s="71"/>
      <c r="Q1219" s="71"/>
      <c r="R1219" s="71"/>
      <c r="S1219" s="71"/>
      <c r="T1219" s="71"/>
      <c r="U1219" s="71"/>
      <c r="V1219" s="71"/>
      <c r="W1219" s="71"/>
      <c r="X1219" s="70"/>
      <c r="Y1219" s="70"/>
      <c r="Z1219" s="70"/>
      <c r="AA1219" s="70"/>
      <c r="AB1219" s="70"/>
    </row>
    <row r="1220" spans="1:28" x14ac:dyDescent="0.25">
      <c r="A1220" s="143"/>
      <c r="B1220" s="71"/>
      <c r="C1220" s="71"/>
      <c r="D1220" s="71"/>
      <c r="E1220" s="71"/>
      <c r="F1220" s="71"/>
      <c r="G1220" s="71"/>
      <c r="H1220" s="71"/>
      <c r="I1220" s="71"/>
      <c r="J1220" s="71"/>
      <c r="K1220" s="71"/>
      <c r="L1220" s="71"/>
      <c r="M1220" s="71"/>
      <c r="N1220" s="71"/>
      <c r="O1220" s="71"/>
      <c r="P1220" s="71"/>
      <c r="Q1220" s="71"/>
      <c r="R1220" s="71"/>
      <c r="S1220" s="71"/>
      <c r="T1220" s="71"/>
      <c r="U1220" s="71"/>
      <c r="V1220" s="71"/>
      <c r="W1220" s="71"/>
      <c r="X1220" s="70"/>
      <c r="Y1220" s="70"/>
      <c r="Z1220" s="70"/>
      <c r="AA1220" s="70"/>
      <c r="AB1220" s="70"/>
    </row>
    <row r="1221" spans="1:28" x14ac:dyDescent="0.25">
      <c r="A1221" s="71"/>
      <c r="B1221" s="71"/>
      <c r="C1221" s="71"/>
      <c r="D1221" s="71"/>
      <c r="E1221" s="71"/>
      <c r="F1221" s="71"/>
      <c r="G1221" s="166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  <c r="U1221" s="166"/>
      <c r="V1221" s="166"/>
      <c r="W1221" s="166"/>
      <c r="X1221" s="353"/>
      <c r="Y1221" s="353"/>
      <c r="Z1221" s="353"/>
      <c r="AA1221" s="70"/>
      <c r="AB1221" s="70"/>
    </row>
    <row r="1222" spans="1:28" ht="15.6" x14ac:dyDescent="0.4">
      <c r="A1222" s="71"/>
      <c r="B1222" s="71"/>
      <c r="C1222" s="71"/>
      <c r="D1222" s="71"/>
      <c r="E1222" s="71"/>
      <c r="F1222" s="71"/>
      <c r="G1222" s="359"/>
      <c r="H1222" s="359"/>
      <c r="I1222" s="359"/>
      <c r="J1222" s="359"/>
      <c r="K1222" s="359"/>
      <c r="L1222" s="359"/>
      <c r="M1222" s="359"/>
      <c r="N1222" s="359"/>
      <c r="O1222" s="359"/>
      <c r="P1222" s="359"/>
      <c r="Q1222" s="359"/>
      <c r="R1222" s="359"/>
      <c r="S1222" s="359"/>
      <c r="T1222" s="359"/>
      <c r="U1222" s="359"/>
      <c r="V1222" s="359"/>
      <c r="W1222" s="359"/>
      <c r="X1222" s="360"/>
      <c r="Y1222" s="360"/>
      <c r="Z1222" s="360"/>
      <c r="AA1222" s="70"/>
      <c r="AB1222" s="70"/>
    </row>
    <row r="1223" spans="1:28" x14ac:dyDescent="0.25">
      <c r="A1223" s="71"/>
      <c r="B1223" s="71"/>
      <c r="C1223" s="71"/>
      <c r="D1223" s="71"/>
      <c r="E1223" s="71"/>
      <c r="F1223" s="71"/>
      <c r="G1223" s="166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  <c r="U1223" s="166"/>
      <c r="V1223" s="166"/>
      <c r="W1223" s="166"/>
      <c r="X1223" s="353"/>
      <c r="Y1223" s="353"/>
      <c r="Z1223" s="353"/>
      <c r="AA1223" s="70"/>
      <c r="AB1223" s="70"/>
    </row>
    <row r="1224" spans="1:28" x14ac:dyDescent="0.25">
      <c r="A1224" s="71"/>
      <c r="B1224" s="71"/>
      <c r="C1224" s="71"/>
      <c r="D1224" s="71"/>
      <c r="E1224" s="71"/>
      <c r="F1224" s="71"/>
      <c r="G1224" s="71"/>
      <c r="H1224" s="71"/>
      <c r="I1224" s="71"/>
      <c r="J1224" s="166"/>
      <c r="K1224" s="71"/>
      <c r="L1224" s="71"/>
      <c r="M1224" s="71"/>
      <c r="N1224" s="71"/>
      <c r="O1224" s="71"/>
      <c r="P1224" s="71"/>
      <c r="Q1224" s="71"/>
      <c r="R1224" s="71"/>
      <c r="S1224" s="71"/>
      <c r="T1224" s="71"/>
      <c r="U1224" s="71"/>
      <c r="V1224" s="71"/>
      <c r="W1224" s="71"/>
      <c r="X1224" s="70"/>
      <c r="Y1224" s="70"/>
      <c r="Z1224" s="70"/>
      <c r="AA1224" s="70"/>
      <c r="AB1224" s="70"/>
    </row>
    <row r="1225" spans="1:28" x14ac:dyDescent="0.25">
      <c r="A1225" s="143"/>
      <c r="B1225" s="71"/>
      <c r="C1225" s="71"/>
      <c r="D1225" s="71"/>
      <c r="E1225" s="71"/>
      <c r="F1225" s="71"/>
      <c r="G1225" s="71"/>
      <c r="H1225" s="71"/>
      <c r="I1225" s="71"/>
      <c r="J1225" s="71"/>
      <c r="K1225" s="71"/>
      <c r="L1225" s="71"/>
      <c r="M1225" s="71"/>
      <c r="N1225" s="71"/>
      <c r="O1225" s="71"/>
      <c r="P1225" s="71"/>
      <c r="Q1225" s="71"/>
      <c r="R1225" s="71"/>
      <c r="S1225" s="71"/>
      <c r="T1225" s="71"/>
      <c r="U1225" s="71"/>
      <c r="V1225" s="71"/>
      <c r="W1225" s="71"/>
      <c r="X1225" s="70"/>
      <c r="Y1225" s="70"/>
      <c r="Z1225" s="70"/>
      <c r="AA1225" s="70"/>
      <c r="AB1225" s="70"/>
    </row>
    <row r="1226" spans="1:28" x14ac:dyDescent="0.25">
      <c r="A1226" s="71"/>
      <c r="B1226" s="71"/>
      <c r="C1226" s="71"/>
      <c r="D1226" s="71"/>
      <c r="E1226" s="71"/>
      <c r="F1226" s="71"/>
      <c r="G1226" s="349"/>
      <c r="H1226" s="349"/>
      <c r="I1226" s="349"/>
      <c r="J1226" s="349"/>
      <c r="K1226" s="349"/>
      <c r="L1226" s="349"/>
      <c r="M1226" s="349"/>
      <c r="N1226" s="349"/>
      <c r="O1226" s="349"/>
      <c r="P1226" s="349"/>
      <c r="Q1226" s="349"/>
      <c r="R1226" s="349"/>
      <c r="S1226" s="349"/>
      <c r="T1226" s="349"/>
      <c r="U1226" s="349"/>
      <c r="V1226" s="349"/>
      <c r="W1226" s="349"/>
      <c r="X1226" s="361"/>
      <c r="Y1226" s="361"/>
      <c r="Z1226" s="361"/>
      <c r="AA1226" s="70"/>
      <c r="AB1226" s="70"/>
    </row>
    <row r="1227" spans="1:28" ht="15.6" x14ac:dyDescent="0.4">
      <c r="A1227" s="71"/>
      <c r="B1227" s="71"/>
      <c r="C1227" s="71"/>
      <c r="D1227" s="71"/>
      <c r="E1227" s="71"/>
      <c r="F1227" s="71"/>
      <c r="G1227" s="362"/>
      <c r="H1227" s="362"/>
      <c r="I1227" s="362"/>
      <c r="J1227" s="362"/>
      <c r="K1227" s="362"/>
      <c r="L1227" s="362"/>
      <c r="M1227" s="362"/>
      <c r="N1227" s="362"/>
      <c r="O1227" s="362"/>
      <c r="P1227" s="362"/>
      <c r="Q1227" s="362"/>
      <c r="R1227" s="362"/>
      <c r="S1227" s="362"/>
      <c r="T1227" s="362"/>
      <c r="U1227" s="363"/>
      <c r="V1227" s="362"/>
      <c r="W1227" s="362"/>
      <c r="X1227" s="364"/>
      <c r="Y1227" s="364"/>
      <c r="Z1227" s="364"/>
      <c r="AA1227" s="70"/>
      <c r="AB1227" s="70"/>
    </row>
    <row r="1228" spans="1:28" x14ac:dyDescent="0.25">
      <c r="A1228" s="71"/>
      <c r="B1228" s="71"/>
      <c r="C1228" s="71"/>
      <c r="D1228" s="71"/>
      <c r="E1228" s="71"/>
      <c r="F1228" s="71"/>
      <c r="G1228" s="349"/>
      <c r="H1228" s="349"/>
      <c r="I1228" s="349"/>
      <c r="J1228" s="349"/>
      <c r="K1228" s="349"/>
      <c r="L1228" s="349"/>
      <c r="M1228" s="349"/>
      <c r="N1228" s="349"/>
      <c r="O1228" s="349"/>
      <c r="P1228" s="349"/>
      <c r="Q1228" s="349"/>
      <c r="R1228" s="349"/>
      <c r="S1228" s="349"/>
      <c r="T1228" s="349"/>
      <c r="U1228" s="349"/>
      <c r="V1228" s="349"/>
      <c r="W1228" s="349"/>
      <c r="X1228" s="361"/>
      <c r="Y1228" s="361"/>
      <c r="Z1228" s="361"/>
      <c r="AA1228" s="70"/>
      <c r="AB1228" s="70"/>
    </row>
    <row r="1229" spans="1:28" x14ac:dyDescent="0.25">
      <c r="A1229" s="71"/>
      <c r="B1229" s="71"/>
      <c r="C1229" s="71"/>
      <c r="D1229" s="71"/>
      <c r="E1229" s="71"/>
      <c r="F1229" s="71"/>
      <c r="G1229" s="71"/>
      <c r="H1229" s="71"/>
      <c r="I1229" s="71"/>
      <c r="J1229" s="71"/>
      <c r="K1229" s="71"/>
      <c r="L1229" s="71"/>
      <c r="M1229" s="71"/>
      <c r="N1229" s="71"/>
      <c r="O1229" s="71"/>
      <c r="P1229" s="71"/>
      <c r="Q1229" s="71"/>
      <c r="R1229" s="71"/>
      <c r="S1229" s="71"/>
      <c r="T1229" s="71"/>
      <c r="U1229" s="71"/>
      <c r="V1229" s="71"/>
      <c r="W1229" s="71"/>
      <c r="X1229" s="70"/>
      <c r="Y1229" s="70"/>
      <c r="Z1229" s="70"/>
      <c r="AA1229" s="70"/>
      <c r="AB1229" s="70"/>
    </row>
    <row r="1230" spans="1:28" x14ac:dyDescent="0.25">
      <c r="A1230" s="71"/>
      <c r="B1230" s="71"/>
      <c r="C1230" s="71"/>
      <c r="D1230" s="71"/>
      <c r="E1230" s="71"/>
      <c r="F1230" s="71"/>
      <c r="G1230" s="71"/>
      <c r="H1230" s="71"/>
      <c r="I1230" s="71"/>
      <c r="J1230" s="71"/>
      <c r="K1230" s="71"/>
      <c r="L1230" s="71"/>
      <c r="M1230" s="71"/>
      <c r="N1230" s="71"/>
      <c r="O1230" s="71"/>
      <c r="P1230" s="71"/>
      <c r="Q1230" s="71"/>
      <c r="R1230" s="71"/>
      <c r="S1230" s="71"/>
      <c r="T1230" s="71"/>
      <c r="U1230" s="71"/>
      <c r="V1230" s="71"/>
      <c r="W1230" s="71"/>
      <c r="X1230" s="70"/>
      <c r="Y1230" s="70"/>
      <c r="Z1230" s="70"/>
      <c r="AA1230" s="70"/>
      <c r="AB1230" s="70"/>
    </row>
    <row r="1231" spans="1:28" x14ac:dyDescent="0.25">
      <c r="A1231" s="71"/>
      <c r="B1231" s="71"/>
      <c r="C1231" s="71"/>
      <c r="D1231" s="71"/>
      <c r="E1231" s="71"/>
      <c r="F1231" s="71"/>
      <c r="G1231" s="230"/>
      <c r="H1231" s="71"/>
      <c r="I1231" s="71"/>
      <c r="J1231" s="71"/>
      <c r="K1231" s="230"/>
      <c r="L1231" s="230"/>
      <c r="M1231" s="71"/>
      <c r="N1231" s="71"/>
      <c r="O1231" s="230"/>
      <c r="P1231" s="230"/>
      <c r="Q1231" s="71"/>
      <c r="R1231" s="71"/>
      <c r="S1231" s="231"/>
      <c r="T1231" s="71"/>
      <c r="U1231" s="71"/>
      <c r="V1231" s="71"/>
      <c r="W1231" s="71"/>
      <c r="X1231" s="70"/>
      <c r="Y1231" s="70"/>
      <c r="Z1231" s="70"/>
      <c r="AA1231" s="70"/>
      <c r="AB1231" s="70"/>
    </row>
    <row r="1232" spans="1:28" x14ac:dyDescent="0.25">
      <c r="A1232" s="71"/>
      <c r="B1232" s="71"/>
      <c r="C1232" s="71"/>
      <c r="D1232" s="71"/>
      <c r="E1232" s="71"/>
      <c r="F1232" s="71"/>
      <c r="G1232" s="230"/>
      <c r="H1232" s="71"/>
      <c r="I1232" s="71"/>
      <c r="J1232" s="71"/>
      <c r="K1232" s="230"/>
      <c r="L1232" s="230"/>
      <c r="M1232" s="71"/>
      <c r="N1232" s="71"/>
      <c r="O1232" s="230"/>
      <c r="P1232" s="230"/>
      <c r="Q1232" s="71"/>
      <c r="R1232" s="71"/>
      <c r="S1232" s="231"/>
      <c r="T1232" s="71"/>
      <c r="U1232" s="71"/>
      <c r="V1232" s="71"/>
      <c r="W1232" s="71"/>
      <c r="X1232" s="70"/>
      <c r="Y1232" s="70"/>
      <c r="Z1232" s="70"/>
      <c r="AA1232" s="70"/>
      <c r="AB1232" s="70"/>
    </row>
    <row r="1233" spans="1:28" x14ac:dyDescent="0.25">
      <c r="A1233" s="71"/>
      <c r="B1233" s="71"/>
      <c r="C1233" s="71"/>
      <c r="D1233" s="71"/>
      <c r="E1233" s="71"/>
      <c r="F1233" s="71"/>
      <c r="G1233" s="230"/>
      <c r="H1233" s="71"/>
      <c r="I1233" s="71"/>
      <c r="J1233" s="71"/>
      <c r="K1233" s="230"/>
      <c r="L1233" s="230"/>
      <c r="M1233" s="71"/>
      <c r="N1233" s="71"/>
      <c r="O1233" s="230"/>
      <c r="P1233" s="230"/>
      <c r="Q1233" s="71"/>
      <c r="R1233" s="71"/>
      <c r="S1233" s="231"/>
      <c r="T1233" s="71"/>
      <c r="U1233" s="71"/>
      <c r="V1233" s="71"/>
      <c r="W1233" s="71"/>
      <c r="X1233" s="70"/>
      <c r="Y1233" s="70"/>
      <c r="Z1233" s="70"/>
      <c r="AA1233" s="70"/>
      <c r="AB1233" s="70"/>
    </row>
    <row r="1234" spans="1:28" x14ac:dyDescent="0.25">
      <c r="A1234" s="71"/>
      <c r="B1234" s="71"/>
      <c r="C1234" s="71"/>
      <c r="D1234" s="71"/>
      <c r="E1234" s="71"/>
      <c r="F1234" s="71"/>
      <c r="G1234" s="231"/>
      <c r="H1234" s="71"/>
      <c r="I1234" s="71"/>
      <c r="J1234" s="71"/>
      <c r="K1234" s="231"/>
      <c r="L1234" s="231"/>
      <c r="M1234" s="71"/>
      <c r="N1234" s="71"/>
      <c r="O1234" s="231"/>
      <c r="P1234" s="231"/>
      <c r="Q1234" s="71"/>
      <c r="R1234" s="71"/>
      <c r="S1234" s="157"/>
      <c r="T1234" s="71"/>
      <c r="U1234" s="71"/>
      <c r="V1234" s="71"/>
      <c r="W1234" s="71"/>
      <c r="X1234" s="70"/>
      <c r="Y1234" s="70"/>
      <c r="Z1234" s="70"/>
      <c r="AA1234" s="70"/>
      <c r="AB1234" s="70"/>
    </row>
    <row r="1235" spans="1:28" x14ac:dyDescent="0.25">
      <c r="A1235" s="71"/>
      <c r="B1235" s="71"/>
      <c r="C1235" s="71"/>
      <c r="D1235" s="71"/>
      <c r="E1235" s="71"/>
      <c r="F1235" s="71"/>
      <c r="G1235" s="71"/>
      <c r="H1235" s="71"/>
      <c r="I1235" s="71"/>
      <c r="J1235" s="71"/>
      <c r="K1235" s="71"/>
      <c r="L1235" s="71"/>
      <c r="M1235" s="71"/>
      <c r="N1235" s="71"/>
      <c r="O1235" s="71"/>
      <c r="P1235" s="71"/>
      <c r="Q1235" s="71"/>
      <c r="R1235" s="71"/>
      <c r="S1235" s="349"/>
      <c r="T1235" s="71"/>
      <c r="U1235" s="71"/>
      <c r="V1235" s="71"/>
      <c r="W1235" s="71"/>
      <c r="X1235" s="70"/>
      <c r="Y1235" s="70"/>
      <c r="Z1235" s="70"/>
      <c r="AA1235" s="70"/>
      <c r="AB1235" s="70"/>
    </row>
    <row r="1236" spans="1:28" x14ac:dyDescent="0.25">
      <c r="A1236" s="71"/>
      <c r="B1236" s="71"/>
      <c r="C1236" s="71"/>
      <c r="D1236" s="71"/>
      <c r="E1236" s="71"/>
      <c r="F1236" s="71"/>
      <c r="G1236" s="227"/>
      <c r="H1236" s="71"/>
      <c r="I1236" s="71"/>
      <c r="J1236" s="71"/>
      <c r="K1236" s="227"/>
      <c r="L1236" s="227"/>
      <c r="M1236" s="71"/>
      <c r="N1236" s="71"/>
      <c r="O1236" s="227"/>
      <c r="P1236" s="227"/>
      <c r="Q1236" s="71"/>
      <c r="R1236" s="71"/>
      <c r="S1236" s="157"/>
      <c r="T1236" s="71"/>
      <c r="U1236" s="71"/>
      <c r="V1236" s="71"/>
      <c r="W1236" s="71"/>
      <c r="X1236" s="70"/>
      <c r="Y1236" s="70"/>
      <c r="Z1236" s="70"/>
      <c r="AA1236" s="70"/>
      <c r="AB1236" s="70"/>
    </row>
    <row r="1237" spans="1:28" x14ac:dyDescent="0.25">
      <c r="A1237" s="71"/>
      <c r="B1237" s="71"/>
      <c r="C1237" s="71"/>
      <c r="D1237" s="71"/>
      <c r="E1237" s="71"/>
      <c r="F1237" s="71"/>
      <c r="G1237" s="227"/>
      <c r="H1237" s="71"/>
      <c r="I1237" s="71"/>
      <c r="J1237" s="71"/>
      <c r="K1237" s="227"/>
      <c r="L1237" s="227"/>
      <c r="M1237" s="71"/>
      <c r="N1237" s="71"/>
      <c r="O1237" s="227"/>
      <c r="P1237" s="227"/>
      <c r="Q1237" s="71"/>
      <c r="R1237" s="71"/>
      <c r="S1237" s="230"/>
      <c r="T1237" s="71"/>
      <c r="U1237" s="71"/>
      <c r="V1237" s="71"/>
      <c r="W1237" s="71"/>
      <c r="X1237" s="70"/>
      <c r="Y1237" s="70"/>
      <c r="Z1237" s="70"/>
      <c r="AA1237" s="70"/>
      <c r="AB1237" s="70"/>
    </row>
    <row r="1238" spans="1:28" x14ac:dyDescent="0.25">
      <c r="A1238" s="71"/>
      <c r="B1238" s="71"/>
      <c r="C1238" s="71"/>
      <c r="D1238" s="71"/>
      <c r="E1238" s="71"/>
      <c r="F1238" s="71"/>
      <c r="G1238" s="227"/>
      <c r="H1238" s="71"/>
      <c r="I1238" s="71"/>
      <c r="J1238" s="71"/>
      <c r="K1238" s="227"/>
      <c r="L1238" s="227"/>
      <c r="M1238" s="71"/>
      <c r="N1238" s="71"/>
      <c r="O1238" s="227"/>
      <c r="P1238" s="227"/>
      <c r="Q1238" s="71"/>
      <c r="R1238" s="71"/>
      <c r="S1238" s="71"/>
      <c r="T1238" s="71"/>
      <c r="U1238" s="71"/>
      <c r="V1238" s="71"/>
      <c r="W1238" s="71"/>
      <c r="X1238" s="70"/>
      <c r="Y1238" s="70"/>
      <c r="Z1238" s="70"/>
      <c r="AA1238" s="70"/>
      <c r="AB1238" s="70"/>
    </row>
    <row r="1239" spans="1:28" x14ac:dyDescent="0.25">
      <c r="A1239" s="71"/>
      <c r="B1239" s="71"/>
      <c r="C1239" s="71"/>
      <c r="D1239" s="71"/>
      <c r="E1239" s="71"/>
      <c r="F1239" s="71"/>
      <c r="G1239" s="232"/>
      <c r="H1239" s="71"/>
      <c r="I1239" s="71"/>
      <c r="J1239" s="71"/>
      <c r="K1239" s="232"/>
      <c r="L1239" s="232"/>
      <c r="M1239" s="71"/>
      <c r="N1239" s="71"/>
      <c r="O1239" s="232"/>
      <c r="P1239" s="232"/>
      <c r="Q1239" s="71"/>
      <c r="R1239" s="71"/>
      <c r="S1239" s="71"/>
      <c r="T1239" s="71"/>
      <c r="U1239" s="71"/>
      <c r="V1239" s="71"/>
      <c r="W1239" s="71"/>
      <c r="X1239" s="70"/>
      <c r="Y1239" s="70"/>
      <c r="Z1239" s="70"/>
      <c r="AA1239" s="70"/>
      <c r="AB1239" s="70"/>
    </row>
    <row r="1240" spans="1:28" x14ac:dyDescent="0.25">
      <c r="A1240" s="71"/>
      <c r="B1240" s="71"/>
      <c r="C1240" s="71"/>
      <c r="D1240" s="71"/>
      <c r="E1240" s="71"/>
      <c r="F1240" s="71"/>
      <c r="G1240" s="71"/>
      <c r="H1240" s="71"/>
      <c r="I1240" s="71"/>
      <c r="J1240" s="71"/>
      <c r="K1240" s="71"/>
      <c r="L1240" s="71"/>
      <c r="M1240" s="71"/>
      <c r="N1240" s="71"/>
      <c r="O1240" s="71"/>
      <c r="P1240" s="71"/>
      <c r="Q1240" s="71"/>
      <c r="R1240" s="71"/>
      <c r="S1240" s="365"/>
      <c r="T1240" s="71"/>
      <c r="U1240" s="71"/>
      <c r="V1240" s="71"/>
      <c r="W1240" s="71"/>
      <c r="X1240" s="70"/>
      <c r="Y1240" s="70"/>
      <c r="Z1240" s="70"/>
      <c r="AA1240" s="70"/>
      <c r="AB1240" s="70"/>
    </row>
    <row r="1241" spans="1:28" x14ac:dyDescent="0.25">
      <c r="A1241" s="71"/>
      <c r="B1241" s="71"/>
      <c r="C1241" s="71"/>
      <c r="D1241" s="71"/>
      <c r="E1241" s="71"/>
      <c r="F1241" s="71"/>
      <c r="G1241" s="71"/>
      <c r="H1241" s="71"/>
      <c r="I1241" s="71"/>
      <c r="J1241" s="71"/>
      <c r="K1241" s="71"/>
      <c r="L1241" s="71"/>
      <c r="M1241" s="71"/>
      <c r="N1241" s="71"/>
      <c r="O1241" s="71"/>
      <c r="P1241" s="71"/>
      <c r="Q1241" s="71"/>
      <c r="R1241" s="71"/>
      <c r="S1241" s="71"/>
      <c r="T1241" s="71"/>
      <c r="U1241" s="71"/>
      <c r="V1241" s="71"/>
      <c r="W1241" s="71"/>
      <c r="X1241" s="70"/>
      <c r="Y1241" s="70"/>
      <c r="Z1241" s="70"/>
      <c r="AA1241" s="70"/>
      <c r="AB1241" s="70"/>
    </row>
    <row r="1242" spans="1:28" x14ac:dyDescent="0.25">
      <c r="F1242" s="81"/>
      <c r="G1242" s="81"/>
      <c r="H1242" s="81"/>
      <c r="I1242" s="81"/>
      <c r="J1242" s="81"/>
      <c r="K1242" s="81"/>
      <c r="L1242" s="81"/>
      <c r="M1242" s="81"/>
      <c r="N1242" s="81"/>
      <c r="O1242" s="81"/>
      <c r="P1242" s="81"/>
      <c r="Q1242" s="81"/>
      <c r="R1242" s="81"/>
      <c r="S1242" s="81"/>
      <c r="T1242" s="81"/>
      <c r="U1242" s="81"/>
      <c r="V1242" s="81"/>
      <c r="W1242" s="81"/>
      <c r="X1242" s="65"/>
      <c r="Y1242" s="65"/>
      <c r="Z1242" s="65"/>
      <c r="AA1242" s="65"/>
      <c r="AB1242" s="59"/>
    </row>
    <row r="1243" spans="1:28" x14ac:dyDescent="0.25">
      <c r="F1243" s="81"/>
      <c r="G1243" s="81"/>
      <c r="H1243" s="81"/>
      <c r="I1243" s="81"/>
      <c r="J1243" s="81"/>
      <c r="K1243" s="81"/>
      <c r="L1243" s="81"/>
      <c r="M1243" s="81"/>
      <c r="N1243" s="81"/>
      <c r="O1243" s="81"/>
      <c r="P1243" s="81"/>
      <c r="Q1243" s="81"/>
      <c r="R1243" s="81"/>
      <c r="S1243" s="81"/>
      <c r="T1243" s="81"/>
      <c r="U1243" s="81"/>
      <c r="V1243" s="81"/>
      <c r="W1243" s="81"/>
      <c r="X1243" s="65"/>
      <c r="Y1243" s="65"/>
      <c r="Z1243" s="65"/>
      <c r="AA1243" s="65"/>
      <c r="AB1243" s="59"/>
    </row>
    <row r="1244" spans="1:28" x14ac:dyDescent="0.25">
      <c r="F1244" s="81"/>
      <c r="G1244" s="81"/>
      <c r="H1244" s="81"/>
      <c r="I1244" s="81"/>
      <c r="J1244" s="81"/>
      <c r="K1244" s="81"/>
      <c r="L1244" s="81"/>
      <c r="M1244" s="81"/>
      <c r="N1244" s="81"/>
      <c r="O1244" s="81"/>
      <c r="P1244" s="81"/>
      <c r="Q1244" s="81"/>
      <c r="R1244" s="81"/>
      <c r="S1244" s="81"/>
      <c r="T1244" s="81"/>
      <c r="U1244" s="81"/>
      <c r="V1244" s="81"/>
      <c r="W1244" s="81"/>
      <c r="X1244" s="65"/>
      <c r="Y1244" s="65"/>
      <c r="Z1244" s="65"/>
      <c r="AA1244" s="65"/>
      <c r="AB1244" s="59"/>
    </row>
    <row r="1245" spans="1:28" x14ac:dyDescent="0.25">
      <c r="F1245" s="81"/>
      <c r="G1245" s="81"/>
      <c r="H1245" s="81"/>
      <c r="I1245" s="81"/>
      <c r="J1245" s="81"/>
      <c r="K1245" s="81"/>
      <c r="L1245" s="81"/>
      <c r="M1245" s="81"/>
      <c r="N1245" s="81"/>
      <c r="O1245" s="81"/>
      <c r="P1245" s="81"/>
      <c r="Q1245" s="81"/>
      <c r="R1245" s="81"/>
      <c r="S1245" s="81"/>
      <c r="T1245" s="81"/>
      <c r="U1245" s="81"/>
      <c r="V1245" s="81"/>
      <c r="W1245" s="81"/>
      <c r="X1245" s="81"/>
      <c r="Y1245" s="81"/>
      <c r="Z1245" s="81"/>
      <c r="AA1245" s="65"/>
      <c r="AB1245" s="59"/>
    </row>
    <row r="1246" spans="1:28" x14ac:dyDescent="0.25">
      <c r="F1246" s="81"/>
      <c r="G1246" s="81"/>
      <c r="H1246" s="81"/>
      <c r="I1246" s="81"/>
      <c r="J1246" s="81"/>
      <c r="K1246" s="81"/>
      <c r="L1246" s="81"/>
      <c r="M1246" s="81"/>
      <c r="N1246" s="81"/>
      <c r="O1246" s="81"/>
      <c r="P1246" s="81"/>
      <c r="Q1246" s="81"/>
      <c r="R1246" s="81"/>
      <c r="S1246" s="81"/>
      <c r="T1246" s="81"/>
      <c r="U1246" s="81"/>
      <c r="V1246" s="81"/>
      <c r="W1246" s="81"/>
      <c r="X1246" s="81"/>
      <c r="Y1246" s="81"/>
      <c r="Z1246" s="81"/>
      <c r="AA1246" s="65"/>
      <c r="AB1246" s="59"/>
    </row>
    <row r="1247" spans="1:28" x14ac:dyDescent="0.25">
      <c r="F1247" s="81"/>
      <c r="G1247" s="81"/>
      <c r="H1247" s="81"/>
      <c r="I1247" s="81"/>
      <c r="J1247" s="81"/>
      <c r="K1247" s="81"/>
      <c r="L1247" s="81"/>
      <c r="M1247" s="81"/>
      <c r="N1247" s="81"/>
      <c r="O1247" s="81"/>
      <c r="P1247" s="81"/>
      <c r="Q1247" s="81"/>
      <c r="R1247" s="81"/>
      <c r="S1247" s="81"/>
      <c r="T1247" s="81"/>
      <c r="U1247" s="81"/>
      <c r="V1247" s="81"/>
      <c r="W1247" s="81"/>
      <c r="X1247" s="81"/>
      <c r="Y1247" s="81"/>
      <c r="Z1247" s="81"/>
      <c r="AA1247" s="65"/>
      <c r="AB1247" s="59"/>
    </row>
    <row r="1248" spans="1:28" x14ac:dyDescent="0.25">
      <c r="F1248" s="113"/>
      <c r="G1248" s="113"/>
      <c r="H1248" s="113"/>
      <c r="I1248" s="113"/>
      <c r="J1248" s="113"/>
      <c r="K1248" s="113"/>
      <c r="L1248" s="113"/>
      <c r="M1248" s="113"/>
      <c r="N1248" s="113"/>
      <c r="O1248" s="113"/>
      <c r="P1248" s="113"/>
      <c r="Q1248" s="113"/>
      <c r="R1248" s="113"/>
      <c r="S1248" s="113"/>
      <c r="T1248" s="113"/>
      <c r="U1248" s="113"/>
      <c r="V1248" s="113"/>
      <c r="W1248" s="113"/>
      <c r="X1248" s="113"/>
      <c r="Y1248" s="113"/>
      <c r="Z1248" s="113"/>
      <c r="AA1248" s="65"/>
      <c r="AB1248" s="59"/>
    </row>
    <row r="1249" spans="6:28" x14ac:dyDescent="0.25">
      <c r="F1249" s="81"/>
      <c r="G1249" s="81"/>
      <c r="H1249" s="81"/>
      <c r="I1249" s="81"/>
      <c r="J1249" s="81"/>
      <c r="K1249" s="81"/>
      <c r="L1249" s="81"/>
      <c r="M1249" s="81"/>
      <c r="N1249" s="81"/>
      <c r="O1249" s="81"/>
      <c r="P1249" s="81"/>
      <c r="Q1249" s="81"/>
      <c r="R1249" s="81"/>
      <c r="S1249" s="81"/>
      <c r="T1249" s="81"/>
      <c r="U1249" s="81"/>
      <c r="V1249" s="81"/>
      <c r="W1249" s="81"/>
      <c r="X1249" s="81"/>
      <c r="Y1249" s="81"/>
      <c r="Z1249" s="81"/>
      <c r="AA1249" s="65"/>
      <c r="AB1249" s="59"/>
    </row>
    <row r="1250" spans="6:28" x14ac:dyDescent="0.25">
      <c r="F1250" s="81"/>
      <c r="G1250" s="81"/>
      <c r="H1250" s="81"/>
      <c r="I1250" s="81"/>
      <c r="J1250" s="81"/>
      <c r="K1250" s="81"/>
      <c r="L1250" s="81"/>
      <c r="M1250" s="81"/>
      <c r="N1250" s="81"/>
      <c r="O1250" s="81"/>
      <c r="P1250" s="81"/>
      <c r="Q1250" s="81"/>
      <c r="R1250" s="81"/>
      <c r="S1250" s="81"/>
      <c r="T1250" s="81"/>
      <c r="U1250" s="81"/>
      <c r="V1250" s="81"/>
      <c r="W1250" s="81"/>
      <c r="X1250" s="81"/>
      <c r="Y1250" s="81"/>
      <c r="Z1250" s="81"/>
      <c r="AA1250" s="65"/>
      <c r="AB1250" s="59"/>
    </row>
    <row r="1251" spans="6:28" x14ac:dyDescent="0.25">
      <c r="X1251" s="61"/>
      <c r="Y1251" s="61"/>
      <c r="Z1251" s="61"/>
      <c r="AA1251" s="65"/>
      <c r="AB1251" s="59"/>
    </row>
    <row r="1252" spans="6:28" x14ac:dyDescent="0.25">
      <c r="F1252" s="156"/>
      <c r="G1252" s="156"/>
      <c r="H1252" s="156"/>
      <c r="I1252" s="156"/>
      <c r="J1252" s="156"/>
      <c r="K1252" s="156"/>
      <c r="L1252" s="156"/>
      <c r="M1252" s="156"/>
      <c r="N1252" s="156"/>
      <c r="O1252" s="156"/>
      <c r="P1252" s="156"/>
      <c r="Q1252" s="156"/>
      <c r="R1252" s="156"/>
      <c r="S1252" s="156"/>
      <c r="T1252" s="156"/>
      <c r="U1252" s="156"/>
      <c r="V1252" s="156"/>
      <c r="W1252" s="156"/>
      <c r="X1252" s="75"/>
      <c r="Y1252" s="75"/>
      <c r="Z1252" s="75"/>
      <c r="AA1252" s="65"/>
      <c r="AB1252" s="59"/>
    </row>
    <row r="1253" spans="6:28" x14ac:dyDescent="0.25">
      <c r="F1253" s="138"/>
      <c r="G1253" s="138"/>
      <c r="H1253" s="138"/>
      <c r="I1253" s="138"/>
      <c r="J1253" s="138"/>
      <c r="K1253" s="138"/>
      <c r="L1253" s="138"/>
      <c r="M1253" s="138"/>
      <c r="N1253" s="138"/>
      <c r="O1253" s="138"/>
      <c r="P1253" s="138"/>
      <c r="Q1253" s="138"/>
      <c r="R1253" s="138"/>
      <c r="S1253" s="138"/>
      <c r="T1253" s="138"/>
      <c r="U1253" s="138"/>
      <c r="V1253" s="138"/>
      <c r="W1253" s="138"/>
      <c r="X1253" s="138"/>
      <c r="Y1253" s="138"/>
      <c r="Z1253" s="138"/>
      <c r="AA1253" s="65"/>
      <c r="AB1253" s="59"/>
    </row>
    <row r="1254" spans="6:28" x14ac:dyDescent="0.25">
      <c r="F1254" s="81"/>
      <c r="G1254" s="81"/>
      <c r="H1254" s="81"/>
      <c r="I1254" s="81"/>
      <c r="J1254" s="81"/>
      <c r="K1254" s="81"/>
      <c r="L1254" s="81"/>
      <c r="M1254" s="81"/>
      <c r="N1254" s="81"/>
      <c r="O1254" s="81"/>
      <c r="P1254" s="81"/>
      <c r="Q1254" s="81"/>
      <c r="R1254" s="81"/>
      <c r="S1254" s="81"/>
      <c r="T1254" s="81"/>
      <c r="U1254" s="81"/>
      <c r="V1254" s="81"/>
      <c r="W1254" s="81"/>
      <c r="X1254" s="81"/>
      <c r="Y1254" s="81"/>
      <c r="Z1254" s="81"/>
      <c r="AA1254" s="65"/>
      <c r="AB1254" s="59"/>
    </row>
  </sheetData>
  <autoFilter ref="A4:BB1254"/>
  <phoneticPr fontId="0" type="noConversion"/>
  <printOptions headings="1"/>
  <pageMargins left="0.5" right="0.25" top="1.25" bottom="0.5" header="0.5" footer="0.3"/>
  <pageSetup scale="55" pageOrder="overThenDown" orientation="landscape" r:id="rId1"/>
  <headerFooter alignWithMargins="0">
    <oddHeader>&amp;C&amp;"Times New Roman,Bold"LOUISVILLE GAS AND ELECTRIC COMPANY
Cost of Service Study
Class Allocation
12 Months Ended 
June 30, 2016&amp;R&amp;"Times New Roman,Bold"&amp;12Exhibit MJB - 9
Page &amp;P of &amp;N</oddHeader>
  </headerFooter>
  <rowBreaks count="23" manualBreakCount="23">
    <brk id="63" max="23" man="1"/>
    <brk id="120" max="23" man="1"/>
    <brk id="177" max="23" man="1"/>
    <brk id="234" max="23" man="1"/>
    <brk id="291" max="23" man="1"/>
    <brk id="348" max="23" man="1"/>
    <brk id="406" max="23" man="1"/>
    <brk id="463" max="23" man="1"/>
    <brk id="520" max="23" man="1"/>
    <brk id="578" max="23" man="1"/>
    <brk id="635" max="23" man="1"/>
    <brk id="692" max="23" man="1"/>
    <brk id="734" max="23" man="1"/>
    <brk id="750" max="23" man="1"/>
    <brk id="846" max="20" man="1"/>
    <brk id="963" max="20" man="1"/>
    <brk id="997" max="23" man="1"/>
    <brk id="1047" max="23" man="1"/>
    <brk id="1071" max="23" man="1"/>
    <brk id="1113" max="16383" man="1"/>
    <brk id="1164" max="16383" man="1"/>
    <brk id="1182" max="16383" man="1"/>
    <brk id="1230" max="34" man="1"/>
  </rowBreaks>
  <colBreaks count="2" manualBreakCount="2">
    <brk id="11" max="1130" man="1"/>
    <brk id="16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B99"/>
  <sheetViews>
    <sheetView zoomScale="80" zoomScaleNormal="80" zoomScaleSheetLayoutView="75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F31" sqref="F31"/>
    </sheetView>
  </sheetViews>
  <sheetFormatPr defaultColWidth="9.109375" defaultRowHeight="13.8" x14ac:dyDescent="0.25"/>
  <cols>
    <col min="1" max="1" width="7.6640625" style="61" customWidth="1"/>
    <col min="2" max="2" width="29.44140625" style="61" customWidth="1"/>
    <col min="3" max="3" width="12.5546875" style="61" customWidth="1"/>
    <col min="4" max="4" width="11.88671875" style="61" customWidth="1"/>
    <col min="5" max="5" width="17.33203125" style="61" bestFit="1" customWidth="1"/>
    <col min="6" max="6" width="18.33203125" style="61" bestFit="1" customWidth="1"/>
    <col min="7" max="7" width="18.33203125" style="61" customWidth="1"/>
    <col min="8" max="8" width="22" style="61" bestFit="1" customWidth="1"/>
    <col min="9" max="9" width="18.33203125" style="61" hidden="1" customWidth="1"/>
    <col min="10" max="11" width="18.33203125" style="61" customWidth="1"/>
    <col min="12" max="13" width="18.33203125" style="61" hidden="1" customWidth="1"/>
    <col min="14" max="14" width="18.33203125" style="61" customWidth="1"/>
    <col min="15" max="15" width="19" style="61" customWidth="1"/>
    <col min="16" max="16" width="19" style="61" bestFit="1" customWidth="1"/>
    <col min="17" max="17" width="23.33203125" style="61" customWidth="1"/>
    <col min="18" max="18" width="23.109375" style="61" bestFit="1" customWidth="1"/>
    <col min="19" max="20" width="20.33203125" style="61" bestFit="1" customWidth="1"/>
    <col min="21" max="23" width="18.33203125" style="61" customWidth="1"/>
    <col min="24" max="24" width="15" style="45" customWidth="1"/>
    <col min="25" max="25" width="15.33203125" style="45" customWidth="1"/>
    <col min="26" max="26" width="15.6640625" style="45" customWidth="1"/>
    <col min="27" max="27" width="22.6640625" style="45" customWidth="1"/>
    <col min="28" max="28" width="10.6640625" style="45" customWidth="1"/>
    <col min="29" max="29" width="15.44140625" style="45" bestFit="1" customWidth="1"/>
    <col min="30" max="32" width="9.109375" style="45"/>
    <col min="33" max="33" width="7.44140625" style="45" customWidth="1"/>
    <col min="34" max="36" width="20.6640625" style="45" customWidth="1"/>
    <col min="37" max="16384" width="9.109375" style="45"/>
  </cols>
  <sheetData>
    <row r="2" spans="1:28" s="94" customFormat="1" hidden="1" x14ac:dyDescent="0.25">
      <c r="D2" s="94">
        <v>1</v>
      </c>
      <c r="E2" s="94">
        <f t="shared" ref="E2:AB2" si="0">+D2+1</f>
        <v>2</v>
      </c>
      <c r="F2" s="94">
        <f t="shared" si="0"/>
        <v>3</v>
      </c>
      <c r="G2" s="94">
        <f t="shared" si="0"/>
        <v>4</v>
      </c>
      <c r="H2" s="94">
        <f t="shared" si="0"/>
        <v>5</v>
      </c>
      <c r="I2" s="94">
        <f t="shared" si="0"/>
        <v>6</v>
      </c>
      <c r="J2" s="94">
        <f t="shared" si="0"/>
        <v>7</v>
      </c>
      <c r="K2" s="94">
        <f>+J2+1</f>
        <v>8</v>
      </c>
      <c r="L2" s="94">
        <f t="shared" si="0"/>
        <v>9</v>
      </c>
      <c r="M2" s="94">
        <f t="shared" si="0"/>
        <v>10</v>
      </c>
      <c r="N2" s="94">
        <f t="shared" si="0"/>
        <v>11</v>
      </c>
      <c r="O2" s="94">
        <f t="shared" si="0"/>
        <v>12</v>
      </c>
      <c r="P2" s="94">
        <f t="shared" si="0"/>
        <v>13</v>
      </c>
      <c r="Q2" s="94">
        <f t="shared" si="0"/>
        <v>14</v>
      </c>
      <c r="R2" s="94">
        <f t="shared" si="0"/>
        <v>15</v>
      </c>
      <c r="S2" s="94">
        <f>R2+1</f>
        <v>16</v>
      </c>
      <c r="T2" s="94">
        <f t="shared" si="0"/>
        <v>17</v>
      </c>
      <c r="U2" s="94">
        <f>+T2+1</f>
        <v>18</v>
      </c>
      <c r="V2" s="94">
        <f t="shared" si="0"/>
        <v>19</v>
      </c>
      <c r="W2" s="94">
        <f>+V2+1</f>
        <v>20</v>
      </c>
      <c r="X2" s="94">
        <f t="shared" si="0"/>
        <v>21</v>
      </c>
      <c r="Y2" s="94">
        <f t="shared" si="0"/>
        <v>22</v>
      </c>
      <c r="Z2" s="94">
        <f t="shared" si="0"/>
        <v>23</v>
      </c>
      <c r="AA2" s="94">
        <f t="shared" si="0"/>
        <v>24</v>
      </c>
      <c r="AB2" s="94">
        <f t="shared" si="0"/>
        <v>25</v>
      </c>
    </row>
    <row r="3" spans="1:28" s="61" customFormat="1" ht="29.25" customHeight="1" x14ac:dyDescent="0.25">
      <c r="A3" s="66"/>
      <c r="B3" s="66"/>
      <c r="C3" s="66"/>
      <c r="D3" s="73"/>
      <c r="E3" s="141" t="s">
        <v>1112</v>
      </c>
      <c r="F3" s="142" t="s">
        <v>944</v>
      </c>
      <c r="G3" s="72" t="s">
        <v>205</v>
      </c>
      <c r="H3" s="72" t="s">
        <v>1388</v>
      </c>
      <c r="I3" s="72" t="s">
        <v>1356</v>
      </c>
      <c r="J3" s="73" t="s">
        <v>1200</v>
      </c>
      <c r="K3" s="73" t="s">
        <v>1200</v>
      </c>
      <c r="L3" s="72" t="s">
        <v>186</v>
      </c>
      <c r="M3" s="73" t="s">
        <v>186</v>
      </c>
      <c r="N3" s="72" t="s">
        <v>1365</v>
      </c>
      <c r="O3" s="73" t="s">
        <v>1365</v>
      </c>
      <c r="P3" s="73" t="s">
        <v>1201</v>
      </c>
      <c r="Q3" s="72" t="s">
        <v>597</v>
      </c>
      <c r="R3" s="72" t="s">
        <v>597</v>
      </c>
      <c r="S3" s="72" t="s">
        <v>1109</v>
      </c>
      <c r="T3" s="73" t="s">
        <v>1109</v>
      </c>
      <c r="U3" s="72" t="s">
        <v>939</v>
      </c>
      <c r="V3" s="72" t="s">
        <v>186</v>
      </c>
      <c r="W3" s="72" t="s">
        <v>186</v>
      </c>
      <c r="X3" s="73" t="s">
        <v>186</v>
      </c>
      <c r="Y3" s="73" t="s">
        <v>186</v>
      </c>
      <c r="Z3" s="73" t="s">
        <v>186</v>
      </c>
      <c r="AA3" s="143"/>
      <c r="AB3" s="66"/>
    </row>
    <row r="4" spans="1:28" s="61" customFormat="1" ht="14.4" thickBot="1" x14ac:dyDescent="0.3">
      <c r="A4" s="144" t="s">
        <v>947</v>
      </c>
      <c r="B4" s="144"/>
      <c r="C4" s="145" t="s">
        <v>346</v>
      </c>
      <c r="D4" s="146" t="s">
        <v>948</v>
      </c>
      <c r="E4" s="146" t="s">
        <v>949</v>
      </c>
      <c r="F4" s="74" t="s">
        <v>950</v>
      </c>
      <c r="G4" s="74" t="s">
        <v>1215</v>
      </c>
      <c r="H4" s="74" t="s">
        <v>594</v>
      </c>
      <c r="I4" s="74" t="s">
        <v>594</v>
      </c>
      <c r="J4" s="74" t="s">
        <v>595</v>
      </c>
      <c r="K4" s="74" t="s">
        <v>596</v>
      </c>
      <c r="L4" s="74"/>
      <c r="M4" s="74"/>
      <c r="N4" s="74" t="s">
        <v>595</v>
      </c>
      <c r="O4" s="74" t="s">
        <v>596</v>
      </c>
      <c r="P4" s="74" t="s">
        <v>1153</v>
      </c>
      <c r="Q4" s="74" t="s">
        <v>1392</v>
      </c>
      <c r="R4" s="74" t="s">
        <v>1393</v>
      </c>
      <c r="S4" s="74" t="s">
        <v>1324</v>
      </c>
      <c r="T4" s="74" t="s">
        <v>1202</v>
      </c>
      <c r="U4" s="74" t="s">
        <v>599</v>
      </c>
      <c r="V4" s="74"/>
      <c r="W4" s="74"/>
      <c r="X4" s="74"/>
      <c r="Y4" s="74"/>
      <c r="Z4" s="74"/>
      <c r="AA4" s="74" t="s">
        <v>954</v>
      </c>
      <c r="AB4" s="74" t="s">
        <v>955</v>
      </c>
    </row>
    <row r="6" spans="1:28" x14ac:dyDescent="0.25">
      <c r="A6" s="66" t="s">
        <v>209</v>
      </c>
    </row>
    <row r="7" spans="1:28" x14ac:dyDescent="0.25">
      <c r="F7" s="81"/>
    </row>
    <row r="8" spans="1:28" x14ac:dyDescent="0.25">
      <c r="A8" s="66" t="s">
        <v>1135</v>
      </c>
    </row>
    <row r="9" spans="1:28" s="61" customFormat="1" x14ac:dyDescent="0.25"/>
    <row r="10" spans="1:28" s="61" customFormat="1" x14ac:dyDescent="0.25">
      <c r="A10" s="61" t="s">
        <v>135</v>
      </c>
      <c r="F10" s="81">
        <f>'Allocation ProForma'!F756</f>
        <v>1053711901</v>
      </c>
      <c r="G10" s="81">
        <f>'Allocation ProForma'!G756</f>
        <v>435364057.71501642</v>
      </c>
      <c r="H10" s="81">
        <f>'Allocation ProForma'!H756</f>
        <v>148891369.61910155</v>
      </c>
      <c r="I10" s="81">
        <f>'Allocation ProForma'!I756</f>
        <v>0</v>
      </c>
      <c r="J10" s="81">
        <f>'Allocation ProForma'!J756</f>
        <v>12408637.835694814</v>
      </c>
      <c r="K10" s="81">
        <f>'Allocation ProForma'!K756</f>
        <v>167321555.849812</v>
      </c>
      <c r="L10" s="81">
        <f>'Allocation ProForma'!L756</f>
        <v>0</v>
      </c>
      <c r="M10" s="81">
        <f>'Allocation ProForma'!M756</f>
        <v>0</v>
      </c>
      <c r="N10" s="81">
        <f>'Allocation ProForma'!N756</f>
        <v>137084393.01743066</v>
      </c>
      <c r="O10" s="81">
        <f>'Allocation ProForma'!O756</f>
        <v>79211289.096927822</v>
      </c>
      <c r="P10" s="81">
        <f>'Allocation ProForma'!P756</f>
        <v>44768505.043309972</v>
      </c>
      <c r="Q10" s="81">
        <f>'Allocation ProForma'!Q756</f>
        <v>6619643.4828988668</v>
      </c>
      <c r="R10" s="81">
        <f>'Allocation ProForma'!R756</f>
        <v>3542985.5501654269</v>
      </c>
      <c r="S10" s="81">
        <f>'Allocation ProForma'!S756</f>
        <v>18004579.916161355</v>
      </c>
      <c r="T10" s="81">
        <f>'Allocation ProForma'!T756</f>
        <v>214219.50728382313</v>
      </c>
      <c r="U10" s="81">
        <f>'Allocation ProForma'!U756</f>
        <v>280664.36619724357</v>
      </c>
      <c r="V10" s="81">
        <f>'Allocation ProForma'!V756</f>
        <v>0</v>
      </c>
      <c r="W10" s="81">
        <f>'Allocation ProForma'!W756</f>
        <v>0</v>
      </c>
      <c r="X10" s="81">
        <f>'Allocation ProForma'!X756</f>
        <v>0</v>
      </c>
      <c r="Y10" s="81">
        <f>'Allocation ProForma'!Y756</f>
        <v>0</v>
      </c>
      <c r="Z10" s="81">
        <f>'Allocation ProForma'!Z756</f>
        <v>0</v>
      </c>
      <c r="AA10" s="81">
        <f>SUM(G10:Z10)</f>
        <v>1053711900.9999999</v>
      </c>
      <c r="AB10" s="94" t="str">
        <f>IF(ABS(F10-AA10)&lt;0.01,"ok","err")</f>
        <v>ok</v>
      </c>
    </row>
    <row r="11" spans="1:28" s="61" customFormat="1" x14ac:dyDescent="0.25"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94"/>
    </row>
    <row r="12" spans="1:28" s="61" customFormat="1" x14ac:dyDescent="0.25">
      <c r="A12" s="61" t="s">
        <v>136</v>
      </c>
      <c r="F12" s="81"/>
      <c r="G12" s="81"/>
      <c r="H12" s="81"/>
      <c r="I12" s="81"/>
      <c r="J12" s="81"/>
      <c r="K12" s="81"/>
      <c r="L12" s="81"/>
      <c r="M12" s="81"/>
      <c r="N12" s="81"/>
      <c r="O12" s="228"/>
      <c r="P12" s="228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94"/>
    </row>
    <row r="13" spans="1:28" s="61" customFormat="1" hidden="1" x14ac:dyDescent="0.25">
      <c r="B13" s="61" t="s">
        <v>1290</v>
      </c>
      <c r="E13" s="61" t="s">
        <v>130</v>
      </c>
      <c r="F13" s="77"/>
      <c r="G13" s="77">
        <f>'Allocation ProForma'!G759</f>
        <v>0</v>
      </c>
      <c r="H13" s="77">
        <f>'Allocation ProForma'!H759</f>
        <v>0</v>
      </c>
      <c r="I13" s="77">
        <f>'Allocation ProForma'!I759</f>
        <v>0</v>
      </c>
      <c r="J13" s="77">
        <f>'Allocation ProForma'!J759</f>
        <v>0</v>
      </c>
      <c r="K13" s="77">
        <f>'Allocation ProForma'!K759</f>
        <v>0</v>
      </c>
      <c r="L13" s="77">
        <f>'Allocation ProForma'!L759</f>
        <v>0</v>
      </c>
      <c r="M13" s="77">
        <f>'Allocation ProForma'!M759</f>
        <v>0</v>
      </c>
      <c r="N13" s="77">
        <f>'Allocation ProForma'!N759</f>
        <v>0</v>
      </c>
      <c r="O13" s="77">
        <f>'Allocation ProForma'!O759</f>
        <v>0</v>
      </c>
      <c r="P13" s="77">
        <f>'Allocation ProForma'!P759</f>
        <v>0</v>
      </c>
      <c r="Q13" s="77">
        <f>'Allocation ProForma'!Q759</f>
        <v>0</v>
      </c>
      <c r="R13" s="77">
        <f>'Allocation ProForma'!R759</f>
        <v>0</v>
      </c>
      <c r="S13" s="77">
        <f>'Allocation ProForma'!S759</f>
        <v>0</v>
      </c>
      <c r="T13" s="77">
        <f>'Allocation ProForma'!T759</f>
        <v>0</v>
      </c>
      <c r="U13" s="77">
        <f>'Allocation ProForma'!U759</f>
        <v>0</v>
      </c>
      <c r="V13" s="77">
        <f>'Allocation ProForma'!V759</f>
        <v>0</v>
      </c>
      <c r="W13" s="77">
        <f>'Allocation ProForma'!W759</f>
        <v>0</v>
      </c>
      <c r="X13" s="77">
        <f>'Allocation ProForma'!X759</f>
        <v>0</v>
      </c>
      <c r="Y13" s="77">
        <f>'Allocation ProForma'!Y759</f>
        <v>0</v>
      </c>
      <c r="Z13" s="77">
        <f>'Allocation ProForma'!Z759</f>
        <v>0</v>
      </c>
      <c r="AA13" s="81">
        <f t="shared" ref="AA13:AA24" si="1">SUM(G13:Z13)</f>
        <v>0</v>
      </c>
      <c r="AB13" s="94" t="str">
        <f t="shared" ref="AB13:AB28" si="2">IF(ABS(F13-AA13)&lt;0.01,"ok","err")</f>
        <v>ok</v>
      </c>
    </row>
    <row r="14" spans="1:28" s="61" customFormat="1" hidden="1" x14ac:dyDescent="0.25">
      <c r="B14" s="61" t="s">
        <v>1335</v>
      </c>
      <c r="E14" s="61" t="s">
        <v>130</v>
      </c>
      <c r="F14" s="80"/>
      <c r="G14" s="80">
        <f>'Allocation ProForma'!G760</f>
        <v>0</v>
      </c>
      <c r="H14" s="80">
        <f>'Allocation ProForma'!H760</f>
        <v>0</v>
      </c>
      <c r="I14" s="80">
        <f>'Allocation ProForma'!I760</f>
        <v>0</v>
      </c>
      <c r="J14" s="80">
        <f>'Allocation ProForma'!J760</f>
        <v>0</v>
      </c>
      <c r="K14" s="80">
        <f>'Allocation ProForma'!K760</f>
        <v>0</v>
      </c>
      <c r="L14" s="80">
        <f>'Allocation ProForma'!L760</f>
        <v>0</v>
      </c>
      <c r="M14" s="80">
        <f>'Allocation ProForma'!M760</f>
        <v>0</v>
      </c>
      <c r="N14" s="80">
        <f>'Allocation ProForma'!N760</f>
        <v>0</v>
      </c>
      <c r="O14" s="80">
        <f>'Allocation ProForma'!O760</f>
        <v>0</v>
      </c>
      <c r="P14" s="80">
        <f>'Allocation ProForma'!P760</f>
        <v>0</v>
      </c>
      <c r="Q14" s="80">
        <f>'Allocation ProForma'!Q760</f>
        <v>0</v>
      </c>
      <c r="R14" s="80">
        <f>'Allocation ProForma'!R760</f>
        <v>0</v>
      </c>
      <c r="S14" s="80">
        <f>'Allocation ProForma'!S760</f>
        <v>0</v>
      </c>
      <c r="T14" s="80">
        <f>'Allocation ProForma'!T760</f>
        <v>0</v>
      </c>
      <c r="U14" s="80">
        <f>'Allocation ProForma'!U760</f>
        <v>0</v>
      </c>
      <c r="V14" s="80">
        <f>'Allocation ProForma'!V760</f>
        <v>0</v>
      </c>
      <c r="W14" s="80">
        <f>'Allocation ProForma'!W760</f>
        <v>0</v>
      </c>
      <c r="X14" s="80">
        <f>'Allocation ProForma'!X760</f>
        <v>0</v>
      </c>
      <c r="Y14" s="80">
        <f>'Allocation ProForma'!Y760</f>
        <v>0</v>
      </c>
      <c r="Z14" s="80">
        <f>'Allocation ProForma'!Z760</f>
        <v>0</v>
      </c>
      <c r="AA14" s="80">
        <f>SUM(G14:Z14)</f>
        <v>0</v>
      </c>
      <c r="AB14" s="94" t="str">
        <f t="shared" si="2"/>
        <v>ok</v>
      </c>
    </row>
    <row r="15" spans="1:28" s="61" customFormat="1" hidden="1" x14ac:dyDescent="0.25">
      <c r="B15" s="61" t="s">
        <v>695</v>
      </c>
      <c r="E15" s="61" t="s">
        <v>952</v>
      </c>
      <c r="F15" s="80"/>
      <c r="G15" s="80">
        <f>'Allocation ProForma'!G761</f>
        <v>0</v>
      </c>
      <c r="H15" s="80">
        <f>'Allocation ProForma'!H761</f>
        <v>0</v>
      </c>
      <c r="I15" s="80">
        <f>'Allocation ProForma'!I761</f>
        <v>0</v>
      </c>
      <c r="J15" s="80">
        <f>'Allocation ProForma'!J761</f>
        <v>0</v>
      </c>
      <c r="K15" s="80">
        <f>'Allocation ProForma'!K761</f>
        <v>0</v>
      </c>
      <c r="L15" s="80">
        <f>'Allocation ProForma'!L761</f>
        <v>0</v>
      </c>
      <c r="M15" s="80">
        <f>'Allocation ProForma'!M761</f>
        <v>0</v>
      </c>
      <c r="N15" s="80">
        <f>'Allocation ProForma'!N761</f>
        <v>0</v>
      </c>
      <c r="O15" s="80">
        <f>'Allocation ProForma'!O761</f>
        <v>0</v>
      </c>
      <c r="P15" s="80">
        <f>'Allocation ProForma'!P761</f>
        <v>0</v>
      </c>
      <c r="Q15" s="80">
        <f>'Allocation ProForma'!Q761</f>
        <v>0</v>
      </c>
      <c r="R15" s="80">
        <f>'Allocation ProForma'!R761</f>
        <v>0</v>
      </c>
      <c r="S15" s="80">
        <f>'Allocation ProForma'!S761</f>
        <v>0</v>
      </c>
      <c r="T15" s="80">
        <f>'Allocation ProForma'!T761</f>
        <v>0</v>
      </c>
      <c r="U15" s="80">
        <f>'Allocation ProForma'!U761</f>
        <v>0</v>
      </c>
      <c r="V15" s="80">
        <f>'Allocation ProForma'!V761</f>
        <v>0</v>
      </c>
      <c r="W15" s="80">
        <f>'Allocation ProForma'!W761</f>
        <v>0</v>
      </c>
      <c r="X15" s="80">
        <f>'Allocation ProForma'!X761</f>
        <v>0</v>
      </c>
      <c r="Y15" s="80">
        <f>'Allocation ProForma'!Y761</f>
        <v>0</v>
      </c>
      <c r="Z15" s="80">
        <f>'Allocation ProForma'!Z761</f>
        <v>0</v>
      </c>
      <c r="AA15" s="80">
        <f t="shared" si="1"/>
        <v>0</v>
      </c>
      <c r="AB15" s="94" t="str">
        <f t="shared" si="2"/>
        <v>ok</v>
      </c>
    </row>
    <row r="16" spans="1:28" s="61" customFormat="1" hidden="1" x14ac:dyDescent="0.25">
      <c r="B16" s="61" t="s">
        <v>1292</v>
      </c>
      <c r="D16" s="61" t="s">
        <v>887</v>
      </c>
      <c r="E16" s="61" t="s">
        <v>1275</v>
      </c>
      <c r="F16" s="80"/>
      <c r="G16" s="80">
        <f>'Allocation ProForma'!G762</f>
        <v>0</v>
      </c>
      <c r="H16" s="80">
        <f>'Allocation ProForma'!H762</f>
        <v>0</v>
      </c>
      <c r="I16" s="80">
        <f>'Allocation ProForma'!I762</f>
        <v>0</v>
      </c>
      <c r="J16" s="80">
        <f>'Allocation ProForma'!J762</f>
        <v>0</v>
      </c>
      <c r="K16" s="80">
        <f>'Allocation ProForma'!K762</f>
        <v>0</v>
      </c>
      <c r="L16" s="80">
        <f>'Allocation ProForma'!L762</f>
        <v>0</v>
      </c>
      <c r="M16" s="80">
        <f>'Allocation ProForma'!M762</f>
        <v>0</v>
      </c>
      <c r="N16" s="80">
        <f>'Allocation ProForma'!N762</f>
        <v>0</v>
      </c>
      <c r="O16" s="80">
        <f>'Allocation ProForma'!O762</f>
        <v>0</v>
      </c>
      <c r="P16" s="80">
        <f>'Allocation ProForma'!P762</f>
        <v>0</v>
      </c>
      <c r="Q16" s="80">
        <f>'Allocation ProForma'!Q762</f>
        <v>0</v>
      </c>
      <c r="R16" s="80">
        <f>'Allocation ProForma'!R762</f>
        <v>0</v>
      </c>
      <c r="S16" s="80">
        <f>'Allocation ProForma'!S762</f>
        <v>0</v>
      </c>
      <c r="T16" s="80">
        <f>'Allocation ProForma'!T762</f>
        <v>0</v>
      </c>
      <c r="U16" s="80">
        <f>'Allocation ProForma'!U762</f>
        <v>0</v>
      </c>
      <c r="V16" s="80">
        <f>'Allocation ProForma'!V762</f>
        <v>0</v>
      </c>
      <c r="W16" s="80">
        <f>'Allocation ProForma'!W762</f>
        <v>0</v>
      </c>
      <c r="X16" s="80">
        <f>'Allocation ProForma'!X762</f>
        <v>0</v>
      </c>
      <c r="Y16" s="80">
        <f>'Allocation ProForma'!Y762</f>
        <v>0</v>
      </c>
      <c r="Z16" s="80">
        <f>'Allocation ProForma'!Z762</f>
        <v>0</v>
      </c>
      <c r="AA16" s="80">
        <f t="shared" si="1"/>
        <v>0</v>
      </c>
      <c r="AB16" s="94" t="str">
        <f t="shared" si="2"/>
        <v>ok</v>
      </c>
    </row>
    <row r="17" spans="1:28" s="61" customFormat="1" hidden="1" x14ac:dyDescent="0.25">
      <c r="B17" s="61" t="s">
        <v>1333</v>
      </c>
      <c r="E17" s="61" t="s">
        <v>1275</v>
      </c>
      <c r="F17" s="80"/>
      <c r="G17" s="80">
        <f>'Allocation ProForma'!G763</f>
        <v>0</v>
      </c>
      <c r="H17" s="80">
        <f>'Allocation ProForma'!H763</f>
        <v>0</v>
      </c>
      <c r="I17" s="80">
        <f>'Allocation ProForma'!I763</f>
        <v>0</v>
      </c>
      <c r="J17" s="80">
        <f>'Allocation ProForma'!J763</f>
        <v>0</v>
      </c>
      <c r="K17" s="80">
        <f>'Allocation ProForma'!K763</f>
        <v>0</v>
      </c>
      <c r="L17" s="80">
        <f>'Allocation ProForma'!L763</f>
        <v>0</v>
      </c>
      <c r="M17" s="80">
        <f>'Allocation ProForma'!M763</f>
        <v>0</v>
      </c>
      <c r="N17" s="80">
        <f>'Allocation ProForma'!N763</f>
        <v>0</v>
      </c>
      <c r="O17" s="80">
        <f>'Allocation ProForma'!O763</f>
        <v>0</v>
      </c>
      <c r="P17" s="80">
        <f>'Allocation ProForma'!P763</f>
        <v>0</v>
      </c>
      <c r="Q17" s="80">
        <f>'Allocation ProForma'!Q763</f>
        <v>0</v>
      </c>
      <c r="R17" s="80">
        <f>'Allocation ProForma'!R763</f>
        <v>0</v>
      </c>
      <c r="S17" s="80">
        <f>'Allocation ProForma'!S763</f>
        <v>0</v>
      </c>
      <c r="T17" s="80">
        <f>'Allocation ProForma'!T763</f>
        <v>0</v>
      </c>
      <c r="U17" s="80">
        <f>'Allocation ProForma'!U763</f>
        <v>0</v>
      </c>
      <c r="V17" s="80">
        <f>'Allocation ProForma'!V763</f>
        <v>0</v>
      </c>
      <c r="W17" s="80">
        <f>'Allocation ProForma'!W763</f>
        <v>0</v>
      </c>
      <c r="X17" s="80">
        <f>'Allocation ProForma'!X763</f>
        <v>0</v>
      </c>
      <c r="Y17" s="80">
        <f>'Allocation ProForma'!Y763</f>
        <v>0</v>
      </c>
      <c r="Z17" s="80">
        <f>'Allocation ProForma'!Z763</f>
        <v>0</v>
      </c>
      <c r="AA17" s="80">
        <f>SUM(G17:Z17)</f>
        <v>0</v>
      </c>
      <c r="AB17" s="94" t="str">
        <f>IF(ABS(F17-AA17)&lt;0.01,"ok","err")</f>
        <v>ok</v>
      </c>
    </row>
    <row r="18" spans="1:28" s="61" customFormat="1" hidden="1" x14ac:dyDescent="0.25">
      <c r="B18" s="61" t="s">
        <v>1293</v>
      </c>
      <c r="E18" s="61" t="s">
        <v>701</v>
      </c>
      <c r="F18" s="80">
        <v>0</v>
      </c>
      <c r="G18" s="80">
        <f>'Allocation ProForma'!G764</f>
        <v>0</v>
      </c>
      <c r="H18" s="80">
        <f>'Allocation ProForma'!H764</f>
        <v>0</v>
      </c>
      <c r="I18" s="80">
        <f>'Allocation ProForma'!I764</f>
        <v>0</v>
      </c>
      <c r="J18" s="80">
        <f>'Allocation ProForma'!J764</f>
        <v>0</v>
      </c>
      <c r="K18" s="80">
        <f>'Allocation ProForma'!K764</f>
        <v>0</v>
      </c>
      <c r="L18" s="80">
        <f>'Allocation ProForma'!L764</f>
        <v>0</v>
      </c>
      <c r="M18" s="80">
        <f>'Allocation ProForma'!M764</f>
        <v>0</v>
      </c>
      <c r="N18" s="80">
        <f>'Allocation ProForma'!N764</f>
        <v>0</v>
      </c>
      <c r="O18" s="80">
        <f>'Allocation ProForma'!O764</f>
        <v>0</v>
      </c>
      <c r="P18" s="80">
        <f>'Allocation ProForma'!P764</f>
        <v>0</v>
      </c>
      <c r="Q18" s="80">
        <f>'Allocation ProForma'!Q764</f>
        <v>0</v>
      </c>
      <c r="R18" s="80">
        <f>'Allocation ProForma'!R764</f>
        <v>0</v>
      </c>
      <c r="S18" s="80">
        <f>'Allocation ProForma'!S764</f>
        <v>0</v>
      </c>
      <c r="T18" s="80">
        <f>'Allocation ProForma'!T764</f>
        <v>0</v>
      </c>
      <c r="U18" s="80">
        <f>'Allocation ProForma'!U764</f>
        <v>0</v>
      </c>
      <c r="V18" s="80">
        <f>'Allocation ProForma'!V764</f>
        <v>0</v>
      </c>
      <c r="W18" s="80">
        <f>'Allocation ProForma'!W764</f>
        <v>0</v>
      </c>
      <c r="X18" s="80">
        <f>'Allocation ProForma'!X764</f>
        <v>0</v>
      </c>
      <c r="Y18" s="80">
        <f>'Allocation ProForma'!Y764</f>
        <v>0</v>
      </c>
      <c r="Z18" s="80">
        <f>'Allocation ProForma'!Z764</f>
        <v>0</v>
      </c>
      <c r="AA18" s="80">
        <f t="shared" si="1"/>
        <v>0</v>
      </c>
      <c r="AB18" s="94" t="str">
        <f t="shared" si="2"/>
        <v>ok</v>
      </c>
    </row>
    <row r="19" spans="1:28" s="61" customFormat="1" hidden="1" x14ac:dyDescent="0.25">
      <c r="B19" s="61" t="s">
        <v>852</v>
      </c>
      <c r="D19" s="61" t="s">
        <v>888</v>
      </c>
      <c r="E19" s="61" t="s">
        <v>1276</v>
      </c>
      <c r="F19" s="80"/>
      <c r="G19" s="80">
        <f>'Allocation ProForma'!G765</f>
        <v>0</v>
      </c>
      <c r="H19" s="80">
        <f>'Allocation ProForma'!H765</f>
        <v>0</v>
      </c>
      <c r="I19" s="80">
        <f>'Allocation ProForma'!I765</f>
        <v>0</v>
      </c>
      <c r="J19" s="80">
        <f>'Allocation ProForma'!J765</f>
        <v>0</v>
      </c>
      <c r="K19" s="80">
        <f>'Allocation ProForma'!K765</f>
        <v>0</v>
      </c>
      <c r="L19" s="80">
        <f>'Allocation ProForma'!L765</f>
        <v>0</v>
      </c>
      <c r="M19" s="80">
        <f>'Allocation ProForma'!M765</f>
        <v>0</v>
      </c>
      <c r="N19" s="80">
        <f>'Allocation ProForma'!N765</f>
        <v>0</v>
      </c>
      <c r="O19" s="80">
        <f>'Allocation ProForma'!O765</f>
        <v>0</v>
      </c>
      <c r="P19" s="80">
        <f>'Allocation ProForma'!P765</f>
        <v>0</v>
      </c>
      <c r="Q19" s="80">
        <f>'Allocation ProForma'!Q765</f>
        <v>0</v>
      </c>
      <c r="R19" s="80">
        <f>'Allocation ProForma'!R765</f>
        <v>0</v>
      </c>
      <c r="S19" s="80">
        <f>'Allocation ProForma'!S765</f>
        <v>0</v>
      </c>
      <c r="T19" s="80">
        <f>'Allocation ProForma'!T765</f>
        <v>0</v>
      </c>
      <c r="U19" s="80">
        <f>'Allocation ProForma'!U765</f>
        <v>0</v>
      </c>
      <c r="V19" s="80">
        <f>'Allocation ProForma'!V765</f>
        <v>0</v>
      </c>
      <c r="W19" s="80">
        <f>'Allocation ProForma'!W765</f>
        <v>0</v>
      </c>
      <c r="X19" s="80">
        <f>'Allocation ProForma'!X765</f>
        <v>0</v>
      </c>
      <c r="Y19" s="80">
        <f>'Allocation ProForma'!Y765</f>
        <v>0</v>
      </c>
      <c r="Z19" s="80">
        <f>'Allocation ProForma'!Z765</f>
        <v>0</v>
      </c>
      <c r="AA19" s="80">
        <f t="shared" si="1"/>
        <v>0</v>
      </c>
      <c r="AB19" s="94" t="str">
        <f t="shared" si="2"/>
        <v>ok</v>
      </c>
    </row>
    <row r="20" spans="1:28" s="61" customFormat="1" x14ac:dyDescent="0.25">
      <c r="B20" s="61" t="s">
        <v>1294</v>
      </c>
      <c r="E20" s="61" t="s">
        <v>701</v>
      </c>
      <c r="F20" s="80">
        <v>-8932269</v>
      </c>
      <c r="G20" s="80">
        <f>'Allocation ProForma'!G766</f>
        <v>-3166102.422668729</v>
      </c>
      <c r="H20" s="80">
        <f>'Allocation ProForma'!H766</f>
        <v>-1077975.490627595</v>
      </c>
      <c r="I20" s="80">
        <f>'Allocation ProForma'!I766</f>
        <v>0</v>
      </c>
      <c r="J20" s="80">
        <f>'Allocation ProForma'!J766</f>
        <v>-121785.7432997935</v>
      </c>
      <c r="K20" s="80">
        <f>'Allocation ProForma'!K766</f>
        <v>-1473810.0382332131</v>
      </c>
      <c r="L20" s="80">
        <f>'Allocation ProForma'!L766</f>
        <v>0</v>
      </c>
      <c r="M20" s="80">
        <f>'Allocation ProForma'!M766</f>
        <v>0</v>
      </c>
      <c r="N20" s="80">
        <f>'Allocation ProForma'!N766</f>
        <v>-1498376.7024098665</v>
      </c>
      <c r="O20" s="80">
        <f>'Allocation ProForma'!O766</f>
        <v>-766536.05660253239</v>
      </c>
      <c r="P20" s="80">
        <f>'Allocation ProForma'!P766</f>
        <v>-626615.10170211038</v>
      </c>
      <c r="Q20" s="80">
        <f>'Allocation ProForma'!Q766</f>
        <v>-76746.105462886946</v>
      </c>
      <c r="R20" s="80">
        <f>'Allocation ProForma'!R766</f>
        <v>-41139.259876109056</v>
      </c>
      <c r="S20" s="80">
        <f>'Allocation ProForma'!S766</f>
        <v>-83182.079117164307</v>
      </c>
      <c r="T20" s="80">
        <f>'Allocation ProForma'!T766</f>
        <v>0</v>
      </c>
      <c r="U20" s="80">
        <f>'Allocation ProForma'!U766</f>
        <v>0</v>
      </c>
      <c r="V20" s="80">
        <f>'Allocation ProForma'!V766</f>
        <v>0</v>
      </c>
      <c r="W20" s="80">
        <f>'Allocation ProForma'!W766</f>
        <v>0</v>
      </c>
      <c r="X20" s="80">
        <f>'Allocation ProForma'!X766</f>
        <v>0</v>
      </c>
      <c r="Y20" s="80">
        <f>'Allocation ProForma'!Y766</f>
        <v>0</v>
      </c>
      <c r="Z20" s="80">
        <f>'Allocation ProForma'!Z766</f>
        <v>0</v>
      </c>
      <c r="AA20" s="80">
        <f t="shared" si="1"/>
        <v>-8932269</v>
      </c>
      <c r="AB20" s="94" t="str">
        <f t="shared" si="2"/>
        <v>ok</v>
      </c>
    </row>
    <row r="21" spans="1:28" s="61" customFormat="1" hidden="1" x14ac:dyDescent="0.25">
      <c r="B21" s="61" t="s">
        <v>1334</v>
      </c>
      <c r="E21" s="61" t="s">
        <v>866</v>
      </c>
      <c r="F21" s="80"/>
      <c r="G21" s="80">
        <f>'Allocation ProForma'!G767</f>
        <v>0</v>
      </c>
      <c r="H21" s="80">
        <f>'Allocation ProForma'!H767</f>
        <v>0</v>
      </c>
      <c r="I21" s="80">
        <f>'Allocation ProForma'!I767</f>
        <v>0</v>
      </c>
      <c r="J21" s="80">
        <f>'Allocation ProForma'!J767</f>
        <v>0</v>
      </c>
      <c r="K21" s="80">
        <f>'Allocation ProForma'!K767</f>
        <v>0</v>
      </c>
      <c r="L21" s="80">
        <f>'Allocation ProForma'!L767</f>
        <v>0</v>
      </c>
      <c r="M21" s="80">
        <f>'Allocation ProForma'!M767</f>
        <v>0</v>
      </c>
      <c r="N21" s="80">
        <f>'Allocation ProForma'!N767</f>
        <v>0</v>
      </c>
      <c r="O21" s="80">
        <f>'Allocation ProForma'!O767</f>
        <v>0</v>
      </c>
      <c r="P21" s="80">
        <f>'Allocation ProForma'!P767</f>
        <v>0</v>
      </c>
      <c r="Q21" s="80">
        <f>'Allocation ProForma'!Q767</f>
        <v>0</v>
      </c>
      <c r="R21" s="80">
        <f>'Allocation ProForma'!R767</f>
        <v>0</v>
      </c>
      <c r="S21" s="80">
        <f>'Allocation ProForma'!S767</f>
        <v>0</v>
      </c>
      <c r="T21" s="80">
        <f>'Allocation ProForma'!T767</f>
        <v>0</v>
      </c>
      <c r="U21" s="80">
        <f>'Allocation ProForma'!U767</f>
        <v>0</v>
      </c>
      <c r="V21" s="80">
        <f>'Allocation ProForma'!V767</f>
        <v>0</v>
      </c>
      <c r="W21" s="80">
        <f>'Allocation ProForma'!W767</f>
        <v>0</v>
      </c>
      <c r="X21" s="80">
        <f>'Allocation ProForma'!X767</f>
        <v>0</v>
      </c>
      <c r="Y21" s="80">
        <f>'Allocation ProForma'!Y767</f>
        <v>0</v>
      </c>
      <c r="Z21" s="80">
        <f>'Allocation ProForma'!Z767</f>
        <v>0</v>
      </c>
      <c r="AA21" s="80">
        <f>SUM(G21:Z21)</f>
        <v>0</v>
      </c>
      <c r="AB21" s="94" t="str">
        <f>IF(ABS(F21-AA21)&lt;0.01,"ok","err")</f>
        <v>ok</v>
      </c>
    </row>
    <row r="22" spans="1:28" s="61" customFormat="1" hidden="1" x14ac:dyDescent="0.25">
      <c r="B22" s="61" t="s">
        <v>1291</v>
      </c>
      <c r="E22" s="61" t="s">
        <v>952</v>
      </c>
      <c r="F22" s="80"/>
      <c r="G22" s="80">
        <f>'Allocation ProForma'!G768</f>
        <v>0</v>
      </c>
      <c r="H22" s="80">
        <f>'Allocation ProForma'!H768</f>
        <v>0</v>
      </c>
      <c r="I22" s="80">
        <f>'Allocation ProForma'!I768</f>
        <v>0</v>
      </c>
      <c r="J22" s="80">
        <f>'Allocation ProForma'!J768</f>
        <v>0</v>
      </c>
      <c r="K22" s="80">
        <f>'Allocation ProForma'!K768</f>
        <v>0</v>
      </c>
      <c r="L22" s="80">
        <f>'Allocation ProForma'!L768</f>
        <v>0</v>
      </c>
      <c r="M22" s="80">
        <f>'Allocation ProForma'!M768</f>
        <v>0</v>
      </c>
      <c r="N22" s="80">
        <f>'Allocation ProForma'!N768</f>
        <v>0</v>
      </c>
      <c r="O22" s="80">
        <f>'Allocation ProForma'!O768</f>
        <v>0</v>
      </c>
      <c r="P22" s="80">
        <f>'Allocation ProForma'!P768</f>
        <v>0</v>
      </c>
      <c r="Q22" s="80">
        <f>'Allocation ProForma'!Q768</f>
        <v>0</v>
      </c>
      <c r="R22" s="80">
        <f>'Allocation ProForma'!R768</f>
        <v>0</v>
      </c>
      <c r="S22" s="80">
        <f>'Allocation ProForma'!S768</f>
        <v>0</v>
      </c>
      <c r="T22" s="80">
        <f>'Allocation ProForma'!T768</f>
        <v>0</v>
      </c>
      <c r="U22" s="80">
        <f>'Allocation ProForma'!U768</f>
        <v>0</v>
      </c>
      <c r="V22" s="80">
        <f>'Allocation ProForma'!V768</f>
        <v>0</v>
      </c>
      <c r="W22" s="80">
        <f>'Allocation ProForma'!W768</f>
        <v>0</v>
      </c>
      <c r="X22" s="80">
        <f>'Allocation ProForma'!X768</f>
        <v>0</v>
      </c>
      <c r="Y22" s="80">
        <f>'Allocation ProForma'!Y768</f>
        <v>0</v>
      </c>
      <c r="Z22" s="80">
        <f>'Allocation ProForma'!Z768</f>
        <v>0</v>
      </c>
      <c r="AA22" s="80">
        <f t="shared" si="1"/>
        <v>0</v>
      </c>
      <c r="AB22" s="94" t="str">
        <f t="shared" si="2"/>
        <v>ok</v>
      </c>
    </row>
    <row r="23" spans="1:28" s="61" customFormat="1" hidden="1" x14ac:dyDescent="0.25">
      <c r="B23" s="61" t="s">
        <v>885</v>
      </c>
      <c r="E23" s="61" t="s">
        <v>886</v>
      </c>
      <c r="F23" s="80"/>
      <c r="G23" s="80">
        <f>'Allocation ProForma'!G769</f>
        <v>0</v>
      </c>
      <c r="H23" s="80">
        <f>'Allocation ProForma'!H769</f>
        <v>0</v>
      </c>
      <c r="I23" s="80">
        <f>'Allocation ProForma'!I769</f>
        <v>0</v>
      </c>
      <c r="J23" s="80">
        <f>'Allocation ProForma'!J769</f>
        <v>0</v>
      </c>
      <c r="K23" s="80">
        <f>'Allocation ProForma'!K769</f>
        <v>0</v>
      </c>
      <c r="L23" s="80">
        <f>'Allocation ProForma'!L769</f>
        <v>0</v>
      </c>
      <c r="M23" s="80">
        <f>'Allocation ProForma'!M769</f>
        <v>0</v>
      </c>
      <c r="N23" s="80">
        <f>'Allocation ProForma'!N769</f>
        <v>0</v>
      </c>
      <c r="O23" s="80">
        <f>'Allocation ProForma'!O769</f>
        <v>0</v>
      </c>
      <c r="P23" s="80">
        <f>'Allocation ProForma'!P769</f>
        <v>0</v>
      </c>
      <c r="Q23" s="80">
        <f>'Allocation ProForma'!Q769</f>
        <v>0</v>
      </c>
      <c r="R23" s="80">
        <f>'Allocation ProForma'!R769</f>
        <v>0</v>
      </c>
      <c r="S23" s="80">
        <f>'Allocation ProForma'!S769</f>
        <v>0</v>
      </c>
      <c r="T23" s="80">
        <f>'Allocation ProForma'!T769</f>
        <v>0</v>
      </c>
      <c r="U23" s="80">
        <f>'Allocation ProForma'!U769</f>
        <v>0</v>
      </c>
      <c r="V23" s="80">
        <f>'Allocation ProForma'!V769</f>
        <v>0</v>
      </c>
      <c r="W23" s="80">
        <f>'Allocation ProForma'!W769</f>
        <v>0</v>
      </c>
      <c r="X23" s="80">
        <f>'Allocation ProForma'!X769</f>
        <v>0</v>
      </c>
      <c r="Y23" s="80">
        <f>'Allocation ProForma'!Y769</f>
        <v>0</v>
      </c>
      <c r="Z23" s="80">
        <f>'Allocation ProForma'!Z769</f>
        <v>0</v>
      </c>
      <c r="AA23" s="80">
        <f t="shared" si="1"/>
        <v>0</v>
      </c>
      <c r="AB23" s="94" t="str">
        <f t="shared" si="2"/>
        <v>ok</v>
      </c>
    </row>
    <row r="24" spans="1:28" s="61" customFormat="1" x14ac:dyDescent="0.25">
      <c r="B24" s="61" t="s">
        <v>1370</v>
      </c>
      <c r="F24" s="80">
        <v>-127588</v>
      </c>
      <c r="G24" s="80"/>
      <c r="H24" s="80"/>
      <c r="I24" s="80"/>
      <c r="J24" s="80"/>
      <c r="K24" s="80"/>
      <c r="L24" s="80"/>
      <c r="M24" s="80"/>
      <c r="N24" s="80"/>
      <c r="O24" s="80">
        <f>'Allocation ProForma'!O770</f>
        <v>21060</v>
      </c>
      <c r="P24" s="80"/>
      <c r="Q24" s="80">
        <f>'Allocation ProForma'!Q770</f>
        <v>-148648</v>
      </c>
      <c r="R24" s="80"/>
      <c r="S24" s="80"/>
      <c r="T24" s="80"/>
      <c r="U24" s="80"/>
      <c r="V24" s="80"/>
      <c r="W24" s="80"/>
      <c r="X24" s="80"/>
      <c r="Y24" s="80"/>
      <c r="Z24" s="80"/>
      <c r="AA24" s="80">
        <f t="shared" si="1"/>
        <v>-127588</v>
      </c>
      <c r="AB24" s="94" t="str">
        <f t="shared" si="2"/>
        <v>ok</v>
      </c>
    </row>
    <row r="25" spans="1:28" s="61" customFormat="1" hidden="1" x14ac:dyDescent="0.25">
      <c r="B25" s="112" t="s">
        <v>1197</v>
      </c>
      <c r="E25" s="61" t="s">
        <v>130</v>
      </c>
      <c r="F25" s="80">
        <v>0</v>
      </c>
      <c r="G25" s="80">
        <f>'Allocation ProForma'!G771</f>
        <v>0</v>
      </c>
      <c r="H25" s="80">
        <f>'Allocation ProForma'!H771</f>
        <v>0</v>
      </c>
      <c r="I25" s="80">
        <f>'Allocation ProForma'!I771</f>
        <v>0</v>
      </c>
      <c r="J25" s="80">
        <f>'Allocation ProForma'!J771</f>
        <v>0</v>
      </c>
      <c r="K25" s="80">
        <f>'Allocation ProForma'!K771</f>
        <v>0</v>
      </c>
      <c r="L25" s="80">
        <f>'Allocation ProForma'!L771</f>
        <v>0</v>
      </c>
      <c r="M25" s="80">
        <f>'Allocation ProForma'!M771</f>
        <v>0</v>
      </c>
      <c r="N25" s="80">
        <f>'Allocation ProForma'!N771</f>
        <v>0</v>
      </c>
      <c r="O25" s="80">
        <f>'Allocation ProForma'!O771</f>
        <v>0</v>
      </c>
      <c r="P25" s="80">
        <f>'Allocation ProForma'!P771</f>
        <v>0</v>
      </c>
      <c r="Q25" s="80">
        <f>'Allocation ProForma'!Q771</f>
        <v>0</v>
      </c>
      <c r="R25" s="80">
        <f>'Allocation ProForma'!R771</f>
        <v>0</v>
      </c>
      <c r="S25" s="80">
        <f>'Allocation ProForma'!S771</f>
        <v>0</v>
      </c>
      <c r="T25" s="80">
        <f>'Allocation ProForma'!T771</f>
        <v>0</v>
      </c>
      <c r="U25" s="80">
        <f>'Allocation ProForma'!U771</f>
        <v>0</v>
      </c>
      <c r="V25" s="80">
        <f>'Allocation ProForma'!V771</f>
        <v>0</v>
      </c>
      <c r="W25" s="80">
        <f>'Allocation ProForma'!W771</f>
        <v>0</v>
      </c>
      <c r="X25" s="80">
        <f>'Allocation ProForma'!X771</f>
        <v>0</v>
      </c>
      <c r="Y25" s="80">
        <f>'Allocation ProForma'!Y771</f>
        <v>0</v>
      </c>
      <c r="Z25" s="80">
        <f>'Allocation ProForma'!Z771</f>
        <v>0</v>
      </c>
      <c r="AA25" s="80">
        <f>SUM(G25:Z25)</f>
        <v>0</v>
      </c>
      <c r="AB25" s="94" t="str">
        <f t="shared" si="2"/>
        <v>ok</v>
      </c>
    </row>
    <row r="26" spans="1:28" s="61" customFormat="1" hidden="1" x14ac:dyDescent="0.25">
      <c r="B26" s="61" t="s">
        <v>1337</v>
      </c>
      <c r="E26" s="61" t="s">
        <v>130</v>
      </c>
      <c r="F26" s="80"/>
      <c r="G26" s="80">
        <f>'Allocation ProForma'!G772</f>
        <v>0</v>
      </c>
      <c r="H26" s="80">
        <f>'Allocation ProForma'!H772</f>
        <v>0</v>
      </c>
      <c r="I26" s="80">
        <f>'Allocation ProForma'!I772</f>
        <v>0</v>
      </c>
      <c r="J26" s="80">
        <f>'Allocation ProForma'!J772</f>
        <v>0</v>
      </c>
      <c r="K26" s="80">
        <f>'Allocation ProForma'!K772</f>
        <v>0</v>
      </c>
      <c r="L26" s="80">
        <f>'Allocation ProForma'!L772</f>
        <v>0</v>
      </c>
      <c r="M26" s="80">
        <f>'Allocation ProForma'!M772</f>
        <v>0</v>
      </c>
      <c r="N26" s="80">
        <f>'Allocation ProForma'!N772</f>
        <v>0</v>
      </c>
      <c r="O26" s="80">
        <f>'Allocation ProForma'!O772</f>
        <v>0</v>
      </c>
      <c r="P26" s="80">
        <f>'Allocation ProForma'!P772</f>
        <v>0</v>
      </c>
      <c r="Q26" s="80">
        <f>'Allocation ProForma'!Q772</f>
        <v>0</v>
      </c>
      <c r="R26" s="80">
        <f>'Allocation ProForma'!R772</f>
        <v>0</v>
      </c>
      <c r="S26" s="80">
        <f>'Allocation ProForma'!S772</f>
        <v>0</v>
      </c>
      <c r="T26" s="80">
        <f>'Allocation ProForma'!T772</f>
        <v>0</v>
      </c>
      <c r="U26" s="80">
        <f>'Allocation ProForma'!U772</f>
        <v>0</v>
      </c>
      <c r="V26" s="80">
        <f>'Allocation ProForma'!V772</f>
        <v>0</v>
      </c>
      <c r="W26" s="80">
        <f>'Allocation ProForma'!W772</f>
        <v>0</v>
      </c>
      <c r="X26" s="80">
        <f>'Allocation ProForma'!X772</f>
        <v>0</v>
      </c>
      <c r="Y26" s="80">
        <f>'Allocation ProForma'!Y772</f>
        <v>0</v>
      </c>
      <c r="Z26" s="80">
        <f>'Allocation ProForma'!Z772</f>
        <v>0</v>
      </c>
      <c r="AA26" s="80">
        <f>SUM(G26:Z26)</f>
        <v>0</v>
      </c>
      <c r="AB26" s="94" t="str">
        <f t="shared" si="2"/>
        <v>ok</v>
      </c>
    </row>
    <row r="27" spans="1:28" s="61" customFormat="1" hidden="1" x14ac:dyDescent="0.25">
      <c r="B27" s="245" t="s">
        <v>1198</v>
      </c>
      <c r="E27" s="61" t="s">
        <v>1115</v>
      </c>
      <c r="F27" s="80">
        <v>0</v>
      </c>
      <c r="G27" s="80">
        <f>'Allocation ProForma'!G773</f>
        <v>0</v>
      </c>
      <c r="H27" s="80">
        <f>'Allocation ProForma'!H773</f>
        <v>0</v>
      </c>
      <c r="I27" s="80">
        <f>'Allocation ProForma'!I773</f>
        <v>0</v>
      </c>
      <c r="J27" s="80">
        <f>'Allocation ProForma'!J773</f>
        <v>0</v>
      </c>
      <c r="K27" s="80">
        <f>'Allocation ProForma'!K773</f>
        <v>0</v>
      </c>
      <c r="L27" s="80">
        <f>'Allocation ProForma'!L773</f>
        <v>0</v>
      </c>
      <c r="M27" s="80">
        <f>'Allocation ProForma'!M773</f>
        <v>0</v>
      </c>
      <c r="N27" s="80">
        <f>'Allocation ProForma'!N773</f>
        <v>0</v>
      </c>
      <c r="O27" s="80">
        <f>'Allocation ProForma'!O773</f>
        <v>0</v>
      </c>
      <c r="P27" s="80">
        <f>'Allocation ProForma'!P773</f>
        <v>0</v>
      </c>
      <c r="Q27" s="80">
        <f>'Allocation ProForma'!Q773</f>
        <v>0</v>
      </c>
      <c r="R27" s="80">
        <f>'Allocation ProForma'!R773</f>
        <v>0</v>
      </c>
      <c r="S27" s="80">
        <f>'Allocation ProForma'!S773</f>
        <v>0</v>
      </c>
      <c r="T27" s="80">
        <f>'Allocation ProForma'!T773</f>
        <v>0</v>
      </c>
      <c r="U27" s="80">
        <f>'Allocation ProForma'!U773</f>
        <v>0</v>
      </c>
      <c r="V27" s="80">
        <f>'Allocation ProForma'!V773</f>
        <v>0</v>
      </c>
      <c r="W27" s="80">
        <f>'Allocation ProForma'!W773</f>
        <v>0</v>
      </c>
      <c r="X27" s="80">
        <f>'Allocation ProForma'!X773</f>
        <v>0</v>
      </c>
      <c r="Y27" s="80">
        <f>'Allocation ProForma'!Y773</f>
        <v>0</v>
      </c>
      <c r="Z27" s="80">
        <f>'Allocation ProForma'!Z773</f>
        <v>0</v>
      </c>
      <c r="AA27" s="80">
        <f>SUM(G27:Z27)</f>
        <v>0</v>
      </c>
      <c r="AB27" s="94" t="str">
        <f t="shared" si="2"/>
        <v>ok</v>
      </c>
    </row>
    <row r="28" spans="1:28" s="61" customFormat="1" hidden="1" x14ac:dyDescent="0.25">
      <c r="B28" s="246" t="s">
        <v>942</v>
      </c>
      <c r="E28" s="61" t="s">
        <v>914</v>
      </c>
      <c r="F28" s="80">
        <v>0</v>
      </c>
      <c r="G28" s="80">
        <f>'Allocation ProForma'!G774</f>
        <v>0</v>
      </c>
      <c r="H28" s="80">
        <f>'Allocation ProForma'!H774</f>
        <v>0</v>
      </c>
      <c r="I28" s="80">
        <f>'Allocation ProForma'!I774</f>
        <v>0</v>
      </c>
      <c r="J28" s="80">
        <f>'Allocation ProForma'!J774</f>
        <v>0</v>
      </c>
      <c r="K28" s="80">
        <f>'Allocation ProForma'!K774</f>
        <v>0</v>
      </c>
      <c r="L28" s="80">
        <f>'Allocation ProForma'!L774</f>
        <v>0</v>
      </c>
      <c r="M28" s="80">
        <f>'Allocation ProForma'!M774</f>
        <v>0</v>
      </c>
      <c r="N28" s="80">
        <f>'Allocation ProForma'!N774</f>
        <v>0</v>
      </c>
      <c r="O28" s="80">
        <f>'Allocation ProForma'!O774</f>
        <v>0</v>
      </c>
      <c r="P28" s="80">
        <f>'Allocation ProForma'!P774</f>
        <v>0</v>
      </c>
      <c r="Q28" s="80">
        <f>'Allocation ProForma'!Q774</f>
        <v>0</v>
      </c>
      <c r="R28" s="80">
        <f>'Allocation ProForma'!R774</f>
        <v>0</v>
      </c>
      <c r="S28" s="80">
        <f>'Allocation ProForma'!S774</f>
        <v>0</v>
      </c>
      <c r="T28" s="80">
        <f>'Allocation ProForma'!T774</f>
        <v>0</v>
      </c>
      <c r="U28" s="80">
        <f>'Allocation ProForma'!U774</f>
        <v>0</v>
      </c>
      <c r="V28" s="80">
        <f>'Allocation ProForma'!V774</f>
        <v>0</v>
      </c>
      <c r="W28" s="80">
        <f>'Allocation ProForma'!W774</f>
        <v>0</v>
      </c>
      <c r="X28" s="80">
        <f>'Allocation ProForma'!X774</f>
        <v>0</v>
      </c>
      <c r="Y28" s="80">
        <f>'Allocation ProForma'!Y774</f>
        <v>0</v>
      </c>
      <c r="Z28" s="80">
        <f>'Allocation ProForma'!Z774</f>
        <v>0</v>
      </c>
      <c r="AA28" s="80">
        <f>SUM(G28:Z28)</f>
        <v>0</v>
      </c>
      <c r="AB28" s="94" t="str">
        <f t="shared" si="2"/>
        <v>ok</v>
      </c>
    </row>
    <row r="29" spans="1:28" s="61" customFormat="1" x14ac:dyDescent="0.25">
      <c r="E29" s="113"/>
      <c r="F29" s="81"/>
      <c r="G29" s="81"/>
    </row>
    <row r="30" spans="1:28" s="61" customFormat="1" x14ac:dyDescent="0.25">
      <c r="A30" s="61" t="s">
        <v>137</v>
      </c>
      <c r="E30" s="113"/>
      <c r="F30" s="81">
        <f t="shared" ref="F30:Z30" si="3">SUM(F10:F28)</f>
        <v>1044652044</v>
      </c>
      <c r="G30" s="81">
        <f t="shared" si="3"/>
        <v>432197955.29234767</v>
      </c>
      <c r="H30" s="81">
        <f t="shared" si="3"/>
        <v>147813394.12847397</v>
      </c>
      <c r="I30" s="81">
        <f t="shared" si="3"/>
        <v>0</v>
      </c>
      <c r="J30" s="81">
        <f t="shared" si="3"/>
        <v>12286852.092395021</v>
      </c>
      <c r="K30" s="81">
        <f t="shared" si="3"/>
        <v>165847745.81157878</v>
      </c>
      <c r="L30" s="81">
        <f t="shared" si="3"/>
        <v>0</v>
      </c>
      <c r="M30" s="81">
        <f t="shared" si="3"/>
        <v>0</v>
      </c>
      <c r="N30" s="81">
        <f t="shared" si="3"/>
        <v>135586016.3150208</v>
      </c>
      <c r="O30" s="81">
        <f t="shared" si="3"/>
        <v>78465813.040325284</v>
      </c>
      <c r="P30" s="81">
        <f t="shared" si="3"/>
        <v>44141889.941607863</v>
      </c>
      <c r="Q30" s="81">
        <f t="shared" si="3"/>
        <v>6394249.3774359794</v>
      </c>
      <c r="R30" s="81">
        <f t="shared" si="3"/>
        <v>3501846.2902893177</v>
      </c>
      <c r="S30" s="81">
        <f t="shared" si="3"/>
        <v>17921397.837044191</v>
      </c>
      <c r="T30" s="81">
        <f t="shared" si="3"/>
        <v>214219.50728382313</v>
      </c>
      <c r="U30" s="81">
        <f t="shared" si="3"/>
        <v>280664.36619724357</v>
      </c>
      <c r="V30" s="81">
        <f t="shared" si="3"/>
        <v>0</v>
      </c>
      <c r="W30" s="81">
        <f t="shared" si="3"/>
        <v>0</v>
      </c>
      <c r="X30" s="81">
        <f t="shared" si="3"/>
        <v>0</v>
      </c>
      <c r="Y30" s="81">
        <f t="shared" si="3"/>
        <v>0</v>
      </c>
      <c r="Z30" s="81">
        <f t="shared" si="3"/>
        <v>0</v>
      </c>
      <c r="AA30" s="81">
        <f>SUM(G30:Z30)</f>
        <v>1044652043.9999999</v>
      </c>
      <c r="AB30" s="94" t="str">
        <f>IF(ABS(F30-AA30)&lt;0.01,"ok","err")</f>
        <v>ok</v>
      </c>
    </row>
    <row r="31" spans="1:28" s="61" customFormat="1" ht="16.5" customHeight="1" x14ac:dyDescent="0.25">
      <c r="E31" s="81"/>
      <c r="F31" s="113"/>
    </row>
    <row r="32" spans="1:28" s="61" customFormat="1" x14ac:dyDescent="0.25">
      <c r="E32" s="113"/>
      <c r="F32" s="113"/>
    </row>
    <row r="33" spans="1:28" s="61" customFormat="1" x14ac:dyDescent="0.25">
      <c r="A33" s="66" t="s">
        <v>209</v>
      </c>
      <c r="E33" s="113"/>
      <c r="F33" s="113"/>
      <c r="G33" s="113"/>
    </row>
    <row r="34" spans="1:28" s="61" customFormat="1" x14ac:dyDescent="0.25">
      <c r="E34" s="113"/>
      <c r="F34" s="113"/>
    </row>
    <row r="35" spans="1:28" s="61" customFormat="1" x14ac:dyDescent="0.25">
      <c r="A35" s="66" t="s">
        <v>1139</v>
      </c>
      <c r="F35" s="81"/>
    </row>
    <row r="36" spans="1:28" s="61" customFormat="1" x14ac:dyDescent="0.25"/>
    <row r="37" spans="1:28" x14ac:dyDescent="0.25">
      <c r="A37" s="69" t="s">
        <v>1140</v>
      </c>
      <c r="F37" s="81">
        <f>'Allocation ProForma'!F783</f>
        <v>698592651.78005099</v>
      </c>
      <c r="G37" s="81">
        <f>'Allocation ProForma'!G783</f>
        <v>299652164.7436952</v>
      </c>
      <c r="H37" s="81">
        <f>'Allocation ProForma'!H783</f>
        <v>84996856.45797278</v>
      </c>
      <c r="I37" s="81">
        <f>'Allocation ProForma'!I783</f>
        <v>0</v>
      </c>
      <c r="J37" s="81">
        <f>'Allocation ProForma'!J783</f>
        <v>8188517.9653387209</v>
      </c>
      <c r="K37" s="81">
        <f>'Allocation ProForma'!K783</f>
        <v>101603566.48833007</v>
      </c>
      <c r="L37" s="81">
        <f>'Allocation ProForma'!L783</f>
        <v>0</v>
      </c>
      <c r="M37" s="81">
        <f>'Allocation ProForma'!M783</f>
        <v>0</v>
      </c>
      <c r="N37" s="81">
        <f>'Allocation ProForma'!N783</f>
        <v>98011703.363990307</v>
      </c>
      <c r="O37" s="81">
        <f>'Allocation ProForma'!O783</f>
        <v>52756380.98267249</v>
      </c>
      <c r="P37" s="81">
        <f>'Allocation ProForma'!P783</f>
        <v>37347255.706858248</v>
      </c>
      <c r="Q37" s="81">
        <f>'Allocation ProForma'!Q783</f>
        <v>5237319.2714944091</v>
      </c>
      <c r="R37" s="81">
        <f>'Allocation ProForma'!R783</f>
        <v>2845881.1464185999</v>
      </c>
      <c r="S37" s="81">
        <f>'Allocation ProForma'!S783</f>
        <v>7622707.4820338823</v>
      </c>
      <c r="T37" s="81">
        <f>'Allocation ProForma'!T783</f>
        <v>151836.21026749411</v>
      </c>
      <c r="U37" s="81">
        <f>'Allocation ProForma'!U783</f>
        <v>178461.96097863239</v>
      </c>
      <c r="V37" s="81">
        <f>'Allocation ProForma'!V783</f>
        <v>0</v>
      </c>
      <c r="W37" s="81">
        <f>'Allocation ProForma'!W783</f>
        <v>0</v>
      </c>
      <c r="X37" s="65">
        <f>'Allocation ProForma'!X783</f>
        <v>0</v>
      </c>
      <c r="Y37" s="65">
        <f>'Allocation ProForma'!Y783</f>
        <v>0</v>
      </c>
      <c r="Z37" s="65">
        <f>'Allocation ProForma'!Z783</f>
        <v>0</v>
      </c>
      <c r="AA37" s="65">
        <f>'Allocation ProForma'!AA783</f>
        <v>698592651.78005075</v>
      </c>
      <c r="AB37" s="59" t="str">
        <f t="shared" ref="AB37:AB48" si="4">IF(ABS(F37-AA37)&lt;0.01,"ok","err")</f>
        <v>ok</v>
      </c>
    </row>
    <row r="38" spans="1:28" x14ac:dyDescent="0.25">
      <c r="A38" s="69" t="s">
        <v>1141</v>
      </c>
      <c r="F38" s="80">
        <f>'Allocation ProForma'!F784</f>
        <v>117218434.8450231</v>
      </c>
      <c r="G38" s="80">
        <f>'Allocation ProForma'!G784</f>
        <v>64668068.80177781</v>
      </c>
      <c r="H38" s="80">
        <f>'Allocation ProForma'!H784</f>
        <v>14151439.302020008</v>
      </c>
      <c r="I38" s="80">
        <f>'Allocation ProForma'!I784</f>
        <v>0</v>
      </c>
      <c r="J38" s="80">
        <f>'Allocation ProForma'!J784</f>
        <v>1022265.4769023344</v>
      </c>
      <c r="K38" s="80">
        <f>'Allocation ProForma'!K784</f>
        <v>13301550.216644557</v>
      </c>
      <c r="L38" s="80">
        <f>'Allocation ProForma'!L784</f>
        <v>0</v>
      </c>
      <c r="M38" s="80">
        <f>'Allocation ProForma'!M784</f>
        <v>0</v>
      </c>
      <c r="N38" s="80">
        <f>'Allocation ProForma'!N784</f>
        <v>10673431.354718881</v>
      </c>
      <c r="O38" s="80">
        <f>'Allocation ProForma'!O784</f>
        <v>6549815.8341149148</v>
      </c>
      <c r="P38" s="80">
        <f>'Allocation ProForma'!P784</f>
        <v>2212676.8668894335</v>
      </c>
      <c r="Q38" s="80">
        <f>'Allocation ProForma'!Q784</f>
        <v>560547.52191964735</v>
      </c>
      <c r="R38" s="80">
        <f>'Allocation ProForma'!R784</f>
        <v>353335.64570169331</v>
      </c>
      <c r="S38" s="80">
        <f>'Allocation ProForma'!S784</f>
        <v>3699958.4462729581</v>
      </c>
      <c r="T38" s="80">
        <f>'Allocation ProForma'!T784</f>
        <v>6354.6190189227482</v>
      </c>
      <c r="U38" s="80">
        <f>'Allocation ProForma'!U784</f>
        <v>18990.759041956342</v>
      </c>
      <c r="V38" s="80">
        <f>'Allocation ProForma'!V784</f>
        <v>0</v>
      </c>
      <c r="W38" s="80">
        <f>'Allocation ProForma'!W784</f>
        <v>0</v>
      </c>
      <c r="X38" s="64">
        <f>'Allocation ProForma'!X784</f>
        <v>0</v>
      </c>
      <c r="Y38" s="64">
        <f>'Allocation ProForma'!Y784</f>
        <v>0</v>
      </c>
      <c r="Z38" s="64">
        <f>'Allocation ProForma'!Z784</f>
        <v>0</v>
      </c>
      <c r="AA38" s="64">
        <f>'Allocation ProForma'!AA784</f>
        <v>117218434.84502311</v>
      </c>
      <c r="AB38" s="59" t="str">
        <f t="shared" si="4"/>
        <v>ok</v>
      </c>
    </row>
    <row r="39" spans="1:28" x14ac:dyDescent="0.25">
      <c r="A39" s="112" t="s">
        <v>282</v>
      </c>
      <c r="F39" s="80">
        <f>'Allocation ProForma'!F785</f>
        <v>0</v>
      </c>
      <c r="G39" s="80">
        <f>'Allocation ProForma'!G785</f>
        <v>0</v>
      </c>
      <c r="H39" s="80">
        <f>'Allocation ProForma'!H785</f>
        <v>0</v>
      </c>
      <c r="I39" s="80">
        <f>'Allocation ProForma'!I785</f>
        <v>0</v>
      </c>
      <c r="J39" s="80">
        <f>'Allocation ProForma'!J785</f>
        <v>0</v>
      </c>
      <c r="K39" s="80">
        <f>'Allocation ProForma'!K785</f>
        <v>0</v>
      </c>
      <c r="L39" s="80">
        <f>'Allocation ProForma'!L785</f>
        <v>0</v>
      </c>
      <c r="M39" s="80">
        <f>'Allocation ProForma'!M785</f>
        <v>0</v>
      </c>
      <c r="N39" s="80">
        <f>'Allocation ProForma'!N785</f>
        <v>0</v>
      </c>
      <c r="O39" s="80">
        <f>'Allocation ProForma'!O785</f>
        <v>0</v>
      </c>
      <c r="P39" s="80">
        <f>'Allocation ProForma'!P785</f>
        <v>0</v>
      </c>
      <c r="Q39" s="80">
        <f>'Allocation ProForma'!Q785</f>
        <v>0</v>
      </c>
      <c r="R39" s="80">
        <f>'Allocation ProForma'!R785</f>
        <v>0</v>
      </c>
      <c r="S39" s="80">
        <f>'Allocation ProForma'!S785</f>
        <v>0</v>
      </c>
      <c r="T39" s="80">
        <f>'Allocation ProForma'!T785</f>
        <v>0</v>
      </c>
      <c r="U39" s="80">
        <f>'Allocation ProForma'!U785</f>
        <v>0</v>
      </c>
      <c r="V39" s="80">
        <f>'Allocation ProForma'!V785</f>
        <v>0</v>
      </c>
      <c r="W39" s="80">
        <f>'Allocation ProForma'!W785</f>
        <v>0</v>
      </c>
      <c r="X39" s="64">
        <f>'Allocation ProForma'!X785</f>
        <v>0</v>
      </c>
      <c r="Y39" s="64">
        <f>'Allocation ProForma'!Y785</f>
        <v>0</v>
      </c>
      <c r="Z39" s="64">
        <f>'Allocation ProForma'!Z785</f>
        <v>0</v>
      </c>
      <c r="AA39" s="64">
        <f t="shared" ref="AA39:AA44" si="5">SUM(G39:Z39)</f>
        <v>0</v>
      </c>
      <c r="AB39" s="59" t="str">
        <f t="shared" si="4"/>
        <v>ok</v>
      </c>
    </row>
    <row r="40" spans="1:28" x14ac:dyDescent="0.25">
      <c r="A40" s="69" t="s">
        <v>813</v>
      </c>
      <c r="F40" s="80">
        <f>'Allocation ProForma'!F786</f>
        <v>0</v>
      </c>
      <c r="G40" s="80">
        <f>'Allocation ProForma'!G786</f>
        <v>0</v>
      </c>
      <c r="H40" s="80">
        <f>'Allocation ProForma'!H786</f>
        <v>0</v>
      </c>
      <c r="I40" s="80">
        <f>'Allocation ProForma'!I786</f>
        <v>0</v>
      </c>
      <c r="J40" s="80">
        <f>'Allocation ProForma'!J786</f>
        <v>0</v>
      </c>
      <c r="K40" s="80">
        <f>'Allocation ProForma'!K786</f>
        <v>0</v>
      </c>
      <c r="L40" s="80">
        <f>'Allocation ProForma'!L786</f>
        <v>0</v>
      </c>
      <c r="M40" s="80">
        <f>'Allocation ProForma'!M786</f>
        <v>0</v>
      </c>
      <c r="N40" s="80">
        <f>'Allocation ProForma'!N786</f>
        <v>0</v>
      </c>
      <c r="O40" s="80">
        <f>'Allocation ProForma'!O786</f>
        <v>0</v>
      </c>
      <c r="P40" s="80">
        <f>'Allocation ProForma'!P786</f>
        <v>0</v>
      </c>
      <c r="Q40" s="80">
        <f>'Allocation ProForma'!Q786</f>
        <v>0</v>
      </c>
      <c r="R40" s="80">
        <f>'Allocation ProForma'!R786</f>
        <v>0</v>
      </c>
      <c r="S40" s="80">
        <f>'Allocation ProForma'!S786</f>
        <v>0</v>
      </c>
      <c r="T40" s="80">
        <f>'Allocation ProForma'!T786</f>
        <v>0</v>
      </c>
      <c r="U40" s="80">
        <f>'Allocation ProForma'!U786</f>
        <v>0</v>
      </c>
      <c r="V40" s="80">
        <f>'Allocation ProForma'!V786</f>
        <v>0</v>
      </c>
      <c r="W40" s="80">
        <f>'Allocation ProForma'!W786</f>
        <v>0</v>
      </c>
      <c r="X40" s="64">
        <f>'Allocation ProForma'!X786</f>
        <v>0</v>
      </c>
      <c r="Y40" s="64">
        <f>'Allocation ProForma'!Y786</f>
        <v>0</v>
      </c>
      <c r="Z40" s="64">
        <f>'Allocation ProForma'!Z786</f>
        <v>0</v>
      </c>
      <c r="AA40" s="64">
        <f t="shared" si="5"/>
        <v>0</v>
      </c>
      <c r="AB40" s="59" t="str">
        <f t="shared" si="4"/>
        <v>ok</v>
      </c>
    </row>
    <row r="41" spans="1:28" x14ac:dyDescent="0.25">
      <c r="A41" s="61" t="s">
        <v>1192</v>
      </c>
      <c r="F41" s="80">
        <f>'Allocation ProForma'!F787</f>
        <v>0</v>
      </c>
      <c r="G41" s="80">
        <f>'Allocation ProForma'!G787</f>
        <v>0</v>
      </c>
      <c r="H41" s="80">
        <f>'Allocation ProForma'!H787</f>
        <v>0</v>
      </c>
      <c r="I41" s="80">
        <f>'Allocation ProForma'!I787</f>
        <v>0</v>
      </c>
      <c r="J41" s="80">
        <f>'Allocation ProForma'!J787</f>
        <v>0</v>
      </c>
      <c r="K41" s="80">
        <f>'Allocation ProForma'!K787</f>
        <v>0</v>
      </c>
      <c r="L41" s="80">
        <f>'Allocation ProForma'!L787</f>
        <v>0</v>
      </c>
      <c r="M41" s="80">
        <f>'Allocation ProForma'!M787</f>
        <v>0</v>
      </c>
      <c r="N41" s="80">
        <f>'Allocation ProForma'!N787</f>
        <v>0</v>
      </c>
      <c r="O41" s="80">
        <f>'Allocation ProForma'!O787</f>
        <v>0</v>
      </c>
      <c r="P41" s="80">
        <f>'Allocation ProForma'!P787</f>
        <v>0</v>
      </c>
      <c r="Q41" s="80">
        <f>'Allocation ProForma'!Q787</f>
        <v>0</v>
      </c>
      <c r="R41" s="80">
        <f>'Allocation ProForma'!R787</f>
        <v>0</v>
      </c>
      <c r="S41" s="80">
        <f>'Allocation ProForma'!S787</f>
        <v>0</v>
      </c>
      <c r="T41" s="80">
        <f>'Allocation ProForma'!T787</f>
        <v>0</v>
      </c>
      <c r="U41" s="80">
        <f>'Allocation ProForma'!U787</f>
        <v>0</v>
      </c>
      <c r="V41" s="80">
        <f>'Allocation ProForma'!V787</f>
        <v>0</v>
      </c>
      <c r="W41" s="80">
        <f>'Allocation ProForma'!W787</f>
        <v>0</v>
      </c>
      <c r="X41" s="64">
        <f>'Allocation ProForma'!X787</f>
        <v>0</v>
      </c>
      <c r="Y41" s="64">
        <f>'Allocation ProForma'!Y787</f>
        <v>0</v>
      </c>
      <c r="Z41" s="64">
        <f>'Allocation ProForma'!Z787</f>
        <v>0</v>
      </c>
      <c r="AA41" s="64">
        <f t="shared" si="5"/>
        <v>0</v>
      </c>
      <c r="AB41" s="59" t="str">
        <f t="shared" si="4"/>
        <v>ok</v>
      </c>
    </row>
    <row r="42" spans="1:28" x14ac:dyDescent="0.25">
      <c r="A42" s="61" t="s">
        <v>1193</v>
      </c>
      <c r="F42" s="80">
        <f>'Allocation ProForma'!F788</f>
        <v>0</v>
      </c>
      <c r="G42" s="80">
        <f>'Allocation ProForma'!G788</f>
        <v>0</v>
      </c>
      <c r="H42" s="80">
        <f>'Allocation ProForma'!H788</f>
        <v>0</v>
      </c>
      <c r="I42" s="80">
        <f>'Allocation ProForma'!I788</f>
        <v>0</v>
      </c>
      <c r="J42" s="80">
        <f>'Allocation ProForma'!J788</f>
        <v>0</v>
      </c>
      <c r="K42" s="80">
        <f>'Allocation ProForma'!K788</f>
        <v>0</v>
      </c>
      <c r="L42" s="80">
        <f>'Allocation ProForma'!L788</f>
        <v>0</v>
      </c>
      <c r="M42" s="80">
        <f>'Allocation ProForma'!M788</f>
        <v>0</v>
      </c>
      <c r="N42" s="80">
        <f>'Allocation ProForma'!N788</f>
        <v>0</v>
      </c>
      <c r="O42" s="80">
        <f>'Allocation ProForma'!O788</f>
        <v>0</v>
      </c>
      <c r="P42" s="80">
        <f>'Allocation ProForma'!P788</f>
        <v>0</v>
      </c>
      <c r="Q42" s="80">
        <f>'Allocation ProForma'!Q788</f>
        <v>0</v>
      </c>
      <c r="R42" s="80">
        <f>'Allocation ProForma'!R788</f>
        <v>0</v>
      </c>
      <c r="S42" s="80">
        <f>'Allocation ProForma'!S788</f>
        <v>0</v>
      </c>
      <c r="T42" s="80">
        <f>'Allocation ProForma'!T788</f>
        <v>0</v>
      </c>
      <c r="U42" s="80">
        <f>'Allocation ProForma'!U788</f>
        <v>0</v>
      </c>
      <c r="V42" s="80">
        <f>'Allocation ProForma'!V788</f>
        <v>0</v>
      </c>
      <c r="W42" s="80">
        <f>'Allocation ProForma'!W788</f>
        <v>0</v>
      </c>
      <c r="X42" s="64">
        <f>'Allocation ProForma'!X788</f>
        <v>0</v>
      </c>
      <c r="Y42" s="64">
        <f>'Allocation ProForma'!Y788</f>
        <v>0</v>
      </c>
      <c r="Z42" s="64">
        <f>'Allocation ProForma'!Z788</f>
        <v>0</v>
      </c>
      <c r="AA42" s="64">
        <f t="shared" si="5"/>
        <v>0</v>
      </c>
      <c r="AB42" s="59" t="str">
        <f t="shared" si="4"/>
        <v>ok</v>
      </c>
    </row>
    <row r="43" spans="1:28" x14ac:dyDescent="0.25">
      <c r="A43" s="69" t="s">
        <v>735</v>
      </c>
      <c r="E43" s="61" t="s">
        <v>1124</v>
      </c>
      <c r="F43" s="80">
        <f>'Allocation ProForma'!F789</f>
        <v>29879058.309999939</v>
      </c>
      <c r="G43" s="80">
        <f>'Allocation ProForma'!G789</f>
        <v>16414296.583951592</v>
      </c>
      <c r="H43" s="80">
        <f>'Allocation ProForma'!H789</f>
        <v>3611227.0656116605</v>
      </c>
      <c r="I43" s="80">
        <f>'Allocation ProForma'!I789</f>
        <v>0</v>
      </c>
      <c r="J43" s="80">
        <f>'Allocation ProForma'!J789</f>
        <v>263837.64154841821</v>
      </c>
      <c r="K43" s="80">
        <f>'Allocation ProForma'!K789</f>
        <v>3428636.19106049</v>
      </c>
      <c r="L43" s="80">
        <f>'Allocation ProForma'!L789</f>
        <v>0</v>
      </c>
      <c r="M43" s="80">
        <f>'Allocation ProForma'!M789</f>
        <v>0</v>
      </c>
      <c r="N43" s="80">
        <f>'Allocation ProForma'!N789</f>
        <v>2753018.1697498355</v>
      </c>
      <c r="O43" s="80">
        <f>'Allocation ProForma'!O789</f>
        <v>1688885.7973745184</v>
      </c>
      <c r="P43" s="80">
        <f>'Allocation ProForma'!P789</f>
        <v>575927.75559176644</v>
      </c>
      <c r="Q43" s="80">
        <f>'Allocation ProForma'!Q789</f>
        <v>144453.8635107188</v>
      </c>
      <c r="R43" s="80">
        <f>'Allocation ProForma'!R789</f>
        <v>91223.45848465478</v>
      </c>
      <c r="S43" s="80">
        <f>'Allocation ProForma'!S789</f>
        <v>901197.73793493735</v>
      </c>
      <c r="T43" s="80">
        <f>'Allocation ProForma'!T789</f>
        <v>1547.7925950925746</v>
      </c>
      <c r="U43" s="80">
        <f>'Allocation ProForma'!U789</f>
        <v>4806.2525862550283</v>
      </c>
      <c r="V43" s="80">
        <f>'Allocation ProForma'!V789</f>
        <v>0</v>
      </c>
      <c r="W43" s="80">
        <f>'Allocation ProForma'!W789</f>
        <v>0</v>
      </c>
      <c r="X43" s="64">
        <f>'Allocation ProForma'!X789</f>
        <v>0</v>
      </c>
      <c r="Y43" s="64">
        <f>'Allocation ProForma'!Y789</f>
        <v>0</v>
      </c>
      <c r="Z43" s="64">
        <f>'Allocation ProForma'!Z789</f>
        <v>0</v>
      </c>
      <c r="AA43" s="64">
        <f t="shared" si="5"/>
        <v>29879058.309999935</v>
      </c>
      <c r="AB43" s="59" t="str">
        <f t="shared" si="4"/>
        <v>ok</v>
      </c>
    </row>
    <row r="44" spans="1:28" x14ac:dyDescent="0.25">
      <c r="A44" s="69" t="s">
        <v>736</v>
      </c>
      <c r="F44" s="80">
        <f>'Allocation ProForma'!F790</f>
        <v>-1214862</v>
      </c>
      <c r="G44" s="80">
        <f>'Allocation ProForma'!G790</f>
        <v>-667394.03128708049</v>
      </c>
      <c r="H44" s="80">
        <f>'Allocation ProForma'!H790</f>
        <v>-146830.0135119996</v>
      </c>
      <c r="I44" s="80">
        <f>'Allocation ProForma'!I790</f>
        <v>0</v>
      </c>
      <c r="J44" s="80">
        <f>'Allocation ProForma'!J790</f>
        <v>-10727.457390433237</v>
      </c>
      <c r="K44" s="80">
        <f>'Allocation ProForma'!K790</f>
        <v>-139405.99389472985</v>
      </c>
      <c r="L44" s="80">
        <f>'Allocation ProForma'!L790</f>
        <v>0</v>
      </c>
      <c r="M44" s="80">
        <f>'Allocation ProForma'!M790</f>
        <v>0</v>
      </c>
      <c r="N44" s="80">
        <f>'Allocation ProForma'!N790</f>
        <v>-111935.82893538762</v>
      </c>
      <c r="O44" s="80">
        <f>'Allocation ProForma'!O790</f>
        <v>-68668.937162698887</v>
      </c>
      <c r="P44" s="80">
        <f>'Allocation ProForma'!P790</f>
        <v>-23416.827188946503</v>
      </c>
      <c r="Q44" s="80">
        <f>'Allocation ProForma'!Q790</f>
        <v>-5873.3949280330989</v>
      </c>
      <c r="R44" s="80">
        <f>'Allocation ProForma'!R790</f>
        <v>-3709.0832004064223</v>
      </c>
      <c r="S44" s="80">
        <f>'Allocation ProForma'!S790</f>
        <v>-36642.081385031313</v>
      </c>
      <c r="T44" s="80">
        <f>'Allocation ProForma'!T790</f>
        <v>-62.932184413256344</v>
      </c>
      <c r="U44" s="80">
        <f>'Allocation ProForma'!U790</f>
        <v>-195.4189308398912</v>
      </c>
      <c r="V44" s="80">
        <f>'Allocation ProForma'!V790</f>
        <v>0</v>
      </c>
      <c r="W44" s="80">
        <f>'Allocation ProForma'!W790</f>
        <v>0</v>
      </c>
      <c r="X44" s="64">
        <f>'Allocation ProForma'!X790</f>
        <v>0</v>
      </c>
      <c r="Y44" s="64">
        <f>'Allocation ProForma'!Y790</f>
        <v>0</v>
      </c>
      <c r="Z44" s="64">
        <f>'Allocation ProForma'!Z790</f>
        <v>0</v>
      </c>
      <c r="AA44" s="64">
        <f t="shared" si="5"/>
        <v>-1214862.0000000005</v>
      </c>
      <c r="AB44" s="59" t="str">
        <f t="shared" si="4"/>
        <v>ok</v>
      </c>
    </row>
    <row r="45" spans="1:28" x14ac:dyDescent="0.25">
      <c r="A45" s="69" t="s">
        <v>700</v>
      </c>
      <c r="F45" s="80">
        <f>'Allocation ProForma'!F791</f>
        <v>0</v>
      </c>
      <c r="G45" s="80">
        <f>'Allocation ProForma'!G791</f>
        <v>0</v>
      </c>
      <c r="H45" s="80">
        <f>'Allocation ProForma'!H791</f>
        <v>0</v>
      </c>
      <c r="I45" s="80">
        <f>'Allocation ProForma'!I791</f>
        <v>0</v>
      </c>
      <c r="J45" s="80">
        <f>'Allocation ProForma'!J791</f>
        <v>0</v>
      </c>
      <c r="K45" s="80">
        <f>'Allocation ProForma'!K791</f>
        <v>0</v>
      </c>
      <c r="L45" s="80">
        <f>'Allocation ProForma'!L791</f>
        <v>0</v>
      </c>
      <c r="M45" s="80">
        <f>'Allocation ProForma'!M791</f>
        <v>0</v>
      </c>
      <c r="N45" s="80">
        <f>'Allocation ProForma'!N791</f>
        <v>0</v>
      </c>
      <c r="O45" s="80">
        <f>'Allocation ProForma'!O791</f>
        <v>0</v>
      </c>
      <c r="P45" s="80">
        <f>'Allocation ProForma'!P791</f>
        <v>0</v>
      </c>
      <c r="Q45" s="80">
        <f>'Allocation ProForma'!Q791</f>
        <v>0</v>
      </c>
      <c r="R45" s="80">
        <f>'Allocation ProForma'!R791</f>
        <v>0</v>
      </c>
      <c r="S45" s="80">
        <f>'Allocation ProForma'!S791</f>
        <v>0</v>
      </c>
      <c r="T45" s="80">
        <f>'Allocation ProForma'!T791</f>
        <v>0</v>
      </c>
      <c r="U45" s="80">
        <f>'Allocation ProForma'!U791</f>
        <v>0</v>
      </c>
      <c r="V45" s="80">
        <f>'Allocation ProForma'!V791</f>
        <v>0</v>
      </c>
      <c r="W45" s="80">
        <f>'Allocation ProForma'!W791</f>
        <v>0</v>
      </c>
      <c r="X45" s="64">
        <f>'Allocation ProForma'!X791</f>
        <v>0</v>
      </c>
      <c r="Y45" s="64">
        <f>'Allocation ProForma'!Y791</f>
        <v>0</v>
      </c>
      <c r="Z45" s="64">
        <f>'Allocation ProForma'!Z791</f>
        <v>0</v>
      </c>
      <c r="AA45" s="64">
        <f>'Allocation ProForma'!AA791</f>
        <v>0</v>
      </c>
      <c r="AB45" s="59" t="str">
        <f t="shared" si="4"/>
        <v>ok</v>
      </c>
    </row>
    <row r="46" spans="1:28" x14ac:dyDescent="0.25">
      <c r="A46" s="69" t="s">
        <v>207</v>
      </c>
      <c r="E46" s="61" t="s">
        <v>850</v>
      </c>
      <c r="F46" s="80">
        <f>'Allocation ProForma'!F792</f>
        <v>58309040.079131931</v>
      </c>
      <c r="G46" s="80">
        <f>'Allocation ProForma'!G792</f>
        <v>8884688.3564444762</v>
      </c>
      <c r="H46" s="80">
        <f>'Allocation ProForma'!H792</f>
        <v>14804524.038899226</v>
      </c>
      <c r="I46" s="80">
        <f>'Allocation ProForma'!I792</f>
        <v>0</v>
      </c>
      <c r="J46" s="80">
        <f>'Allocation ProForma'!J792</f>
        <v>914241.42838988325</v>
      </c>
      <c r="K46" s="80">
        <f>'Allocation ProForma'!K792</f>
        <v>15981179.259946093</v>
      </c>
      <c r="L46" s="80">
        <f>'Allocation ProForma'!L792</f>
        <v>0</v>
      </c>
      <c r="M46" s="80">
        <f>'Allocation ProForma'!M792</f>
        <v>0</v>
      </c>
      <c r="N46" s="80">
        <f>'Allocation ProForma'!N792</f>
        <v>7666936.2667275071</v>
      </c>
      <c r="O46" s="80">
        <f>'Allocation ProForma'!O792</f>
        <v>5640543.6564758103</v>
      </c>
      <c r="P46" s="80">
        <f>'Allocation ProForma'!P792</f>
        <v>2619772.0748499441</v>
      </c>
      <c r="Q46" s="80">
        <f>'Allocation ProForma'!Q792</f>
        <v>150296.42356488045</v>
      </c>
      <c r="R46" s="80">
        <f>'Allocation ProForma'!R792</f>
        <v>28674.496751144899</v>
      </c>
      <c r="S46" s="80">
        <f>'Allocation ProForma'!S792</f>
        <v>1572521.1814092726</v>
      </c>
      <c r="T46" s="80">
        <f>'Allocation ProForma'!T792</f>
        <v>19506.591304398335</v>
      </c>
      <c r="U46" s="80">
        <f>'Allocation ProForma'!U792</f>
        <v>26156.304369367481</v>
      </c>
      <c r="V46" s="80">
        <f>'Allocation ProForma'!V792</f>
        <v>0</v>
      </c>
      <c r="W46" s="80">
        <f>'Allocation ProForma'!W792</f>
        <v>0</v>
      </c>
      <c r="X46" s="64">
        <f>'Allocation ProForma'!X792</f>
        <v>0</v>
      </c>
      <c r="Y46" s="64">
        <f>'Allocation ProForma'!Y792</f>
        <v>0</v>
      </c>
      <c r="Z46" s="64">
        <f>'Allocation ProForma'!Z792</f>
        <v>0</v>
      </c>
      <c r="AA46" s="64">
        <f>SUM(G46:Z46)</f>
        <v>58309040.079131998</v>
      </c>
      <c r="AB46" s="59" t="str">
        <f t="shared" si="4"/>
        <v>ok</v>
      </c>
    </row>
    <row r="47" spans="1:28" x14ac:dyDescent="0.25">
      <c r="A47" s="69" t="s">
        <v>708</v>
      </c>
      <c r="F47" s="80">
        <f>'Allocation ProForma'!F793</f>
        <v>-3438312</v>
      </c>
      <c r="G47" s="80">
        <f>'Allocation ProForma'!G793</f>
        <v>0</v>
      </c>
      <c r="H47" s="80">
        <f>'Allocation ProForma'!H793</f>
        <v>0</v>
      </c>
      <c r="I47" s="80">
        <f>'Allocation ProForma'!I793</f>
        <v>0</v>
      </c>
      <c r="J47" s="80">
        <f>'Allocation ProForma'!J793</f>
        <v>0</v>
      </c>
      <c r="K47" s="80">
        <f>'Allocation ProForma'!K793</f>
        <v>0</v>
      </c>
      <c r="L47" s="80">
        <f>'Allocation ProForma'!L793</f>
        <v>0</v>
      </c>
      <c r="M47" s="80">
        <f>'Allocation ProForma'!M793</f>
        <v>0</v>
      </c>
      <c r="N47" s="80">
        <f>'Allocation ProForma'!N793</f>
        <v>0</v>
      </c>
      <c r="O47" s="80">
        <f>'Allocation ProForma'!O793</f>
        <v>0</v>
      </c>
      <c r="P47" s="80">
        <f>'Allocation ProForma'!P793</f>
        <v>-3438312</v>
      </c>
      <c r="Q47" s="80">
        <f>'Allocation ProForma'!Q793</f>
        <v>0</v>
      </c>
      <c r="R47" s="80">
        <f>'Allocation ProForma'!R793</f>
        <v>0</v>
      </c>
      <c r="S47" s="80">
        <f>'Allocation ProForma'!S793</f>
        <v>0</v>
      </c>
      <c r="T47" s="80">
        <f>'Allocation ProForma'!T793</f>
        <v>0</v>
      </c>
      <c r="U47" s="80">
        <f>'Allocation ProForma'!U793</f>
        <v>0</v>
      </c>
      <c r="V47" s="80">
        <f>'Allocation ProForma'!V793</f>
        <v>0</v>
      </c>
      <c r="W47" s="80">
        <f>'Allocation ProForma'!W793</f>
        <v>0</v>
      </c>
      <c r="X47" s="64">
        <f>'Allocation ProForma'!X793</f>
        <v>0</v>
      </c>
      <c r="Y47" s="64">
        <f>'Allocation ProForma'!Y793</f>
        <v>0</v>
      </c>
      <c r="Z47" s="64">
        <f>'Allocation ProForma'!Z793</f>
        <v>0</v>
      </c>
      <c r="AA47" s="64">
        <f>SUM(G47:Z47)</f>
        <v>-3438312</v>
      </c>
      <c r="AB47" s="59" t="str">
        <f t="shared" si="4"/>
        <v>ok</v>
      </c>
    </row>
    <row r="48" spans="1:28" x14ac:dyDescent="0.25">
      <c r="A48" s="69" t="s">
        <v>709</v>
      </c>
      <c r="E48" s="61" t="s">
        <v>710</v>
      </c>
      <c r="F48" s="80">
        <f>'Allocation ProForma'!F794</f>
        <v>3438312</v>
      </c>
      <c r="G48" s="80">
        <f>'Allocation ProForma'!G794</f>
        <v>1716605.785352347</v>
      </c>
      <c r="H48" s="80">
        <f>'Allocation ProForma'!H794</f>
        <v>425492.59560746321</v>
      </c>
      <c r="I48" s="80">
        <f>'Allocation ProForma'!I794</f>
        <v>0</v>
      </c>
      <c r="J48" s="80">
        <f>'Allocation ProForma'!J794</f>
        <v>38428.615429308375</v>
      </c>
      <c r="K48" s="80">
        <f>'Allocation ProForma'!K794</f>
        <v>488699.19441685366</v>
      </c>
      <c r="L48" s="80">
        <f>'Allocation ProForma'!L794</f>
        <v>0</v>
      </c>
      <c r="M48" s="80">
        <f>'Allocation ProForma'!M794</f>
        <v>0</v>
      </c>
      <c r="N48" s="80">
        <f>'Allocation ProForma'!N794</f>
        <v>396831.61628918949</v>
      </c>
      <c r="O48" s="80">
        <f>'Allocation ProForma'!O794</f>
        <v>242170.74316397536</v>
      </c>
      <c r="P48" s="80">
        <f>'Allocation ProForma'!P794</f>
        <v>95747.55506104957</v>
      </c>
      <c r="Q48" s="80">
        <f>'Allocation ProForma'!Q794</f>
        <v>20506.325697155196</v>
      </c>
      <c r="R48" s="80">
        <f>'Allocation ProForma'!R794</f>
        <v>13361.844585213275</v>
      </c>
      <c r="S48" s="80">
        <f>'Allocation ProForma'!S794</f>
        <v>0</v>
      </c>
      <c r="T48" s="80">
        <f>'Allocation ProForma'!T794</f>
        <v>0</v>
      </c>
      <c r="U48" s="80">
        <f>'Allocation ProForma'!U794</f>
        <v>467.72439744527958</v>
      </c>
      <c r="V48" s="80">
        <f>'Allocation ProForma'!V794</f>
        <v>0</v>
      </c>
      <c r="W48" s="80">
        <f>'Allocation ProForma'!W794</f>
        <v>0</v>
      </c>
      <c r="X48" s="64">
        <f>'Allocation ProForma'!X794</f>
        <v>0</v>
      </c>
      <c r="Y48" s="64">
        <f>'Allocation ProForma'!Y794</f>
        <v>0</v>
      </c>
      <c r="Z48" s="64">
        <f>'Allocation ProForma'!Z794</f>
        <v>0</v>
      </c>
      <c r="AA48" s="64">
        <f>SUM(G48:Z48)</f>
        <v>3438312.0000000005</v>
      </c>
      <c r="AB48" s="59" t="str">
        <f t="shared" si="4"/>
        <v>ok</v>
      </c>
    </row>
    <row r="49" spans="1:28" x14ac:dyDescent="0.25">
      <c r="A49" s="69"/>
      <c r="D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64"/>
      <c r="Y49" s="64"/>
      <c r="Z49" s="64"/>
      <c r="AA49" s="64"/>
      <c r="AB49" s="59"/>
    </row>
    <row r="50" spans="1:28" x14ac:dyDescent="0.25">
      <c r="A50" s="61" t="s">
        <v>208</v>
      </c>
      <c r="AA50" s="65"/>
      <c r="AB50" s="59"/>
    </row>
    <row r="51" spans="1:28" s="61" customFormat="1" hidden="1" x14ac:dyDescent="0.25">
      <c r="B51" s="61" t="s">
        <v>696</v>
      </c>
      <c r="E51" s="61" t="s">
        <v>952</v>
      </c>
      <c r="F51" s="334"/>
      <c r="G51" s="77">
        <f>'Allocation ProForma'!G797</f>
        <v>0</v>
      </c>
      <c r="H51" s="77">
        <f>'Allocation ProForma'!H797</f>
        <v>0</v>
      </c>
      <c r="I51" s="77">
        <f>'Allocation ProForma'!I797</f>
        <v>0</v>
      </c>
      <c r="J51" s="77">
        <f>'Allocation ProForma'!J797</f>
        <v>0</v>
      </c>
      <c r="K51" s="77">
        <f>'Allocation ProForma'!K797</f>
        <v>0</v>
      </c>
      <c r="L51" s="77">
        <f>'Allocation ProForma'!L797</f>
        <v>0</v>
      </c>
      <c r="M51" s="77">
        <f>'Allocation ProForma'!M797</f>
        <v>0</v>
      </c>
      <c r="N51" s="77">
        <f>'Allocation ProForma'!N797</f>
        <v>0</v>
      </c>
      <c r="O51" s="77">
        <f>'Allocation ProForma'!O797</f>
        <v>0</v>
      </c>
      <c r="P51" s="77">
        <f>'Allocation ProForma'!P797</f>
        <v>0</v>
      </c>
      <c r="Q51" s="77">
        <f>'Allocation ProForma'!Q797</f>
        <v>0</v>
      </c>
      <c r="R51" s="77">
        <f>'Allocation ProForma'!R797</f>
        <v>0</v>
      </c>
      <c r="S51" s="77">
        <f>'Allocation ProForma'!S797</f>
        <v>0</v>
      </c>
      <c r="T51" s="77">
        <f>'Allocation ProForma'!T797</f>
        <v>0</v>
      </c>
      <c r="U51" s="77">
        <f>'Allocation ProForma'!U797</f>
        <v>0</v>
      </c>
      <c r="V51" s="77">
        <f>'Allocation ProForma'!V797</f>
        <v>0</v>
      </c>
      <c r="W51" s="77">
        <f>'Allocation ProForma'!W797</f>
        <v>0</v>
      </c>
      <c r="X51" s="80">
        <f>'Allocation ProForma'!X797</f>
        <v>0</v>
      </c>
      <c r="Y51" s="80">
        <f>'Allocation ProForma'!Y797</f>
        <v>0</v>
      </c>
      <c r="Z51" s="80">
        <f>'Allocation ProForma'!Z797</f>
        <v>0</v>
      </c>
      <c r="AA51" s="81">
        <f>SUM(G51:Z51)</f>
        <v>0</v>
      </c>
      <c r="AB51" s="94" t="str">
        <f t="shared" ref="AB51:AB82" si="6">IF(ABS(F51-AA51)&lt;0.01,"ok","err")</f>
        <v>ok</v>
      </c>
    </row>
    <row r="52" spans="1:28" s="61" customFormat="1" hidden="1" x14ac:dyDescent="0.25">
      <c r="B52" s="61" t="s">
        <v>697</v>
      </c>
      <c r="E52" s="61" t="s">
        <v>701</v>
      </c>
      <c r="F52" s="330"/>
      <c r="G52" s="80">
        <f>'Allocation ProForma'!G798</f>
        <v>0</v>
      </c>
      <c r="H52" s="80">
        <f>'Allocation ProForma'!H798</f>
        <v>0</v>
      </c>
      <c r="I52" s="80">
        <f>'Allocation ProForma'!I798</f>
        <v>0</v>
      </c>
      <c r="J52" s="80">
        <f>'Allocation ProForma'!J798</f>
        <v>0</v>
      </c>
      <c r="K52" s="80">
        <f>'Allocation ProForma'!K798</f>
        <v>0</v>
      </c>
      <c r="L52" s="80">
        <f>'Allocation ProForma'!L798</f>
        <v>0</v>
      </c>
      <c r="M52" s="80">
        <f>'Allocation ProForma'!M798</f>
        <v>0</v>
      </c>
      <c r="N52" s="80">
        <f>'Allocation ProForma'!N798</f>
        <v>0</v>
      </c>
      <c r="O52" s="80">
        <f>'Allocation ProForma'!O798</f>
        <v>0</v>
      </c>
      <c r="P52" s="80">
        <f>'Allocation ProForma'!P798</f>
        <v>0</v>
      </c>
      <c r="Q52" s="80">
        <f>'Allocation ProForma'!Q798</f>
        <v>0</v>
      </c>
      <c r="R52" s="80">
        <f>'Allocation ProForma'!R798</f>
        <v>0</v>
      </c>
      <c r="S52" s="80">
        <f>'Allocation ProForma'!S798</f>
        <v>0</v>
      </c>
      <c r="T52" s="80">
        <f>'Allocation ProForma'!T798</f>
        <v>0</v>
      </c>
      <c r="U52" s="80">
        <f>'Allocation ProForma'!U798</f>
        <v>0</v>
      </c>
      <c r="V52" s="80">
        <f>'Allocation ProForma'!V798</f>
        <v>0</v>
      </c>
      <c r="W52" s="80">
        <f>'Allocation ProForma'!W798</f>
        <v>0</v>
      </c>
      <c r="X52" s="80">
        <f>'Allocation ProForma'!X798</f>
        <v>0</v>
      </c>
      <c r="Y52" s="80">
        <f>'Allocation ProForma'!Y798</f>
        <v>0</v>
      </c>
      <c r="Z52" s="80">
        <f>'Allocation ProForma'!Z798</f>
        <v>0</v>
      </c>
      <c r="AA52" s="80">
        <f t="shared" ref="AA52:AA81" si="7">SUM(G52:Z52)</f>
        <v>0</v>
      </c>
      <c r="AB52" s="94" t="str">
        <f t="shared" si="6"/>
        <v>ok</v>
      </c>
    </row>
    <row r="53" spans="1:28" s="61" customFormat="1" hidden="1" x14ac:dyDescent="0.25">
      <c r="B53" s="61" t="s">
        <v>281</v>
      </c>
      <c r="E53" s="61" t="s">
        <v>1276</v>
      </c>
      <c r="F53" s="330"/>
      <c r="G53" s="80">
        <f>'Allocation ProForma'!G799</f>
        <v>0</v>
      </c>
      <c r="H53" s="80">
        <f>'Allocation ProForma'!H799</f>
        <v>0</v>
      </c>
      <c r="I53" s="80">
        <f>'Allocation ProForma'!I799</f>
        <v>0</v>
      </c>
      <c r="J53" s="80">
        <f>'Allocation ProForma'!J799</f>
        <v>0</v>
      </c>
      <c r="K53" s="80">
        <f>'Allocation ProForma'!K799</f>
        <v>0</v>
      </c>
      <c r="L53" s="80">
        <f>'Allocation ProForma'!L799</f>
        <v>0</v>
      </c>
      <c r="M53" s="80">
        <f>'Allocation ProForma'!M799</f>
        <v>0</v>
      </c>
      <c r="N53" s="80">
        <f>'Allocation ProForma'!N799</f>
        <v>0</v>
      </c>
      <c r="O53" s="80">
        <f>'Allocation ProForma'!O799</f>
        <v>0</v>
      </c>
      <c r="P53" s="80">
        <f>'Allocation ProForma'!P799</f>
        <v>0</v>
      </c>
      <c r="Q53" s="80">
        <f>'Allocation ProForma'!Q799</f>
        <v>0</v>
      </c>
      <c r="R53" s="80">
        <f>'Allocation ProForma'!R799</f>
        <v>0</v>
      </c>
      <c r="S53" s="80">
        <f>'Allocation ProForma'!S799</f>
        <v>0</v>
      </c>
      <c r="T53" s="80">
        <f>'Allocation ProForma'!T799</f>
        <v>0</v>
      </c>
      <c r="U53" s="80">
        <f>'Allocation ProForma'!U799</f>
        <v>0</v>
      </c>
      <c r="V53" s="80">
        <f>'Allocation ProForma'!V799</f>
        <v>0</v>
      </c>
      <c r="W53" s="80">
        <f>'Allocation ProForma'!W799</f>
        <v>0</v>
      </c>
      <c r="X53" s="80">
        <f>'Allocation ProForma'!X799</f>
        <v>0</v>
      </c>
      <c r="Y53" s="80">
        <f>'Allocation ProForma'!Y799</f>
        <v>0</v>
      </c>
      <c r="Z53" s="80">
        <f>'Allocation ProForma'!Z799</f>
        <v>0</v>
      </c>
      <c r="AA53" s="80">
        <f>SUM(G53:Z53)</f>
        <v>0</v>
      </c>
      <c r="AB53" s="94" t="str">
        <f t="shared" si="6"/>
        <v>ok</v>
      </c>
    </row>
    <row r="54" spans="1:28" s="61" customFormat="1" hidden="1" x14ac:dyDescent="0.25">
      <c r="B54" s="61" t="s">
        <v>698</v>
      </c>
      <c r="E54" s="61" t="s">
        <v>952</v>
      </c>
      <c r="F54" s="330"/>
      <c r="G54" s="80">
        <f>'Allocation ProForma'!G800</f>
        <v>0</v>
      </c>
      <c r="H54" s="80">
        <f>'Allocation ProForma'!H800</f>
        <v>0</v>
      </c>
      <c r="I54" s="80">
        <f>'Allocation ProForma'!I800</f>
        <v>0</v>
      </c>
      <c r="J54" s="80">
        <f>'Allocation ProForma'!J800</f>
        <v>0</v>
      </c>
      <c r="K54" s="80">
        <f>'Allocation ProForma'!K800</f>
        <v>0</v>
      </c>
      <c r="L54" s="80">
        <f>'Allocation ProForma'!L800</f>
        <v>0</v>
      </c>
      <c r="M54" s="80">
        <f>'Allocation ProForma'!M800</f>
        <v>0</v>
      </c>
      <c r="N54" s="80">
        <f>'Allocation ProForma'!N800</f>
        <v>0</v>
      </c>
      <c r="O54" s="80">
        <f>'Allocation ProForma'!O800</f>
        <v>0</v>
      </c>
      <c r="P54" s="80">
        <f>'Allocation ProForma'!P800</f>
        <v>0</v>
      </c>
      <c r="Q54" s="80">
        <f>'Allocation ProForma'!Q800</f>
        <v>0</v>
      </c>
      <c r="R54" s="80">
        <f>'Allocation ProForma'!R800</f>
        <v>0</v>
      </c>
      <c r="S54" s="80">
        <f>'Allocation ProForma'!S800</f>
        <v>0</v>
      </c>
      <c r="T54" s="80">
        <f>'Allocation ProForma'!T800</f>
        <v>0</v>
      </c>
      <c r="U54" s="80">
        <f>'Allocation ProForma'!U800</f>
        <v>0</v>
      </c>
      <c r="V54" s="80">
        <f>'Allocation ProForma'!V800</f>
        <v>0</v>
      </c>
      <c r="W54" s="80">
        <f>'Allocation ProForma'!W800</f>
        <v>0</v>
      </c>
      <c r="X54" s="80">
        <f>'Allocation ProForma'!X800</f>
        <v>0</v>
      </c>
      <c r="Y54" s="80">
        <f>'Allocation ProForma'!Y800</f>
        <v>0</v>
      </c>
      <c r="Z54" s="80">
        <f>'Allocation ProForma'!Z800</f>
        <v>0</v>
      </c>
      <c r="AA54" s="80">
        <f t="shared" si="7"/>
        <v>0</v>
      </c>
      <c r="AB54" s="94" t="str">
        <f t="shared" si="6"/>
        <v>ok</v>
      </c>
    </row>
    <row r="55" spans="1:28" s="61" customFormat="1" hidden="1" x14ac:dyDescent="0.25">
      <c r="B55" s="61" t="s">
        <v>1333</v>
      </c>
      <c r="E55" s="61" t="s">
        <v>1275</v>
      </c>
      <c r="F55" s="330"/>
      <c r="G55" s="80">
        <f>'Allocation ProForma'!G801</f>
        <v>0</v>
      </c>
      <c r="H55" s="80">
        <f>'Allocation ProForma'!H801</f>
        <v>0</v>
      </c>
      <c r="I55" s="80">
        <f>'Allocation ProForma'!I801</f>
        <v>0</v>
      </c>
      <c r="J55" s="80">
        <f>'Allocation ProForma'!J801</f>
        <v>0</v>
      </c>
      <c r="K55" s="80">
        <f>'Allocation ProForma'!K801</f>
        <v>0</v>
      </c>
      <c r="L55" s="80">
        <f>'Allocation ProForma'!L801</f>
        <v>0</v>
      </c>
      <c r="M55" s="80">
        <f>'Allocation ProForma'!M801</f>
        <v>0</v>
      </c>
      <c r="N55" s="80">
        <f>'Allocation ProForma'!N801</f>
        <v>0</v>
      </c>
      <c r="O55" s="80">
        <f>'Allocation ProForma'!O801</f>
        <v>0</v>
      </c>
      <c r="P55" s="80">
        <f>'Allocation ProForma'!P801</f>
        <v>0</v>
      </c>
      <c r="Q55" s="80">
        <f>'Allocation ProForma'!Q801</f>
        <v>0</v>
      </c>
      <c r="R55" s="80">
        <f>'Allocation ProForma'!R801</f>
        <v>0</v>
      </c>
      <c r="S55" s="80">
        <f>'Allocation ProForma'!S801</f>
        <v>0</v>
      </c>
      <c r="T55" s="80">
        <f>'Allocation ProForma'!T801</f>
        <v>0</v>
      </c>
      <c r="U55" s="80">
        <f>'Allocation ProForma'!U801</f>
        <v>0</v>
      </c>
      <c r="V55" s="80">
        <f>'Allocation ProForma'!V801</f>
        <v>0</v>
      </c>
      <c r="W55" s="80">
        <f>'Allocation ProForma'!W801</f>
        <v>0</v>
      </c>
      <c r="X55" s="80">
        <f>'Allocation ProForma'!X801</f>
        <v>0</v>
      </c>
      <c r="Y55" s="80">
        <f>'Allocation ProForma'!Y801</f>
        <v>0</v>
      </c>
      <c r="Z55" s="80">
        <f>'Allocation ProForma'!Z801</f>
        <v>0</v>
      </c>
      <c r="AA55" s="80">
        <f>SUM(G55:Z55)</f>
        <v>0</v>
      </c>
      <c r="AB55" s="94" t="str">
        <f>IF(ABS(F55-AA55)&lt;0.01,"ok","err")</f>
        <v>ok</v>
      </c>
    </row>
    <row r="56" spans="1:28" s="61" customFormat="1" hidden="1" x14ac:dyDescent="0.25">
      <c r="B56" s="61" t="s">
        <v>1298</v>
      </c>
      <c r="E56" s="61" t="s">
        <v>886</v>
      </c>
      <c r="F56" s="330"/>
      <c r="G56" s="80">
        <f>'Allocation ProForma'!G802</f>
        <v>0</v>
      </c>
      <c r="H56" s="80">
        <f>'Allocation ProForma'!H802</f>
        <v>0</v>
      </c>
      <c r="I56" s="80">
        <f>'Allocation ProForma'!I802</f>
        <v>0</v>
      </c>
      <c r="J56" s="80">
        <f>'Allocation ProForma'!J802</f>
        <v>0</v>
      </c>
      <c r="K56" s="80">
        <f>'Allocation ProForma'!K802</f>
        <v>0</v>
      </c>
      <c r="L56" s="80">
        <f>'Allocation ProForma'!L802</f>
        <v>0</v>
      </c>
      <c r="M56" s="80">
        <f>'Allocation ProForma'!M802</f>
        <v>0</v>
      </c>
      <c r="N56" s="80">
        <f>'Allocation ProForma'!N802</f>
        <v>0</v>
      </c>
      <c r="O56" s="80">
        <f>'Allocation ProForma'!O802</f>
        <v>0</v>
      </c>
      <c r="P56" s="80">
        <f>'Allocation ProForma'!P802</f>
        <v>0</v>
      </c>
      <c r="Q56" s="80">
        <f>'Allocation ProForma'!Q802</f>
        <v>0</v>
      </c>
      <c r="R56" s="80">
        <f>'Allocation ProForma'!R802</f>
        <v>0</v>
      </c>
      <c r="S56" s="80">
        <f>'Allocation ProForma'!S802</f>
        <v>0</v>
      </c>
      <c r="T56" s="80">
        <f>'Allocation ProForma'!T802</f>
        <v>0</v>
      </c>
      <c r="U56" s="80">
        <f>'Allocation ProForma'!U802</f>
        <v>0</v>
      </c>
      <c r="V56" s="80">
        <f>'Allocation ProForma'!V802</f>
        <v>0</v>
      </c>
      <c r="W56" s="80">
        <f>'Allocation ProForma'!W802</f>
        <v>0</v>
      </c>
      <c r="X56" s="80">
        <f>'Allocation ProForma'!X802</f>
        <v>0</v>
      </c>
      <c r="Y56" s="80">
        <f>'Allocation ProForma'!Y802</f>
        <v>0</v>
      </c>
      <c r="Z56" s="80">
        <f>'Allocation ProForma'!Z802</f>
        <v>0</v>
      </c>
      <c r="AA56" s="80">
        <f t="shared" si="7"/>
        <v>0</v>
      </c>
      <c r="AB56" s="94" t="str">
        <f t="shared" si="6"/>
        <v>ok</v>
      </c>
    </row>
    <row r="57" spans="1:28" s="61" customFormat="1" hidden="1" x14ac:dyDescent="0.25">
      <c r="B57" s="61" t="s">
        <v>1295</v>
      </c>
      <c r="E57" s="61" t="s">
        <v>884</v>
      </c>
      <c r="F57" s="330"/>
      <c r="G57" s="80">
        <f>'Allocation ProForma'!G803</f>
        <v>0</v>
      </c>
      <c r="H57" s="80">
        <f>'Allocation ProForma'!H803</f>
        <v>0</v>
      </c>
      <c r="I57" s="80">
        <f>'Allocation ProForma'!I803</f>
        <v>0</v>
      </c>
      <c r="J57" s="80">
        <f>'Allocation ProForma'!J803</f>
        <v>0</v>
      </c>
      <c r="K57" s="80">
        <f>'Allocation ProForma'!K803</f>
        <v>0</v>
      </c>
      <c r="L57" s="80">
        <f>'Allocation ProForma'!L803</f>
        <v>0</v>
      </c>
      <c r="M57" s="80">
        <f>'Allocation ProForma'!M803</f>
        <v>0</v>
      </c>
      <c r="N57" s="80">
        <f>'Allocation ProForma'!N803</f>
        <v>0</v>
      </c>
      <c r="O57" s="80">
        <f>'Allocation ProForma'!O803</f>
        <v>0</v>
      </c>
      <c r="P57" s="80">
        <f>'Allocation ProForma'!P803</f>
        <v>0</v>
      </c>
      <c r="Q57" s="80">
        <f>'Allocation ProForma'!Q803</f>
        <v>0</v>
      </c>
      <c r="R57" s="80">
        <f>'Allocation ProForma'!R803</f>
        <v>0</v>
      </c>
      <c r="S57" s="80">
        <f>'Allocation ProForma'!S803</f>
        <v>0</v>
      </c>
      <c r="T57" s="80">
        <f>'Allocation ProForma'!T803</f>
        <v>0</v>
      </c>
      <c r="U57" s="80">
        <f>'Allocation ProForma'!U803</f>
        <v>0</v>
      </c>
      <c r="V57" s="80">
        <f>'Allocation ProForma'!V803</f>
        <v>0</v>
      </c>
      <c r="W57" s="80">
        <f>'Allocation ProForma'!W803</f>
        <v>0</v>
      </c>
      <c r="X57" s="80">
        <f>'Allocation ProForma'!X803</f>
        <v>0</v>
      </c>
      <c r="Y57" s="80">
        <f>'Allocation ProForma'!Y803</f>
        <v>0</v>
      </c>
      <c r="Z57" s="80">
        <f>'Allocation ProForma'!Z803</f>
        <v>0</v>
      </c>
      <c r="AA57" s="80">
        <f t="shared" si="7"/>
        <v>0</v>
      </c>
      <c r="AB57" s="94" t="str">
        <f t="shared" si="6"/>
        <v>ok</v>
      </c>
    </row>
    <row r="58" spans="1:28" s="61" customFormat="1" hidden="1" x14ac:dyDescent="0.25">
      <c r="B58" s="61" t="s">
        <v>1296</v>
      </c>
      <c r="E58" s="61" t="s">
        <v>537</v>
      </c>
      <c r="F58" s="330"/>
      <c r="G58" s="80">
        <f>'Allocation ProForma'!G804</f>
        <v>0</v>
      </c>
      <c r="H58" s="80">
        <f>'Allocation ProForma'!H804</f>
        <v>0</v>
      </c>
      <c r="I58" s="80">
        <f>'Allocation ProForma'!I804</f>
        <v>0</v>
      </c>
      <c r="J58" s="80">
        <f>'Allocation ProForma'!J804</f>
        <v>0</v>
      </c>
      <c r="K58" s="80">
        <f>'Allocation ProForma'!K804</f>
        <v>0</v>
      </c>
      <c r="L58" s="80">
        <f>'Allocation ProForma'!L804</f>
        <v>0</v>
      </c>
      <c r="M58" s="80">
        <f>'Allocation ProForma'!M804</f>
        <v>0</v>
      </c>
      <c r="N58" s="80">
        <f>'Allocation ProForma'!N804</f>
        <v>0</v>
      </c>
      <c r="O58" s="80">
        <f>'Allocation ProForma'!O804</f>
        <v>0</v>
      </c>
      <c r="P58" s="80">
        <f>'Allocation ProForma'!P804</f>
        <v>0</v>
      </c>
      <c r="Q58" s="80">
        <f>'Allocation ProForma'!Q804</f>
        <v>0</v>
      </c>
      <c r="R58" s="80">
        <f>'Allocation ProForma'!R804</f>
        <v>0</v>
      </c>
      <c r="S58" s="80">
        <f>'Allocation ProForma'!S804</f>
        <v>0</v>
      </c>
      <c r="T58" s="80">
        <f>'Allocation ProForma'!T804</f>
        <v>0</v>
      </c>
      <c r="U58" s="80">
        <f>'Allocation ProForma'!U804</f>
        <v>0</v>
      </c>
      <c r="V58" s="80">
        <f>'Allocation ProForma'!V804</f>
        <v>0</v>
      </c>
      <c r="W58" s="80">
        <f>'Allocation ProForma'!W804</f>
        <v>0</v>
      </c>
      <c r="X58" s="80">
        <f>'Allocation ProForma'!X804</f>
        <v>0</v>
      </c>
      <c r="Y58" s="80">
        <f>'Allocation ProForma'!Y804</f>
        <v>0</v>
      </c>
      <c r="Z58" s="80">
        <f>'Allocation ProForma'!Z804</f>
        <v>0</v>
      </c>
      <c r="AA58" s="80">
        <f t="shared" si="7"/>
        <v>0</v>
      </c>
      <c r="AB58" s="94" t="str">
        <f t="shared" si="6"/>
        <v>ok</v>
      </c>
    </row>
    <row r="59" spans="1:28" s="61" customFormat="1" hidden="1" x14ac:dyDescent="0.25">
      <c r="B59" s="61" t="s">
        <v>1300</v>
      </c>
      <c r="E59" s="61" t="s">
        <v>1131</v>
      </c>
      <c r="F59" s="330"/>
      <c r="G59" s="80">
        <f>'Allocation ProForma'!G805</f>
        <v>0</v>
      </c>
      <c r="H59" s="80">
        <f>'Allocation ProForma'!H805</f>
        <v>0</v>
      </c>
      <c r="I59" s="80">
        <f>'Allocation ProForma'!I805</f>
        <v>0</v>
      </c>
      <c r="J59" s="80">
        <f>'Allocation ProForma'!J805</f>
        <v>0</v>
      </c>
      <c r="K59" s="80">
        <f>'Allocation ProForma'!K805</f>
        <v>0</v>
      </c>
      <c r="L59" s="80">
        <f>'Allocation ProForma'!L805</f>
        <v>0</v>
      </c>
      <c r="M59" s="80">
        <f>'Allocation ProForma'!M805</f>
        <v>0</v>
      </c>
      <c r="N59" s="80">
        <f>'Allocation ProForma'!N805</f>
        <v>0</v>
      </c>
      <c r="O59" s="80">
        <f>'Allocation ProForma'!O805</f>
        <v>0</v>
      </c>
      <c r="P59" s="80">
        <f>'Allocation ProForma'!P805</f>
        <v>0</v>
      </c>
      <c r="Q59" s="80">
        <f>'Allocation ProForma'!Q805</f>
        <v>0</v>
      </c>
      <c r="R59" s="80">
        <f>'Allocation ProForma'!R805</f>
        <v>0</v>
      </c>
      <c r="S59" s="80">
        <f>'Allocation ProForma'!S805</f>
        <v>0</v>
      </c>
      <c r="T59" s="80">
        <f>'Allocation ProForma'!T805</f>
        <v>0</v>
      </c>
      <c r="U59" s="80">
        <f>'Allocation ProForma'!U805</f>
        <v>0</v>
      </c>
      <c r="V59" s="80">
        <f>'Allocation ProForma'!V805</f>
        <v>0</v>
      </c>
      <c r="W59" s="80">
        <f>'Allocation ProForma'!W805</f>
        <v>0</v>
      </c>
      <c r="X59" s="80">
        <f>'Allocation ProForma'!X805</f>
        <v>0</v>
      </c>
      <c r="Y59" s="80">
        <f>'Allocation ProForma'!Y805</f>
        <v>0</v>
      </c>
      <c r="Z59" s="80">
        <f>'Allocation ProForma'!Z805</f>
        <v>0</v>
      </c>
      <c r="AA59" s="80">
        <f t="shared" si="7"/>
        <v>0</v>
      </c>
      <c r="AB59" s="94" t="str">
        <f t="shared" si="6"/>
        <v>ok</v>
      </c>
    </row>
    <row r="60" spans="1:28" s="61" customFormat="1" hidden="1" x14ac:dyDescent="0.25">
      <c r="B60" s="61" t="s">
        <v>1297</v>
      </c>
      <c r="E60" s="61" t="s">
        <v>1131</v>
      </c>
      <c r="F60" s="330"/>
      <c r="G60" s="80">
        <f>'Allocation ProForma'!G806</f>
        <v>0</v>
      </c>
      <c r="H60" s="80">
        <f>'Allocation ProForma'!H806</f>
        <v>0</v>
      </c>
      <c r="I60" s="80">
        <f>'Allocation ProForma'!I806</f>
        <v>0</v>
      </c>
      <c r="J60" s="80">
        <f>'Allocation ProForma'!J806</f>
        <v>0</v>
      </c>
      <c r="K60" s="80">
        <f>'Allocation ProForma'!K806</f>
        <v>0</v>
      </c>
      <c r="L60" s="80">
        <f>'Allocation ProForma'!L806</f>
        <v>0</v>
      </c>
      <c r="M60" s="80">
        <f>'Allocation ProForma'!M806</f>
        <v>0</v>
      </c>
      <c r="N60" s="80">
        <f>'Allocation ProForma'!N806</f>
        <v>0</v>
      </c>
      <c r="O60" s="80">
        <f>'Allocation ProForma'!O806</f>
        <v>0</v>
      </c>
      <c r="P60" s="80">
        <f>'Allocation ProForma'!P806</f>
        <v>0</v>
      </c>
      <c r="Q60" s="80">
        <f>'Allocation ProForma'!Q806</f>
        <v>0</v>
      </c>
      <c r="R60" s="80">
        <f>'Allocation ProForma'!R806</f>
        <v>0</v>
      </c>
      <c r="S60" s="80">
        <f>'Allocation ProForma'!S806</f>
        <v>0</v>
      </c>
      <c r="T60" s="80">
        <f>'Allocation ProForma'!T806</f>
        <v>0</v>
      </c>
      <c r="U60" s="80">
        <f>'Allocation ProForma'!U806</f>
        <v>0</v>
      </c>
      <c r="V60" s="80">
        <f>'Allocation ProForma'!V806</f>
        <v>0</v>
      </c>
      <c r="W60" s="80">
        <f>'Allocation ProForma'!W806</f>
        <v>0</v>
      </c>
      <c r="X60" s="80">
        <f>'Allocation ProForma'!X806</f>
        <v>0</v>
      </c>
      <c r="Y60" s="80">
        <f>'Allocation ProForma'!Y806</f>
        <v>0</v>
      </c>
      <c r="Z60" s="80">
        <f>'Allocation ProForma'!Z806</f>
        <v>0</v>
      </c>
      <c r="AA60" s="80">
        <f t="shared" si="7"/>
        <v>0</v>
      </c>
      <c r="AB60" s="94" t="str">
        <f t="shared" si="6"/>
        <v>ok</v>
      </c>
    </row>
    <row r="61" spans="1:28" s="61" customFormat="1" x14ac:dyDescent="0.25">
      <c r="B61" s="61" t="s">
        <v>1299</v>
      </c>
      <c r="E61" s="61" t="s">
        <v>427</v>
      </c>
      <c r="F61" s="80">
        <f>'Allocation ProForma'!F807</f>
        <v>1078923.570000001</v>
      </c>
      <c r="G61" s="80">
        <f>'Allocation ProForma'!G807</f>
        <v>593506.86646673176</v>
      </c>
      <c r="H61" s="80">
        <f>'Allocation ProForma'!H807</f>
        <v>130354.64238804573</v>
      </c>
      <c r="I61" s="80">
        <f>'Allocation ProForma'!I807</f>
        <v>0</v>
      </c>
      <c r="J61" s="80">
        <f>'Allocation ProForma'!J807</f>
        <v>9490.0173229713564</v>
      </c>
      <c r="K61" s="80">
        <f>'Allocation ProForma'!K807</f>
        <v>123374.28220822978</v>
      </c>
      <c r="L61" s="80">
        <f>'Allocation ProForma'!L807</f>
        <v>0</v>
      </c>
      <c r="M61" s="80">
        <f>'Allocation ProForma'!M807</f>
        <v>0</v>
      </c>
      <c r="N61" s="80">
        <f>'Allocation ProForma'!N807</f>
        <v>99042.824492519328</v>
      </c>
      <c r="O61" s="80">
        <f>'Allocation ProForma'!O807</f>
        <v>60765.352067564927</v>
      </c>
      <c r="P61" s="80">
        <f>'Allocation ProForma'!P807</f>
        <v>20661.117452548482</v>
      </c>
      <c r="Q61" s="80">
        <f>'Allocation ProForma'!Q807</f>
        <v>5198.3366107979082</v>
      </c>
      <c r="R61" s="80">
        <f>'Allocation ProForma'!R807</f>
        <v>3280.8865009551723</v>
      </c>
      <c r="S61" s="80">
        <f>'Allocation ProForma'!S807</f>
        <v>33018.591024251349</v>
      </c>
      <c r="T61" s="80">
        <f>'Allocation ProForma'!T807</f>
        <v>56.708898099138395</v>
      </c>
      <c r="U61" s="80">
        <f>'Allocation ProForma'!U807</f>
        <v>173.94456728628958</v>
      </c>
      <c r="V61" s="80">
        <f>'Allocation ProForma'!V807</f>
        <v>0</v>
      </c>
      <c r="W61" s="80">
        <f>'Allocation ProForma'!W807</f>
        <v>0</v>
      </c>
      <c r="X61" s="80">
        <f>'Allocation ProForma'!X807</f>
        <v>0</v>
      </c>
      <c r="Y61" s="80">
        <f>'Allocation ProForma'!Y807</f>
        <v>0</v>
      </c>
      <c r="Z61" s="80">
        <f>'Allocation ProForma'!Z807</f>
        <v>0</v>
      </c>
      <c r="AA61" s="80">
        <f>SUM(G61:Z61)</f>
        <v>1078923.5700000012</v>
      </c>
      <c r="AB61" s="94" t="str">
        <f t="shared" si="6"/>
        <v>ok</v>
      </c>
    </row>
    <row r="62" spans="1:28" s="61" customFormat="1" hidden="1" x14ac:dyDescent="0.25">
      <c r="B62" s="61" t="s">
        <v>1339</v>
      </c>
      <c r="E62" s="61" t="s">
        <v>368</v>
      </c>
      <c r="F62" s="330"/>
      <c r="G62" s="80">
        <f>'Allocation ProForma'!G808</f>
        <v>0</v>
      </c>
      <c r="H62" s="80">
        <f>'Allocation ProForma'!H808</f>
        <v>0</v>
      </c>
      <c r="I62" s="80">
        <f>'Allocation ProForma'!I808</f>
        <v>0</v>
      </c>
      <c r="J62" s="80">
        <f>'Allocation ProForma'!J808</f>
        <v>0</v>
      </c>
      <c r="K62" s="80">
        <f>'Allocation ProForma'!K808</f>
        <v>0</v>
      </c>
      <c r="L62" s="80">
        <f>'Allocation ProForma'!L808</f>
        <v>0</v>
      </c>
      <c r="M62" s="80">
        <f>'Allocation ProForma'!M808</f>
        <v>0</v>
      </c>
      <c r="N62" s="80">
        <f>'Allocation ProForma'!N808</f>
        <v>0</v>
      </c>
      <c r="O62" s="80">
        <f>'Allocation ProForma'!O808</f>
        <v>0</v>
      </c>
      <c r="P62" s="80">
        <f>'Allocation ProForma'!P808</f>
        <v>0</v>
      </c>
      <c r="Q62" s="80">
        <f>'Allocation ProForma'!Q808</f>
        <v>0</v>
      </c>
      <c r="R62" s="80">
        <f>'Allocation ProForma'!R808</f>
        <v>0</v>
      </c>
      <c r="S62" s="80">
        <f>'Allocation ProForma'!S808</f>
        <v>0</v>
      </c>
      <c r="T62" s="80">
        <f>'Allocation ProForma'!T808</f>
        <v>0</v>
      </c>
      <c r="U62" s="80">
        <f>'Allocation ProForma'!U808</f>
        <v>0</v>
      </c>
      <c r="V62" s="80">
        <f>'Allocation ProForma'!V808</f>
        <v>0</v>
      </c>
      <c r="W62" s="80">
        <f>'Allocation ProForma'!W808</f>
        <v>0</v>
      </c>
      <c r="X62" s="80">
        <f>'Allocation ProForma'!X808</f>
        <v>0</v>
      </c>
      <c r="Y62" s="80">
        <f>'Allocation ProForma'!Y808</f>
        <v>0</v>
      </c>
      <c r="Z62" s="80">
        <f>'Allocation ProForma'!Z808</f>
        <v>0</v>
      </c>
      <c r="AA62" s="80">
        <f>SUM(G62:Z62)</f>
        <v>0</v>
      </c>
      <c r="AB62" s="94" t="str">
        <f t="shared" si="6"/>
        <v>ok</v>
      </c>
    </row>
    <row r="63" spans="1:28" s="61" customFormat="1" x14ac:dyDescent="0.25">
      <c r="B63" s="61" t="s">
        <v>1301</v>
      </c>
      <c r="E63" s="61" t="s">
        <v>1136</v>
      </c>
      <c r="F63" s="80">
        <f>'Allocation ProForma'!F809</f>
        <v>-560632</v>
      </c>
      <c r="G63" s="80">
        <f>'Allocation ProForma'!G809</f>
        <v>-223571.95077779741</v>
      </c>
      <c r="H63" s="80">
        <f>'Allocation ProForma'!H809</f>
        <v>-79930.490605567538</v>
      </c>
      <c r="I63" s="80">
        <f>'Allocation ProForma'!I809</f>
        <v>0</v>
      </c>
      <c r="J63" s="80">
        <f>'Allocation ProForma'!J809</f>
        <v>-6713.5431549501582</v>
      </c>
      <c r="K63" s="80">
        <f>'Allocation ProForma'!K809</f>
        <v>-90772.228450994618</v>
      </c>
      <c r="L63" s="80">
        <f>'Allocation ProForma'!L809</f>
        <v>0</v>
      </c>
      <c r="M63" s="80">
        <f>'Allocation ProForma'!M809</f>
        <v>0</v>
      </c>
      <c r="N63" s="80">
        <f>'Allocation ProForma'!N809</f>
        <v>-75032.401750627789</v>
      </c>
      <c r="O63" s="80">
        <f>'Allocation ProForma'!O809</f>
        <v>-42938.569750766357</v>
      </c>
      <c r="P63" s="80">
        <f>'Allocation ProForma'!P809</f>
        <v>-25434.43096268097</v>
      </c>
      <c r="Q63" s="80">
        <f>'Allocation ProForma'!Q809</f>
        <v>-3614.6471754114382</v>
      </c>
      <c r="R63" s="80">
        <f>'Allocation ProForma'!R809</f>
        <v>-1888.917479215514</v>
      </c>
      <c r="S63" s="80">
        <f>'Allocation ProForma'!S809</f>
        <v>-10447.52254565325</v>
      </c>
      <c r="T63" s="80">
        <f>'Allocation ProForma'!T809</f>
        <v>-128.99361588336299</v>
      </c>
      <c r="U63" s="80">
        <f>'Allocation ProForma'!U809</f>
        <v>-158.30373045156011</v>
      </c>
      <c r="V63" s="80">
        <f>'Allocation ProForma'!V809</f>
        <v>0</v>
      </c>
      <c r="W63" s="80">
        <f>'Allocation ProForma'!W809</f>
        <v>0</v>
      </c>
      <c r="X63" s="80">
        <f>'Allocation ProForma'!X809</f>
        <v>0</v>
      </c>
      <c r="Y63" s="80">
        <f>'Allocation ProForma'!Y809</f>
        <v>0</v>
      </c>
      <c r="Z63" s="80">
        <f>'Allocation ProForma'!Z809</f>
        <v>0</v>
      </c>
      <c r="AA63" s="80">
        <f t="shared" si="7"/>
        <v>-560632</v>
      </c>
      <c r="AB63" s="94" t="str">
        <f t="shared" si="6"/>
        <v>ok</v>
      </c>
    </row>
    <row r="64" spans="1:28" s="61" customFormat="1" x14ac:dyDescent="0.25">
      <c r="B64" s="61" t="s">
        <v>1371</v>
      </c>
      <c r="E64" s="61" t="s">
        <v>515</v>
      </c>
      <c r="F64" s="80">
        <f>'Allocation ProForma'!F810</f>
        <v>79118</v>
      </c>
      <c r="G64" s="80">
        <f>'Allocation ProForma'!G810</f>
        <v>39500.317750543574</v>
      </c>
      <c r="H64" s="80">
        <f>'Allocation ProForma'!H810</f>
        <v>9790.8866848823691</v>
      </c>
      <c r="I64" s="80">
        <f>'Allocation ProForma'!I810</f>
        <v>0</v>
      </c>
      <c r="J64" s="80">
        <f>'Allocation ProForma'!J810</f>
        <v>884.2697217518421</v>
      </c>
      <c r="K64" s="80">
        <f>'Allocation ProForma'!K810</f>
        <v>11245.315394261088</v>
      </c>
      <c r="L64" s="80">
        <f>'Allocation ProForma'!L810</f>
        <v>0</v>
      </c>
      <c r="M64" s="80">
        <f>'Allocation ProForma'!M810</f>
        <v>0</v>
      </c>
      <c r="N64" s="80">
        <f>'Allocation ProForma'!N810</f>
        <v>9131.3772041536904</v>
      </c>
      <c r="O64" s="80">
        <f>'Allocation ProForma'!O810</f>
        <v>5572.5207187850901</v>
      </c>
      <c r="P64" s="80">
        <f>'Allocation ProForma'!P810</f>
        <v>2203.2192137653942</v>
      </c>
      <c r="Q64" s="80">
        <f>'Allocation ProForma'!Q810</f>
        <v>471.86511186521903</v>
      </c>
      <c r="R64" s="80">
        <f>'Allocation ProForma'!R810</f>
        <v>307.46552956593348</v>
      </c>
      <c r="S64" s="80">
        <f>'Allocation ProForma'!S810</f>
        <v>0</v>
      </c>
      <c r="T64" s="80">
        <f>'Allocation ProForma'!T810</f>
        <v>0</v>
      </c>
      <c r="U64" s="80">
        <f>'Allocation ProForma'!U810</f>
        <v>10.762670425800691</v>
      </c>
      <c r="V64" s="80">
        <f>'Allocation ProForma'!V810</f>
        <v>0</v>
      </c>
      <c r="W64" s="80">
        <f>'Allocation ProForma'!W810</f>
        <v>0</v>
      </c>
      <c r="X64" s="80">
        <f>'Allocation ProForma'!X810</f>
        <v>0</v>
      </c>
      <c r="Y64" s="80">
        <f>'Allocation ProForma'!Y810</f>
        <v>0</v>
      </c>
      <c r="Z64" s="80">
        <f>'Allocation ProForma'!Z810</f>
        <v>0</v>
      </c>
      <c r="AA64" s="80">
        <f>SUM(G64:Z64)</f>
        <v>79118</v>
      </c>
      <c r="AB64" s="94" t="str">
        <f t="shared" si="6"/>
        <v>ok</v>
      </c>
    </row>
    <row r="65" spans="2:28" s="61" customFormat="1" hidden="1" x14ac:dyDescent="0.25">
      <c r="B65" s="61" t="s">
        <v>1302</v>
      </c>
      <c r="E65" s="61" t="s">
        <v>368</v>
      </c>
      <c r="F65" s="330"/>
      <c r="G65" s="80">
        <f>'Allocation ProForma'!G811</f>
        <v>0</v>
      </c>
      <c r="H65" s="80">
        <f>'Allocation ProForma'!H811</f>
        <v>0</v>
      </c>
      <c r="I65" s="80">
        <f>'Allocation ProForma'!I811</f>
        <v>0</v>
      </c>
      <c r="J65" s="80">
        <f>'Allocation ProForma'!J811</f>
        <v>0</v>
      </c>
      <c r="K65" s="80">
        <f>'Allocation ProForma'!K811</f>
        <v>0</v>
      </c>
      <c r="L65" s="80">
        <f>'Allocation ProForma'!L811</f>
        <v>0</v>
      </c>
      <c r="M65" s="80">
        <f>'Allocation ProForma'!M811</f>
        <v>0</v>
      </c>
      <c r="N65" s="80">
        <f>'Allocation ProForma'!N811</f>
        <v>0</v>
      </c>
      <c r="O65" s="80">
        <f>'Allocation ProForma'!O811</f>
        <v>0</v>
      </c>
      <c r="P65" s="80">
        <f>'Allocation ProForma'!P811</f>
        <v>0</v>
      </c>
      <c r="Q65" s="80">
        <f>'Allocation ProForma'!Q811</f>
        <v>0</v>
      </c>
      <c r="R65" s="80">
        <f>'Allocation ProForma'!R811</f>
        <v>0</v>
      </c>
      <c r="S65" s="80">
        <f>'Allocation ProForma'!S811</f>
        <v>0</v>
      </c>
      <c r="T65" s="80">
        <f>'Allocation ProForma'!T811</f>
        <v>0</v>
      </c>
      <c r="U65" s="80">
        <f>'Allocation ProForma'!U811</f>
        <v>0</v>
      </c>
      <c r="V65" s="80">
        <f>'Allocation ProForma'!V811</f>
        <v>0</v>
      </c>
      <c r="W65" s="80">
        <f>'Allocation ProForma'!W811</f>
        <v>0</v>
      </c>
      <c r="X65" s="80">
        <f>'Allocation ProForma'!X811</f>
        <v>0</v>
      </c>
      <c r="Y65" s="80">
        <f>'Allocation ProForma'!Y811</f>
        <v>0</v>
      </c>
      <c r="Z65" s="80">
        <f>'Allocation ProForma'!Z811</f>
        <v>0</v>
      </c>
      <c r="AA65" s="80">
        <f>SUM(G65:Z65)</f>
        <v>0</v>
      </c>
      <c r="AB65" s="94" t="str">
        <f t="shared" si="6"/>
        <v>ok</v>
      </c>
    </row>
    <row r="66" spans="2:28" s="61" customFormat="1" hidden="1" x14ac:dyDescent="0.25">
      <c r="B66" s="61" t="s">
        <v>1303</v>
      </c>
      <c r="E66" s="61" t="s">
        <v>1115</v>
      </c>
      <c r="F66" s="330"/>
      <c r="G66" s="80">
        <f>'Allocation ProForma'!G812</f>
        <v>0</v>
      </c>
      <c r="H66" s="80">
        <f>'Allocation ProForma'!H812</f>
        <v>0</v>
      </c>
      <c r="I66" s="80">
        <f>'Allocation ProForma'!I812</f>
        <v>0</v>
      </c>
      <c r="J66" s="80">
        <f>'Allocation ProForma'!J812</f>
        <v>0</v>
      </c>
      <c r="K66" s="80">
        <f>'Allocation ProForma'!K812</f>
        <v>0</v>
      </c>
      <c r="L66" s="80">
        <f>'Allocation ProForma'!L812</f>
        <v>0</v>
      </c>
      <c r="M66" s="80">
        <f>'Allocation ProForma'!M812</f>
        <v>0</v>
      </c>
      <c r="N66" s="80">
        <f>'Allocation ProForma'!N812</f>
        <v>0</v>
      </c>
      <c r="O66" s="80">
        <f>'Allocation ProForma'!O812</f>
        <v>0</v>
      </c>
      <c r="P66" s="80">
        <f>'Allocation ProForma'!P812</f>
        <v>0</v>
      </c>
      <c r="Q66" s="80">
        <f>'Allocation ProForma'!Q812</f>
        <v>0</v>
      </c>
      <c r="R66" s="80">
        <f>'Allocation ProForma'!R812</f>
        <v>0</v>
      </c>
      <c r="S66" s="80">
        <f>'Allocation ProForma'!S812</f>
        <v>0</v>
      </c>
      <c r="T66" s="80">
        <f>'Allocation ProForma'!T812</f>
        <v>0</v>
      </c>
      <c r="U66" s="80">
        <f>'Allocation ProForma'!U812</f>
        <v>0</v>
      </c>
      <c r="V66" s="80">
        <f>'Allocation ProForma'!V812</f>
        <v>0</v>
      </c>
      <c r="W66" s="80">
        <f>'Allocation ProForma'!W812</f>
        <v>0</v>
      </c>
      <c r="X66" s="80">
        <f>'Allocation ProForma'!X812</f>
        <v>0</v>
      </c>
      <c r="Y66" s="80">
        <f>'Allocation ProForma'!Y812</f>
        <v>0</v>
      </c>
      <c r="Z66" s="80">
        <f>'Allocation ProForma'!Z812</f>
        <v>0</v>
      </c>
      <c r="AA66" s="80">
        <f>SUM(G66:Z66)</f>
        <v>0</v>
      </c>
      <c r="AB66" s="94" t="str">
        <f t="shared" si="6"/>
        <v>ok</v>
      </c>
    </row>
    <row r="67" spans="2:28" s="61" customFormat="1" hidden="1" x14ac:dyDescent="0.25">
      <c r="B67" s="61" t="s">
        <v>1304</v>
      </c>
      <c r="E67" s="61" t="s">
        <v>1115</v>
      </c>
      <c r="F67" s="330"/>
      <c r="G67" s="80">
        <f>'Allocation ProForma'!G813</f>
        <v>0</v>
      </c>
      <c r="H67" s="80">
        <f>'Allocation ProForma'!H813</f>
        <v>0</v>
      </c>
      <c r="I67" s="80">
        <f>'Allocation ProForma'!I813</f>
        <v>0</v>
      </c>
      <c r="J67" s="80">
        <f>'Allocation ProForma'!J813</f>
        <v>0</v>
      </c>
      <c r="K67" s="80">
        <f>'Allocation ProForma'!K813</f>
        <v>0</v>
      </c>
      <c r="L67" s="80">
        <f>'Allocation ProForma'!L813</f>
        <v>0</v>
      </c>
      <c r="M67" s="80">
        <f>'Allocation ProForma'!M813</f>
        <v>0</v>
      </c>
      <c r="N67" s="80">
        <f>'Allocation ProForma'!N813</f>
        <v>0</v>
      </c>
      <c r="O67" s="80">
        <f>'Allocation ProForma'!O813</f>
        <v>0</v>
      </c>
      <c r="P67" s="80">
        <f>'Allocation ProForma'!P813</f>
        <v>0</v>
      </c>
      <c r="Q67" s="80">
        <f>'Allocation ProForma'!Q813</f>
        <v>0</v>
      </c>
      <c r="R67" s="80">
        <f>'Allocation ProForma'!R813</f>
        <v>0</v>
      </c>
      <c r="S67" s="80">
        <f>'Allocation ProForma'!S813</f>
        <v>0</v>
      </c>
      <c r="T67" s="80">
        <f>'Allocation ProForma'!T813</f>
        <v>0</v>
      </c>
      <c r="U67" s="80">
        <f>'Allocation ProForma'!U813</f>
        <v>0</v>
      </c>
      <c r="V67" s="80">
        <f>'Allocation ProForma'!V813</f>
        <v>0</v>
      </c>
      <c r="W67" s="80">
        <f>'Allocation ProForma'!W813</f>
        <v>0</v>
      </c>
      <c r="X67" s="80">
        <f>'Allocation ProForma'!X813</f>
        <v>0</v>
      </c>
      <c r="Y67" s="80">
        <f>'Allocation ProForma'!Y813</f>
        <v>0</v>
      </c>
      <c r="Z67" s="80">
        <f>'Allocation ProForma'!Z813</f>
        <v>0</v>
      </c>
      <c r="AA67" s="80">
        <f>SUM(G67:Z67)</f>
        <v>0</v>
      </c>
      <c r="AB67" s="94" t="str">
        <f t="shared" si="6"/>
        <v>ok</v>
      </c>
    </row>
    <row r="68" spans="2:28" s="61" customFormat="1" hidden="1" x14ac:dyDescent="0.25">
      <c r="B68" s="61" t="s">
        <v>699</v>
      </c>
      <c r="E68" s="61" t="s">
        <v>1129</v>
      </c>
      <c r="F68" s="330"/>
      <c r="G68" s="80">
        <f>'Allocation ProForma'!G814</f>
        <v>0</v>
      </c>
      <c r="H68" s="80">
        <f>'Allocation ProForma'!H814</f>
        <v>0</v>
      </c>
      <c r="I68" s="80">
        <f>'Allocation ProForma'!I814</f>
        <v>0</v>
      </c>
      <c r="J68" s="80">
        <f>'Allocation ProForma'!J814</f>
        <v>0</v>
      </c>
      <c r="K68" s="80">
        <f>'Allocation ProForma'!K814</f>
        <v>0</v>
      </c>
      <c r="L68" s="80">
        <f>'Allocation ProForma'!L814</f>
        <v>0</v>
      </c>
      <c r="M68" s="80">
        <f>'Allocation ProForma'!M814</f>
        <v>0</v>
      </c>
      <c r="N68" s="80">
        <f>'Allocation ProForma'!N814</f>
        <v>0</v>
      </c>
      <c r="O68" s="80">
        <f>'Allocation ProForma'!O814</f>
        <v>0</v>
      </c>
      <c r="P68" s="80">
        <f>'Allocation ProForma'!P814</f>
        <v>0</v>
      </c>
      <c r="Q68" s="80">
        <f>'Allocation ProForma'!Q814</f>
        <v>0</v>
      </c>
      <c r="R68" s="80">
        <f>'Allocation ProForma'!R814</f>
        <v>0</v>
      </c>
      <c r="S68" s="80">
        <f>'Allocation ProForma'!S814</f>
        <v>0</v>
      </c>
      <c r="T68" s="80">
        <f>'Allocation ProForma'!T814</f>
        <v>0</v>
      </c>
      <c r="U68" s="80">
        <f>'Allocation ProForma'!U814</f>
        <v>0</v>
      </c>
      <c r="V68" s="80">
        <f>'Allocation ProForma'!V814</f>
        <v>0</v>
      </c>
      <c r="W68" s="80">
        <f>'Allocation ProForma'!W814</f>
        <v>0</v>
      </c>
      <c r="X68" s="80">
        <f>'Allocation ProForma'!X814</f>
        <v>0</v>
      </c>
      <c r="Y68" s="80">
        <f>'Allocation ProForma'!Y814</f>
        <v>0</v>
      </c>
      <c r="Z68" s="80">
        <f>'Allocation ProForma'!Z814</f>
        <v>0</v>
      </c>
      <c r="AA68" s="80">
        <f t="shared" si="7"/>
        <v>0</v>
      </c>
      <c r="AB68" s="94" t="str">
        <f t="shared" si="6"/>
        <v>ok</v>
      </c>
    </row>
    <row r="69" spans="2:28" s="61" customFormat="1" hidden="1" x14ac:dyDescent="0.25">
      <c r="B69" s="61" t="s">
        <v>1340</v>
      </c>
      <c r="E69" s="61" t="s">
        <v>427</v>
      </c>
      <c r="F69" s="330"/>
      <c r="G69" s="80">
        <f>'Allocation ProForma'!G815</f>
        <v>0</v>
      </c>
      <c r="H69" s="80">
        <f>'Allocation ProForma'!H815</f>
        <v>0</v>
      </c>
      <c r="I69" s="80">
        <f>'Allocation ProForma'!I815</f>
        <v>0</v>
      </c>
      <c r="J69" s="80">
        <f>'Allocation ProForma'!J815</f>
        <v>0</v>
      </c>
      <c r="K69" s="80">
        <f>'Allocation ProForma'!K815</f>
        <v>0</v>
      </c>
      <c r="L69" s="80">
        <f>'Allocation ProForma'!L815</f>
        <v>0</v>
      </c>
      <c r="M69" s="80">
        <f>'Allocation ProForma'!M815</f>
        <v>0</v>
      </c>
      <c r="N69" s="80">
        <f>'Allocation ProForma'!N815</f>
        <v>0</v>
      </c>
      <c r="O69" s="80">
        <f>'Allocation ProForma'!O815</f>
        <v>0</v>
      </c>
      <c r="P69" s="80">
        <f>'Allocation ProForma'!P815</f>
        <v>0</v>
      </c>
      <c r="Q69" s="80">
        <f>'Allocation ProForma'!Q815</f>
        <v>0</v>
      </c>
      <c r="R69" s="80">
        <f>'Allocation ProForma'!R815</f>
        <v>0</v>
      </c>
      <c r="S69" s="80">
        <f>'Allocation ProForma'!S815</f>
        <v>0</v>
      </c>
      <c r="T69" s="80">
        <f>'Allocation ProForma'!T815</f>
        <v>0</v>
      </c>
      <c r="U69" s="80">
        <f>'Allocation ProForma'!U815</f>
        <v>0</v>
      </c>
      <c r="V69" s="80">
        <f>'Allocation ProForma'!V815</f>
        <v>0</v>
      </c>
      <c r="W69" s="80">
        <f>'Allocation ProForma'!W815</f>
        <v>0</v>
      </c>
      <c r="X69" s="80">
        <f>'Allocation ProForma'!X815</f>
        <v>0</v>
      </c>
      <c r="Y69" s="80">
        <f>'Allocation ProForma'!Y815</f>
        <v>0</v>
      </c>
      <c r="Z69" s="80">
        <f>'Allocation ProForma'!Z815</f>
        <v>0</v>
      </c>
      <c r="AA69" s="80">
        <f t="shared" si="7"/>
        <v>0</v>
      </c>
      <c r="AB69" s="94" t="str">
        <f t="shared" si="6"/>
        <v>ok</v>
      </c>
    </row>
    <row r="70" spans="2:28" s="61" customFormat="1" hidden="1" x14ac:dyDescent="0.25">
      <c r="B70" s="61" t="s">
        <v>1305</v>
      </c>
      <c r="E70" s="61" t="s">
        <v>368</v>
      </c>
      <c r="F70" s="330"/>
      <c r="G70" s="80">
        <f>'Allocation ProForma'!G816</f>
        <v>0</v>
      </c>
      <c r="H70" s="80">
        <f>'Allocation ProForma'!H816</f>
        <v>0</v>
      </c>
      <c r="I70" s="80">
        <f>'Allocation ProForma'!I816</f>
        <v>0</v>
      </c>
      <c r="J70" s="80">
        <f>'Allocation ProForma'!J816</f>
        <v>0</v>
      </c>
      <c r="K70" s="80">
        <f>'Allocation ProForma'!K816</f>
        <v>0</v>
      </c>
      <c r="L70" s="80">
        <f>'Allocation ProForma'!L816</f>
        <v>0</v>
      </c>
      <c r="M70" s="80">
        <f>'Allocation ProForma'!M816</f>
        <v>0</v>
      </c>
      <c r="N70" s="80">
        <f>'Allocation ProForma'!N816</f>
        <v>0</v>
      </c>
      <c r="O70" s="80">
        <f>'Allocation ProForma'!O816</f>
        <v>0</v>
      </c>
      <c r="P70" s="80">
        <f>'Allocation ProForma'!P816</f>
        <v>0</v>
      </c>
      <c r="Q70" s="80">
        <f>'Allocation ProForma'!Q816</f>
        <v>0</v>
      </c>
      <c r="R70" s="80">
        <f>'Allocation ProForma'!R816</f>
        <v>0</v>
      </c>
      <c r="S70" s="80">
        <f>'Allocation ProForma'!S816</f>
        <v>0</v>
      </c>
      <c r="T70" s="80">
        <f>'Allocation ProForma'!T816</f>
        <v>0</v>
      </c>
      <c r="U70" s="80">
        <f>'Allocation ProForma'!U816</f>
        <v>0</v>
      </c>
      <c r="V70" s="80">
        <f>'Allocation ProForma'!V816</f>
        <v>0</v>
      </c>
      <c r="W70" s="80">
        <f>'Allocation ProForma'!W816</f>
        <v>0</v>
      </c>
      <c r="X70" s="80">
        <f>'Allocation ProForma'!X816</f>
        <v>0</v>
      </c>
      <c r="Y70" s="80">
        <f>'Allocation ProForma'!Y816</f>
        <v>0</v>
      </c>
      <c r="Z70" s="80">
        <f>'Allocation ProForma'!Z816</f>
        <v>0</v>
      </c>
      <c r="AA70" s="80">
        <f t="shared" si="7"/>
        <v>0</v>
      </c>
      <c r="AB70" s="94" t="str">
        <f t="shared" si="6"/>
        <v>ok</v>
      </c>
    </row>
    <row r="71" spans="2:28" s="61" customFormat="1" hidden="1" x14ac:dyDescent="0.25">
      <c r="B71" s="61" t="s">
        <v>1306</v>
      </c>
      <c r="E71" s="61" t="s">
        <v>1115</v>
      </c>
      <c r="F71" s="330"/>
      <c r="G71" s="80">
        <f>'Allocation ProForma'!G817</f>
        <v>0</v>
      </c>
      <c r="H71" s="80">
        <f>'Allocation ProForma'!H817</f>
        <v>0</v>
      </c>
      <c r="I71" s="80">
        <f>'Allocation ProForma'!I817</f>
        <v>0</v>
      </c>
      <c r="J71" s="80">
        <f>'Allocation ProForma'!J817</f>
        <v>0</v>
      </c>
      <c r="K71" s="80">
        <f>'Allocation ProForma'!K817</f>
        <v>0</v>
      </c>
      <c r="L71" s="80">
        <f>'Allocation ProForma'!L817</f>
        <v>0</v>
      </c>
      <c r="M71" s="80">
        <f>'Allocation ProForma'!M817</f>
        <v>0</v>
      </c>
      <c r="N71" s="80">
        <f>'Allocation ProForma'!N817</f>
        <v>0</v>
      </c>
      <c r="O71" s="80">
        <f>'Allocation ProForma'!O817</f>
        <v>0</v>
      </c>
      <c r="P71" s="80">
        <f>'Allocation ProForma'!P817</f>
        <v>0</v>
      </c>
      <c r="Q71" s="80">
        <f>'Allocation ProForma'!Q817</f>
        <v>0</v>
      </c>
      <c r="R71" s="80">
        <f>'Allocation ProForma'!R817</f>
        <v>0</v>
      </c>
      <c r="S71" s="80">
        <f>'Allocation ProForma'!S817</f>
        <v>0</v>
      </c>
      <c r="T71" s="80">
        <f>'Allocation ProForma'!T817</f>
        <v>0</v>
      </c>
      <c r="U71" s="80">
        <f>'Allocation ProForma'!U817</f>
        <v>0</v>
      </c>
      <c r="V71" s="80">
        <f>'Allocation ProForma'!V817</f>
        <v>0</v>
      </c>
      <c r="W71" s="80">
        <f>'Allocation ProForma'!W817</f>
        <v>0</v>
      </c>
      <c r="X71" s="80">
        <f>'Allocation ProForma'!X817</f>
        <v>0</v>
      </c>
      <c r="Y71" s="80">
        <f>'Allocation ProForma'!Y817</f>
        <v>0</v>
      </c>
      <c r="Z71" s="80">
        <f>'Allocation ProForma'!Z817</f>
        <v>0</v>
      </c>
      <c r="AA71" s="80">
        <f t="shared" si="7"/>
        <v>0</v>
      </c>
      <c r="AB71" s="94" t="str">
        <f t="shared" si="6"/>
        <v>ok</v>
      </c>
    </row>
    <row r="72" spans="2:28" s="61" customFormat="1" hidden="1" x14ac:dyDescent="0.25">
      <c r="B72" s="61" t="s">
        <v>1307</v>
      </c>
      <c r="E72" s="61" t="s">
        <v>1127</v>
      </c>
      <c r="F72" s="330"/>
      <c r="G72" s="80">
        <f>'Allocation ProForma'!G818</f>
        <v>0</v>
      </c>
      <c r="H72" s="80">
        <f>'Allocation ProForma'!H818</f>
        <v>0</v>
      </c>
      <c r="I72" s="80">
        <f>'Allocation ProForma'!I818</f>
        <v>0</v>
      </c>
      <c r="J72" s="80">
        <f>'Allocation ProForma'!J818</f>
        <v>0</v>
      </c>
      <c r="K72" s="80">
        <f>'Allocation ProForma'!K818</f>
        <v>0</v>
      </c>
      <c r="L72" s="80">
        <f>'Allocation ProForma'!L818</f>
        <v>0</v>
      </c>
      <c r="M72" s="80">
        <f>'Allocation ProForma'!M818</f>
        <v>0</v>
      </c>
      <c r="N72" s="80">
        <f>'Allocation ProForma'!N818</f>
        <v>0</v>
      </c>
      <c r="O72" s="80">
        <f>'Allocation ProForma'!O818</f>
        <v>0</v>
      </c>
      <c r="P72" s="80">
        <f>'Allocation ProForma'!P818</f>
        <v>0</v>
      </c>
      <c r="Q72" s="80">
        <f>'Allocation ProForma'!Q818</f>
        <v>0</v>
      </c>
      <c r="R72" s="80">
        <f>'Allocation ProForma'!R818</f>
        <v>0</v>
      </c>
      <c r="S72" s="80">
        <f>'Allocation ProForma'!S818</f>
        <v>0</v>
      </c>
      <c r="T72" s="80">
        <f>'Allocation ProForma'!T818</f>
        <v>0</v>
      </c>
      <c r="U72" s="80">
        <f>'Allocation ProForma'!U818</f>
        <v>0</v>
      </c>
      <c r="V72" s="80">
        <f>'Allocation ProForma'!V818</f>
        <v>0</v>
      </c>
      <c r="W72" s="80">
        <f>'Allocation ProForma'!W818</f>
        <v>0</v>
      </c>
      <c r="X72" s="80">
        <f>'Allocation ProForma'!X818</f>
        <v>0</v>
      </c>
      <c r="Y72" s="80">
        <f>'Allocation ProForma'!Y818</f>
        <v>0</v>
      </c>
      <c r="Z72" s="80">
        <f>'Allocation ProForma'!Z818</f>
        <v>0</v>
      </c>
      <c r="AA72" s="80">
        <f t="shared" si="7"/>
        <v>0</v>
      </c>
      <c r="AB72" s="94" t="str">
        <f t="shared" si="6"/>
        <v>ok</v>
      </c>
    </row>
    <row r="73" spans="2:28" s="61" customFormat="1" hidden="1" x14ac:dyDescent="0.25">
      <c r="B73" s="61" t="s">
        <v>1338</v>
      </c>
      <c r="E73" s="61" t="s">
        <v>427</v>
      </c>
      <c r="F73" s="330"/>
      <c r="G73" s="80">
        <f>'Allocation ProForma'!G819</f>
        <v>0</v>
      </c>
      <c r="H73" s="80">
        <f>'Allocation ProForma'!H819</f>
        <v>0</v>
      </c>
      <c r="I73" s="80">
        <f>'Allocation ProForma'!I819</f>
        <v>0</v>
      </c>
      <c r="J73" s="80">
        <f>'Allocation ProForma'!J819</f>
        <v>0</v>
      </c>
      <c r="K73" s="80">
        <f>'Allocation ProForma'!K819</f>
        <v>0</v>
      </c>
      <c r="L73" s="80">
        <f>'Allocation ProForma'!L819</f>
        <v>0</v>
      </c>
      <c r="M73" s="80">
        <f>'Allocation ProForma'!M819</f>
        <v>0</v>
      </c>
      <c r="N73" s="80">
        <f>'Allocation ProForma'!N819</f>
        <v>0</v>
      </c>
      <c r="O73" s="80">
        <f>'Allocation ProForma'!O819</f>
        <v>0</v>
      </c>
      <c r="P73" s="80">
        <f>'Allocation ProForma'!P819</f>
        <v>0</v>
      </c>
      <c r="Q73" s="80">
        <f>'Allocation ProForma'!Q819</f>
        <v>0</v>
      </c>
      <c r="R73" s="80">
        <f>'Allocation ProForma'!R819</f>
        <v>0</v>
      </c>
      <c r="S73" s="80">
        <f>'Allocation ProForma'!S819</f>
        <v>0</v>
      </c>
      <c r="T73" s="80">
        <f>'Allocation ProForma'!T819</f>
        <v>0</v>
      </c>
      <c r="U73" s="80">
        <f>'Allocation ProForma'!U819</f>
        <v>0</v>
      </c>
      <c r="V73" s="80">
        <f>'Allocation ProForma'!V819</f>
        <v>0</v>
      </c>
      <c r="W73" s="80">
        <f>'Allocation ProForma'!W819</f>
        <v>0</v>
      </c>
      <c r="X73" s="80">
        <f>'Allocation ProForma'!X819</f>
        <v>0</v>
      </c>
      <c r="Y73" s="80">
        <f>'Allocation ProForma'!Y819</f>
        <v>0</v>
      </c>
      <c r="Z73" s="80">
        <f>'Allocation ProForma'!Z819</f>
        <v>0</v>
      </c>
      <c r="AA73" s="80">
        <f>SUM(G73:Z73)</f>
        <v>0</v>
      </c>
      <c r="AB73" s="94" t="str">
        <f t="shared" si="6"/>
        <v>ok</v>
      </c>
    </row>
    <row r="74" spans="2:28" s="61" customFormat="1" hidden="1" x14ac:dyDescent="0.25">
      <c r="B74" s="61" t="s">
        <v>1308</v>
      </c>
      <c r="E74" s="61" t="s">
        <v>427</v>
      </c>
      <c r="F74" s="330"/>
      <c r="G74" s="80">
        <f>'Allocation ProForma'!G820</f>
        <v>0</v>
      </c>
      <c r="H74" s="80">
        <f>'Allocation ProForma'!H820</f>
        <v>0</v>
      </c>
      <c r="I74" s="80">
        <f>'Allocation ProForma'!I820</f>
        <v>0</v>
      </c>
      <c r="J74" s="80">
        <f>'Allocation ProForma'!J820</f>
        <v>0</v>
      </c>
      <c r="K74" s="80">
        <f>'Allocation ProForma'!K820</f>
        <v>0</v>
      </c>
      <c r="L74" s="80">
        <f>'Allocation ProForma'!L820</f>
        <v>0</v>
      </c>
      <c r="M74" s="80">
        <f>'Allocation ProForma'!M820</f>
        <v>0</v>
      </c>
      <c r="N74" s="80">
        <f>'Allocation ProForma'!N820</f>
        <v>0</v>
      </c>
      <c r="O74" s="80">
        <f>'Allocation ProForma'!O820</f>
        <v>0</v>
      </c>
      <c r="P74" s="80">
        <f>'Allocation ProForma'!P820</f>
        <v>0</v>
      </c>
      <c r="Q74" s="80">
        <f>'Allocation ProForma'!Q820</f>
        <v>0</v>
      </c>
      <c r="R74" s="80">
        <f>'Allocation ProForma'!R820</f>
        <v>0</v>
      </c>
      <c r="S74" s="80">
        <f>'Allocation ProForma'!S820</f>
        <v>0</v>
      </c>
      <c r="T74" s="80">
        <f>'Allocation ProForma'!T820</f>
        <v>0</v>
      </c>
      <c r="U74" s="80">
        <f>'Allocation ProForma'!U820</f>
        <v>0</v>
      </c>
      <c r="V74" s="80">
        <f>'Allocation ProForma'!V820</f>
        <v>0</v>
      </c>
      <c r="W74" s="80">
        <f>'Allocation ProForma'!W820</f>
        <v>0</v>
      </c>
      <c r="X74" s="80">
        <f>'Allocation ProForma'!X820</f>
        <v>0</v>
      </c>
      <c r="Y74" s="80">
        <f>'Allocation ProForma'!Y820</f>
        <v>0</v>
      </c>
      <c r="Z74" s="80">
        <f>'Allocation ProForma'!Z820</f>
        <v>0</v>
      </c>
      <c r="AA74" s="80">
        <f>SUM(G74:Z74)</f>
        <v>0</v>
      </c>
      <c r="AB74" s="94" t="str">
        <f t="shared" si="6"/>
        <v>ok</v>
      </c>
    </row>
    <row r="75" spans="2:28" s="61" customFormat="1" hidden="1" x14ac:dyDescent="0.25">
      <c r="B75" s="61" t="s">
        <v>1313</v>
      </c>
      <c r="E75" s="61" t="s">
        <v>427</v>
      </c>
      <c r="F75" s="330"/>
      <c r="G75" s="80">
        <f>'Allocation ProForma'!G821</f>
        <v>0</v>
      </c>
      <c r="H75" s="80">
        <f>'Allocation ProForma'!H821</f>
        <v>0</v>
      </c>
      <c r="I75" s="80">
        <f>'Allocation ProForma'!I821</f>
        <v>0</v>
      </c>
      <c r="J75" s="80">
        <f>'Allocation ProForma'!J821</f>
        <v>0</v>
      </c>
      <c r="K75" s="80">
        <f>'Allocation ProForma'!K821</f>
        <v>0</v>
      </c>
      <c r="L75" s="80">
        <f>'Allocation ProForma'!L821</f>
        <v>0</v>
      </c>
      <c r="M75" s="80">
        <f>'Allocation ProForma'!M821</f>
        <v>0</v>
      </c>
      <c r="N75" s="80">
        <f>'Allocation ProForma'!N821</f>
        <v>0</v>
      </c>
      <c r="O75" s="80">
        <f>'Allocation ProForma'!O821</f>
        <v>0</v>
      </c>
      <c r="P75" s="80">
        <f>'Allocation ProForma'!P821</f>
        <v>0</v>
      </c>
      <c r="Q75" s="80">
        <f>'Allocation ProForma'!Q821</f>
        <v>0</v>
      </c>
      <c r="R75" s="80">
        <f>'Allocation ProForma'!R821</f>
        <v>0</v>
      </c>
      <c r="S75" s="80">
        <f>'Allocation ProForma'!S821</f>
        <v>0</v>
      </c>
      <c r="T75" s="80">
        <f>'Allocation ProForma'!T821</f>
        <v>0</v>
      </c>
      <c r="U75" s="80">
        <f>'Allocation ProForma'!U821</f>
        <v>0</v>
      </c>
      <c r="V75" s="80">
        <f>'Allocation ProForma'!V821</f>
        <v>0</v>
      </c>
      <c r="W75" s="80">
        <f>'Allocation ProForma'!W821</f>
        <v>0</v>
      </c>
      <c r="X75" s="80">
        <f>'Allocation ProForma'!X821</f>
        <v>0</v>
      </c>
      <c r="Y75" s="80">
        <f>'Allocation ProForma'!Y821</f>
        <v>0</v>
      </c>
      <c r="Z75" s="80">
        <f>'Allocation ProForma'!Z821</f>
        <v>0</v>
      </c>
      <c r="AA75" s="80">
        <f>SUM(G75:Z75)</f>
        <v>0</v>
      </c>
      <c r="AB75" s="94" t="str">
        <f t="shared" si="6"/>
        <v>ok</v>
      </c>
    </row>
    <row r="76" spans="2:28" s="71" customFormat="1" hidden="1" x14ac:dyDescent="0.25">
      <c r="B76" s="71" t="s">
        <v>1208</v>
      </c>
      <c r="E76" s="71" t="s">
        <v>1280</v>
      </c>
      <c r="F76" s="335"/>
      <c r="G76" s="150">
        <f>'Allocation ProForma'!G822</f>
        <v>0</v>
      </c>
      <c r="H76" s="150">
        <f>'Allocation ProForma'!H822</f>
        <v>0</v>
      </c>
      <c r="I76" s="150">
        <f>'Allocation ProForma'!I822</f>
        <v>0</v>
      </c>
      <c r="J76" s="150">
        <f>'Allocation ProForma'!J822</f>
        <v>0</v>
      </c>
      <c r="K76" s="150">
        <f>'Allocation ProForma'!K822</f>
        <v>0</v>
      </c>
      <c r="L76" s="150">
        <f>'Allocation ProForma'!L822</f>
        <v>0</v>
      </c>
      <c r="M76" s="150">
        <f>'Allocation ProForma'!M822</f>
        <v>0</v>
      </c>
      <c r="N76" s="150">
        <f>'Allocation ProForma'!N822</f>
        <v>0</v>
      </c>
      <c r="O76" s="150">
        <f>'Allocation ProForma'!O822</f>
        <v>0</v>
      </c>
      <c r="P76" s="150">
        <f>'Allocation ProForma'!P822</f>
        <v>0</v>
      </c>
      <c r="Q76" s="150">
        <f>'Allocation ProForma'!Q822</f>
        <v>0</v>
      </c>
      <c r="R76" s="150">
        <f>'Allocation ProForma'!R822</f>
        <v>0</v>
      </c>
      <c r="S76" s="150">
        <f>'Allocation ProForma'!S822</f>
        <v>0</v>
      </c>
      <c r="T76" s="150">
        <f>'Allocation ProForma'!T822</f>
        <v>0</v>
      </c>
      <c r="U76" s="150">
        <f>'Allocation ProForma'!U822</f>
        <v>0</v>
      </c>
      <c r="V76" s="150">
        <f>'Allocation ProForma'!V822</f>
        <v>0</v>
      </c>
      <c r="W76" s="150">
        <f>'Allocation ProForma'!W822</f>
        <v>0</v>
      </c>
      <c r="X76" s="150">
        <f>'Allocation ProForma'!X822</f>
        <v>0</v>
      </c>
      <c r="Y76" s="150">
        <f>'Allocation ProForma'!Y822</f>
        <v>0</v>
      </c>
      <c r="Z76" s="150">
        <f>'Allocation ProForma'!Z822</f>
        <v>0</v>
      </c>
      <c r="AA76" s="150">
        <f t="shared" si="7"/>
        <v>0</v>
      </c>
      <c r="AB76" s="148" t="str">
        <f t="shared" si="6"/>
        <v>ok</v>
      </c>
    </row>
    <row r="77" spans="2:28" s="61" customFormat="1" x14ac:dyDescent="0.25">
      <c r="B77" s="61" t="s">
        <v>1209</v>
      </c>
      <c r="E77" s="61" t="s">
        <v>850</v>
      </c>
      <c r="F77" s="151">
        <f>'Allocation ProForma'!F823</f>
        <v>2204193.4183563283</v>
      </c>
      <c r="G77" s="151">
        <f>'Allocation ProForma'!G823</f>
        <v>335858.24038339348</v>
      </c>
      <c r="H77" s="151">
        <f>'Allocation ProForma'!H823</f>
        <v>559639.3698842302</v>
      </c>
      <c r="I77" s="151">
        <f>'Allocation ProForma'!I823</f>
        <v>0</v>
      </c>
      <c r="J77" s="151">
        <f>'Allocation ProForma'!J823</f>
        <v>34560.077416998523</v>
      </c>
      <c r="K77" s="151">
        <f>'Allocation ProForma'!K823</f>
        <v>604119.19137308246</v>
      </c>
      <c r="L77" s="151">
        <f>'Allocation ProForma'!L823</f>
        <v>0</v>
      </c>
      <c r="M77" s="151">
        <f>'Allocation ProForma'!M823</f>
        <v>0</v>
      </c>
      <c r="N77" s="151">
        <f>'Allocation ProForma'!N823</f>
        <v>289824.8785290207</v>
      </c>
      <c r="O77" s="151">
        <f>'Allocation ProForma'!O823</f>
        <v>213223.35587556823</v>
      </c>
      <c r="P77" s="151">
        <f>'Allocation ProForma'!P823</f>
        <v>99032.403159807189</v>
      </c>
      <c r="Q77" s="151">
        <f>'Allocation ProForma'!Q823</f>
        <v>5681.4927355109421</v>
      </c>
      <c r="R77" s="151">
        <f>'Allocation ProForma'!R823</f>
        <v>1083.9509092891665</v>
      </c>
      <c r="S77" s="151">
        <f>'Allocation ProForma'!S823</f>
        <v>59444.313155975353</v>
      </c>
      <c r="T77" s="151">
        <f>'Allocation ProForma'!T823</f>
        <v>737.38652032979405</v>
      </c>
      <c r="U77" s="151">
        <f>'Allocation ProForma'!U823</f>
        <v>988.75841312500268</v>
      </c>
      <c r="V77" s="80">
        <f>'Allocation ProForma'!V823</f>
        <v>0</v>
      </c>
      <c r="W77" s="80">
        <f>'Allocation ProForma'!W823</f>
        <v>0</v>
      </c>
      <c r="X77" s="80">
        <f>'Allocation ProForma'!X823</f>
        <v>0</v>
      </c>
      <c r="Y77" s="80">
        <f>'Allocation ProForma'!Y823</f>
        <v>0</v>
      </c>
      <c r="Z77" s="80">
        <f>'Allocation ProForma'!Z823</f>
        <v>0</v>
      </c>
      <c r="AA77" s="80">
        <f t="shared" si="7"/>
        <v>2204193.4183563311</v>
      </c>
      <c r="AB77" s="94" t="str">
        <f t="shared" si="6"/>
        <v>ok</v>
      </c>
    </row>
    <row r="78" spans="2:28" s="61" customFormat="1" hidden="1" x14ac:dyDescent="0.25">
      <c r="B78" s="61" t="s">
        <v>1210</v>
      </c>
      <c r="E78" s="61" t="s">
        <v>850</v>
      </c>
      <c r="F78" s="330"/>
      <c r="G78" s="80">
        <f>'Allocation ProForma'!G824</f>
        <v>0</v>
      </c>
      <c r="H78" s="80">
        <f>'Allocation ProForma'!H824</f>
        <v>0</v>
      </c>
      <c r="I78" s="80">
        <f>'Allocation ProForma'!I824</f>
        <v>0</v>
      </c>
      <c r="J78" s="80">
        <f>'Allocation ProForma'!J824</f>
        <v>0</v>
      </c>
      <c r="K78" s="80">
        <f>'Allocation ProForma'!K824</f>
        <v>0</v>
      </c>
      <c r="L78" s="80">
        <f>'Allocation ProForma'!L824</f>
        <v>0</v>
      </c>
      <c r="M78" s="80">
        <f>'Allocation ProForma'!M824</f>
        <v>0</v>
      </c>
      <c r="N78" s="80">
        <f>'Allocation ProForma'!N824</f>
        <v>0</v>
      </c>
      <c r="O78" s="80">
        <f>'Allocation ProForma'!O824</f>
        <v>0</v>
      </c>
      <c r="P78" s="80">
        <f>'Allocation ProForma'!P824</f>
        <v>0</v>
      </c>
      <c r="Q78" s="80">
        <f>'Allocation ProForma'!Q824</f>
        <v>0</v>
      </c>
      <c r="R78" s="80">
        <f>'Allocation ProForma'!R824</f>
        <v>0</v>
      </c>
      <c r="S78" s="80">
        <f>'Allocation ProForma'!S824</f>
        <v>0</v>
      </c>
      <c r="T78" s="80">
        <f>'Allocation ProForma'!T824</f>
        <v>0</v>
      </c>
      <c r="U78" s="80">
        <f>'Allocation ProForma'!U824</f>
        <v>0</v>
      </c>
      <c r="V78" s="80">
        <f>'Allocation ProForma'!V824</f>
        <v>0</v>
      </c>
      <c r="W78" s="80">
        <f>'Allocation ProForma'!W824</f>
        <v>0</v>
      </c>
      <c r="X78" s="80">
        <f>'Allocation ProForma'!X824</f>
        <v>0</v>
      </c>
      <c r="Y78" s="80">
        <f>'Allocation ProForma'!Y824</f>
        <v>0</v>
      </c>
      <c r="Z78" s="80">
        <f>'Allocation ProForma'!Z824</f>
        <v>0</v>
      </c>
      <c r="AA78" s="80">
        <f t="shared" si="7"/>
        <v>0</v>
      </c>
      <c r="AB78" s="94" t="str">
        <f t="shared" si="6"/>
        <v>ok</v>
      </c>
    </row>
    <row r="79" spans="2:28" s="61" customFormat="1" hidden="1" x14ac:dyDescent="0.25">
      <c r="B79" s="61" t="s">
        <v>1211</v>
      </c>
      <c r="E79" s="61" t="s">
        <v>850</v>
      </c>
      <c r="F79" s="330"/>
      <c r="G79" s="77">
        <f>'Allocation ProForma'!G825</f>
        <v>0</v>
      </c>
      <c r="H79" s="77">
        <f>'Allocation ProForma'!H825</f>
        <v>0</v>
      </c>
      <c r="I79" s="77">
        <f>'Allocation ProForma'!I825</f>
        <v>0</v>
      </c>
      <c r="J79" s="77">
        <f>'Allocation ProForma'!J825</f>
        <v>0</v>
      </c>
      <c r="K79" s="77">
        <f>'Allocation ProForma'!K825</f>
        <v>0</v>
      </c>
      <c r="L79" s="77">
        <f>'Allocation ProForma'!L825</f>
        <v>0</v>
      </c>
      <c r="M79" s="77">
        <f>'Allocation ProForma'!M825</f>
        <v>0</v>
      </c>
      <c r="N79" s="77">
        <f>'Allocation ProForma'!N825</f>
        <v>0</v>
      </c>
      <c r="O79" s="77">
        <f>'Allocation ProForma'!O825</f>
        <v>0</v>
      </c>
      <c r="P79" s="77">
        <f>'Allocation ProForma'!P825</f>
        <v>0</v>
      </c>
      <c r="Q79" s="77">
        <f>'Allocation ProForma'!Q825</f>
        <v>0</v>
      </c>
      <c r="R79" s="77">
        <f>'Allocation ProForma'!R825</f>
        <v>0</v>
      </c>
      <c r="S79" s="77">
        <f>'Allocation ProForma'!S825</f>
        <v>0</v>
      </c>
      <c r="T79" s="77">
        <f>'Allocation ProForma'!T825</f>
        <v>0</v>
      </c>
      <c r="U79" s="77">
        <f>'Allocation ProForma'!U825</f>
        <v>0</v>
      </c>
      <c r="V79" s="77">
        <f>'Allocation ProForma'!V825</f>
        <v>0</v>
      </c>
      <c r="W79" s="77">
        <f>'Allocation ProForma'!W825</f>
        <v>0</v>
      </c>
      <c r="X79" s="80">
        <f>'Allocation ProForma'!X825</f>
        <v>0</v>
      </c>
      <c r="Y79" s="80">
        <f>'Allocation ProForma'!Y825</f>
        <v>0</v>
      </c>
      <c r="Z79" s="80">
        <f>'Allocation ProForma'!Z825</f>
        <v>0</v>
      </c>
      <c r="AA79" s="81">
        <f t="shared" si="7"/>
        <v>0</v>
      </c>
      <c r="AB79" s="94" t="str">
        <f t="shared" si="6"/>
        <v>ok</v>
      </c>
    </row>
    <row r="80" spans="2:28" s="61" customFormat="1" hidden="1" x14ac:dyDescent="0.25">
      <c r="B80" s="61" t="s">
        <v>1212</v>
      </c>
      <c r="E80" s="61" t="s">
        <v>427</v>
      </c>
      <c r="F80" s="330"/>
      <c r="G80" s="77">
        <f>'Allocation ProForma'!G826</f>
        <v>0</v>
      </c>
      <c r="H80" s="77">
        <f>'Allocation ProForma'!H826</f>
        <v>0</v>
      </c>
      <c r="I80" s="77">
        <f>'Allocation ProForma'!I826</f>
        <v>0</v>
      </c>
      <c r="J80" s="77">
        <f>'Allocation ProForma'!J826</f>
        <v>0</v>
      </c>
      <c r="K80" s="77">
        <f>'Allocation ProForma'!K826</f>
        <v>0</v>
      </c>
      <c r="L80" s="77">
        <f>'Allocation ProForma'!L826</f>
        <v>0</v>
      </c>
      <c r="M80" s="77">
        <f>'Allocation ProForma'!M826</f>
        <v>0</v>
      </c>
      <c r="N80" s="77">
        <f>'Allocation ProForma'!N826</f>
        <v>0</v>
      </c>
      <c r="O80" s="77">
        <f>'Allocation ProForma'!O826</f>
        <v>0</v>
      </c>
      <c r="P80" s="77">
        <f>'Allocation ProForma'!P826</f>
        <v>0</v>
      </c>
      <c r="Q80" s="77">
        <f>'Allocation ProForma'!Q826</f>
        <v>0</v>
      </c>
      <c r="R80" s="77">
        <f>'Allocation ProForma'!R826</f>
        <v>0</v>
      </c>
      <c r="S80" s="77">
        <f>'Allocation ProForma'!S826</f>
        <v>0</v>
      </c>
      <c r="T80" s="77">
        <f>'Allocation ProForma'!T826</f>
        <v>0</v>
      </c>
      <c r="U80" s="77">
        <f>'Allocation ProForma'!U826</f>
        <v>0</v>
      </c>
      <c r="V80" s="77">
        <f>'Allocation ProForma'!V826</f>
        <v>0</v>
      </c>
      <c r="W80" s="77">
        <f>'Allocation ProForma'!W826</f>
        <v>0</v>
      </c>
      <c r="X80" s="80">
        <f>'Allocation ProForma'!X826</f>
        <v>0</v>
      </c>
      <c r="Y80" s="80">
        <f>'Allocation ProForma'!Y826</f>
        <v>0</v>
      </c>
      <c r="Z80" s="80">
        <f>'Allocation ProForma'!Z826</f>
        <v>0</v>
      </c>
      <c r="AA80" s="81">
        <f t="shared" si="7"/>
        <v>0</v>
      </c>
      <c r="AB80" s="94" t="str">
        <f t="shared" si="6"/>
        <v>ok</v>
      </c>
    </row>
    <row r="81" spans="1:54" s="61" customFormat="1" hidden="1" x14ac:dyDescent="0.25">
      <c r="B81" s="61" t="s">
        <v>1213</v>
      </c>
      <c r="E81" s="61" t="s">
        <v>427</v>
      </c>
      <c r="F81" s="331"/>
      <c r="G81" s="139">
        <f>'Allocation ProForma'!G827</f>
        <v>0</v>
      </c>
      <c r="H81" s="139">
        <f>'Allocation ProForma'!H827</f>
        <v>0</v>
      </c>
      <c r="I81" s="139">
        <f>'Allocation ProForma'!I827</f>
        <v>0</v>
      </c>
      <c r="J81" s="139">
        <f>'Allocation ProForma'!J827</f>
        <v>0</v>
      </c>
      <c r="K81" s="139">
        <f>'Allocation ProForma'!K827</f>
        <v>0</v>
      </c>
      <c r="L81" s="139">
        <f>'Allocation ProForma'!L827</f>
        <v>0</v>
      </c>
      <c r="M81" s="139">
        <f>'Allocation ProForma'!M827</f>
        <v>0</v>
      </c>
      <c r="N81" s="139">
        <f>'Allocation ProForma'!N827</f>
        <v>0</v>
      </c>
      <c r="O81" s="139">
        <f>'Allocation ProForma'!O827</f>
        <v>0</v>
      </c>
      <c r="P81" s="139">
        <f>'Allocation ProForma'!P827</f>
        <v>0</v>
      </c>
      <c r="Q81" s="139">
        <f>'Allocation ProForma'!Q827</f>
        <v>0</v>
      </c>
      <c r="R81" s="139">
        <f>'Allocation ProForma'!R827</f>
        <v>0</v>
      </c>
      <c r="S81" s="139">
        <f>'Allocation ProForma'!S827</f>
        <v>0</v>
      </c>
      <c r="T81" s="139">
        <f>'Allocation ProForma'!T827</f>
        <v>0</v>
      </c>
      <c r="U81" s="139">
        <f>'Allocation ProForma'!U827</f>
        <v>0</v>
      </c>
      <c r="V81" s="139">
        <f>'Allocation ProForma'!V827</f>
        <v>0</v>
      </c>
      <c r="W81" s="139">
        <f>'Allocation ProForma'!W827</f>
        <v>0</v>
      </c>
      <c r="X81" s="80">
        <f>'Allocation ProForma'!X827</f>
        <v>0</v>
      </c>
      <c r="Y81" s="80">
        <f>'Allocation ProForma'!Y827</f>
        <v>0</v>
      </c>
      <c r="Z81" s="80">
        <f>'Allocation ProForma'!Z827</f>
        <v>0</v>
      </c>
      <c r="AA81" s="140">
        <f t="shared" si="7"/>
        <v>0</v>
      </c>
      <c r="AB81" s="152" t="str">
        <f t="shared" si="6"/>
        <v>ok</v>
      </c>
    </row>
    <row r="82" spans="1:54" s="61" customFormat="1" x14ac:dyDescent="0.25">
      <c r="A82" s="61" t="s">
        <v>717</v>
      </c>
      <c r="F82" s="80">
        <f t="shared" ref="F82:Z82" si="8">SUM(F51:F81)</f>
        <v>2801602.9883563295</v>
      </c>
      <c r="G82" s="80">
        <f t="shared" si="8"/>
        <v>745293.47382287146</v>
      </c>
      <c r="H82" s="80">
        <f t="shared" si="8"/>
        <v>619854.40835159074</v>
      </c>
      <c r="I82" s="80">
        <f t="shared" si="8"/>
        <v>0</v>
      </c>
      <c r="J82" s="80">
        <f t="shared" si="8"/>
        <v>38220.821306771562</v>
      </c>
      <c r="K82" s="80">
        <f t="shared" si="8"/>
        <v>647966.56052457867</v>
      </c>
      <c r="L82" s="80">
        <f t="shared" si="8"/>
        <v>0</v>
      </c>
      <c r="M82" s="80">
        <f t="shared" si="8"/>
        <v>0</v>
      </c>
      <c r="N82" s="80">
        <f t="shared" si="8"/>
        <v>322966.67847506591</v>
      </c>
      <c r="O82" s="80">
        <f>SUM(O51:O81)</f>
        <v>236622.6589111519</v>
      </c>
      <c r="P82" s="80">
        <f t="shared" si="8"/>
        <v>96462.308863440092</v>
      </c>
      <c r="Q82" s="80">
        <f t="shared" si="8"/>
        <v>7737.0472827626309</v>
      </c>
      <c r="R82" s="80">
        <f t="shared" si="8"/>
        <v>2783.3854605947581</v>
      </c>
      <c r="S82" s="80">
        <f t="shared" si="8"/>
        <v>82015.381634573452</v>
      </c>
      <c r="T82" s="80">
        <f t="shared" si="8"/>
        <v>665.1018025455694</v>
      </c>
      <c r="U82" s="80">
        <f t="shared" si="8"/>
        <v>1015.1619203855329</v>
      </c>
      <c r="V82" s="80">
        <f t="shared" si="8"/>
        <v>0</v>
      </c>
      <c r="W82" s="80">
        <f t="shared" si="8"/>
        <v>0</v>
      </c>
      <c r="X82" s="80">
        <f t="shared" si="8"/>
        <v>0</v>
      </c>
      <c r="Y82" s="80">
        <f t="shared" si="8"/>
        <v>0</v>
      </c>
      <c r="Z82" s="80">
        <f t="shared" si="8"/>
        <v>0</v>
      </c>
      <c r="AA82" s="157">
        <f>SUM(G82:Z82)</f>
        <v>2801602.9883563323</v>
      </c>
      <c r="AB82" s="148" t="str">
        <f t="shared" si="6"/>
        <v>ok</v>
      </c>
    </row>
    <row r="83" spans="1:54" s="61" customFormat="1" x14ac:dyDescent="0.25">
      <c r="AA83" s="157"/>
      <c r="AB83" s="148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</row>
    <row r="84" spans="1:54" s="61" customFormat="1" x14ac:dyDescent="0.25">
      <c r="A84" s="61" t="s">
        <v>1142</v>
      </c>
      <c r="D84" s="61" t="s">
        <v>1103</v>
      </c>
      <c r="F84" s="81">
        <f t="shared" ref="F84:Z84" si="9">SUM(F37:F81)</f>
        <v>905585926.0025624</v>
      </c>
      <c r="G84" s="81">
        <f t="shared" si="9"/>
        <v>391413723.71375728</v>
      </c>
      <c r="H84" s="81">
        <f t="shared" si="9"/>
        <v>118462563.85495073</v>
      </c>
      <c r="I84" s="81">
        <f t="shared" si="9"/>
        <v>0</v>
      </c>
      <c r="J84" s="81">
        <f t="shared" si="9"/>
        <v>10454784.491525004</v>
      </c>
      <c r="K84" s="81">
        <f t="shared" si="9"/>
        <v>135312191.91702792</v>
      </c>
      <c r="L84" s="81">
        <f t="shared" si="9"/>
        <v>0</v>
      </c>
      <c r="M84" s="81">
        <f t="shared" si="9"/>
        <v>0</v>
      </c>
      <c r="N84" s="81">
        <f t="shared" si="9"/>
        <v>119712951.6210154</v>
      </c>
      <c r="O84" s="81">
        <f>SUM(O37:O81)</f>
        <v>67045750.735550165</v>
      </c>
      <c r="P84" s="81">
        <f t="shared" si="9"/>
        <v>39486113.440924928</v>
      </c>
      <c r="Q84" s="81">
        <f t="shared" si="9"/>
        <v>6114987.0585415382</v>
      </c>
      <c r="R84" s="81">
        <f t="shared" si="9"/>
        <v>3331550.8942014948</v>
      </c>
      <c r="S84" s="81">
        <f t="shared" si="9"/>
        <v>13841758.147900594</v>
      </c>
      <c r="T84" s="81">
        <f t="shared" si="9"/>
        <v>179847.3828040401</v>
      </c>
      <c r="U84" s="81">
        <f t="shared" si="9"/>
        <v>229702.74436320216</v>
      </c>
      <c r="V84" s="81">
        <f t="shared" si="9"/>
        <v>0</v>
      </c>
      <c r="W84" s="81">
        <f t="shared" si="9"/>
        <v>0</v>
      </c>
      <c r="X84" s="81">
        <f t="shared" si="9"/>
        <v>0</v>
      </c>
      <c r="Y84" s="81">
        <f t="shared" si="9"/>
        <v>0</v>
      </c>
      <c r="Z84" s="81">
        <f t="shared" si="9"/>
        <v>0</v>
      </c>
      <c r="AA84" s="81">
        <f>SUM(G84:Z84)</f>
        <v>905585926.00256228</v>
      </c>
      <c r="AB84" s="94" t="str">
        <f>IF(ABS(F84-AA84)&lt;0.01,"ok","err")</f>
        <v>ok</v>
      </c>
    </row>
    <row r="85" spans="1:54" s="61" customFormat="1" x14ac:dyDescent="0.25"/>
    <row r="86" spans="1:54" s="61" customFormat="1" x14ac:dyDescent="0.25">
      <c r="A86" s="66" t="s">
        <v>915</v>
      </c>
      <c r="F86" s="81">
        <f t="shared" ref="F86:AA86" si="10">F30-F84</f>
        <v>139066117.9974376</v>
      </c>
      <c r="G86" s="81">
        <f t="shared" si="10"/>
        <v>40784231.578590393</v>
      </c>
      <c r="H86" s="81">
        <f t="shared" si="10"/>
        <v>29350830.273523241</v>
      </c>
      <c r="I86" s="81">
        <f t="shared" si="10"/>
        <v>0</v>
      </c>
      <c r="J86" s="81">
        <f t="shared" si="10"/>
        <v>1832067.600870017</v>
      </c>
      <c r="K86" s="81">
        <f t="shared" si="10"/>
        <v>30535553.89455086</v>
      </c>
      <c r="L86" s="81">
        <f t="shared" si="10"/>
        <v>0</v>
      </c>
      <c r="M86" s="81">
        <f t="shared" si="10"/>
        <v>0</v>
      </c>
      <c r="N86" s="81">
        <f t="shared" si="10"/>
        <v>15873064.6940054</v>
      </c>
      <c r="O86" s="81">
        <f t="shared" si="10"/>
        <v>11420062.304775119</v>
      </c>
      <c r="P86" s="81">
        <f t="shared" si="10"/>
        <v>4655776.5006829351</v>
      </c>
      <c r="Q86" s="81">
        <f t="shared" si="10"/>
        <v>279262.31889444124</v>
      </c>
      <c r="R86" s="81">
        <f t="shared" si="10"/>
        <v>170295.39608782297</v>
      </c>
      <c r="S86" s="81">
        <f t="shared" si="10"/>
        <v>4079639.6891435962</v>
      </c>
      <c r="T86" s="81">
        <f t="shared" si="10"/>
        <v>34372.12447978303</v>
      </c>
      <c r="U86" s="81">
        <f t="shared" si="10"/>
        <v>50961.621834041405</v>
      </c>
      <c r="V86" s="81">
        <f t="shared" si="10"/>
        <v>0</v>
      </c>
      <c r="W86" s="81">
        <f t="shared" si="10"/>
        <v>0</v>
      </c>
      <c r="X86" s="81">
        <f t="shared" si="10"/>
        <v>0</v>
      </c>
      <c r="Y86" s="81">
        <f t="shared" si="10"/>
        <v>0</v>
      </c>
      <c r="Z86" s="81">
        <f t="shared" si="10"/>
        <v>0</v>
      </c>
      <c r="AA86" s="81">
        <f t="shared" si="10"/>
        <v>139066117.9974376</v>
      </c>
      <c r="AB86" s="94" t="str">
        <f>IF(ABS(F86-AA86)&lt;0.01,"ok","err")</f>
        <v>ok</v>
      </c>
    </row>
    <row r="87" spans="1:54" s="61" customFormat="1" x14ac:dyDescent="0.25">
      <c r="A87" s="66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94"/>
    </row>
    <row r="88" spans="1:54" s="61" customFormat="1" x14ac:dyDescent="0.25">
      <c r="A88" s="66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94"/>
    </row>
    <row r="89" spans="1:54" s="61" customFormat="1" x14ac:dyDescent="0.25">
      <c r="A89" s="66" t="s">
        <v>209</v>
      </c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94"/>
    </row>
    <row r="90" spans="1:54" s="61" customFormat="1" x14ac:dyDescent="0.25">
      <c r="A90" s="66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94"/>
    </row>
    <row r="91" spans="1:54" s="61" customFormat="1" x14ac:dyDescent="0.25">
      <c r="A91" s="66" t="s">
        <v>915</v>
      </c>
      <c r="F91" s="81">
        <f>F86</f>
        <v>139066117.9974376</v>
      </c>
      <c r="G91" s="81">
        <f t="shared" ref="G91:U91" si="11">G86</f>
        <v>40784231.578590393</v>
      </c>
      <c r="H91" s="81">
        <f t="shared" si="11"/>
        <v>29350830.273523241</v>
      </c>
      <c r="I91" s="81">
        <f t="shared" si="11"/>
        <v>0</v>
      </c>
      <c r="J91" s="81">
        <f t="shared" si="11"/>
        <v>1832067.600870017</v>
      </c>
      <c r="K91" s="81">
        <f t="shared" si="11"/>
        <v>30535553.89455086</v>
      </c>
      <c r="L91" s="81">
        <f t="shared" si="11"/>
        <v>0</v>
      </c>
      <c r="M91" s="81">
        <f t="shared" si="11"/>
        <v>0</v>
      </c>
      <c r="N91" s="81">
        <f t="shared" si="11"/>
        <v>15873064.6940054</v>
      </c>
      <c r="O91" s="81">
        <f>O86</f>
        <v>11420062.304775119</v>
      </c>
      <c r="P91" s="81">
        <f t="shared" si="11"/>
        <v>4655776.5006829351</v>
      </c>
      <c r="Q91" s="81">
        <f t="shared" si="11"/>
        <v>279262.31889444124</v>
      </c>
      <c r="R91" s="81">
        <f t="shared" si="11"/>
        <v>170295.39608782297</v>
      </c>
      <c r="S91" s="81">
        <f t="shared" si="11"/>
        <v>4079639.6891435962</v>
      </c>
      <c r="T91" s="81">
        <f t="shared" si="11"/>
        <v>34372.12447978303</v>
      </c>
      <c r="U91" s="81">
        <f t="shared" si="11"/>
        <v>50961.621834041405</v>
      </c>
      <c r="V91" s="81"/>
      <c r="W91" s="81"/>
      <c r="X91" s="81"/>
      <c r="Y91" s="81"/>
      <c r="Z91" s="81"/>
      <c r="AA91" s="81"/>
      <c r="AB91" s="94"/>
    </row>
    <row r="92" spans="1:54" s="61" customFormat="1" x14ac:dyDescent="0.25"/>
    <row r="93" spans="1:54" s="61" customFormat="1" x14ac:dyDescent="0.25">
      <c r="A93" s="66" t="s">
        <v>1125</v>
      </c>
      <c r="F93" s="81">
        <f>'Allocation ProForma'!F839</f>
        <v>2250031689.5289073</v>
      </c>
      <c r="G93" s="81">
        <f>'Allocation ProForma'!G839</f>
        <v>1225741672.3782828</v>
      </c>
      <c r="H93" s="81">
        <f>'Allocation ProForma'!H839</f>
        <v>272051302.68880898</v>
      </c>
      <c r="I93" s="81">
        <f>'Allocation ProForma'!I839</f>
        <v>0</v>
      </c>
      <c r="J93" s="81">
        <f>'Allocation ProForma'!J839</f>
        <v>20130039.304534759</v>
      </c>
      <c r="K93" s="81">
        <f>'Allocation ProForma'!K839</f>
        <v>260999577.51330796</v>
      </c>
      <c r="L93" s="81">
        <f>'Allocation ProForma'!L839</f>
        <v>0</v>
      </c>
      <c r="M93" s="81">
        <f>'Allocation ProForma'!M839</f>
        <v>0</v>
      </c>
      <c r="N93" s="81">
        <f>'Allocation ProForma'!N839</f>
        <v>211458478.97557414</v>
      </c>
      <c r="O93" s="81">
        <f>'Allocation ProForma'!O839</f>
        <v>128875799.74577057</v>
      </c>
      <c r="P93" s="81">
        <f>'Allocation ProForma'!P839</f>
        <v>46217422.218736798</v>
      </c>
      <c r="Q93" s="81">
        <f>'Allocation ProForma'!Q839</f>
        <v>11105016.673919467</v>
      </c>
      <c r="R93" s="81">
        <f>'Allocation ProForma'!R839</f>
        <v>6961566.9375586044</v>
      </c>
      <c r="S93" s="81">
        <f>'Allocation ProForma'!S839</f>
        <v>65992175.425948963</v>
      </c>
      <c r="T93" s="81">
        <f>'Allocation ProForma'!T839</f>
        <v>129178.36717412261</v>
      </c>
      <c r="U93" s="81">
        <f>'Allocation ProForma'!U839</f>
        <v>369459.29929092026</v>
      </c>
      <c r="V93" s="81">
        <f>'Allocation ProForma'!V839</f>
        <v>0</v>
      </c>
      <c r="W93" s="81">
        <f>'Allocation ProForma'!W839</f>
        <v>0</v>
      </c>
      <c r="X93" s="81">
        <f>'Allocation ProForma'!X839</f>
        <v>0</v>
      </c>
      <c r="Y93" s="81">
        <f>'Allocation ProForma'!Y839</f>
        <v>0</v>
      </c>
      <c r="Z93" s="81">
        <f>'Allocation ProForma'!Z839</f>
        <v>0</v>
      </c>
      <c r="AA93" s="81">
        <f>SUM(G93:Z93)</f>
        <v>2250031689.5289083</v>
      </c>
      <c r="AB93" s="94" t="str">
        <f>IF(ABS(F93-AA93)&lt;0.01,"ok","err")</f>
        <v>ok</v>
      </c>
    </row>
    <row r="94" spans="1:54" s="61" customFormat="1" x14ac:dyDescent="0.25">
      <c r="A94" s="66" t="s">
        <v>1341</v>
      </c>
      <c r="E94" s="61" t="s">
        <v>1115</v>
      </c>
      <c r="F94" s="80">
        <f>'Allocation ProForma'!F840</f>
        <v>0</v>
      </c>
      <c r="G94" s="80">
        <f>'Allocation ProForma'!G840</f>
        <v>0</v>
      </c>
      <c r="H94" s="80">
        <f>'Allocation ProForma'!H840</f>
        <v>0</v>
      </c>
      <c r="I94" s="80">
        <f>'Allocation ProForma'!I840</f>
        <v>0</v>
      </c>
      <c r="J94" s="80">
        <f>'Allocation ProForma'!J840</f>
        <v>0</v>
      </c>
      <c r="K94" s="80">
        <f>'Allocation ProForma'!K840</f>
        <v>0</v>
      </c>
      <c r="L94" s="80">
        <f>'Allocation ProForma'!L840</f>
        <v>0</v>
      </c>
      <c r="M94" s="80">
        <f>'Allocation ProForma'!M840</f>
        <v>0</v>
      </c>
      <c r="N94" s="80">
        <f>'Allocation ProForma'!N840</f>
        <v>0</v>
      </c>
      <c r="O94" s="80">
        <f>'Allocation ProForma'!O840</f>
        <v>0</v>
      </c>
      <c r="P94" s="80">
        <f>'Allocation ProForma'!P840</f>
        <v>0</v>
      </c>
      <c r="Q94" s="80">
        <f>'Allocation ProForma'!Q840</f>
        <v>0</v>
      </c>
      <c r="R94" s="80">
        <f>'Allocation ProForma'!R840</f>
        <v>0</v>
      </c>
      <c r="S94" s="80">
        <f>'Allocation ProForma'!S840</f>
        <v>0</v>
      </c>
      <c r="T94" s="80">
        <f>'Allocation ProForma'!T840</f>
        <v>0</v>
      </c>
      <c r="U94" s="80">
        <f>'Allocation ProForma'!U840</f>
        <v>0</v>
      </c>
      <c r="V94" s="80">
        <f>'Allocation ProForma'!V840</f>
        <v>0</v>
      </c>
      <c r="W94" s="80">
        <f>'Allocation ProForma'!W840</f>
        <v>0</v>
      </c>
      <c r="X94" s="80">
        <f>'Allocation ProForma'!X840</f>
        <v>0</v>
      </c>
      <c r="Y94" s="80">
        <f>'Allocation ProForma'!Y840</f>
        <v>0</v>
      </c>
      <c r="Z94" s="80">
        <f>'Allocation ProForma'!Z840</f>
        <v>0</v>
      </c>
      <c r="AA94" s="80">
        <f>SUM(G94:Z94)</f>
        <v>0</v>
      </c>
      <c r="AB94" s="94" t="str">
        <f>IF(ABS(F94-AA94)&lt;0.01,"ok","err")</f>
        <v>ok</v>
      </c>
    </row>
    <row r="95" spans="1:54" s="61" customFormat="1" x14ac:dyDescent="0.25">
      <c r="A95" s="66" t="s">
        <v>1187</v>
      </c>
      <c r="E95" s="61" t="s">
        <v>537</v>
      </c>
      <c r="F95" s="80">
        <f>'Allocation ProForma'!F841</f>
        <v>0</v>
      </c>
      <c r="G95" s="80">
        <f>'Allocation ProForma'!G841</f>
        <v>0</v>
      </c>
      <c r="H95" s="80">
        <f>'Allocation ProForma'!H841</f>
        <v>0</v>
      </c>
      <c r="I95" s="80">
        <f>'Allocation ProForma'!I841</f>
        <v>0</v>
      </c>
      <c r="J95" s="80">
        <f>'Allocation ProForma'!J841</f>
        <v>0</v>
      </c>
      <c r="K95" s="80">
        <f>'Allocation ProForma'!K841</f>
        <v>0</v>
      </c>
      <c r="L95" s="80">
        <f>'Allocation ProForma'!L841</f>
        <v>0</v>
      </c>
      <c r="M95" s="80">
        <f>'Allocation ProForma'!M841</f>
        <v>0</v>
      </c>
      <c r="N95" s="80">
        <f>'Allocation ProForma'!N841</f>
        <v>0</v>
      </c>
      <c r="O95" s="80">
        <f>'Allocation ProForma'!O841</f>
        <v>0</v>
      </c>
      <c r="P95" s="80">
        <f>'Allocation ProForma'!P841</f>
        <v>0</v>
      </c>
      <c r="Q95" s="80">
        <f>'Allocation ProForma'!Q841</f>
        <v>0</v>
      </c>
      <c r="R95" s="80">
        <f>'Allocation ProForma'!R841</f>
        <v>0</v>
      </c>
      <c r="S95" s="80">
        <f>'Allocation ProForma'!S841</f>
        <v>0</v>
      </c>
      <c r="T95" s="80">
        <f>'Allocation ProForma'!T841</f>
        <v>0</v>
      </c>
      <c r="U95" s="80">
        <f>'Allocation ProForma'!U841</f>
        <v>0</v>
      </c>
      <c r="V95" s="80">
        <f>'Allocation ProForma'!V841</f>
        <v>0</v>
      </c>
      <c r="W95" s="80">
        <f>'Allocation ProForma'!W841</f>
        <v>0</v>
      </c>
      <c r="X95" s="80">
        <f>'Allocation ProForma'!X841</f>
        <v>0</v>
      </c>
      <c r="Y95" s="80">
        <f>'Allocation ProForma'!Y841</f>
        <v>0</v>
      </c>
      <c r="Z95" s="80">
        <f>'Allocation ProForma'!Z841</f>
        <v>0</v>
      </c>
      <c r="AA95" s="80">
        <f>SUM(G95:Z95)</f>
        <v>0</v>
      </c>
      <c r="AB95" s="94" t="str">
        <f>IF(ABS(F95-AA95)&lt;0.01,"ok","err")</f>
        <v>ok</v>
      </c>
    </row>
    <row r="96" spans="1:54" s="61" customFormat="1" x14ac:dyDescent="0.25">
      <c r="A96" s="66" t="s">
        <v>0</v>
      </c>
      <c r="E96" s="61" t="s">
        <v>712</v>
      </c>
      <c r="F96" s="80">
        <f>'Allocation ProForma'!F842</f>
        <v>0</v>
      </c>
      <c r="G96" s="80">
        <f>'Allocation ProForma'!G842</f>
        <v>0</v>
      </c>
      <c r="H96" s="80">
        <f>'Allocation ProForma'!H842</f>
        <v>0</v>
      </c>
      <c r="I96" s="80">
        <f>'Allocation ProForma'!I842</f>
        <v>0</v>
      </c>
      <c r="J96" s="80">
        <f>'Allocation ProForma'!J842</f>
        <v>0</v>
      </c>
      <c r="K96" s="80">
        <f>'Allocation ProForma'!K842</f>
        <v>0</v>
      </c>
      <c r="L96" s="80">
        <f>'Allocation ProForma'!L842</f>
        <v>0</v>
      </c>
      <c r="M96" s="80">
        <f>'Allocation ProForma'!M842</f>
        <v>0</v>
      </c>
      <c r="N96" s="80">
        <f>'Allocation ProForma'!N842</f>
        <v>0</v>
      </c>
      <c r="O96" s="80">
        <f>'Allocation ProForma'!O842</f>
        <v>0</v>
      </c>
      <c r="P96" s="80">
        <f>'Allocation ProForma'!P842</f>
        <v>0</v>
      </c>
      <c r="Q96" s="80">
        <f>'Allocation ProForma'!Q842</f>
        <v>0</v>
      </c>
      <c r="R96" s="80">
        <f>'Allocation ProForma'!R842</f>
        <v>0</v>
      </c>
      <c r="S96" s="80">
        <f>'Allocation ProForma'!S842</f>
        <v>0</v>
      </c>
      <c r="T96" s="80">
        <f>'Allocation ProForma'!T842</f>
        <v>0</v>
      </c>
      <c r="U96" s="80">
        <f>'Allocation ProForma'!U842</f>
        <v>0</v>
      </c>
      <c r="V96" s="80">
        <f>'Allocation ProForma'!V842</f>
        <v>0</v>
      </c>
      <c r="W96" s="80">
        <f>'Allocation ProForma'!W842</f>
        <v>0</v>
      </c>
      <c r="X96" s="80">
        <f>'Allocation ProForma'!X842</f>
        <v>0</v>
      </c>
      <c r="Y96" s="80">
        <f>'Allocation ProForma'!Y842</f>
        <v>0</v>
      </c>
      <c r="Z96" s="80">
        <f>'Allocation ProForma'!Z842</f>
        <v>0</v>
      </c>
      <c r="AA96" s="80">
        <f>SUM(G96:Z96)</f>
        <v>0</v>
      </c>
      <c r="AB96" s="94" t="str">
        <f>IF(ABS(F96-AA96)&lt;0.01,"ok","err")</f>
        <v>ok</v>
      </c>
    </row>
    <row r="97" spans="1:28" s="61" customFormat="1" x14ac:dyDescent="0.25">
      <c r="A97" s="66" t="s">
        <v>929</v>
      </c>
      <c r="F97" s="81">
        <f t="shared" ref="F97:Z97" si="12">SUM(F93:F96)</f>
        <v>2250031689.5289073</v>
      </c>
      <c r="G97" s="81">
        <f t="shared" si="12"/>
        <v>1225741672.3782828</v>
      </c>
      <c r="H97" s="81">
        <f t="shared" si="12"/>
        <v>272051302.68880898</v>
      </c>
      <c r="I97" s="81">
        <f t="shared" si="12"/>
        <v>0</v>
      </c>
      <c r="J97" s="81">
        <f t="shared" si="12"/>
        <v>20130039.304534759</v>
      </c>
      <c r="K97" s="81">
        <f t="shared" si="12"/>
        <v>260999577.51330796</v>
      </c>
      <c r="L97" s="81">
        <f t="shared" si="12"/>
        <v>0</v>
      </c>
      <c r="M97" s="81">
        <f t="shared" si="12"/>
        <v>0</v>
      </c>
      <c r="N97" s="81">
        <f t="shared" si="12"/>
        <v>211458478.97557414</v>
      </c>
      <c r="O97" s="81">
        <f t="shared" si="12"/>
        <v>128875799.74577057</v>
      </c>
      <c r="P97" s="81">
        <f t="shared" si="12"/>
        <v>46217422.218736798</v>
      </c>
      <c r="Q97" s="81">
        <f t="shared" si="12"/>
        <v>11105016.673919467</v>
      </c>
      <c r="R97" s="81">
        <f t="shared" si="12"/>
        <v>6961566.9375586044</v>
      </c>
      <c r="S97" s="81">
        <f t="shared" si="12"/>
        <v>65992175.425948963</v>
      </c>
      <c r="T97" s="81">
        <f t="shared" si="12"/>
        <v>129178.36717412261</v>
      </c>
      <c r="U97" s="81">
        <f t="shared" si="12"/>
        <v>369459.29929092026</v>
      </c>
      <c r="V97" s="81">
        <f t="shared" si="12"/>
        <v>0</v>
      </c>
      <c r="W97" s="81">
        <f t="shared" si="12"/>
        <v>0</v>
      </c>
      <c r="X97" s="81">
        <f t="shared" si="12"/>
        <v>0</v>
      </c>
      <c r="Y97" s="81">
        <f t="shared" si="12"/>
        <v>0</v>
      </c>
      <c r="Z97" s="81">
        <f t="shared" si="12"/>
        <v>0</v>
      </c>
      <c r="AA97" s="81">
        <f>SUM(G97:Z97)</f>
        <v>2250031689.5289083</v>
      </c>
      <c r="AB97" s="94" t="str">
        <f>IF(ABS(F97-AA97)&lt;0.01,"ok","err")</f>
        <v>ok</v>
      </c>
    </row>
    <row r="98" spans="1:28" s="61" customFormat="1" ht="14.4" thickBot="1" x14ac:dyDescent="0.3"/>
    <row r="99" spans="1:28" s="61" customFormat="1" ht="14.4" thickBot="1" x14ac:dyDescent="0.3">
      <c r="A99" s="328" t="s">
        <v>1143</v>
      </c>
      <c r="B99" s="154"/>
      <c r="C99" s="154"/>
      <c r="D99" s="154"/>
      <c r="E99" s="154"/>
      <c r="F99" s="155">
        <f t="shared" ref="F99:Z99" si="13">F86/F97</f>
        <v>6.1806293060056451E-2</v>
      </c>
      <c r="G99" s="155">
        <f t="shared" si="13"/>
        <v>3.3273105171873235E-2</v>
      </c>
      <c r="H99" s="155">
        <f t="shared" si="13"/>
        <v>0.10788711534712533</v>
      </c>
      <c r="I99" s="155" t="e">
        <f t="shared" si="13"/>
        <v>#DIV/0!</v>
      </c>
      <c r="J99" s="155">
        <f t="shared" si="13"/>
        <v>9.1011625618500458E-2</v>
      </c>
      <c r="K99" s="155">
        <f t="shared" si="13"/>
        <v>0.11699464874801914</v>
      </c>
      <c r="L99" s="155" t="e">
        <f t="shared" si="13"/>
        <v>#DIV/0!</v>
      </c>
      <c r="M99" s="155" t="e">
        <f t="shared" si="13"/>
        <v>#DIV/0!</v>
      </c>
      <c r="N99" s="155">
        <f t="shared" si="13"/>
        <v>7.5064687738716399E-2</v>
      </c>
      <c r="O99" s="155">
        <f t="shared" si="13"/>
        <v>8.8612930645653676E-2</v>
      </c>
      <c r="P99" s="155">
        <f t="shared" si="13"/>
        <v>0.10073639500377539</v>
      </c>
      <c r="Q99" s="155">
        <f t="shared" si="13"/>
        <v>2.5147402034100399E-2</v>
      </c>
      <c r="R99" s="155">
        <f t="shared" si="13"/>
        <v>2.4462222027781713E-2</v>
      </c>
      <c r="S99" s="155">
        <f t="shared" si="13"/>
        <v>6.182005158659204E-2</v>
      </c>
      <c r="T99" s="155">
        <f t="shared" si="13"/>
        <v>0.26608266718104606</v>
      </c>
      <c r="U99" s="155">
        <f t="shared" si="13"/>
        <v>0.13793568583020865</v>
      </c>
      <c r="V99" s="155" t="e">
        <f t="shared" si="13"/>
        <v>#DIV/0!</v>
      </c>
      <c r="W99" s="155" t="e">
        <f t="shared" si="13"/>
        <v>#DIV/0!</v>
      </c>
      <c r="X99" s="155" t="e">
        <f t="shared" si="13"/>
        <v>#DIV/0!</v>
      </c>
      <c r="Y99" s="155" t="e">
        <f t="shared" si="13"/>
        <v>#DIV/0!</v>
      </c>
      <c r="Z99" s="155" t="e">
        <f t="shared" si="13"/>
        <v>#DIV/0!</v>
      </c>
      <c r="AA99" s="143"/>
      <c r="AB99" s="143"/>
    </row>
  </sheetData>
  <autoFilter ref="A4:BB99"/>
  <pageMargins left="0.75" right="0.25" top="1.25" bottom="0.5" header="0.5" footer="0.3"/>
  <pageSetup scale="58" fitToWidth="2" pageOrder="overThenDown" orientation="landscape" r:id="rId1"/>
  <headerFooter alignWithMargins="0">
    <oddHeader>&amp;C&amp;"Times New Roman,Bold"LOUISVILLE GAS AND ELECTRIC COMPANY
KIUC PJM 5 CP Cost of Service Study
Class Allocation
12 Months Ended 
June 30, 2016</oddHeader>
  </headerFooter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40"/>
  <sheetViews>
    <sheetView tabSelected="1" zoomScale="90" zoomScaleNormal="90" zoomScaleSheetLayoutView="80" workbookViewId="0">
      <selection activeCell="B7" sqref="B7"/>
    </sheetView>
  </sheetViews>
  <sheetFormatPr defaultRowHeight="13.8" x14ac:dyDescent="0.25"/>
  <cols>
    <col min="1" max="1" width="48.109375" bestFit="1" customWidth="1"/>
    <col min="8" max="8" width="19" style="3" bestFit="1" customWidth="1"/>
    <col min="9" max="9" width="19.6640625" style="3" customWidth="1"/>
    <col min="10" max="10" width="18" style="3" customWidth="1"/>
    <col min="11" max="11" width="18.88671875" style="9" customWidth="1"/>
    <col min="12" max="12" width="14.109375" customWidth="1"/>
    <col min="13" max="16" width="16.5546875" style="4" customWidth="1"/>
    <col min="18" max="20" width="15.6640625" style="4" customWidth="1"/>
    <col min="21" max="21" width="15.6640625" customWidth="1"/>
  </cols>
  <sheetData>
    <row r="1" spans="1:21" ht="17.399999999999999" x14ac:dyDescent="0.3">
      <c r="A1" s="28" t="s">
        <v>623</v>
      </c>
      <c r="B1" s="13"/>
      <c r="C1" s="13"/>
      <c r="D1" s="13"/>
      <c r="E1" s="13"/>
      <c r="F1" s="13"/>
      <c r="G1" s="13"/>
    </row>
    <row r="2" spans="1:21" x14ac:dyDescent="0.25">
      <c r="A2" s="5" t="s">
        <v>1343</v>
      </c>
    </row>
    <row r="5" spans="1:21" x14ac:dyDescent="0.25">
      <c r="H5" s="382" t="s">
        <v>1409</v>
      </c>
    </row>
    <row r="6" spans="1:21" x14ac:dyDescent="0.25">
      <c r="A6" s="14"/>
      <c r="B6" s="368" t="s">
        <v>1410</v>
      </c>
      <c r="C6" s="368" t="s">
        <v>1405</v>
      </c>
      <c r="D6" s="368" t="s">
        <v>1400</v>
      </c>
      <c r="E6" s="368"/>
      <c r="F6" s="368" t="s">
        <v>1401</v>
      </c>
      <c r="G6" s="13"/>
      <c r="I6" s="15" t="s">
        <v>168</v>
      </c>
      <c r="J6" s="15" t="s">
        <v>170</v>
      </c>
      <c r="K6" s="30"/>
      <c r="L6" s="1"/>
      <c r="N6" s="336"/>
      <c r="O6" s="337"/>
      <c r="P6" s="9"/>
      <c r="U6" s="9"/>
    </row>
    <row r="7" spans="1:21" ht="14.4" thickBot="1" x14ac:dyDescent="0.3">
      <c r="A7" s="26"/>
      <c r="B7" s="369" t="s">
        <v>1402</v>
      </c>
      <c r="C7" s="369" t="s">
        <v>133</v>
      </c>
      <c r="D7" s="369" t="s">
        <v>1406</v>
      </c>
      <c r="E7" s="369" t="s">
        <v>1403</v>
      </c>
      <c r="F7" s="369" t="s">
        <v>1404</v>
      </c>
      <c r="G7" s="27"/>
      <c r="H7" s="29" t="s">
        <v>1152</v>
      </c>
      <c r="I7" s="29" t="s">
        <v>169</v>
      </c>
      <c r="J7" s="29" t="s">
        <v>1151</v>
      </c>
      <c r="K7" s="31" t="s">
        <v>987</v>
      </c>
      <c r="L7" s="29" t="s">
        <v>171</v>
      </c>
      <c r="N7" s="338"/>
      <c r="O7" s="337"/>
      <c r="P7" s="9"/>
      <c r="U7" s="9"/>
    </row>
    <row r="8" spans="1:21" x14ac:dyDescent="0.25">
      <c r="A8" s="14"/>
      <c r="B8" s="13"/>
      <c r="C8" s="13"/>
      <c r="D8" s="13"/>
      <c r="E8" s="13"/>
      <c r="F8" s="13"/>
      <c r="G8" s="13"/>
      <c r="N8" s="339"/>
      <c r="O8" s="337"/>
      <c r="P8" s="9"/>
      <c r="U8" s="9"/>
    </row>
    <row r="9" spans="1:21" x14ac:dyDescent="0.25">
      <c r="A9" s="188" t="s">
        <v>1309</v>
      </c>
      <c r="B9" s="19">
        <v>3.8718629449174646E-2</v>
      </c>
      <c r="C9" s="19">
        <v>3.807722697652232E-2</v>
      </c>
      <c r="D9" s="19">
        <v>3.7886363571160396E-2</v>
      </c>
      <c r="E9" s="19">
        <v>3.7213230241638182E-2</v>
      </c>
      <c r="F9" s="19">
        <v>3.3273105171873235E-2</v>
      </c>
      <c r="G9" s="13"/>
      <c r="H9" s="2">
        <f>'Allocation ProForma'!G776</f>
        <v>432197955.29234767</v>
      </c>
      <c r="I9" s="2">
        <f>'Allocation ProForma'!G830</f>
        <v>391413723.71375728</v>
      </c>
      <c r="J9" s="2">
        <f t="shared" ref="J9:J20" si="0">H9-I9</f>
        <v>40784231.578590393</v>
      </c>
      <c r="K9" s="2">
        <f>'Allocation ProForma'!G843</f>
        <v>1225741672.3782828</v>
      </c>
      <c r="L9" s="19">
        <f t="shared" ref="L9:L21" si="1">J9/K9</f>
        <v>3.3273105171873235E-2</v>
      </c>
      <c r="M9" s="188" t="s">
        <v>1309</v>
      </c>
      <c r="N9" s="339"/>
      <c r="O9" s="339"/>
      <c r="P9" s="9"/>
      <c r="U9" s="9"/>
    </row>
    <row r="10" spans="1:21" x14ac:dyDescent="0.25">
      <c r="A10" s="188" t="s">
        <v>1387</v>
      </c>
      <c r="B10" s="19">
        <v>0.12059377744224245</v>
      </c>
      <c r="C10" s="19">
        <v>0.11927683410183842</v>
      </c>
      <c r="D10" s="19">
        <v>0.11890585767147371</v>
      </c>
      <c r="E10" s="19">
        <v>0.10918976801509962</v>
      </c>
      <c r="F10" s="19">
        <v>0.10788711534712533</v>
      </c>
      <c r="G10" s="13"/>
      <c r="H10" s="4">
        <f>'Allocation ProForma'!H776</f>
        <v>147813394.12847397</v>
      </c>
      <c r="I10" s="4">
        <f>'Allocation ProForma'!H830</f>
        <v>118462563.85495073</v>
      </c>
      <c r="J10" s="4">
        <f t="shared" si="0"/>
        <v>29350830.273523241</v>
      </c>
      <c r="K10" s="4">
        <f>'Allocation ProForma'!H843</f>
        <v>272051302.68880898</v>
      </c>
      <c r="L10" s="19">
        <f t="shared" si="1"/>
        <v>0.10788711534712533</v>
      </c>
      <c r="M10" s="188" t="s">
        <v>1387</v>
      </c>
      <c r="N10" s="339"/>
      <c r="O10" s="339"/>
      <c r="P10" s="9"/>
      <c r="U10" s="9"/>
    </row>
    <row r="11" spans="1:21" x14ac:dyDescent="0.25">
      <c r="A11" s="188" t="s">
        <v>1310</v>
      </c>
      <c r="B11" s="19">
        <v>8.7602372404961368E-2</v>
      </c>
      <c r="C11" s="19">
        <v>8.6442446278905599E-2</v>
      </c>
      <c r="D11" s="19">
        <v>8.7717922261219217E-2</v>
      </c>
      <c r="E11" s="19">
        <v>8.541840051009135E-2</v>
      </c>
      <c r="F11" s="19">
        <v>9.1011625618500458E-2</v>
      </c>
      <c r="H11" s="4">
        <f>'Allocation ProForma'!J776</f>
        <v>12286852.092395021</v>
      </c>
      <c r="I11" s="4">
        <f>'Allocation ProForma'!J830</f>
        <v>10454784.491525004</v>
      </c>
      <c r="J11" s="37">
        <f t="shared" si="0"/>
        <v>1832067.600870017</v>
      </c>
      <c r="K11" s="4">
        <f>'Allocation ProForma'!J843</f>
        <v>20130039.304534759</v>
      </c>
      <c r="L11" s="19">
        <f t="shared" si="1"/>
        <v>9.1011625618500458E-2</v>
      </c>
      <c r="M11" s="188" t="s">
        <v>1310</v>
      </c>
      <c r="N11" s="339"/>
      <c r="O11" s="339"/>
    </row>
    <row r="12" spans="1:21" x14ac:dyDescent="0.25">
      <c r="A12" s="188" t="s">
        <v>1311</v>
      </c>
      <c r="B12" s="19">
        <v>0.11514060040025803</v>
      </c>
      <c r="C12" s="19">
        <v>0.1138478536892026</v>
      </c>
      <c r="D12" s="19">
        <v>0.11342616484284157</v>
      </c>
      <c r="E12" s="19">
        <v>0.11042621192941225</v>
      </c>
      <c r="F12" s="19">
        <v>0.11699464874801914</v>
      </c>
      <c r="H12" s="4">
        <f>'Allocation ProForma'!K776</f>
        <v>165847745.81157878</v>
      </c>
      <c r="I12" s="4">
        <f>'Allocation ProForma'!K830</f>
        <v>135312191.91702792</v>
      </c>
      <c r="J12" s="4">
        <f t="shared" si="0"/>
        <v>30535553.89455086</v>
      </c>
      <c r="K12" s="4">
        <f>'Allocation ProForma'!K843</f>
        <v>260999577.51330796</v>
      </c>
      <c r="L12" s="19">
        <f t="shared" si="1"/>
        <v>0.11699464874801914</v>
      </c>
      <c r="M12" s="188" t="s">
        <v>1311</v>
      </c>
      <c r="N12" s="339"/>
      <c r="O12" s="339"/>
    </row>
    <row r="13" spans="1:21" x14ac:dyDescent="0.25">
      <c r="A13" s="188" t="s">
        <v>1383</v>
      </c>
      <c r="B13" s="19">
        <v>6.2622330527126305E-2</v>
      </c>
      <c r="C13" s="19">
        <v>6.1566091799238519E-2</v>
      </c>
      <c r="D13" s="19">
        <v>6.257960069073415E-2</v>
      </c>
      <c r="E13" s="19">
        <v>6.6463361140695593E-2</v>
      </c>
      <c r="F13" s="19">
        <v>7.5064687738716399E-2</v>
      </c>
      <c r="G13" s="13"/>
      <c r="H13" s="4">
        <f>'Allocation ProForma'!N776</f>
        <v>135586016.3150208</v>
      </c>
      <c r="I13" s="4">
        <f>'Allocation ProForma'!N830</f>
        <v>119712951.6210154</v>
      </c>
      <c r="J13" s="4">
        <f t="shared" si="0"/>
        <v>15873064.6940054</v>
      </c>
      <c r="K13" s="4">
        <f>'Allocation ProForma'!N843</f>
        <v>211458478.97557414</v>
      </c>
      <c r="L13" s="19">
        <f t="shared" si="1"/>
        <v>7.5064687738716399E-2</v>
      </c>
      <c r="M13" s="188" t="s">
        <v>1383</v>
      </c>
      <c r="N13" s="339"/>
      <c r="O13" s="339"/>
    </row>
    <row r="14" spans="1:21" x14ac:dyDescent="0.25">
      <c r="A14" s="188" t="s">
        <v>1382</v>
      </c>
      <c r="B14" s="19">
        <v>8.5424090318222914E-2</v>
      </c>
      <c r="C14" s="19">
        <v>8.4307454656703099E-2</v>
      </c>
      <c r="D14" s="19">
        <v>8.3970210775118584E-2</v>
      </c>
      <c r="E14" s="19">
        <v>8.2298074841351196E-2</v>
      </c>
      <c r="F14" s="19">
        <v>8.8612930645653676E-2</v>
      </c>
      <c r="G14" s="13"/>
      <c r="H14" s="4">
        <f>'Allocation ProForma'!O776</f>
        <v>78465813.040325284</v>
      </c>
      <c r="I14" s="4">
        <f>'Allocation ProForma'!O830</f>
        <v>67045750.735550165</v>
      </c>
      <c r="J14" s="4">
        <f t="shared" si="0"/>
        <v>11420062.304775119</v>
      </c>
      <c r="K14" s="4">
        <f>'Allocation ProForma'!O843</f>
        <v>128875799.74577057</v>
      </c>
      <c r="L14" s="19">
        <f t="shared" si="1"/>
        <v>8.8612930645653676E-2</v>
      </c>
      <c r="M14" s="188" t="s">
        <v>1382</v>
      </c>
      <c r="N14" s="339"/>
      <c r="O14" s="339"/>
    </row>
    <row r="15" spans="1:21" x14ac:dyDescent="0.25">
      <c r="A15" s="188" t="s">
        <v>1389</v>
      </c>
      <c r="B15" s="19">
        <v>2.2544928584161621E-2</v>
      </c>
      <c r="C15" s="19">
        <v>3.9011555291586147E-2</v>
      </c>
      <c r="D15" s="19">
        <v>4.0663609579317452E-2</v>
      </c>
      <c r="E15" s="19">
        <v>5.727617350399325E-2</v>
      </c>
      <c r="F15" s="19">
        <v>0.10073639500377539</v>
      </c>
      <c r="G15" s="13"/>
      <c r="H15" s="4">
        <f>'Allocation ProForma'!P776</f>
        <v>44141889.941607863</v>
      </c>
      <c r="I15" s="4">
        <f>'Allocation ProForma'!P830</f>
        <v>39486113.440924928</v>
      </c>
      <c r="J15" s="4">
        <f t="shared" si="0"/>
        <v>4655776.5006829351</v>
      </c>
      <c r="K15" s="4">
        <f>'Allocation ProForma'!P843</f>
        <v>46217422.218736798</v>
      </c>
      <c r="L15" s="19">
        <f t="shared" si="1"/>
        <v>0.10073639500377539</v>
      </c>
      <c r="M15" s="188" t="s">
        <v>1389</v>
      </c>
      <c r="N15" s="337"/>
      <c r="O15" s="339"/>
    </row>
    <row r="16" spans="1:21" x14ac:dyDescent="0.25">
      <c r="A16" s="188" t="s">
        <v>597</v>
      </c>
      <c r="E16" s="19">
        <f>(J35+J36)/(K35+K36)</f>
        <v>1.9249876904631917E-2</v>
      </c>
      <c r="F16" s="19">
        <f>(J16+J17)/(K16+K17)</f>
        <v>2.488338274961133E-2</v>
      </c>
      <c r="H16" s="4">
        <f>'Allocation ProForma'!Q776</f>
        <v>6394249.3774359794</v>
      </c>
      <c r="I16" s="4">
        <f>'Allocation ProForma'!Q830</f>
        <v>6114987.0585415382</v>
      </c>
      <c r="J16" s="4">
        <f t="shared" si="0"/>
        <v>279262.31889444124</v>
      </c>
      <c r="K16" s="4">
        <f>'Allocation ProForma'!Q843</f>
        <v>11105016.673919467</v>
      </c>
      <c r="L16" s="19">
        <f t="shared" si="1"/>
        <v>2.5147402034100399E-2</v>
      </c>
      <c r="M16" s="188" t="s">
        <v>1391</v>
      </c>
      <c r="N16" s="339"/>
      <c r="O16" s="339"/>
    </row>
    <row r="17" spans="1:15" x14ac:dyDescent="0.25">
      <c r="A17" s="188" t="s">
        <v>1408</v>
      </c>
      <c r="E17" s="19">
        <f>(J37+J38+J39)/(K37+K38+K39)</f>
        <v>5.3763475199650856E-2</v>
      </c>
      <c r="F17" s="19">
        <f>(J18+J19+J20)/(K18+K19+K20)</f>
        <v>6.263983311000608E-2</v>
      </c>
      <c r="H17" s="37">
        <f>'Allocation ProForma'!R776</f>
        <v>3501846.2902893177</v>
      </c>
      <c r="I17" s="37">
        <f>'Allocation ProForma'!R830</f>
        <v>3331550.8942014948</v>
      </c>
      <c r="J17" s="37">
        <f t="shared" si="0"/>
        <v>170295.39608782297</v>
      </c>
      <c r="K17" s="37">
        <f>'Allocation ProForma'!R843</f>
        <v>6961566.9375586044</v>
      </c>
      <c r="L17" s="38">
        <f t="shared" si="1"/>
        <v>2.4462222027781713E-2</v>
      </c>
      <c r="M17" s="188" t="s">
        <v>1394</v>
      </c>
      <c r="N17" s="339"/>
      <c r="O17" s="339"/>
    </row>
    <row r="18" spans="1:15" x14ac:dyDescent="0.25">
      <c r="H18" s="4">
        <f>'Allocation ProForma'!S776</f>
        <v>17921397.837044191</v>
      </c>
      <c r="I18" s="4">
        <f>'Allocation ProForma'!S830</f>
        <v>13841758.147900594</v>
      </c>
      <c r="J18" s="37">
        <f t="shared" si="0"/>
        <v>4079639.6891435962</v>
      </c>
      <c r="K18" s="4">
        <f>'Allocation ProForma'!S843</f>
        <v>65992175.425948963</v>
      </c>
      <c r="L18" s="19">
        <f t="shared" si="1"/>
        <v>6.182005158659204E-2</v>
      </c>
      <c r="M18" s="188" t="s">
        <v>1345</v>
      </c>
      <c r="N18" s="339"/>
      <c r="O18" s="339"/>
    </row>
    <row r="19" spans="1:15" x14ac:dyDescent="0.25">
      <c r="B19" s="19">
        <v>6.1806293060056479E-2</v>
      </c>
      <c r="C19" s="19">
        <v>6.1806293060056534E-2</v>
      </c>
      <c r="D19" s="19">
        <v>6.1806293060056493E-2</v>
      </c>
      <c r="E19" s="19">
        <v>6.1806293060056541E-2</v>
      </c>
      <c r="F19" s="19">
        <v>6.1806293060056451E-2</v>
      </c>
      <c r="H19" s="4">
        <f>'Allocation ProForma'!T776</f>
        <v>214219.50728382313</v>
      </c>
      <c r="I19" s="4">
        <f>'Allocation ProForma'!T830</f>
        <v>179847.3828040401</v>
      </c>
      <c r="J19" s="37">
        <f t="shared" si="0"/>
        <v>34372.12447978303</v>
      </c>
      <c r="K19" s="4">
        <f>'Allocation ProForma'!T843</f>
        <v>129178.36717412261</v>
      </c>
      <c r="L19" s="19">
        <f t="shared" si="1"/>
        <v>0.26608266718104606</v>
      </c>
      <c r="M19" s="188" t="s">
        <v>1346</v>
      </c>
      <c r="N19" s="339"/>
      <c r="O19" s="339"/>
    </row>
    <row r="20" spans="1:15" x14ac:dyDescent="0.25">
      <c r="H20" s="34">
        <f>'Allocation ProForma'!U776</f>
        <v>280664.36619724357</v>
      </c>
      <c r="I20" s="34">
        <f>'Allocation ProForma'!U830</f>
        <v>229702.74436320216</v>
      </c>
      <c r="J20" s="34">
        <f t="shared" si="0"/>
        <v>50961.621834041405</v>
      </c>
      <c r="K20" s="34">
        <f>'Allocation ProForma'!U843</f>
        <v>369459.29929092026</v>
      </c>
      <c r="L20" s="35">
        <f t="shared" si="1"/>
        <v>0.13793568583020865</v>
      </c>
      <c r="M20" s="188" t="s">
        <v>1347</v>
      </c>
      <c r="N20" s="339"/>
      <c r="O20" s="339"/>
    </row>
    <row r="21" spans="1:15" x14ac:dyDescent="0.25">
      <c r="A21" s="188" t="s">
        <v>1391</v>
      </c>
      <c r="B21" s="19">
        <v>1.2759636693601516E-2</v>
      </c>
      <c r="C21" s="19">
        <v>1.2039439279502694E-2</v>
      </c>
      <c r="D21" s="19">
        <v>1.2634380396526226E-2</v>
      </c>
      <c r="E21" s="19">
        <v>2.1099453556559164E-2</v>
      </c>
      <c r="F21" s="19">
        <v>2.5147402034100399E-2</v>
      </c>
      <c r="G21" s="13"/>
      <c r="H21" s="4">
        <f>SUM(H9:H20)</f>
        <v>1044652043.9999999</v>
      </c>
      <c r="I21" s="4">
        <f>SUM(I9:I20)</f>
        <v>905585926.00256228</v>
      </c>
      <c r="J21" s="4">
        <f>SUM(J9:J20)</f>
        <v>139066117.99743766</v>
      </c>
      <c r="K21" s="4">
        <f>SUM(K9:K20)</f>
        <v>2250031689.5289083</v>
      </c>
      <c r="L21" s="19">
        <f t="shared" si="1"/>
        <v>6.1806293060056451E-2</v>
      </c>
      <c r="N21" s="339"/>
      <c r="O21" s="339"/>
    </row>
    <row r="22" spans="1:15" x14ac:dyDescent="0.25">
      <c r="A22" s="188" t="s">
        <v>1394</v>
      </c>
      <c r="B22" s="38">
        <v>1.4869264460538992E-2</v>
      </c>
      <c r="C22" s="38">
        <v>1.4232875952423559E-2</v>
      </c>
      <c r="D22" s="38">
        <v>1.4872353616324078E-2</v>
      </c>
      <c r="E22" s="38">
        <v>1.6489658701215239E-2</v>
      </c>
      <c r="F22" s="38">
        <v>2.4462222027781713E-2</v>
      </c>
      <c r="G22" s="13"/>
      <c r="H22" s="4"/>
      <c r="I22" s="4"/>
      <c r="J22" s="4"/>
      <c r="K22" s="4"/>
      <c r="L22" s="19"/>
      <c r="N22" s="339"/>
      <c r="O22" s="339"/>
    </row>
    <row r="23" spans="1:15" x14ac:dyDescent="0.25">
      <c r="A23" s="188" t="s">
        <v>1345</v>
      </c>
      <c r="B23" s="19">
        <v>4.2380405005393376E-2</v>
      </c>
      <c r="C23" s="19">
        <v>4.2138877481011805E-2</v>
      </c>
      <c r="D23" s="19">
        <v>4.2072757166898518E-2</v>
      </c>
      <c r="E23" s="19">
        <v>5.3238457286832547E-2</v>
      </c>
      <c r="F23" s="19">
        <v>6.182005158659204E-2</v>
      </c>
      <c r="G23" s="13"/>
      <c r="N23" s="339"/>
      <c r="O23" s="339"/>
    </row>
    <row r="24" spans="1:15" x14ac:dyDescent="0.25">
      <c r="A24" s="188" t="s">
        <v>1346</v>
      </c>
      <c r="B24" s="19">
        <v>3.7192705017966295E-2</v>
      </c>
      <c r="C24" s="19">
        <v>3.6127217828688767E-2</v>
      </c>
      <c r="D24" s="19">
        <v>3.5911638019631029E-2</v>
      </c>
      <c r="E24" s="19">
        <v>0.10191792054673336</v>
      </c>
      <c r="F24" s="19">
        <v>0.26608266718104606</v>
      </c>
      <c r="G24" s="13"/>
      <c r="H24" s="382" t="s">
        <v>1403</v>
      </c>
    </row>
    <row r="25" spans="1:15" x14ac:dyDescent="0.25">
      <c r="A25" s="188" t="s">
        <v>1347</v>
      </c>
      <c r="B25" s="35">
        <v>8.1556744742447146E-2</v>
      </c>
      <c r="C25" s="35">
        <v>8.1038506177649919E-2</v>
      </c>
      <c r="D25" s="35">
        <v>9.8181785447815834E-2</v>
      </c>
      <c r="E25" s="35">
        <v>0.10934185654699982</v>
      </c>
      <c r="F25" s="35">
        <v>0.13793568583020865</v>
      </c>
      <c r="G25" s="21"/>
      <c r="I25" s="3" t="s">
        <v>168</v>
      </c>
      <c r="J25" s="3" t="s">
        <v>170</v>
      </c>
    </row>
    <row r="26" spans="1:15" x14ac:dyDescent="0.25">
      <c r="G26" s="21"/>
      <c r="H26" s="3" t="s">
        <v>1152</v>
      </c>
      <c r="I26" s="3" t="s">
        <v>169</v>
      </c>
      <c r="J26" s="3" t="s">
        <v>1151</v>
      </c>
      <c r="K26" s="9" t="s">
        <v>987</v>
      </c>
      <c r="L26" s="20" t="s">
        <v>171</v>
      </c>
    </row>
    <row r="27" spans="1:15" x14ac:dyDescent="0.25">
      <c r="B27" s="19"/>
      <c r="C27" s="19"/>
      <c r="D27" s="19"/>
      <c r="E27" s="19"/>
      <c r="F27" s="19"/>
      <c r="G27" s="21"/>
    </row>
    <row r="28" spans="1:15" x14ac:dyDescent="0.25">
      <c r="A28" s="371" t="s">
        <v>1407</v>
      </c>
      <c r="H28" s="383">
        <v>427739905.79044253</v>
      </c>
      <c r="I28" s="383">
        <v>384421889.59552801</v>
      </c>
      <c r="J28" s="383">
        <v>43318016.19491452</v>
      </c>
      <c r="K28" s="383">
        <v>1164048805.0522861</v>
      </c>
      <c r="L28" s="384">
        <v>3.7213230241638182E-2</v>
      </c>
      <c r="M28" s="188" t="s">
        <v>1309</v>
      </c>
    </row>
    <row r="29" spans="1:15" x14ac:dyDescent="0.25">
      <c r="H29" s="4">
        <v>147642964.9632574</v>
      </c>
      <c r="I29" s="4">
        <v>118195269.27879281</v>
      </c>
      <c r="J29" s="4">
        <v>29447695.684464589</v>
      </c>
      <c r="K29" s="4">
        <v>269692812.97852314</v>
      </c>
      <c r="L29" s="384">
        <v>0.10918976801509962</v>
      </c>
      <c r="M29" s="188" t="s">
        <v>1387</v>
      </c>
    </row>
    <row r="30" spans="1:15" x14ac:dyDescent="0.25">
      <c r="H30" s="4">
        <v>12351174.58900197</v>
      </c>
      <c r="I30" s="4">
        <v>10555665.431979783</v>
      </c>
      <c r="J30" s="4">
        <v>1795509.1570221875</v>
      </c>
      <c r="K30" s="4">
        <v>21020168.327901032</v>
      </c>
      <c r="L30" s="384">
        <v>8.541840051009135E-2</v>
      </c>
      <c r="M30" s="188" t="s">
        <v>1310</v>
      </c>
    </row>
    <row r="31" spans="1:15" x14ac:dyDescent="0.25">
      <c r="H31" s="4">
        <v>166665470.79654804</v>
      </c>
      <c r="I31" s="4">
        <v>136594680.4687573</v>
      </c>
      <c r="J31" s="4">
        <v>30070790.327790737</v>
      </c>
      <c r="K31" s="4">
        <v>272315692.10227811</v>
      </c>
      <c r="L31" s="384">
        <v>0.11042621192941225</v>
      </c>
      <c r="M31" s="188" t="s">
        <v>1311</v>
      </c>
    </row>
    <row r="32" spans="1:15" x14ac:dyDescent="0.25">
      <c r="H32" s="4">
        <v>136808247.66601816</v>
      </c>
      <c r="I32" s="4">
        <v>121629852.46669257</v>
      </c>
      <c r="J32" s="4">
        <v>15178395.199325591</v>
      </c>
      <c r="K32" s="4">
        <v>228372368.45718056</v>
      </c>
      <c r="L32" s="384">
        <v>6.6463361140695593E-2</v>
      </c>
      <c r="M32" s="188" t="s">
        <v>1383</v>
      </c>
    </row>
    <row r="33" spans="8:13" x14ac:dyDescent="0.25">
      <c r="H33" s="4">
        <v>78942505.863596469</v>
      </c>
      <c r="I33" s="4">
        <v>67793377.504664794</v>
      </c>
      <c r="J33" s="4">
        <v>11149128.358931676</v>
      </c>
      <c r="K33" s="4">
        <v>135472529.34438905</v>
      </c>
      <c r="L33" s="384">
        <v>8.2298074841351196E-2</v>
      </c>
      <c r="M33" s="188" t="s">
        <v>1382</v>
      </c>
    </row>
    <row r="34" spans="8:13" x14ac:dyDescent="0.25">
      <c r="H34" s="4">
        <v>45617752.540780529</v>
      </c>
      <c r="I34" s="4">
        <v>41800799.823457032</v>
      </c>
      <c r="J34" s="4">
        <v>3816952.7173234969</v>
      </c>
      <c r="K34" s="4">
        <v>66641196.221974954</v>
      </c>
      <c r="L34" s="384">
        <v>5.727617350399325E-2</v>
      </c>
      <c r="M34" s="188" t="s">
        <v>1389</v>
      </c>
    </row>
    <row r="35" spans="8:13" x14ac:dyDescent="0.25">
      <c r="H35" s="4">
        <v>6446498.6732460372</v>
      </c>
      <c r="I35" s="4">
        <v>6196932.8532084897</v>
      </c>
      <c r="J35" s="4">
        <v>249565.8200375475</v>
      </c>
      <c r="K35" s="4">
        <v>11828070.303743258</v>
      </c>
      <c r="L35" s="384">
        <v>2.1099453556559164E-2</v>
      </c>
      <c r="M35" s="188" t="s">
        <v>1391</v>
      </c>
    </row>
    <row r="36" spans="8:13" x14ac:dyDescent="0.25">
      <c r="H36" s="4">
        <v>3571523.305837641</v>
      </c>
      <c r="I36" s="4">
        <v>3440829.6571131567</v>
      </c>
      <c r="J36" s="4">
        <v>130693.64872448426</v>
      </c>
      <c r="K36" s="4">
        <v>7925794.6506104767</v>
      </c>
      <c r="L36" s="384">
        <v>1.6489658701215239E-2</v>
      </c>
      <c r="M36" s="188" t="s">
        <v>1394</v>
      </c>
    </row>
    <row r="37" spans="8:13" x14ac:dyDescent="0.25">
      <c r="H37" s="4">
        <v>18355323.508029569</v>
      </c>
      <c r="I37" s="4">
        <v>14522310.553133985</v>
      </c>
      <c r="J37" s="4">
        <v>3833012.9548955839</v>
      </c>
      <c r="K37" s="4">
        <v>71997070.355447769</v>
      </c>
      <c r="L37" s="384">
        <v>5.3238457286832547E-2</v>
      </c>
      <c r="M37" s="188" t="s">
        <v>1345</v>
      </c>
    </row>
    <row r="38" spans="8:13" x14ac:dyDescent="0.25">
      <c r="H38" s="4">
        <v>224936.60990454478</v>
      </c>
      <c r="I38" s="4">
        <v>196655.67614400919</v>
      </c>
      <c r="J38" s="4">
        <v>28280.933760535583</v>
      </c>
      <c r="K38" s="4">
        <v>277487.35069185076</v>
      </c>
      <c r="L38" s="384">
        <v>0.10191792054673336</v>
      </c>
      <c r="M38" s="188" t="s">
        <v>1346</v>
      </c>
    </row>
    <row r="39" spans="8:13" x14ac:dyDescent="0.25">
      <c r="H39" s="4">
        <v>285739.69333710067</v>
      </c>
      <c r="I39" s="4">
        <v>237662.69309020991</v>
      </c>
      <c r="J39" s="4">
        <v>48077.000246890762</v>
      </c>
      <c r="K39" s="4">
        <v>439694.38388148462</v>
      </c>
      <c r="L39" s="384">
        <v>0.10934185654699982</v>
      </c>
      <c r="M39" s="188" t="s">
        <v>1347</v>
      </c>
    </row>
    <row r="40" spans="8:13" x14ac:dyDescent="0.25">
      <c r="H40" s="4">
        <v>1044652043.9999999</v>
      </c>
      <c r="I40" s="4">
        <v>905585926.00256217</v>
      </c>
      <c r="J40" s="4">
        <v>139066117.99743783</v>
      </c>
      <c r="K40" s="4">
        <v>2250031689.5289078</v>
      </c>
      <c r="L40" s="384">
        <v>6.1806293060056541E-2</v>
      </c>
    </row>
  </sheetData>
  <pageMargins left="0.75" right="0.75" top="1" bottom="1" header="0.5" footer="0.5"/>
  <pageSetup scale="6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81"/>
  <sheetViews>
    <sheetView view="pageBreakPreview" zoomScale="80" zoomScaleNormal="90" zoomScaleSheetLayoutView="80" workbookViewId="0"/>
  </sheetViews>
  <sheetFormatPr defaultRowHeight="13.8" x14ac:dyDescent="0.25"/>
  <cols>
    <col min="1" max="1" width="48.109375" bestFit="1" customWidth="1"/>
    <col min="3" max="3" width="19" style="3" bestFit="1" customWidth="1"/>
    <col min="4" max="4" width="19.6640625" style="3" customWidth="1"/>
    <col min="5" max="5" width="18" style="3" customWidth="1"/>
    <col min="6" max="6" width="18.88671875" style="9" customWidth="1"/>
    <col min="7" max="7" width="14.109375" customWidth="1"/>
    <col min="8" max="11" width="16.5546875" style="4" customWidth="1"/>
    <col min="13" max="15" width="15.6640625" style="4" customWidth="1"/>
    <col min="16" max="16" width="15.6640625" customWidth="1"/>
  </cols>
  <sheetData>
    <row r="1" spans="1:74" ht="17.399999999999999" x14ac:dyDescent="0.3">
      <c r="A1" s="28" t="s">
        <v>623</v>
      </c>
    </row>
    <row r="2" spans="1:74" x14ac:dyDescent="0.25">
      <c r="A2" s="5" t="s">
        <v>1312</v>
      </c>
      <c r="B2" s="21"/>
      <c r="C2" s="270"/>
      <c r="D2" s="270"/>
      <c r="E2" s="270"/>
      <c r="F2" s="270"/>
      <c r="H2" s="378"/>
      <c r="I2" s="378"/>
      <c r="J2" s="378"/>
      <c r="K2" s="378"/>
      <c r="M2" s="378"/>
      <c r="N2" s="378"/>
      <c r="O2" s="378"/>
      <c r="P2" s="378"/>
    </row>
    <row r="3" spans="1:74" x14ac:dyDescent="0.25">
      <c r="A3" s="21"/>
      <c r="B3" s="21"/>
      <c r="C3" s="16"/>
      <c r="D3" s="22"/>
      <c r="E3" s="22"/>
      <c r="F3" s="23"/>
      <c r="G3" s="21"/>
      <c r="H3" s="24"/>
      <c r="I3" s="24"/>
      <c r="J3" s="24"/>
      <c r="K3" s="25"/>
      <c r="L3" s="21"/>
      <c r="M3" s="24"/>
      <c r="N3" s="24"/>
      <c r="O3" s="24"/>
      <c r="P3" s="25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</row>
    <row r="5" spans="1:74" x14ac:dyDescent="0.25">
      <c r="A5" s="11"/>
      <c r="B5" s="13"/>
      <c r="K5" s="9"/>
      <c r="P5" s="9"/>
    </row>
    <row r="6" spans="1:74" x14ac:dyDescent="0.25">
      <c r="A6" s="14"/>
      <c r="B6" s="13"/>
      <c r="K6" s="9"/>
      <c r="P6" s="9"/>
    </row>
    <row r="7" spans="1:74" x14ac:dyDescent="0.25">
      <c r="A7" s="14"/>
      <c r="B7" s="13"/>
      <c r="D7" s="15" t="s">
        <v>168</v>
      </c>
      <c r="E7" s="15" t="s">
        <v>170</v>
      </c>
      <c r="F7" s="30"/>
      <c r="G7" s="1"/>
      <c r="K7" s="9"/>
      <c r="P7" s="9"/>
    </row>
    <row r="8" spans="1:74" ht="14.4" thickBot="1" x14ac:dyDescent="0.3">
      <c r="A8" s="26"/>
      <c r="B8" s="27"/>
      <c r="C8" s="29" t="s">
        <v>1152</v>
      </c>
      <c r="D8" s="29" t="s">
        <v>169</v>
      </c>
      <c r="E8" s="29" t="s">
        <v>1151</v>
      </c>
      <c r="F8" s="31" t="s">
        <v>987</v>
      </c>
      <c r="G8" s="29" t="s">
        <v>171</v>
      </c>
      <c r="K8" s="9"/>
      <c r="P8" s="9"/>
    </row>
    <row r="9" spans="1:74" x14ac:dyDescent="0.25">
      <c r="A9" s="14"/>
      <c r="B9" s="13"/>
      <c r="K9" s="9"/>
      <c r="P9" s="9"/>
    </row>
    <row r="10" spans="1:74" x14ac:dyDescent="0.25">
      <c r="A10" s="32" t="s">
        <v>1309</v>
      </c>
      <c r="B10" s="13"/>
      <c r="C10" s="2">
        <f>'Allocation ProForma'!G709</f>
        <v>435364057.71501642</v>
      </c>
      <c r="D10" s="2">
        <f>'Allocation ProForma'!G725</f>
        <v>390668430.23993433</v>
      </c>
      <c r="E10" s="2">
        <f>C10-D10</f>
        <v>44695627.475082099</v>
      </c>
      <c r="F10" s="2">
        <f>'Allocation ProForma'!G729</f>
        <v>1225741672.3782828</v>
      </c>
      <c r="G10" s="19">
        <f>E10/F10</f>
        <v>3.6464149406261144E-2</v>
      </c>
      <c r="H10" s="19"/>
      <c r="K10" s="9"/>
      <c r="P10" s="9"/>
    </row>
    <row r="11" spans="1:74" x14ac:dyDescent="0.25">
      <c r="A11" s="32" t="s">
        <v>1387</v>
      </c>
      <c r="B11" s="13"/>
      <c r="C11" s="4">
        <f>'Allocation ProForma'!H709</f>
        <v>148891369.61910155</v>
      </c>
      <c r="D11" s="4">
        <f>'Allocation ProForma'!H725</f>
        <v>117842709.44659914</v>
      </c>
      <c r="E11" s="4">
        <f>C11-D11</f>
        <v>31048660.172502413</v>
      </c>
      <c r="F11" s="4">
        <f>'Allocation ProForma'!H729</f>
        <v>272051302.68880898</v>
      </c>
      <c r="G11" s="19">
        <f>E11/F11</f>
        <v>0.11412795993121198</v>
      </c>
      <c r="H11" s="19"/>
      <c r="K11" s="9"/>
      <c r="P11" s="9"/>
    </row>
    <row r="12" spans="1:74" x14ac:dyDescent="0.25">
      <c r="A12" s="33" t="s">
        <v>1310</v>
      </c>
      <c r="C12" s="4">
        <f>'Allocation ProForma'!J709</f>
        <v>12408637.835694814</v>
      </c>
      <c r="D12" s="4">
        <f>'Allocation ProForma'!J725</f>
        <v>10416563.670218231</v>
      </c>
      <c r="E12" s="37">
        <f>C12-D12</f>
        <v>1992074.1654765829</v>
      </c>
      <c r="F12" s="4">
        <f>'Allocation ProForma'!J729</f>
        <v>20130039.304534759</v>
      </c>
      <c r="G12" s="19">
        <f>E12/F12</f>
        <v>9.8960272026285712E-2</v>
      </c>
      <c r="H12" s="19"/>
    </row>
    <row r="13" spans="1:74" x14ac:dyDescent="0.25">
      <c r="A13" s="33" t="s">
        <v>1311</v>
      </c>
      <c r="C13" s="4">
        <f>'Allocation ProForma'!K709</f>
        <v>167321555.849812</v>
      </c>
      <c r="D13" s="4">
        <f>'Allocation ProForma'!K725</f>
        <v>134664225.35650334</v>
      </c>
      <c r="E13" s="4">
        <f>C13-D13</f>
        <v>32657330.493308663</v>
      </c>
      <c r="F13" s="4">
        <f>'Allocation ProForma'!K729</f>
        <v>260999577.51330796</v>
      </c>
      <c r="G13" s="19">
        <f>E13/F13</f>
        <v>0.12512407416308371</v>
      </c>
      <c r="H13" s="19"/>
    </row>
    <row r="14" spans="1:74" x14ac:dyDescent="0.25">
      <c r="A14" s="33" t="s">
        <v>1383</v>
      </c>
      <c r="B14" s="13"/>
      <c r="C14" s="4">
        <f>'Allocation ProForma'!N709</f>
        <v>137084393.01743066</v>
      </c>
      <c r="D14" s="4">
        <f>'Allocation ProForma'!N725</f>
        <v>119389984.94254033</v>
      </c>
      <c r="E14" s="4">
        <f t="shared" ref="E14:E21" si="0">C14-D14</f>
        <v>17694408.07489033</v>
      </c>
      <c r="F14" s="4">
        <f>'Allocation ProForma'!N729</f>
        <v>211458478.97557414</v>
      </c>
      <c r="G14" s="19">
        <f t="shared" ref="G14:G22" si="1">E14/F14</f>
        <v>8.3677931292290411E-2</v>
      </c>
      <c r="H14" s="19"/>
    </row>
    <row r="15" spans="1:74" x14ac:dyDescent="0.25">
      <c r="A15" s="33" t="s">
        <v>1382</v>
      </c>
      <c r="B15" s="13"/>
      <c r="C15" s="4">
        <f>'Allocation ProForma'!O709</f>
        <v>79211289.096927822</v>
      </c>
      <c r="D15" s="4">
        <f>'Allocation ProForma'!O725</f>
        <v>66809128.076639012</v>
      </c>
      <c r="E15" s="4">
        <f t="shared" si="0"/>
        <v>12402161.02028881</v>
      </c>
      <c r="F15" s="4">
        <f>'Allocation ProForma'!O729</f>
        <v>128875799.74577057</v>
      </c>
      <c r="G15" s="19">
        <f t="shared" si="1"/>
        <v>9.6233435949605595E-2</v>
      </c>
      <c r="H15" s="19"/>
    </row>
    <row r="16" spans="1:74" x14ac:dyDescent="0.25">
      <c r="A16" s="33" t="s">
        <v>1389</v>
      </c>
      <c r="B16" s="13"/>
      <c r="C16" s="4">
        <f>'Allocation ProForma'!P709</f>
        <v>44768505.043309972</v>
      </c>
      <c r="D16" s="4">
        <f>'Allocation ProForma'!P725</f>
        <v>39389651.132061489</v>
      </c>
      <c r="E16" s="4">
        <f t="shared" si="0"/>
        <v>5378853.9112484828</v>
      </c>
      <c r="F16" s="4">
        <f>'Allocation ProForma'!P729</f>
        <v>46217422.218736798</v>
      </c>
      <c r="G16" s="19">
        <f t="shared" si="1"/>
        <v>0.11638152136204312</v>
      </c>
      <c r="H16" s="19"/>
    </row>
    <row r="17" spans="1:16" x14ac:dyDescent="0.25">
      <c r="A17" s="32" t="s">
        <v>1391</v>
      </c>
      <c r="B17" s="13"/>
      <c r="C17" s="4">
        <f>'Allocation ProForma'!Q709</f>
        <v>6619643.4828988668</v>
      </c>
      <c r="D17" s="4">
        <f>'Allocation ProForma'!Q725</f>
        <v>6107250.0112587763</v>
      </c>
      <c r="E17" s="4">
        <f t="shared" si="0"/>
        <v>512393.47164009046</v>
      </c>
      <c r="F17" s="4">
        <f>'Allocation ProForma'!Q729</f>
        <v>11105016.673919467</v>
      </c>
      <c r="G17" s="19">
        <f t="shared" si="1"/>
        <v>4.6140720602740291E-2</v>
      </c>
      <c r="H17" s="19"/>
    </row>
    <row r="18" spans="1:16" x14ac:dyDescent="0.25">
      <c r="A18" s="32" t="s">
        <v>1394</v>
      </c>
      <c r="B18" s="13"/>
      <c r="C18" s="37">
        <f>'Allocation ProForma'!R709</f>
        <v>3542985.5501654269</v>
      </c>
      <c r="D18" s="37">
        <f>'Allocation ProForma'!R725</f>
        <v>3328767.5087409001</v>
      </c>
      <c r="E18" s="37">
        <f t="shared" si="0"/>
        <v>214218.04142452683</v>
      </c>
      <c r="F18" s="37">
        <f>'Allocation ProForma'!R729</f>
        <v>6961566.9375586044</v>
      </c>
      <c r="G18" s="38">
        <f t="shared" si="1"/>
        <v>3.0771526489071194E-2</v>
      </c>
      <c r="H18" s="19"/>
    </row>
    <row r="19" spans="1:16" x14ac:dyDescent="0.25">
      <c r="A19" s="33" t="s">
        <v>1345</v>
      </c>
      <c r="B19" s="13"/>
      <c r="C19" s="4">
        <f>'Allocation ProForma'!S709</f>
        <v>18004579.916161355</v>
      </c>
      <c r="D19" s="4">
        <f>'Allocation ProForma'!S725</f>
        <v>13759742.76626602</v>
      </c>
      <c r="E19" s="37">
        <f t="shared" si="0"/>
        <v>4244837.1498953346</v>
      </c>
      <c r="F19" s="4">
        <f>'Allocation ProForma'!S729</f>
        <v>65992175.425948963</v>
      </c>
      <c r="G19" s="19">
        <f t="shared" si="1"/>
        <v>6.4323340191422315E-2</v>
      </c>
      <c r="H19" s="19"/>
    </row>
    <row r="20" spans="1:16" x14ac:dyDescent="0.25">
      <c r="A20" s="33" t="s">
        <v>1346</v>
      </c>
      <c r="B20" s="13"/>
      <c r="C20" s="4">
        <f>'Allocation ProForma'!T709</f>
        <v>214219.50728382313</v>
      </c>
      <c r="D20" s="4">
        <f>'Allocation ProForma'!T725</f>
        <v>179182.28100149453</v>
      </c>
      <c r="E20" s="37">
        <f t="shared" si="0"/>
        <v>35037.2262823286</v>
      </c>
      <c r="F20" s="4">
        <f>'Allocation ProForma'!T729</f>
        <v>129178.36717412261</v>
      </c>
      <c r="G20" s="19">
        <f t="shared" si="1"/>
        <v>0.27123137603296288</v>
      </c>
      <c r="H20" s="19"/>
    </row>
    <row r="21" spans="1:16" x14ac:dyDescent="0.25">
      <c r="A21" s="42" t="s">
        <v>1347</v>
      </c>
      <c r="B21" s="41"/>
      <c r="C21" s="34">
        <f>'Allocation ProForma'!U709</f>
        <v>280664.36619724357</v>
      </c>
      <c r="D21" s="34">
        <f>'Allocation ProForma'!U725</f>
        <v>228687.58244281661</v>
      </c>
      <c r="E21" s="34">
        <f t="shared" si="0"/>
        <v>51976.783754426957</v>
      </c>
      <c r="F21" s="34">
        <f>'Allocation ProForma'!U729</f>
        <v>369459.29929092026</v>
      </c>
      <c r="G21" s="35">
        <f t="shared" si="1"/>
        <v>0.14068338205096662</v>
      </c>
      <c r="H21" s="19"/>
    </row>
    <row r="22" spans="1:16" x14ac:dyDescent="0.25">
      <c r="C22" s="4">
        <f>SUM(C10:C21)</f>
        <v>1053711900.9999999</v>
      </c>
      <c r="D22" s="3">
        <f>SUM(D10:D21)</f>
        <v>902784323.01420569</v>
      </c>
      <c r="E22" s="3">
        <f>SUM(E10:E21)</f>
        <v>150927577.98579407</v>
      </c>
      <c r="F22" s="3">
        <f>SUM(F10:F21)</f>
        <v>2250031689.5289083</v>
      </c>
      <c r="G22" s="19">
        <f t="shared" si="1"/>
        <v>6.7077978807220245E-2</v>
      </c>
    </row>
    <row r="23" spans="1:16" x14ac:dyDescent="0.25">
      <c r="B23" s="13"/>
      <c r="C23" s="254"/>
      <c r="D23" s="254"/>
      <c r="E23" s="36"/>
      <c r="F23" s="37"/>
      <c r="G23" s="38"/>
    </row>
    <row r="24" spans="1:16" ht="17.399999999999999" x14ac:dyDescent="0.3">
      <c r="A24" s="28" t="s">
        <v>623</v>
      </c>
      <c r="B24" s="13"/>
    </row>
    <row r="25" spans="1:16" x14ac:dyDescent="0.25">
      <c r="A25" s="5" t="s">
        <v>1343</v>
      </c>
    </row>
    <row r="29" spans="1:16" x14ac:dyDescent="0.25">
      <c r="A29" s="14"/>
      <c r="B29" s="13"/>
      <c r="D29" s="15" t="s">
        <v>168</v>
      </c>
      <c r="E29" s="15" t="s">
        <v>170</v>
      </c>
      <c r="F29" s="30"/>
      <c r="G29" s="1"/>
      <c r="I29" s="336"/>
      <c r="J29" s="337"/>
      <c r="K29" s="9"/>
      <c r="P29" s="9"/>
    </row>
    <row r="30" spans="1:16" ht="14.4" thickBot="1" x14ac:dyDescent="0.3">
      <c r="A30" s="26"/>
      <c r="B30" s="27"/>
      <c r="C30" s="29" t="s">
        <v>1152</v>
      </c>
      <c r="D30" s="29" t="s">
        <v>169</v>
      </c>
      <c r="E30" s="29" t="s">
        <v>1151</v>
      </c>
      <c r="F30" s="31" t="s">
        <v>987</v>
      </c>
      <c r="G30" s="29" t="s">
        <v>171</v>
      </c>
      <c r="I30" s="338"/>
      <c r="J30" s="337"/>
      <c r="K30" s="9"/>
      <c r="P30" s="9"/>
    </row>
    <row r="31" spans="1:16" x14ac:dyDescent="0.25">
      <c r="A31" s="14"/>
      <c r="B31" s="13"/>
      <c r="I31" s="339"/>
      <c r="J31" s="337"/>
      <c r="K31" s="9"/>
      <c r="P31" s="9"/>
    </row>
    <row r="32" spans="1:16" x14ac:dyDescent="0.25">
      <c r="A32" s="188" t="str">
        <f>A10</f>
        <v>Residential Rate RS</v>
      </c>
      <c r="B32" s="13"/>
      <c r="C32" s="2">
        <f>'Allocation ProForma'!G776</f>
        <v>432197955.29234767</v>
      </c>
      <c r="D32" s="2">
        <f>'Allocation ProForma'!G830</f>
        <v>391413723.71375728</v>
      </c>
      <c r="E32" s="2">
        <f t="shared" ref="E32:E37" si="2">C32-D32</f>
        <v>40784231.578590393</v>
      </c>
      <c r="F32" s="2">
        <f>'Allocation ProForma'!G843</f>
        <v>1225741672.3782828</v>
      </c>
      <c r="G32" s="19">
        <f t="shared" ref="G32:G37" si="3">E32/F32</f>
        <v>3.3273105171873235E-2</v>
      </c>
      <c r="H32" s="19"/>
      <c r="I32" s="339"/>
      <c r="J32" s="339"/>
      <c r="K32" s="9"/>
      <c r="P32" s="9"/>
    </row>
    <row r="33" spans="1:16" x14ac:dyDescent="0.25">
      <c r="A33" s="188" t="str">
        <f>A11</f>
        <v xml:space="preserve">General Service </v>
      </c>
      <c r="B33" s="13"/>
      <c r="C33" s="4">
        <f>'Allocation ProForma'!H776</f>
        <v>147813394.12847397</v>
      </c>
      <c r="D33" s="4">
        <f>'Allocation ProForma'!H830</f>
        <v>118462563.85495073</v>
      </c>
      <c r="E33" s="4">
        <f t="shared" si="2"/>
        <v>29350830.273523241</v>
      </c>
      <c r="F33" s="4">
        <f>'Allocation ProForma'!H843</f>
        <v>272051302.68880898</v>
      </c>
      <c r="G33" s="19">
        <f t="shared" si="3"/>
        <v>0.10788711534712533</v>
      </c>
      <c r="H33" s="19"/>
      <c r="I33" s="339"/>
      <c r="J33" s="339"/>
      <c r="K33" s="9"/>
      <c r="P33" s="9"/>
    </row>
    <row r="34" spans="1:16" x14ac:dyDescent="0.25">
      <c r="A34" s="188" t="str">
        <f t="shared" ref="A34:A37" si="4">A12</f>
        <v>Power Service Primary Rate PS</v>
      </c>
      <c r="C34" s="4">
        <f>'Allocation ProForma'!J776</f>
        <v>12286852.092395021</v>
      </c>
      <c r="D34" s="4">
        <f>'Allocation ProForma'!J830</f>
        <v>10454784.491525004</v>
      </c>
      <c r="E34" s="37">
        <f t="shared" si="2"/>
        <v>1832067.600870017</v>
      </c>
      <c r="F34" s="4">
        <f>'Allocation ProForma'!J843</f>
        <v>20130039.304534759</v>
      </c>
      <c r="G34" s="19">
        <f t="shared" si="3"/>
        <v>9.1011625618500458E-2</v>
      </c>
      <c r="H34" s="19"/>
      <c r="I34" s="339"/>
      <c r="J34" s="339"/>
    </row>
    <row r="35" spans="1:16" x14ac:dyDescent="0.25">
      <c r="A35" s="188" t="str">
        <f t="shared" si="4"/>
        <v>Power Service Secondary Rate PS</v>
      </c>
      <c r="C35" s="4">
        <f>'Allocation ProForma'!K776</f>
        <v>165847745.81157878</v>
      </c>
      <c r="D35" s="4">
        <f>'Allocation ProForma'!K830</f>
        <v>135312191.91702792</v>
      </c>
      <c r="E35" s="4">
        <f t="shared" si="2"/>
        <v>30535553.89455086</v>
      </c>
      <c r="F35" s="4">
        <f>'Allocation ProForma'!K843</f>
        <v>260999577.51330796</v>
      </c>
      <c r="G35" s="19">
        <f t="shared" si="3"/>
        <v>0.11699464874801914</v>
      </c>
      <c r="H35" s="19"/>
      <c r="I35" s="339"/>
      <c r="J35" s="339"/>
    </row>
    <row r="36" spans="1:16" x14ac:dyDescent="0.25">
      <c r="A36" s="188" t="str">
        <f t="shared" si="4"/>
        <v>TOD Rate TOD Primary</v>
      </c>
      <c r="B36" s="13"/>
      <c r="C36" s="4">
        <f>'Allocation ProForma'!N776</f>
        <v>135586016.3150208</v>
      </c>
      <c r="D36" s="4">
        <f>'Allocation ProForma'!N830</f>
        <v>119712951.6210154</v>
      </c>
      <c r="E36" s="4">
        <f t="shared" si="2"/>
        <v>15873064.6940054</v>
      </c>
      <c r="F36" s="4">
        <f>'Allocation ProForma'!N843</f>
        <v>211458478.97557414</v>
      </c>
      <c r="G36" s="19">
        <f t="shared" si="3"/>
        <v>7.5064687738716399E-2</v>
      </c>
      <c r="H36" s="19"/>
      <c r="I36" s="339"/>
      <c r="J36" s="339"/>
    </row>
    <row r="37" spans="1:16" x14ac:dyDescent="0.25">
      <c r="A37" s="188" t="str">
        <f t="shared" si="4"/>
        <v>TOD Rate TOD Secondary</v>
      </c>
      <c r="B37" s="13"/>
      <c r="C37" s="4">
        <f>'Allocation ProForma'!O776</f>
        <v>78465813.040325284</v>
      </c>
      <c r="D37" s="4">
        <f>'Allocation ProForma'!O830</f>
        <v>67045750.735550165</v>
      </c>
      <c r="E37" s="4">
        <f t="shared" si="2"/>
        <v>11420062.304775119</v>
      </c>
      <c r="F37" s="4">
        <f>'Allocation ProForma'!O843</f>
        <v>128875799.74577057</v>
      </c>
      <c r="G37" s="19">
        <f t="shared" si="3"/>
        <v>8.8612930645653676E-2</v>
      </c>
      <c r="H37" s="19"/>
      <c r="I37" s="339"/>
      <c r="J37" s="339"/>
    </row>
    <row r="38" spans="1:16" x14ac:dyDescent="0.25">
      <c r="A38" s="188" t="str">
        <f t="shared" ref="A38:A43" si="5">A16</f>
        <v>Retail Transmission Service Rate RTS</v>
      </c>
      <c r="B38" s="13"/>
      <c r="C38" s="4">
        <f>'Allocation ProForma'!P776</f>
        <v>44141889.941607863</v>
      </c>
      <c r="D38" s="4">
        <f>'Allocation ProForma'!P830</f>
        <v>39486113.440924928</v>
      </c>
      <c r="E38" s="4">
        <f t="shared" ref="E38:E43" si="6">C38-D38</f>
        <v>4655776.5006829351</v>
      </c>
      <c r="F38" s="4">
        <f>'Allocation ProForma'!P843</f>
        <v>46217422.218736798</v>
      </c>
      <c r="G38" s="19">
        <f t="shared" ref="G38:G44" si="7">E38/F38</f>
        <v>0.10073639500377539</v>
      </c>
      <c r="H38" s="19"/>
      <c r="I38" s="337"/>
      <c r="J38" s="339"/>
    </row>
    <row r="39" spans="1:16" x14ac:dyDescent="0.25">
      <c r="A39" s="188" t="str">
        <f t="shared" si="5"/>
        <v>Special Contract #1</v>
      </c>
      <c r="B39" s="13"/>
      <c r="C39" s="4">
        <f>'Allocation ProForma'!Q776</f>
        <v>6394249.3774359794</v>
      </c>
      <c r="D39" s="4">
        <f>'Allocation ProForma'!Q830</f>
        <v>6114987.0585415382</v>
      </c>
      <c r="E39" s="4">
        <f t="shared" si="6"/>
        <v>279262.31889444124</v>
      </c>
      <c r="F39" s="4">
        <f>'Allocation ProForma'!Q843</f>
        <v>11105016.673919467</v>
      </c>
      <c r="G39" s="19">
        <f t="shared" si="7"/>
        <v>2.5147402034100399E-2</v>
      </c>
      <c r="H39" s="19"/>
      <c r="I39" s="339"/>
      <c r="J39" s="339"/>
    </row>
    <row r="40" spans="1:16" x14ac:dyDescent="0.25">
      <c r="A40" s="188" t="str">
        <f t="shared" si="5"/>
        <v>Special Contract #2</v>
      </c>
      <c r="B40" s="13"/>
      <c r="C40" s="37">
        <f>'Allocation ProForma'!R776</f>
        <v>3501846.2902893177</v>
      </c>
      <c r="D40" s="37">
        <f>'Allocation ProForma'!R830</f>
        <v>3331550.8942014948</v>
      </c>
      <c r="E40" s="37">
        <f t="shared" si="6"/>
        <v>170295.39608782297</v>
      </c>
      <c r="F40" s="37">
        <f>'Allocation ProForma'!R843</f>
        <v>6961566.9375586044</v>
      </c>
      <c r="G40" s="38">
        <f t="shared" si="7"/>
        <v>2.4462222027781713E-2</v>
      </c>
      <c r="H40" s="19"/>
      <c r="I40" s="339"/>
      <c r="J40" s="339"/>
    </row>
    <row r="41" spans="1:16" x14ac:dyDescent="0.25">
      <c r="A41" s="188" t="str">
        <f t="shared" si="5"/>
        <v>Lighting Rate RLS &amp; LS</v>
      </c>
      <c r="B41" s="13"/>
      <c r="C41" s="4">
        <f>'Allocation ProForma'!S776</f>
        <v>17921397.837044191</v>
      </c>
      <c r="D41" s="4">
        <f>'Allocation ProForma'!S830</f>
        <v>13841758.147900594</v>
      </c>
      <c r="E41" s="37">
        <f t="shared" si="6"/>
        <v>4079639.6891435962</v>
      </c>
      <c r="F41" s="4">
        <f>'Allocation ProForma'!S843</f>
        <v>65992175.425948963</v>
      </c>
      <c r="G41" s="19">
        <f t="shared" si="7"/>
        <v>6.182005158659204E-2</v>
      </c>
      <c r="H41" s="19"/>
      <c r="I41" s="339"/>
      <c r="J41" s="339"/>
    </row>
    <row r="42" spans="1:16" x14ac:dyDescent="0.25">
      <c r="A42" s="188" t="str">
        <f t="shared" si="5"/>
        <v>Lighting Rate LE</v>
      </c>
      <c r="B42" s="13"/>
      <c r="C42" s="4">
        <f>'Allocation ProForma'!T776</f>
        <v>214219.50728382313</v>
      </c>
      <c r="D42" s="4">
        <f>'Allocation ProForma'!T830</f>
        <v>179847.3828040401</v>
      </c>
      <c r="E42" s="37">
        <f t="shared" si="6"/>
        <v>34372.12447978303</v>
      </c>
      <c r="F42" s="4">
        <f>'Allocation ProForma'!T843</f>
        <v>129178.36717412261</v>
      </c>
      <c r="G42" s="19">
        <f t="shared" si="7"/>
        <v>0.26608266718104606</v>
      </c>
      <c r="H42" s="19"/>
      <c r="I42" s="339"/>
      <c r="J42" s="339"/>
    </row>
    <row r="43" spans="1:16" x14ac:dyDescent="0.25">
      <c r="A43" s="42" t="str">
        <f t="shared" si="5"/>
        <v>Lighting Rate TLE</v>
      </c>
      <c r="B43" s="41"/>
      <c r="C43" s="34">
        <f>'Allocation ProForma'!U776</f>
        <v>280664.36619724357</v>
      </c>
      <c r="D43" s="34">
        <f>'Allocation ProForma'!U830</f>
        <v>229702.74436320216</v>
      </c>
      <c r="E43" s="34">
        <f t="shared" si="6"/>
        <v>50961.621834041405</v>
      </c>
      <c r="F43" s="34">
        <f>'Allocation ProForma'!U843</f>
        <v>369459.29929092026</v>
      </c>
      <c r="G43" s="35">
        <f t="shared" si="7"/>
        <v>0.13793568583020865</v>
      </c>
      <c r="H43" s="19"/>
      <c r="I43" s="339"/>
      <c r="J43" s="339"/>
    </row>
    <row r="44" spans="1:16" x14ac:dyDescent="0.25">
      <c r="C44" s="4">
        <f>SUM(C32:C43)</f>
        <v>1044652043.9999999</v>
      </c>
      <c r="D44" s="4">
        <f>SUM(D32:D43)</f>
        <v>905585926.00256228</v>
      </c>
      <c r="E44" s="4">
        <f>SUM(E32:E43)</f>
        <v>139066117.99743766</v>
      </c>
      <c r="F44" s="4">
        <f>SUM(F32:F43)</f>
        <v>2250031689.5289083</v>
      </c>
      <c r="G44" s="19">
        <f t="shared" si="7"/>
        <v>6.1806293060056451E-2</v>
      </c>
      <c r="I44" s="339"/>
      <c r="J44" s="339"/>
    </row>
    <row r="45" spans="1:16" x14ac:dyDescent="0.25">
      <c r="I45" s="339"/>
      <c r="J45" s="339"/>
    </row>
    <row r="47" spans="1:16" ht="17.399999999999999" x14ac:dyDescent="0.3">
      <c r="A47" s="28" t="s">
        <v>623</v>
      </c>
      <c r="B47" s="13"/>
    </row>
    <row r="48" spans="1:16" x14ac:dyDescent="0.25">
      <c r="A48" s="5" t="s">
        <v>1344</v>
      </c>
    </row>
    <row r="49" spans="1:16" x14ac:dyDescent="0.25">
      <c r="A49" s="223"/>
    </row>
    <row r="52" spans="1:16" x14ac:dyDescent="0.25">
      <c r="A52" s="14"/>
      <c r="B52" s="13"/>
      <c r="D52" s="15" t="s">
        <v>168</v>
      </c>
      <c r="E52" s="15" t="s">
        <v>170</v>
      </c>
      <c r="F52" s="30"/>
      <c r="G52" s="1"/>
      <c r="K52" s="9"/>
      <c r="P52" s="9"/>
    </row>
    <row r="53" spans="1:16" ht="14.4" thickBot="1" x14ac:dyDescent="0.3">
      <c r="A53" s="26"/>
      <c r="B53" s="27"/>
      <c r="C53" s="29" t="s">
        <v>1152</v>
      </c>
      <c r="D53" s="29" t="s">
        <v>169</v>
      </c>
      <c r="E53" s="29" t="s">
        <v>1151</v>
      </c>
      <c r="F53" s="31" t="s">
        <v>987</v>
      </c>
      <c r="G53" s="29" t="s">
        <v>171</v>
      </c>
      <c r="K53" s="9"/>
      <c r="P53" s="9"/>
    </row>
    <row r="54" spans="1:16" x14ac:dyDescent="0.25">
      <c r="A54" s="14"/>
      <c r="B54" s="13"/>
      <c r="K54" s="9"/>
      <c r="P54" s="9"/>
    </row>
    <row r="55" spans="1:16" x14ac:dyDescent="0.25">
      <c r="A55" s="188" t="str">
        <f>A32</f>
        <v>Residential Rate RS</v>
      </c>
      <c r="B55" s="13"/>
      <c r="C55" s="2">
        <f>'Allocation ProForma'!G975</f>
        <v>444109824.29234767</v>
      </c>
      <c r="D55" s="2">
        <f>'Allocation ProForma'!G988</f>
        <v>395951525.53633761</v>
      </c>
      <c r="E55" s="2">
        <f t="shared" ref="E55:E60" si="8">C55-D55</f>
        <v>48158298.756010056</v>
      </c>
      <c r="F55" s="2">
        <f>'Allocation ProForma'!G993</f>
        <v>1225741672.3782828</v>
      </c>
      <c r="G55" s="19">
        <f t="shared" ref="G55:G60" si="9">E55/F55</f>
        <v>3.9289109476525703E-2</v>
      </c>
      <c r="H55" s="19"/>
      <c r="K55" s="9"/>
      <c r="P55" s="9"/>
    </row>
    <row r="56" spans="1:16" x14ac:dyDescent="0.25">
      <c r="A56" s="188" t="str">
        <f t="shared" ref="A56:A66" si="10">A33</f>
        <v xml:space="preserve">General Service </v>
      </c>
      <c r="B56" s="13"/>
      <c r="C56" s="4">
        <f>'Allocation ProForma'!H975</f>
        <v>152026419.12847397</v>
      </c>
      <c r="D56" s="4">
        <f>'Allocation ProForma'!H988</f>
        <v>120051706.29999988</v>
      </c>
      <c r="E56" s="4">
        <f t="shared" si="8"/>
        <v>31974712.82847409</v>
      </c>
      <c r="F56" s="4">
        <f>'Allocation ProForma'!H993</f>
        <v>272051302.68880898</v>
      </c>
      <c r="G56" s="19">
        <f t="shared" si="9"/>
        <v>0.11753192325290561</v>
      </c>
      <c r="H56" s="19"/>
      <c r="K56" s="9"/>
      <c r="P56" s="9"/>
    </row>
    <row r="57" spans="1:16" x14ac:dyDescent="0.25">
      <c r="A57" s="188" t="str">
        <f t="shared" si="10"/>
        <v>Power Service Primary Rate PS</v>
      </c>
      <c r="C57" s="4">
        <f>'Allocation ProForma'!J975</f>
        <v>12650641.092395021</v>
      </c>
      <c r="D57" s="4">
        <f>'Allocation ProForma'!J988</f>
        <v>10591263.979990877</v>
      </c>
      <c r="E57" s="37">
        <f t="shared" si="8"/>
        <v>2059377.1124041434</v>
      </c>
      <c r="F57" s="4">
        <f>'Allocation ProForma'!J993</f>
        <v>20130039.304534759</v>
      </c>
      <c r="G57" s="19">
        <f t="shared" si="9"/>
        <v>0.10230368064607906</v>
      </c>
      <c r="H57" s="19"/>
    </row>
    <row r="58" spans="1:16" x14ac:dyDescent="0.25">
      <c r="A58" s="188" t="str">
        <f t="shared" si="10"/>
        <v>Power Service Secondary Rate PS</v>
      </c>
      <c r="C58" s="4">
        <f>'Allocation ProForma'!K975</f>
        <v>170753275.81157878</v>
      </c>
      <c r="D58" s="4">
        <f>'Allocation ProForma'!K988</f>
        <v>137152927.25907484</v>
      </c>
      <c r="E58" s="4">
        <f t="shared" si="8"/>
        <v>33600348.552503943</v>
      </c>
      <c r="F58" s="4">
        <f>'Allocation ProForma'!K993</f>
        <v>260999577.51330796</v>
      </c>
      <c r="G58" s="19">
        <f t="shared" si="9"/>
        <v>0.12873717602393711</v>
      </c>
      <c r="H58" s="19"/>
    </row>
    <row r="59" spans="1:16" x14ac:dyDescent="0.25">
      <c r="A59" s="188" t="str">
        <f t="shared" si="10"/>
        <v>TOD Rate TOD Primary</v>
      </c>
      <c r="B59" s="13"/>
      <c r="C59" s="4">
        <f>'Allocation ProForma'!N975</f>
        <v>139773377.3150208</v>
      </c>
      <c r="D59" s="4">
        <f>'Allocation ProForma'!N988</f>
        <v>121283511.30409187</v>
      </c>
      <c r="E59" s="4">
        <f t="shared" si="8"/>
        <v>18489866.010928929</v>
      </c>
      <c r="F59" s="4">
        <f>'Allocation ProForma'!N993</f>
        <v>211458478.97557414</v>
      </c>
      <c r="G59" s="19">
        <f t="shared" si="9"/>
        <v>8.7439700221549024E-2</v>
      </c>
      <c r="H59" s="19"/>
    </row>
    <row r="60" spans="1:16" x14ac:dyDescent="0.25">
      <c r="A60" s="188" t="str">
        <f t="shared" si="10"/>
        <v>TOD Rate TOD Secondary</v>
      </c>
      <c r="B60" s="13"/>
      <c r="C60" s="271">
        <f>'Allocation ProForma'!O975</f>
        <v>80813365.040325284</v>
      </c>
      <c r="D60" s="4">
        <f>'Allocation ProForma'!O988</f>
        <v>67926391.560991719</v>
      </c>
      <c r="E60" s="4">
        <f t="shared" si="8"/>
        <v>12886973.479333565</v>
      </c>
      <c r="F60" s="4">
        <f>'Allocation ProForma'!O993</f>
        <v>128875799.74577057</v>
      </c>
      <c r="G60" s="19">
        <f t="shared" si="9"/>
        <v>9.9995293955539452E-2</v>
      </c>
      <c r="H60" s="19"/>
    </row>
    <row r="61" spans="1:16" x14ac:dyDescent="0.25">
      <c r="A61" s="188" t="str">
        <f t="shared" si="10"/>
        <v>Retail Transmission Service Rate RTS</v>
      </c>
      <c r="B61" s="13"/>
      <c r="C61" s="4">
        <f>'Allocation ProForma'!P975</f>
        <v>45662696.941607863</v>
      </c>
      <c r="D61" s="4">
        <f>'Allocation ProForma'!P988</f>
        <v>40056328.406832717</v>
      </c>
      <c r="E61" s="4">
        <f t="shared" ref="E61:E66" si="11">C61-D61</f>
        <v>5606368.5347751454</v>
      </c>
      <c r="F61" s="4">
        <f>'Allocation ProForma'!P993</f>
        <v>46217422.218736798</v>
      </c>
      <c r="G61" s="19">
        <f t="shared" ref="G61:G67" si="12">E61/F61</f>
        <v>0.12130422394051853</v>
      </c>
      <c r="H61" s="19"/>
    </row>
    <row r="62" spans="1:16" x14ac:dyDescent="0.25">
      <c r="A62" s="188" t="str">
        <f t="shared" si="10"/>
        <v>Special Contract #1</v>
      </c>
      <c r="B62" s="13"/>
      <c r="C62" s="4">
        <f>'Allocation ProForma'!Q975</f>
        <v>6588477.397435979</v>
      </c>
      <c r="D62" s="4">
        <f>'Allocation ProForma'!Q988</f>
        <v>6187849.7958429214</v>
      </c>
      <c r="E62" s="4">
        <f t="shared" si="11"/>
        <v>400627.60159305762</v>
      </c>
      <c r="F62" s="4">
        <f>'Allocation ProForma'!Q993</f>
        <v>11105016.673919467</v>
      </c>
      <c r="G62" s="19">
        <f t="shared" si="12"/>
        <v>3.607627195499364E-2</v>
      </c>
      <c r="H62" s="19"/>
    </row>
    <row r="63" spans="1:16" x14ac:dyDescent="0.25">
      <c r="A63" s="188" t="str">
        <f t="shared" si="10"/>
        <v>Special Contract #2</v>
      </c>
      <c r="B63" s="13"/>
      <c r="C63" s="37">
        <f>'Allocation ProForma'!R975</f>
        <v>3605360.2902893177</v>
      </c>
      <c r="D63" s="37">
        <f>'Allocation ProForma'!R988</f>
        <v>3370379.4910992752</v>
      </c>
      <c r="E63" s="37">
        <f t="shared" si="11"/>
        <v>234980.79919004254</v>
      </c>
      <c r="F63" s="37">
        <f>'Allocation ProForma'!R993</f>
        <v>6961566.9375586044</v>
      </c>
      <c r="G63" s="38">
        <f t="shared" si="12"/>
        <v>3.3754009879914969E-2</v>
      </c>
      <c r="H63" s="19"/>
    </row>
    <row r="64" spans="1:16" x14ac:dyDescent="0.25">
      <c r="A64" s="188" t="str">
        <f t="shared" si="10"/>
        <v>Lighting Rate RLS &amp; LS</v>
      </c>
      <c r="B64" s="13"/>
      <c r="C64" s="4">
        <f>'Allocation ProForma'!S975</f>
        <v>18439292.837044191</v>
      </c>
      <c r="D64" s="4">
        <f>'Allocation ProForma'!S988</f>
        <v>14054446.068873623</v>
      </c>
      <c r="E64" s="37">
        <f t="shared" si="11"/>
        <v>4384846.7681705672</v>
      </c>
      <c r="F64" s="4">
        <f>'Allocation ProForma'!S993</f>
        <v>65992175.425948963</v>
      </c>
      <c r="G64" s="19">
        <f t="shared" si="12"/>
        <v>6.6444949569678682E-2</v>
      </c>
      <c r="H64" s="19"/>
    </row>
    <row r="65" spans="1:8" x14ac:dyDescent="0.25">
      <c r="A65" s="188" t="str">
        <f t="shared" si="10"/>
        <v>Lighting Rate LE</v>
      </c>
      <c r="B65" s="13"/>
      <c r="C65" s="4">
        <f>'Allocation ProForma'!T975</f>
        <v>221105.50728382313</v>
      </c>
      <c r="D65" s="4">
        <f>'Allocation ProForma'!T988</f>
        <v>182460.45187974989</v>
      </c>
      <c r="E65" s="37">
        <f t="shared" si="11"/>
        <v>38645.055404073239</v>
      </c>
      <c r="F65" s="4">
        <f>'Allocation ProForma'!T993</f>
        <v>129178.36717412261</v>
      </c>
      <c r="G65" s="19">
        <f t="shared" si="12"/>
        <v>0.29916042638921608</v>
      </c>
      <c r="H65" s="19"/>
    </row>
    <row r="66" spans="1:8" x14ac:dyDescent="0.25">
      <c r="A66" s="188" t="str">
        <f t="shared" si="10"/>
        <v>Lighting Rate TLE</v>
      </c>
      <c r="B66" s="41"/>
      <c r="C66" s="34">
        <f>'Allocation ProForma'!U975</f>
        <v>288840.36619724357</v>
      </c>
      <c r="D66" s="34">
        <f>'Allocation ProForma'!U988</f>
        <v>232943.24358425281</v>
      </c>
      <c r="E66" s="34">
        <f t="shared" si="11"/>
        <v>55897.122612990759</v>
      </c>
      <c r="F66" s="34">
        <f>'Allocation ProForma'!U993</f>
        <v>369459.29929092026</v>
      </c>
      <c r="G66" s="35">
        <f t="shared" si="12"/>
        <v>0.15129439892369892</v>
      </c>
      <c r="H66" s="19"/>
    </row>
    <row r="67" spans="1:8" x14ac:dyDescent="0.25">
      <c r="C67" s="3">
        <f>SUM(C55:C66)</f>
        <v>1074932676.0200002</v>
      </c>
      <c r="D67" s="3">
        <f>SUM(D55:D66)</f>
        <v>917041733.39859939</v>
      </c>
      <c r="E67" s="3">
        <f>SUM(E55:E66)</f>
        <v>157890942.62140056</v>
      </c>
      <c r="F67" s="3">
        <f>SUM(F55:F66)</f>
        <v>2250031689.5289083</v>
      </c>
      <c r="G67" s="19">
        <f t="shared" si="12"/>
        <v>7.0172763946475078E-2</v>
      </c>
    </row>
    <row r="70" spans="1:8" x14ac:dyDescent="0.25">
      <c r="A70" s="226"/>
    </row>
    <row r="71" spans="1:8" x14ac:dyDescent="0.25">
      <c r="A71" s="226"/>
    </row>
    <row r="72" spans="1:8" x14ac:dyDescent="0.25">
      <c r="A72" s="226"/>
    </row>
    <row r="73" spans="1:8" x14ac:dyDescent="0.25">
      <c r="A73" s="226"/>
    </row>
    <row r="74" spans="1:8" x14ac:dyDescent="0.25">
      <c r="A74" s="226"/>
    </row>
    <row r="75" spans="1:8" x14ac:dyDescent="0.25">
      <c r="A75" s="226"/>
    </row>
    <row r="76" spans="1:8" x14ac:dyDescent="0.25">
      <c r="A76" s="188"/>
    </row>
    <row r="77" spans="1:8" x14ac:dyDescent="0.25">
      <c r="A77" s="188"/>
    </row>
    <row r="78" spans="1:8" x14ac:dyDescent="0.25">
      <c r="A78" s="226"/>
    </row>
    <row r="79" spans="1:8" x14ac:dyDescent="0.25">
      <c r="A79" s="226"/>
    </row>
    <row r="80" spans="1:8" x14ac:dyDescent="0.25">
      <c r="A80" s="188"/>
    </row>
    <row r="81" spans="1:1" x14ac:dyDescent="0.25">
      <c r="A81" s="21"/>
    </row>
  </sheetData>
  <mergeCells count="2">
    <mergeCell ref="H2:K2"/>
    <mergeCell ref="M2:P2"/>
  </mergeCells>
  <phoneticPr fontId="0" type="noConversion"/>
  <conditionalFormatting sqref="H55:H66 H32:H43 H10:H21">
    <cfRule type="cellIs" dxfId="3" priority="16" stopIfTrue="1" operator="lessThan">
      <formula>0</formula>
    </cfRule>
    <cfRule type="cellIs" dxfId="2" priority="17" stopIfTrue="1" operator="greaterThan">
      <formula>0</formula>
    </cfRule>
    <cfRule type="cellIs" dxfId="1" priority="18" stopIfTrue="1" operator="lessThan">
      <formula>0</formula>
    </cfRule>
    <cfRule type="cellIs" dxfId="0" priority="19" stopIfTrue="1" operator="greaterThan">
      <formula>0</formula>
    </cfRule>
  </conditionalFormatting>
  <pageMargins left="0.75" right="0.75" top="1" bottom="1" header="0.5" footer="0.5"/>
  <pageSetup scale="61" orientation="landscape" r:id="rId1"/>
  <headerFooter alignWithMargins="0"/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0"/>
  <sheetViews>
    <sheetView zoomScale="75" workbookViewId="0">
      <pane xSplit="1" topLeftCell="D1" activePane="topRight" state="frozen"/>
      <selection activeCell="A5" sqref="A5"/>
      <selection pane="topRight" activeCell="J34" sqref="J34"/>
    </sheetView>
  </sheetViews>
  <sheetFormatPr defaultColWidth="9.109375" defaultRowHeight="13.8" x14ac:dyDescent="0.25"/>
  <cols>
    <col min="1" max="1" width="49.88671875" style="114" bestFit="1" customWidth="1"/>
    <col min="2" max="2" width="17.44140625" style="6" bestFit="1" customWidth="1"/>
    <col min="3" max="15" width="22.6640625" style="114" customWidth="1"/>
    <col min="16" max="16" width="18.44140625" style="114" bestFit="1" customWidth="1"/>
    <col min="17" max="17" width="16.109375" style="114" bestFit="1" customWidth="1"/>
    <col min="18" max="18" width="14.33203125" style="114" bestFit="1" customWidth="1"/>
    <col min="19" max="22" width="12" style="114" bestFit="1" customWidth="1"/>
    <col min="23" max="23" width="9.109375" style="114"/>
    <col min="24" max="24" width="11.88671875" style="114" bestFit="1" customWidth="1"/>
    <col min="25" max="16384" width="9.109375" style="114"/>
  </cols>
  <sheetData>
    <row r="1" spans="1:25" x14ac:dyDescent="0.25">
      <c r="A1" s="5" t="s">
        <v>623</v>
      </c>
      <c r="B1" s="5"/>
    </row>
    <row r="2" spans="1:25" x14ac:dyDescent="0.25">
      <c r="A2" s="6" t="s">
        <v>715</v>
      </c>
    </row>
    <row r="4" spans="1:25" x14ac:dyDescent="0.25">
      <c r="A4" s="115"/>
      <c r="B4" s="10" t="s">
        <v>1357</v>
      </c>
      <c r="C4" s="40"/>
      <c r="D4" s="40"/>
      <c r="E4" s="40"/>
      <c r="F4" s="40"/>
      <c r="G4" s="116"/>
      <c r="H4" s="10" t="s">
        <v>177</v>
      </c>
      <c r="I4" s="10"/>
      <c r="J4" s="10" t="s">
        <v>1327</v>
      </c>
      <c r="K4" s="10" t="s">
        <v>1328</v>
      </c>
      <c r="L4" s="10" t="s">
        <v>177</v>
      </c>
      <c r="M4" s="12"/>
      <c r="N4" s="12"/>
      <c r="O4" s="12"/>
      <c r="P4" s="12"/>
      <c r="Q4" s="115"/>
      <c r="R4" s="115"/>
      <c r="S4" s="115"/>
      <c r="V4" s="115"/>
    </row>
    <row r="5" spans="1:25" x14ac:dyDescent="0.25">
      <c r="A5" s="115"/>
      <c r="B5" s="10" t="s">
        <v>882</v>
      </c>
      <c r="C5" s="10"/>
      <c r="D5" s="248" t="s">
        <v>944</v>
      </c>
      <c r="E5" s="10" t="s">
        <v>638</v>
      </c>
      <c r="F5" s="10" t="s">
        <v>1369</v>
      </c>
      <c r="G5" s="39" t="s">
        <v>636</v>
      </c>
      <c r="H5" s="10" t="s">
        <v>167</v>
      </c>
      <c r="I5" s="10" t="s">
        <v>184</v>
      </c>
      <c r="J5" s="10" t="s">
        <v>1325</v>
      </c>
      <c r="K5" s="10" t="s">
        <v>1326</v>
      </c>
      <c r="L5" s="10" t="s">
        <v>180</v>
      </c>
      <c r="M5" s="12"/>
      <c r="N5" s="12"/>
      <c r="O5" s="12"/>
      <c r="P5" s="12"/>
      <c r="Q5" s="115"/>
      <c r="R5" s="115"/>
      <c r="S5" s="115"/>
      <c r="V5" s="115"/>
      <c r="W5" s="115"/>
      <c r="X5" s="115"/>
      <c r="Y5" s="115"/>
    </row>
    <row r="6" spans="1:25" ht="14.4" thickBot="1" x14ac:dyDescent="0.3">
      <c r="A6" s="117"/>
      <c r="B6" s="263">
        <v>42551</v>
      </c>
      <c r="C6" s="264" t="s">
        <v>142</v>
      </c>
      <c r="D6" s="264" t="s">
        <v>1152</v>
      </c>
      <c r="E6" s="264" t="s">
        <v>1368</v>
      </c>
      <c r="F6" s="264" t="s">
        <v>1368</v>
      </c>
      <c r="G6" s="249" t="s">
        <v>637</v>
      </c>
      <c r="H6" s="247" t="s">
        <v>951</v>
      </c>
      <c r="I6" s="247" t="s">
        <v>951</v>
      </c>
      <c r="J6" s="247" t="s">
        <v>951</v>
      </c>
      <c r="K6" s="247" t="s">
        <v>951</v>
      </c>
      <c r="L6" s="247" t="s">
        <v>181</v>
      </c>
      <c r="M6" s="12"/>
      <c r="N6" s="12"/>
      <c r="O6" s="12"/>
      <c r="P6" s="12"/>
      <c r="S6" s="118"/>
    </row>
    <row r="7" spans="1:25" x14ac:dyDescent="0.25">
      <c r="A7" s="115"/>
      <c r="B7" s="320"/>
      <c r="C7" s="309"/>
      <c r="D7" s="309"/>
      <c r="E7" s="309"/>
      <c r="F7" s="309"/>
      <c r="G7" s="309"/>
      <c r="H7" s="309"/>
      <c r="I7" s="309"/>
      <c r="J7" s="314"/>
      <c r="K7" s="309"/>
      <c r="L7" s="314"/>
      <c r="M7" s="126"/>
      <c r="N7" s="126"/>
      <c r="O7" s="126"/>
      <c r="P7" s="126"/>
      <c r="Q7" s="118"/>
      <c r="R7" s="118"/>
      <c r="S7" s="119"/>
    </row>
    <row r="8" spans="1:25" x14ac:dyDescent="0.25">
      <c r="A8" s="46" t="s">
        <v>1309</v>
      </c>
      <c r="B8" s="310">
        <f>(4337989+240)/12</f>
        <v>361519.08333333331</v>
      </c>
      <c r="C8" s="310">
        <f>4266714112+185122+82977+63254</f>
        <v>4267045465</v>
      </c>
      <c r="D8" s="321">
        <f>391242555</f>
        <v>391242555</v>
      </c>
      <c r="E8" s="321">
        <f>5717841</f>
        <v>5717841</v>
      </c>
      <c r="F8" s="321"/>
      <c r="G8" s="322">
        <f>D8-E8-F8</f>
        <v>385524714</v>
      </c>
      <c r="H8" s="310">
        <v>1385626.5070279548</v>
      </c>
      <c r="I8" s="310">
        <f>ROUND(C8/8784,2)</f>
        <v>485774.76</v>
      </c>
      <c r="J8" s="315">
        <v>957463.72001321323</v>
      </c>
      <c r="K8" s="315">
        <v>1197727.8589442039</v>
      </c>
      <c r="L8" s="310">
        <v>3260862.9911606209</v>
      </c>
      <c r="M8" s="250"/>
      <c r="N8" s="250"/>
      <c r="O8" s="251"/>
      <c r="P8" s="251"/>
      <c r="Q8" s="121"/>
      <c r="R8" s="118"/>
      <c r="S8" s="121"/>
    </row>
    <row r="9" spans="1:25" x14ac:dyDescent="0.25">
      <c r="A9" s="115"/>
      <c r="B9" s="310"/>
      <c r="C9" s="310"/>
      <c r="D9" s="323"/>
      <c r="E9" s="323"/>
      <c r="F9" s="323"/>
      <c r="G9" s="323"/>
      <c r="H9" s="310"/>
      <c r="I9" s="310"/>
      <c r="J9" s="311"/>
      <c r="K9" s="311"/>
      <c r="L9" s="310"/>
      <c r="M9" s="250"/>
      <c r="N9" s="250"/>
      <c r="O9" s="251"/>
      <c r="P9" s="251"/>
      <c r="Q9" s="118"/>
      <c r="R9" s="118"/>
      <c r="S9" s="122"/>
      <c r="W9" s="123"/>
      <c r="Y9" s="123"/>
    </row>
    <row r="10" spans="1:25" x14ac:dyDescent="0.25">
      <c r="A10" s="46" t="s">
        <v>1359</v>
      </c>
      <c r="B10" s="310">
        <f>338578/12</f>
        <v>28214.833333333332</v>
      </c>
      <c r="C10" s="310">
        <v>389930533</v>
      </c>
      <c r="D10" s="324">
        <v>42387823</v>
      </c>
      <c r="E10" s="324">
        <v>651184</v>
      </c>
      <c r="F10" s="324"/>
      <c r="G10" s="310">
        <f>D10-E10-F10</f>
        <v>41736639</v>
      </c>
      <c r="H10" s="310">
        <v>125749.30664463709</v>
      </c>
      <c r="I10" s="310">
        <f>ROUND(C10/8784,2)</f>
        <v>44391</v>
      </c>
      <c r="J10" s="315">
        <v>48927.931499412334</v>
      </c>
      <c r="K10" s="315">
        <v>113838.22743359952</v>
      </c>
      <c r="L10" s="310">
        <v>178523.98275722872</v>
      </c>
      <c r="M10" s="250"/>
      <c r="N10" s="250"/>
      <c r="O10" s="252"/>
      <c r="P10" s="252"/>
      <c r="R10" s="118"/>
      <c r="S10" s="118"/>
    </row>
    <row r="11" spans="1:25" x14ac:dyDescent="0.25">
      <c r="A11" s="115"/>
      <c r="B11" s="310"/>
      <c r="C11" s="310"/>
      <c r="D11" s="310"/>
      <c r="E11" s="310"/>
      <c r="F11" s="310"/>
      <c r="G11" s="310"/>
      <c r="H11" s="310"/>
      <c r="I11" s="310"/>
      <c r="J11" s="311"/>
      <c r="K11" s="311"/>
      <c r="L11" s="310"/>
      <c r="M11" s="250"/>
      <c r="N11" s="250"/>
      <c r="O11" s="250"/>
      <c r="P11" s="250"/>
      <c r="Q11" s="118"/>
      <c r="R11" s="118"/>
      <c r="S11" s="119"/>
    </row>
    <row r="12" spans="1:25" x14ac:dyDescent="0.25">
      <c r="A12" s="46" t="s">
        <v>1358</v>
      </c>
      <c r="B12" s="310">
        <f>196592/12</f>
        <v>16382.666666666666</v>
      </c>
      <c r="C12" s="310">
        <f>994912174</f>
        <v>994912174</v>
      </c>
      <c r="D12" s="324">
        <v>97756016</v>
      </c>
      <c r="E12" s="324">
        <v>1661503</v>
      </c>
      <c r="F12" s="324"/>
      <c r="G12" s="310">
        <f>D12-E12-F12</f>
        <v>96094513</v>
      </c>
      <c r="H12" s="310">
        <v>259752.66934708116</v>
      </c>
      <c r="I12" s="310">
        <f>ROUND(C12/8784,2)</f>
        <v>113264.14</v>
      </c>
      <c r="J12" s="315">
        <v>101067.44245134573</v>
      </c>
      <c r="K12" s="315">
        <v>235148.67985062307</v>
      </c>
      <c r="L12" s="310">
        <v>368766.0974124354</v>
      </c>
      <c r="M12" s="250"/>
      <c r="N12" s="250"/>
      <c r="O12" s="253"/>
      <c r="P12" s="253"/>
      <c r="Q12" s="121"/>
      <c r="R12" s="121"/>
      <c r="S12" s="121"/>
    </row>
    <row r="13" spans="1:25" x14ac:dyDescent="0.25">
      <c r="B13" s="310"/>
      <c r="C13" s="310"/>
      <c r="D13" s="310"/>
      <c r="E13" s="310"/>
      <c r="F13" s="310"/>
      <c r="G13" s="310"/>
      <c r="H13" s="310"/>
      <c r="I13" s="310"/>
      <c r="J13" s="311"/>
      <c r="K13" s="311"/>
      <c r="L13" s="310"/>
      <c r="M13" s="250"/>
      <c r="N13" s="250"/>
      <c r="O13" s="250"/>
      <c r="P13" s="250"/>
      <c r="Q13" s="118"/>
      <c r="R13" s="118"/>
      <c r="S13" s="122"/>
      <c r="W13" s="123"/>
      <c r="Y13" s="123"/>
    </row>
    <row r="14" spans="1:25" x14ac:dyDescent="0.25">
      <c r="A14" s="66" t="s">
        <v>1203</v>
      </c>
      <c r="B14" s="310">
        <f>876/12</f>
        <v>73</v>
      </c>
      <c r="C14" s="310">
        <v>162948372</v>
      </c>
      <c r="D14" s="324">
        <f>11774189</f>
        <v>11774189</v>
      </c>
      <c r="E14" s="324">
        <v>197438</v>
      </c>
      <c r="F14" s="324"/>
      <c r="G14" s="310">
        <f>D14-E14-F14</f>
        <v>11576751</v>
      </c>
      <c r="H14" s="310">
        <v>33125.659330729715</v>
      </c>
      <c r="I14" s="310">
        <f>ROUND(C14/8784,2)</f>
        <v>18550.59</v>
      </c>
      <c r="J14" s="315">
        <f>16493+1397</f>
        <v>17890</v>
      </c>
      <c r="K14" s="315">
        <f>27817+1897</f>
        <v>29714</v>
      </c>
      <c r="L14" s="310">
        <v>47017.076529062695</v>
      </c>
      <c r="M14" s="250"/>
      <c r="N14" s="250"/>
      <c r="O14" s="253"/>
      <c r="P14" s="253"/>
      <c r="Q14" s="121"/>
      <c r="R14" s="121"/>
      <c r="S14" s="121"/>
    </row>
    <row r="15" spans="1:25" x14ac:dyDescent="0.25">
      <c r="A15" s="124"/>
      <c r="B15" s="310"/>
      <c r="C15" s="310"/>
      <c r="D15" s="310"/>
      <c r="E15" s="310"/>
      <c r="F15" s="310"/>
      <c r="G15" s="310"/>
      <c r="H15" s="311"/>
      <c r="I15" s="311"/>
      <c r="J15" s="311"/>
      <c r="K15" s="311"/>
      <c r="L15" s="315"/>
      <c r="M15" s="252"/>
      <c r="N15" s="252"/>
      <c r="O15" s="252"/>
      <c r="P15" s="252"/>
    </row>
    <row r="16" spans="1:25" x14ac:dyDescent="0.25">
      <c r="A16" s="66" t="s">
        <v>1204</v>
      </c>
      <c r="B16" s="310">
        <f>33546/12</f>
        <v>2795.5</v>
      </c>
      <c r="C16" s="310">
        <v>1965916065</v>
      </c>
      <c r="D16" s="324">
        <f>158946785</f>
        <v>158946785</v>
      </c>
      <c r="E16" s="324">
        <v>2420274</v>
      </c>
      <c r="F16" s="324"/>
      <c r="G16" s="310">
        <f>D16-E16-F16</f>
        <v>156526511</v>
      </c>
      <c r="H16" s="310">
        <v>409350.37183936831</v>
      </c>
      <c r="I16" s="310">
        <f>ROUND(C16/8784,2)</f>
        <v>223806.47</v>
      </c>
      <c r="J16" s="315">
        <f>202257+29036</f>
        <v>231293</v>
      </c>
      <c r="K16" s="315">
        <f>323845+46099</f>
        <v>369944</v>
      </c>
      <c r="L16" s="310">
        <v>507998.12126947334</v>
      </c>
      <c r="M16" s="250"/>
      <c r="N16" s="250"/>
      <c r="O16" s="252"/>
      <c r="P16" s="252"/>
      <c r="S16" s="118"/>
    </row>
    <row r="17" spans="1:25" x14ac:dyDescent="0.25">
      <c r="A17" s="124"/>
      <c r="B17" s="310"/>
      <c r="C17" s="310"/>
      <c r="D17" s="310"/>
      <c r="E17" s="310"/>
      <c r="F17" s="310"/>
      <c r="G17" s="310"/>
      <c r="H17" s="311"/>
      <c r="I17" s="311"/>
      <c r="J17" s="311"/>
      <c r="K17" s="311"/>
      <c r="L17" s="315"/>
      <c r="M17" s="250"/>
      <c r="N17" s="250"/>
      <c r="O17" s="250"/>
      <c r="P17" s="250"/>
      <c r="Q17" s="118"/>
      <c r="R17" s="118"/>
      <c r="S17" s="119"/>
    </row>
    <row r="18" spans="1:25" x14ac:dyDescent="0.25">
      <c r="A18" s="66" t="s">
        <v>1205</v>
      </c>
      <c r="B18" s="310">
        <f>474/12</f>
        <v>39.5</v>
      </c>
      <c r="C18" s="312">
        <v>372651050</v>
      </c>
      <c r="D18" s="324">
        <f>25953502</f>
        <v>25953502</v>
      </c>
      <c r="E18" s="324">
        <v>351843</v>
      </c>
      <c r="F18" s="324"/>
      <c r="G18" s="310">
        <f>D18-E18-F18</f>
        <v>25601659</v>
      </c>
      <c r="H18" s="310">
        <v>68875.376025393038</v>
      </c>
      <c r="I18" s="310">
        <f>ROUND(C18/8784,2)</f>
        <v>42423.839999999997</v>
      </c>
      <c r="J18" s="315">
        <v>38143</v>
      </c>
      <c r="K18" s="315">
        <v>62769</v>
      </c>
      <c r="L18" s="310">
        <v>85655.758973182266</v>
      </c>
      <c r="M18" s="250"/>
      <c r="N18" s="250"/>
      <c r="O18" s="253"/>
      <c r="P18" s="253"/>
      <c r="Q18" s="121"/>
      <c r="R18" s="121"/>
      <c r="S18" s="121"/>
    </row>
    <row r="19" spans="1:25" x14ac:dyDescent="0.25">
      <c r="A19" s="124"/>
      <c r="B19" s="310"/>
      <c r="C19" s="312"/>
      <c r="D19" s="312"/>
      <c r="E19" s="312"/>
      <c r="F19" s="312"/>
      <c r="G19" s="310"/>
      <c r="H19" s="310"/>
      <c r="I19" s="310"/>
      <c r="J19" s="315"/>
      <c r="K19" s="315"/>
      <c r="L19" s="310"/>
      <c r="M19" s="253"/>
      <c r="N19" s="253"/>
      <c r="O19" s="253"/>
      <c r="P19" s="253"/>
      <c r="Q19" s="121"/>
      <c r="R19" s="121"/>
      <c r="S19" s="121"/>
    </row>
    <row r="20" spans="1:25" x14ac:dyDescent="0.25">
      <c r="A20" s="66" t="s">
        <v>1360</v>
      </c>
      <c r="B20" s="310">
        <f>842/12</f>
        <v>70.166666666666671</v>
      </c>
      <c r="C20" s="310">
        <v>1670443749</v>
      </c>
      <c r="D20" s="324">
        <v>105394202</v>
      </c>
      <c r="E20" s="324">
        <v>1610913</v>
      </c>
      <c r="F20" s="324"/>
      <c r="G20" s="310">
        <f>D20-E20-F20</f>
        <v>103783289</v>
      </c>
      <c r="H20" s="310">
        <v>333087.26857096492</v>
      </c>
      <c r="I20" s="310">
        <f>ROUND(C20/8784,2)</f>
        <v>190168.91</v>
      </c>
      <c r="J20" s="315">
        <v>161076</v>
      </c>
      <c r="K20" s="315">
        <v>247994</v>
      </c>
      <c r="L20" s="315">
        <v>510281.76640648808</v>
      </c>
      <c r="M20" s="250"/>
      <c r="N20" s="250"/>
      <c r="O20" s="250"/>
      <c r="P20" s="250"/>
      <c r="Q20" s="118"/>
      <c r="R20" s="118"/>
      <c r="S20" s="119"/>
    </row>
    <row r="21" spans="1:25" x14ac:dyDescent="0.25">
      <c r="A21" s="124"/>
      <c r="B21" s="310"/>
      <c r="C21" s="310"/>
      <c r="D21" s="310"/>
      <c r="E21" s="310"/>
      <c r="F21" s="310"/>
      <c r="G21" s="310"/>
      <c r="H21" s="310"/>
      <c r="I21" s="319"/>
      <c r="J21" s="311"/>
      <c r="K21" s="311"/>
      <c r="L21" s="315"/>
      <c r="M21" s="250"/>
      <c r="N21" s="250"/>
      <c r="O21" s="250"/>
      <c r="P21" s="250"/>
      <c r="Q21" s="118"/>
      <c r="R21" s="118"/>
      <c r="S21" s="119"/>
    </row>
    <row r="22" spans="1:25" s="125" customFormat="1" x14ac:dyDescent="0.25">
      <c r="A22" s="66" t="s">
        <v>1362</v>
      </c>
      <c r="B22" s="310">
        <f>3830/12</f>
        <v>319.16666666666669</v>
      </c>
      <c r="C22" s="310">
        <v>1040406894</v>
      </c>
      <c r="D22" s="310">
        <v>75126993</v>
      </c>
      <c r="E22" s="310">
        <v>1084253</v>
      </c>
      <c r="F22" s="310"/>
      <c r="G22" s="310">
        <f>D22-E22-F22</f>
        <v>74042740</v>
      </c>
      <c r="H22" s="310">
        <f>50970.0515173931+155601.233992987</f>
        <v>206571.28551038008</v>
      </c>
      <c r="I22" s="310">
        <f>ROUND(C22/8784,2)</f>
        <v>118443.41</v>
      </c>
      <c r="J22" s="315">
        <f>25493+86337</f>
        <v>111830</v>
      </c>
      <c r="K22" s="315">
        <f>39402+142351</f>
        <v>181753</v>
      </c>
      <c r="L22" s="315">
        <f>67934.5348010764+196918.750348669</f>
        <v>264853.28514974541</v>
      </c>
      <c r="M22" s="131"/>
      <c r="N22" s="131"/>
      <c r="O22" s="131"/>
      <c r="P22" s="131"/>
      <c r="Q22" s="261"/>
      <c r="R22" s="261"/>
      <c r="S22" s="262"/>
    </row>
    <row r="23" spans="1:25" x14ac:dyDescent="0.25">
      <c r="A23" s="124"/>
      <c r="B23" s="310"/>
      <c r="C23" s="310"/>
      <c r="D23" s="310"/>
      <c r="E23" s="310"/>
      <c r="F23" s="310"/>
      <c r="G23" s="310"/>
      <c r="H23" s="310"/>
      <c r="I23" s="319"/>
      <c r="J23" s="311"/>
      <c r="K23" s="311"/>
      <c r="L23" s="315"/>
      <c r="M23" s="250"/>
      <c r="N23" s="250"/>
      <c r="O23" s="250"/>
      <c r="P23" s="250"/>
      <c r="Q23" s="118"/>
      <c r="R23" s="118"/>
      <c r="S23" s="119"/>
    </row>
    <row r="24" spans="1:25" x14ac:dyDescent="0.25">
      <c r="A24" s="66" t="s">
        <v>1206</v>
      </c>
      <c r="B24" s="310">
        <f>144/12</f>
        <v>12</v>
      </c>
      <c r="C24" s="312">
        <v>876840985</v>
      </c>
      <c r="D24" s="325">
        <v>47838358</v>
      </c>
      <c r="E24" s="325">
        <v>541227</v>
      </c>
      <c r="F24" s="325">
        <v>3438312</v>
      </c>
      <c r="G24" s="310">
        <f>D24-E24-F24</f>
        <v>43858819</v>
      </c>
      <c r="H24" s="312">
        <v>180141.30433605771</v>
      </c>
      <c r="I24" s="310">
        <f>ROUND(C24/8784,2)</f>
        <v>99822.52</v>
      </c>
      <c r="J24" s="316">
        <v>98864</v>
      </c>
      <c r="K24" s="316">
        <v>69530</v>
      </c>
      <c r="L24" s="316">
        <v>266617.04993256385</v>
      </c>
      <c r="M24" s="250"/>
      <c r="N24" s="250"/>
      <c r="O24" s="253"/>
      <c r="P24" s="253"/>
      <c r="Q24" s="121"/>
      <c r="R24" s="121"/>
      <c r="S24" s="121"/>
    </row>
    <row r="25" spans="1:25" x14ac:dyDescent="0.25">
      <c r="A25" s="125"/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250"/>
      <c r="N25" s="250"/>
      <c r="O25" s="250"/>
      <c r="P25" s="250"/>
      <c r="Q25" s="118"/>
      <c r="R25" s="118"/>
      <c r="S25" s="122"/>
      <c r="W25" s="123"/>
      <c r="Y25" s="123"/>
    </row>
    <row r="26" spans="1:25" x14ac:dyDescent="0.25">
      <c r="A26" s="46" t="s">
        <v>598</v>
      </c>
      <c r="B26" s="310">
        <f>12/12</f>
        <v>1</v>
      </c>
      <c r="C26" s="310">
        <v>109874900</v>
      </c>
      <c r="D26" s="310">
        <v>6295322</v>
      </c>
      <c r="E26" s="310">
        <v>62269</v>
      </c>
      <c r="F26" s="310"/>
      <c r="G26" s="310">
        <f>D26-E26-F26</f>
        <v>6233053</v>
      </c>
      <c r="H26" s="310">
        <v>23330.348165746465</v>
      </c>
      <c r="I26" s="310">
        <f>ROUND(C26/8784,2)</f>
        <v>12508.53</v>
      </c>
      <c r="J26" s="316">
        <v>14754</v>
      </c>
      <c r="K26" s="316">
        <v>15243</v>
      </c>
      <c r="L26" s="316">
        <v>35498.190171628754</v>
      </c>
      <c r="M26" s="250"/>
      <c r="N26" s="250"/>
      <c r="O26" s="250"/>
      <c r="P26" s="250"/>
      <c r="Q26" s="118"/>
      <c r="R26" s="118"/>
      <c r="S26" s="122"/>
      <c r="W26" s="123"/>
      <c r="Y26" s="123"/>
    </row>
    <row r="27" spans="1:25" x14ac:dyDescent="0.25"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250"/>
      <c r="N27" s="250"/>
      <c r="O27" s="250"/>
      <c r="P27" s="250"/>
      <c r="Q27" s="118"/>
      <c r="R27" s="118"/>
      <c r="S27" s="122"/>
      <c r="W27" s="123"/>
      <c r="Y27" s="123"/>
    </row>
    <row r="28" spans="1:25" x14ac:dyDescent="0.25">
      <c r="A28" s="46" t="s">
        <v>641</v>
      </c>
      <c r="B28" s="310">
        <f>24/12</f>
        <v>2</v>
      </c>
      <c r="C28" s="310">
        <v>57572100</v>
      </c>
      <c r="D28" s="310">
        <v>3298968</v>
      </c>
      <c r="E28" s="310">
        <v>41742</v>
      </c>
      <c r="F28" s="310"/>
      <c r="G28" s="310">
        <f>D28-E28-F28</f>
        <v>3257226</v>
      </c>
      <c r="H28" s="310">
        <v>12022.847117955238</v>
      </c>
      <c r="I28" s="310">
        <f>ROUND(C28/8784,2)</f>
        <v>6554.2</v>
      </c>
      <c r="J28" s="316">
        <v>9498</v>
      </c>
      <c r="K28" s="316">
        <v>10651</v>
      </c>
      <c r="L28" s="310">
        <v>18335.454016140291</v>
      </c>
      <c r="M28" s="250"/>
      <c r="N28" s="250"/>
      <c r="O28" s="250"/>
      <c r="P28" s="250"/>
      <c r="Q28" s="118"/>
      <c r="R28" s="118"/>
      <c r="S28" s="122"/>
      <c r="W28" s="123"/>
      <c r="Y28" s="123"/>
    </row>
    <row r="29" spans="1:25" x14ac:dyDescent="0.25"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250"/>
      <c r="N29" s="250"/>
      <c r="O29" s="250"/>
      <c r="P29" s="250"/>
      <c r="Q29" s="118"/>
      <c r="R29" s="118"/>
      <c r="S29" s="122"/>
      <c r="W29" s="123"/>
      <c r="Y29" s="123"/>
    </row>
    <row r="30" spans="1:25" x14ac:dyDescent="0.25">
      <c r="A30" s="66" t="s">
        <v>1323</v>
      </c>
      <c r="B30" s="310">
        <f>1151935/12</f>
        <v>95994.583333333328</v>
      </c>
      <c r="C30" s="310">
        <v>123147808</v>
      </c>
      <c r="D30" s="310">
        <v>18015579</v>
      </c>
      <c r="E30" s="310">
        <v>0</v>
      </c>
      <c r="F30" s="310"/>
      <c r="G30" s="310">
        <f>D30-E30-F30</f>
        <v>18015579</v>
      </c>
      <c r="H30" s="310">
        <v>36016.864101272986</v>
      </c>
      <c r="I30" s="310">
        <f>ROUND(C30/8784,2)</f>
        <v>14019.56</v>
      </c>
      <c r="J30" s="316">
        <v>36017</v>
      </c>
      <c r="K30" s="316">
        <v>0</v>
      </c>
      <c r="L30" s="310">
        <v>36016.864101272986</v>
      </c>
      <c r="M30" s="250"/>
      <c r="N30" s="250"/>
      <c r="O30" s="250"/>
      <c r="P30" s="250"/>
      <c r="Q30" s="118"/>
      <c r="R30" s="118"/>
      <c r="S30" s="122"/>
      <c r="W30" s="123"/>
      <c r="Y30" s="123"/>
    </row>
    <row r="31" spans="1:25" x14ac:dyDescent="0.25">
      <c r="A31" s="125"/>
      <c r="B31" s="310"/>
      <c r="C31" s="310"/>
      <c r="D31" s="326"/>
      <c r="E31" s="326"/>
      <c r="F31" s="326"/>
      <c r="G31" s="310"/>
      <c r="H31" s="310"/>
      <c r="I31" s="310"/>
      <c r="J31" s="310"/>
      <c r="K31" s="310"/>
      <c r="L31" s="310"/>
      <c r="M31" s="250"/>
      <c r="N31" s="250"/>
      <c r="O31" s="250"/>
      <c r="P31" s="250"/>
      <c r="Q31" s="118"/>
      <c r="R31" s="118"/>
      <c r="S31" s="122"/>
      <c r="W31" s="123"/>
      <c r="Y31" s="123"/>
    </row>
    <row r="32" spans="1:25" x14ac:dyDescent="0.25">
      <c r="A32" s="66" t="s">
        <v>1364</v>
      </c>
      <c r="B32" s="310">
        <f>1872/12</f>
        <v>156</v>
      </c>
      <c r="C32" s="310">
        <v>3442738</v>
      </c>
      <c r="D32" s="310">
        <v>222435</v>
      </c>
      <c r="E32" s="310">
        <v>0</v>
      </c>
      <c r="F32" s="310"/>
      <c r="G32" s="310">
        <f>D32-E32-F32</f>
        <v>222435</v>
      </c>
      <c r="H32" s="310">
        <v>1041.8870561163224</v>
      </c>
      <c r="I32" s="310">
        <f>ROUND(C32/8784,2)</f>
        <v>391.93</v>
      </c>
      <c r="J32" s="316">
        <v>826</v>
      </c>
      <c r="K32" s="316">
        <v>0</v>
      </c>
      <c r="L32" s="310">
        <v>1041.8870561163224</v>
      </c>
      <c r="M32" s="250"/>
      <c r="N32" s="250"/>
      <c r="O32" s="250"/>
      <c r="P32" s="250"/>
      <c r="Q32" s="118"/>
      <c r="R32" s="118"/>
      <c r="S32" s="122"/>
      <c r="W32" s="123"/>
      <c r="Y32" s="123"/>
    </row>
    <row r="33" spans="1:25" x14ac:dyDescent="0.25">
      <c r="A33" s="125"/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250"/>
      <c r="N33" s="250"/>
      <c r="O33" s="250"/>
      <c r="P33" s="250"/>
      <c r="Q33" s="118"/>
      <c r="R33" s="118"/>
      <c r="S33" s="122"/>
      <c r="W33" s="123"/>
      <c r="Y33" s="123"/>
    </row>
    <row r="34" spans="1:25" x14ac:dyDescent="0.25">
      <c r="A34" s="127" t="s">
        <v>1363</v>
      </c>
      <c r="B34" s="317">
        <f>10860/12</f>
        <v>905</v>
      </c>
      <c r="C34" s="317">
        <v>3103723</v>
      </c>
      <c r="D34" s="317">
        <v>272977</v>
      </c>
      <c r="E34" s="317">
        <v>0</v>
      </c>
      <c r="F34" s="317"/>
      <c r="G34" s="317">
        <f>D34-E34-F34</f>
        <v>272977</v>
      </c>
      <c r="H34" s="310">
        <v>397.83711455940136</v>
      </c>
      <c r="I34" s="317">
        <f>ROUND(C34/8784,2)</f>
        <v>353.34</v>
      </c>
      <c r="J34" s="318">
        <v>627.31621260695863</v>
      </c>
      <c r="K34" s="318">
        <v>345</v>
      </c>
      <c r="L34" s="317">
        <v>397.83711455940136</v>
      </c>
      <c r="M34" s="250"/>
      <c r="N34" s="250"/>
      <c r="O34" s="250"/>
      <c r="P34" s="250"/>
      <c r="Q34" s="118"/>
      <c r="R34" s="118"/>
      <c r="S34" s="122"/>
      <c r="W34" s="123"/>
      <c r="Y34" s="123"/>
    </row>
    <row r="35" spans="1:25" x14ac:dyDescent="0.25">
      <c r="A35" s="66" t="s">
        <v>944</v>
      </c>
      <c r="B35" s="310">
        <f>SUM(B8:B34)</f>
        <v>506484.5</v>
      </c>
      <c r="C35" s="310">
        <f t="shared" ref="C35:L35" si="0">SUM(C8:C34)</f>
        <v>12038236556</v>
      </c>
      <c r="D35" s="327">
        <f>SUM(D8:D34)</f>
        <v>984525704</v>
      </c>
      <c r="E35" s="323">
        <f>SUM(E8:E34)</f>
        <v>14340487</v>
      </c>
      <c r="F35" s="323">
        <f>SUM(F8:F34)</f>
        <v>3438312</v>
      </c>
      <c r="G35" s="323">
        <f>SUM(G8:G34)</f>
        <v>966746905</v>
      </c>
      <c r="H35" s="313">
        <f t="shared" si="0"/>
        <v>3075089.5321882176</v>
      </c>
      <c r="I35" s="310">
        <f t="shared" si="0"/>
        <v>1370473.2</v>
      </c>
      <c r="J35" s="310">
        <f t="shared" si="0"/>
        <v>1828277.4101765782</v>
      </c>
      <c r="K35" s="310">
        <f>SUM(K8:K34)</f>
        <v>2534657.7662284262</v>
      </c>
      <c r="L35" s="310">
        <f t="shared" si="0"/>
        <v>5581866.3620505193</v>
      </c>
      <c r="M35" s="250"/>
      <c r="N35" s="250"/>
      <c r="O35" s="250"/>
      <c r="P35" s="250"/>
      <c r="Q35" s="118"/>
      <c r="R35" s="118"/>
      <c r="S35" s="122"/>
      <c r="W35" s="123"/>
      <c r="Y35" s="123"/>
    </row>
    <row r="36" spans="1:25" x14ac:dyDescent="0.25">
      <c r="A36" s="46"/>
      <c r="B36" s="305"/>
      <c r="C36" s="261"/>
      <c r="D36" s="265"/>
      <c r="E36" s="129"/>
      <c r="F36" s="129"/>
      <c r="G36" s="130"/>
      <c r="H36" s="261"/>
      <c r="I36" s="306"/>
      <c r="J36" s="261"/>
      <c r="K36" s="307"/>
      <c r="L36" s="261"/>
      <c r="M36" s="121"/>
      <c r="N36" s="121"/>
      <c r="O36" s="121"/>
      <c r="P36" s="121"/>
      <c r="Q36" s="121"/>
      <c r="R36" s="121"/>
      <c r="S36" s="121"/>
    </row>
    <row r="37" spans="1:25" x14ac:dyDescent="0.25">
      <c r="A37" s="115"/>
      <c r="B37" s="308"/>
      <c r="C37" s="308"/>
      <c r="D37" s="304"/>
      <c r="E37" s="308"/>
      <c r="F37" s="308"/>
      <c r="G37" s="304"/>
      <c r="H37" s="308"/>
      <c r="I37" s="308"/>
      <c r="J37" s="308"/>
      <c r="K37" s="308"/>
      <c r="L37" s="308"/>
      <c r="M37" s="85"/>
      <c r="N37" s="85"/>
      <c r="O37" s="85"/>
      <c r="P37" s="85"/>
      <c r="Q37" s="85"/>
      <c r="R37" s="85"/>
      <c r="S37" s="85"/>
    </row>
    <row r="38" spans="1:25" x14ac:dyDescent="0.25">
      <c r="A38" s="115"/>
      <c r="B38" s="308"/>
      <c r="C38" s="308"/>
      <c r="D38" s="304"/>
      <c r="E38" s="304"/>
      <c r="F38" s="304"/>
      <c r="G38" s="308">
        <f>G35-'[13]SCH D-1'!$F$20</f>
        <v>15.990500688552856</v>
      </c>
      <c r="H38" s="308"/>
      <c r="I38" s="308"/>
      <c r="J38" s="308"/>
      <c r="K38" s="308"/>
      <c r="L38" s="308"/>
      <c r="M38" s="85"/>
      <c r="N38" s="85"/>
      <c r="O38" s="85"/>
    </row>
    <row r="39" spans="1:25" ht="15.6" x14ac:dyDescent="0.4">
      <c r="C39" s="118"/>
      <c r="D39" s="118"/>
      <c r="E39" s="118"/>
      <c r="F39" s="118"/>
      <c r="G39" s="118"/>
      <c r="H39" s="118"/>
      <c r="I39" s="118"/>
      <c r="J39" s="118"/>
      <c r="K39" s="118"/>
      <c r="L39" s="18"/>
      <c r="M39" s="118"/>
      <c r="N39" s="118"/>
      <c r="O39" s="118"/>
      <c r="P39" s="118"/>
      <c r="Q39" s="118"/>
      <c r="R39" s="118"/>
      <c r="S39" s="118"/>
    </row>
    <row r="40" spans="1:25" x14ac:dyDescent="0.25"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</row>
    <row r="41" spans="1:25" x14ac:dyDescent="0.25"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S41" s="119"/>
    </row>
    <row r="42" spans="1:25" x14ac:dyDescent="0.25"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9"/>
    </row>
    <row r="43" spans="1:25" x14ac:dyDescent="0.25"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9"/>
    </row>
    <row r="44" spans="1:25" x14ac:dyDescent="0.25"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W44" s="123"/>
      <c r="Y44" s="123"/>
    </row>
    <row r="45" spans="1:25" x14ac:dyDescent="0.25"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</row>
    <row r="46" spans="1:25" x14ac:dyDescent="0.25"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</row>
    <row r="47" spans="1:25" x14ac:dyDescent="0.25"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S47" s="119"/>
    </row>
    <row r="48" spans="1:25" x14ac:dyDescent="0.25"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9"/>
    </row>
    <row r="49" spans="3:25" x14ac:dyDescent="0.25"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9"/>
    </row>
    <row r="50" spans="3:25" x14ac:dyDescent="0.25"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W50" s="123"/>
      <c r="Y50" s="123"/>
    </row>
    <row r="51" spans="3:25" x14ac:dyDescent="0.25"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</row>
    <row r="52" spans="3:25" x14ac:dyDescent="0.25"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</row>
    <row r="53" spans="3:25" x14ac:dyDescent="0.25"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S53" s="119"/>
    </row>
    <row r="54" spans="3:25" x14ac:dyDescent="0.25"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S54" s="119"/>
    </row>
    <row r="55" spans="3:25" x14ac:dyDescent="0.25"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9"/>
    </row>
    <row r="56" spans="3:25" x14ac:dyDescent="0.25"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W56" s="123"/>
      <c r="Y56" s="123"/>
    </row>
    <row r="57" spans="3:25" x14ac:dyDescent="0.25"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</row>
    <row r="58" spans="3:25" x14ac:dyDescent="0.25"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</row>
    <row r="59" spans="3:25" x14ac:dyDescent="0.25"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S59" s="119"/>
    </row>
    <row r="60" spans="3:25" x14ac:dyDescent="0.25"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9"/>
    </row>
    <row r="61" spans="3:25" x14ac:dyDescent="0.25"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19"/>
      <c r="V61" s="133"/>
    </row>
    <row r="62" spans="3:25" x14ac:dyDescent="0.25"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W62" s="123"/>
      <c r="Y62" s="123"/>
    </row>
    <row r="63" spans="3:25" x14ac:dyDescent="0.25"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V63" s="134"/>
    </row>
    <row r="64" spans="3:25" x14ac:dyDescent="0.25"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</row>
    <row r="65" spans="3:25" x14ac:dyDescent="0.25"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S65" s="119"/>
    </row>
    <row r="66" spans="3:25" x14ac:dyDescent="0.25"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9"/>
    </row>
    <row r="67" spans="3:25" x14ac:dyDescent="0.25"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32"/>
      <c r="P67" s="118"/>
      <c r="S67" s="119"/>
      <c r="V67" s="133"/>
    </row>
    <row r="68" spans="3:25" x14ac:dyDescent="0.25"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W68" s="123"/>
      <c r="Y68" s="123"/>
    </row>
    <row r="69" spans="3:25" x14ac:dyDescent="0.25"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V69" s="134"/>
    </row>
    <row r="70" spans="3:25" x14ac:dyDescent="0.25"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</row>
    <row r="71" spans="3:25" x14ac:dyDescent="0.25"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S71" s="119"/>
    </row>
    <row r="72" spans="3:25" x14ac:dyDescent="0.25"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9"/>
    </row>
    <row r="73" spans="3:25" x14ac:dyDescent="0.25"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19"/>
      <c r="V73" s="133"/>
    </row>
    <row r="74" spans="3:25" x14ac:dyDescent="0.25">
      <c r="C74" s="132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W74" s="123"/>
      <c r="Y74" s="123"/>
    </row>
    <row r="75" spans="3:25" x14ac:dyDescent="0.25"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V75" s="134"/>
    </row>
    <row r="76" spans="3:25" x14ac:dyDescent="0.25"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V76" s="134"/>
    </row>
    <row r="77" spans="3:25" x14ac:dyDescent="0.25"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S77" s="119"/>
    </row>
    <row r="78" spans="3:25" x14ac:dyDescent="0.25"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32"/>
      <c r="S78" s="119"/>
    </row>
    <row r="79" spans="3:25" x14ac:dyDescent="0.25"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32"/>
      <c r="P79" s="118"/>
      <c r="Q79" s="118"/>
      <c r="R79" s="118"/>
      <c r="S79" s="119"/>
    </row>
    <row r="80" spans="3:25" x14ac:dyDescent="0.25"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18"/>
      <c r="O80" s="121"/>
      <c r="P80" s="121"/>
      <c r="Q80" s="121"/>
      <c r="R80" s="121"/>
      <c r="S80" s="121"/>
      <c r="W80" s="123"/>
      <c r="Y80" s="123"/>
    </row>
    <row r="81" spans="3:25" x14ac:dyDescent="0.25"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</row>
    <row r="82" spans="3:25" x14ac:dyDescent="0.25"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32"/>
      <c r="P82" s="118"/>
      <c r="S82" s="119"/>
    </row>
    <row r="83" spans="3:25" x14ac:dyDescent="0.25"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S83" s="119"/>
    </row>
    <row r="84" spans="3:25" x14ac:dyDescent="0.25"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32"/>
      <c r="P84" s="118"/>
      <c r="Q84" s="118"/>
      <c r="R84" s="118"/>
      <c r="S84" s="119"/>
    </row>
    <row r="85" spans="3:25" x14ac:dyDescent="0.25"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32"/>
      <c r="P85" s="118"/>
      <c r="S85" s="119"/>
    </row>
    <row r="86" spans="3:25" x14ac:dyDescent="0.25"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</row>
    <row r="87" spans="3:25" x14ac:dyDescent="0.25"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32"/>
    </row>
    <row r="88" spans="3:25" x14ac:dyDescent="0.25"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9"/>
      <c r="W88" s="123"/>
      <c r="Y88" s="123"/>
    </row>
    <row r="89" spans="3:25" x14ac:dyDescent="0.25"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9"/>
    </row>
    <row r="90" spans="3:25" x14ac:dyDescent="0.25"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Y90" s="123"/>
    </row>
    <row r="91" spans="3:25" x14ac:dyDescent="0.25"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0"/>
      <c r="Q91" s="120"/>
      <c r="R91" s="120"/>
      <c r="S91" s="120"/>
    </row>
    <row r="92" spans="3:25" x14ac:dyDescent="0.25"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0"/>
      <c r="Q92" s="120"/>
      <c r="R92" s="120"/>
      <c r="S92" s="120"/>
    </row>
    <row r="93" spans="3:25" x14ac:dyDescent="0.25"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0"/>
      <c r="Q93" s="120"/>
      <c r="R93" s="120"/>
      <c r="S93" s="120"/>
    </row>
    <row r="94" spans="3:25" x14ac:dyDescent="0.25"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0"/>
      <c r="Q94" s="120"/>
      <c r="R94" s="120"/>
      <c r="S94" s="120"/>
    </row>
    <row r="95" spans="3:25" x14ac:dyDescent="0.25">
      <c r="C95" s="118"/>
      <c r="D95" s="128"/>
      <c r="E95" s="128"/>
      <c r="F95" s="128"/>
      <c r="G95" s="128"/>
      <c r="H95" s="128"/>
      <c r="I95" s="128"/>
      <c r="J95" s="128"/>
      <c r="K95" s="118"/>
      <c r="L95" s="132"/>
      <c r="M95" s="128"/>
      <c r="N95" s="132"/>
      <c r="O95" s="128"/>
      <c r="P95" s="128"/>
      <c r="Q95" s="128"/>
      <c r="R95" s="128"/>
    </row>
    <row r="96" spans="3:25" x14ac:dyDescent="0.25">
      <c r="C96" s="118"/>
      <c r="D96" s="128"/>
      <c r="E96" s="128"/>
      <c r="F96" s="128"/>
      <c r="G96" s="128"/>
      <c r="H96" s="128"/>
      <c r="I96" s="128"/>
      <c r="J96" s="128"/>
      <c r="K96" s="118"/>
      <c r="L96" s="132"/>
      <c r="M96" s="128"/>
      <c r="N96" s="132"/>
      <c r="O96" s="128"/>
      <c r="P96" s="128"/>
      <c r="Q96" s="128"/>
      <c r="R96" s="128"/>
    </row>
    <row r="97" spans="3:18" x14ac:dyDescent="0.25">
      <c r="C97" s="118"/>
      <c r="D97" s="128"/>
      <c r="E97" s="128"/>
      <c r="F97" s="128"/>
      <c r="G97" s="128"/>
      <c r="H97" s="128"/>
      <c r="I97" s="128"/>
      <c r="J97" s="128"/>
      <c r="K97" s="118"/>
      <c r="L97" s="132"/>
      <c r="M97" s="128"/>
      <c r="N97" s="132"/>
      <c r="O97" s="128"/>
      <c r="P97" s="128"/>
      <c r="Q97" s="128"/>
      <c r="R97" s="128"/>
    </row>
    <row r="98" spans="3:18" ht="15.6" x14ac:dyDescent="0.4">
      <c r="C98" s="18"/>
      <c r="D98" s="128"/>
      <c r="E98" s="128"/>
      <c r="F98" s="128"/>
      <c r="G98" s="128"/>
      <c r="H98" s="128"/>
      <c r="I98" s="128"/>
      <c r="J98" s="128"/>
      <c r="K98" s="18"/>
      <c r="L98" s="86"/>
      <c r="M98" s="128"/>
      <c r="N98" s="132"/>
      <c r="O98" s="17"/>
      <c r="P98" s="17"/>
      <c r="Q98" s="17"/>
      <c r="R98" s="17"/>
    </row>
    <row r="99" spans="3:18" x14ac:dyDescent="0.25">
      <c r="C99" s="118"/>
      <c r="D99" s="128"/>
      <c r="E99" s="128"/>
      <c r="F99" s="128"/>
      <c r="G99" s="128"/>
      <c r="H99" s="128"/>
      <c r="I99" s="128"/>
      <c r="J99" s="128"/>
      <c r="K99" s="118"/>
      <c r="L99" s="132"/>
      <c r="M99" s="128"/>
      <c r="N99" s="132"/>
      <c r="O99" s="128"/>
      <c r="P99" s="128"/>
      <c r="Q99" s="128"/>
      <c r="R99" s="128"/>
    </row>
    <row r="100" spans="3:18" ht="15.6" x14ac:dyDescent="0.4">
      <c r="C100" s="18"/>
      <c r="D100" s="17"/>
      <c r="E100" s="17"/>
      <c r="F100" s="17"/>
      <c r="G100" s="135"/>
      <c r="H100" s="17"/>
      <c r="I100" s="17"/>
      <c r="J100" s="17"/>
      <c r="K100" s="118"/>
      <c r="L100" s="132"/>
      <c r="M100" s="17"/>
      <c r="N100" s="86"/>
      <c r="O100" s="17"/>
      <c r="P100" s="17"/>
      <c r="Q100" s="17"/>
      <c r="R100" s="17"/>
    </row>
    <row r="101" spans="3:18" x14ac:dyDescent="0.25">
      <c r="C101" s="118"/>
      <c r="D101" s="128"/>
      <c r="E101" s="128"/>
      <c r="F101" s="128"/>
      <c r="G101" s="128"/>
      <c r="H101" s="128"/>
      <c r="I101" s="128"/>
      <c r="J101" s="128"/>
      <c r="K101" s="118"/>
      <c r="L101" s="132"/>
      <c r="M101" s="128"/>
      <c r="N101" s="132"/>
      <c r="O101" s="128"/>
      <c r="P101" s="128"/>
      <c r="Q101" s="128"/>
      <c r="R101" s="128"/>
    </row>
    <row r="102" spans="3:18" ht="15.6" x14ac:dyDescent="0.4">
      <c r="C102" s="87"/>
      <c r="D102" s="17"/>
      <c r="E102" s="17"/>
      <c r="F102" s="17"/>
      <c r="G102" s="135"/>
      <c r="H102" s="17"/>
      <c r="I102" s="17"/>
      <c r="J102" s="17"/>
      <c r="K102" s="118"/>
      <c r="L102" s="132"/>
      <c r="M102" s="17"/>
      <c r="N102" s="88"/>
    </row>
    <row r="103" spans="3:18" x14ac:dyDescent="0.25">
      <c r="C103" s="118"/>
      <c r="D103" s="128"/>
      <c r="E103" s="128"/>
      <c r="F103" s="128"/>
      <c r="G103" s="128"/>
      <c r="H103" s="128"/>
      <c r="I103" s="128"/>
      <c r="J103" s="128"/>
      <c r="K103" s="118"/>
      <c r="L103" s="132"/>
      <c r="M103" s="128"/>
      <c r="N103" s="132"/>
    </row>
    <row r="104" spans="3:18" x14ac:dyDescent="0.25">
      <c r="C104" s="118"/>
      <c r="K104" s="118"/>
      <c r="L104" s="132"/>
      <c r="N104" s="132"/>
    </row>
    <row r="105" spans="3:18" x14ac:dyDescent="0.25">
      <c r="C105" s="118"/>
      <c r="K105" s="118"/>
      <c r="L105" s="132"/>
      <c r="N105" s="132"/>
    </row>
    <row r="106" spans="3:18" x14ac:dyDescent="0.25">
      <c r="C106" s="118"/>
      <c r="K106" s="118"/>
      <c r="L106" s="132"/>
      <c r="N106" s="132"/>
    </row>
    <row r="107" spans="3:18" x14ac:dyDescent="0.25">
      <c r="C107" s="118"/>
      <c r="K107" s="118"/>
      <c r="L107" s="132"/>
      <c r="N107" s="132"/>
      <c r="O107" s="128"/>
      <c r="P107" s="128"/>
      <c r="Q107" s="128"/>
      <c r="R107" s="136"/>
    </row>
    <row r="108" spans="3:18" x14ac:dyDescent="0.25">
      <c r="C108" s="118"/>
      <c r="K108" s="118"/>
      <c r="L108" s="132"/>
      <c r="N108" s="132"/>
      <c r="O108" s="128"/>
      <c r="P108" s="128"/>
      <c r="Q108" s="128"/>
      <c r="R108" s="136"/>
    </row>
    <row r="109" spans="3:18" ht="15.6" x14ac:dyDescent="0.4">
      <c r="C109" s="18"/>
      <c r="D109" s="128"/>
      <c r="E109" s="128"/>
      <c r="F109" s="128"/>
      <c r="G109" s="128"/>
      <c r="H109" s="128"/>
      <c r="I109" s="128"/>
      <c r="J109" s="128"/>
      <c r="K109" s="18"/>
      <c r="L109" s="86"/>
      <c r="M109" s="128"/>
      <c r="N109" s="132"/>
      <c r="O109" s="128"/>
      <c r="P109" s="128"/>
      <c r="Q109" s="128"/>
      <c r="R109" s="136"/>
    </row>
    <row r="110" spans="3:18" x14ac:dyDescent="0.25">
      <c r="C110" s="118"/>
      <c r="D110" s="128"/>
      <c r="E110" s="128"/>
      <c r="F110" s="128"/>
      <c r="G110" s="128"/>
      <c r="H110" s="128"/>
      <c r="I110" s="128"/>
      <c r="J110" s="128"/>
      <c r="K110" s="118"/>
      <c r="L110" s="132"/>
      <c r="M110" s="128"/>
      <c r="N110" s="132"/>
      <c r="O110" s="128"/>
      <c r="P110" s="128"/>
      <c r="Q110" s="128"/>
      <c r="R110" s="136"/>
    </row>
    <row r="111" spans="3:18" x14ac:dyDescent="0.25">
      <c r="C111" s="118"/>
      <c r="D111" s="128"/>
      <c r="E111" s="128"/>
      <c r="F111" s="128"/>
      <c r="G111" s="128"/>
      <c r="H111" s="128"/>
      <c r="I111" s="128"/>
      <c r="J111" s="128"/>
      <c r="K111" s="118"/>
      <c r="L111" s="132"/>
      <c r="M111" s="128"/>
      <c r="N111" s="132"/>
      <c r="O111" s="128"/>
      <c r="P111" s="128"/>
      <c r="Q111" s="128"/>
      <c r="R111" s="136"/>
    </row>
    <row r="112" spans="3:18" x14ac:dyDescent="0.25">
      <c r="C112" s="118"/>
      <c r="D112" s="128"/>
      <c r="E112" s="128"/>
      <c r="F112" s="128"/>
      <c r="G112" s="128"/>
      <c r="H112" s="128"/>
      <c r="I112" s="128"/>
      <c r="J112" s="128"/>
      <c r="K112" s="118"/>
      <c r="L112" s="132"/>
      <c r="M112" s="128"/>
      <c r="N112" s="132"/>
      <c r="O112" s="128"/>
      <c r="P112" s="128"/>
      <c r="Q112" s="128"/>
      <c r="R112" s="136"/>
    </row>
    <row r="113" spans="3:18" ht="15.6" x14ac:dyDescent="0.4">
      <c r="C113" s="118"/>
      <c r="D113" s="128"/>
      <c r="E113" s="128"/>
      <c r="F113" s="128"/>
      <c r="G113" s="128"/>
      <c r="H113" s="128"/>
      <c r="I113" s="128"/>
      <c r="J113" s="128"/>
      <c r="K113" s="118"/>
      <c r="L113" s="132"/>
      <c r="M113" s="128"/>
      <c r="N113" s="132"/>
      <c r="O113" s="17"/>
      <c r="P113" s="17"/>
      <c r="Q113" s="17"/>
      <c r="R113" s="89"/>
    </row>
    <row r="114" spans="3:18" x14ac:dyDescent="0.25">
      <c r="C114" s="118"/>
      <c r="D114" s="128"/>
      <c r="E114" s="128"/>
      <c r="F114" s="128"/>
      <c r="G114" s="128"/>
      <c r="H114" s="128"/>
      <c r="I114" s="128"/>
      <c r="J114" s="128"/>
      <c r="K114" s="118"/>
      <c r="L114" s="132"/>
      <c r="M114" s="128"/>
      <c r="N114" s="132"/>
      <c r="O114" s="128"/>
      <c r="P114" s="128"/>
      <c r="Q114" s="128"/>
      <c r="R114" s="128"/>
    </row>
    <row r="115" spans="3:18" ht="15.6" x14ac:dyDescent="0.4">
      <c r="C115" s="87"/>
      <c r="D115" s="17"/>
      <c r="E115" s="17"/>
      <c r="F115" s="17"/>
      <c r="G115" s="135"/>
      <c r="H115" s="17"/>
      <c r="I115" s="17"/>
      <c r="J115" s="17"/>
      <c r="K115" s="118"/>
      <c r="L115" s="132"/>
      <c r="M115" s="17"/>
      <c r="N115" s="88"/>
      <c r="O115" s="17"/>
      <c r="P115" s="17"/>
      <c r="Q115" s="17"/>
      <c r="R115" s="89"/>
    </row>
    <row r="116" spans="3:18" x14ac:dyDescent="0.25">
      <c r="C116" s="118"/>
      <c r="D116" s="128"/>
      <c r="E116" s="128"/>
      <c r="F116" s="128"/>
      <c r="G116" s="128"/>
      <c r="H116" s="128"/>
      <c r="I116" s="128"/>
      <c r="J116" s="128"/>
      <c r="K116" s="118"/>
      <c r="L116" s="132"/>
      <c r="M116" s="128"/>
      <c r="N116" s="132"/>
      <c r="O116" s="128"/>
      <c r="P116" s="128"/>
      <c r="Q116" s="128"/>
      <c r="R116" s="128"/>
    </row>
    <row r="117" spans="3:18" ht="15.6" x14ac:dyDescent="0.4">
      <c r="C117" s="87"/>
      <c r="D117" s="17"/>
      <c r="E117" s="17"/>
      <c r="F117" s="17"/>
      <c r="G117" s="135"/>
      <c r="H117" s="17"/>
      <c r="I117" s="17"/>
      <c r="J117" s="17"/>
      <c r="K117" s="118"/>
      <c r="L117" s="132"/>
      <c r="M117" s="17"/>
      <c r="N117" s="86"/>
    </row>
    <row r="118" spans="3:18" ht="15.6" x14ac:dyDescent="0.4">
      <c r="C118" s="18"/>
      <c r="D118" s="128"/>
      <c r="E118" s="128"/>
      <c r="F118" s="128"/>
      <c r="G118" s="128"/>
      <c r="H118" s="128"/>
      <c r="I118" s="128"/>
      <c r="J118" s="128"/>
      <c r="K118" s="18"/>
      <c r="L118" s="86"/>
      <c r="M118" s="128"/>
      <c r="N118" s="132"/>
    </row>
    <row r="119" spans="3:18" x14ac:dyDescent="0.25">
      <c r="C119" s="119"/>
      <c r="K119" s="119"/>
      <c r="L119" s="119"/>
      <c r="N119" s="132"/>
    </row>
    <row r="120" spans="3:18" x14ac:dyDescent="0.25">
      <c r="N120" s="132"/>
    </row>
    <row r="121" spans="3:18" x14ac:dyDescent="0.25"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N121" s="132"/>
    </row>
    <row r="122" spans="3:18" x14ac:dyDescent="0.25">
      <c r="J122" s="137"/>
    </row>
    <row r="123" spans="3:18" x14ac:dyDescent="0.25">
      <c r="J123" s="137"/>
    </row>
    <row r="124" spans="3:18" x14ac:dyDescent="0.25">
      <c r="J124" s="137"/>
    </row>
    <row r="125" spans="3:18" x14ac:dyDescent="0.25">
      <c r="J125" s="137"/>
    </row>
    <row r="126" spans="3:18" x14ac:dyDescent="0.25">
      <c r="J126" s="137"/>
    </row>
    <row r="127" spans="3:18" x14ac:dyDescent="0.25">
      <c r="J127" s="137"/>
    </row>
    <row r="128" spans="3:18" x14ac:dyDescent="0.25">
      <c r="J128" s="137"/>
    </row>
    <row r="129" spans="10:10" x14ac:dyDescent="0.25">
      <c r="J129" s="137"/>
    </row>
    <row r="130" spans="10:10" x14ac:dyDescent="0.25">
      <c r="J130" s="137"/>
    </row>
    <row r="131" spans="10:10" x14ac:dyDescent="0.25">
      <c r="J131" s="137"/>
    </row>
    <row r="132" spans="10:10" x14ac:dyDescent="0.25">
      <c r="J132" s="137"/>
    </row>
    <row r="133" spans="10:10" x14ac:dyDescent="0.25">
      <c r="J133" s="137"/>
    </row>
    <row r="134" spans="10:10" x14ac:dyDescent="0.25">
      <c r="J134" s="137"/>
    </row>
    <row r="135" spans="10:10" x14ac:dyDescent="0.25">
      <c r="J135" s="137"/>
    </row>
    <row r="136" spans="10:10" x14ac:dyDescent="0.25">
      <c r="J136" s="137"/>
    </row>
    <row r="137" spans="10:10" x14ac:dyDescent="0.25">
      <c r="J137" s="137"/>
    </row>
    <row r="138" spans="10:10" x14ac:dyDescent="0.25">
      <c r="J138" s="137"/>
    </row>
    <row r="139" spans="10:10" x14ac:dyDescent="0.25">
      <c r="J139" s="137"/>
    </row>
    <row r="140" spans="10:10" x14ac:dyDescent="0.25">
      <c r="J140" s="137"/>
    </row>
    <row r="141" spans="10:10" x14ac:dyDescent="0.25">
      <c r="J141" s="137"/>
    </row>
    <row r="142" spans="10:10" x14ac:dyDescent="0.25">
      <c r="J142" s="137"/>
    </row>
    <row r="143" spans="10:10" x14ac:dyDescent="0.25">
      <c r="J143" s="137"/>
    </row>
    <row r="144" spans="10:10" x14ac:dyDescent="0.25">
      <c r="J144" s="137"/>
    </row>
    <row r="145" spans="10:10" x14ac:dyDescent="0.25">
      <c r="J145" s="137"/>
    </row>
    <row r="146" spans="10:10" x14ac:dyDescent="0.25">
      <c r="J146" s="137"/>
    </row>
    <row r="147" spans="10:10" x14ac:dyDescent="0.25">
      <c r="J147" s="137"/>
    </row>
    <row r="148" spans="10:10" x14ac:dyDescent="0.25">
      <c r="J148" s="137"/>
    </row>
    <row r="149" spans="10:10" x14ac:dyDescent="0.25">
      <c r="J149" s="137"/>
    </row>
    <row r="150" spans="10:10" x14ac:dyDescent="0.25">
      <c r="J150" s="137"/>
    </row>
  </sheetData>
  <phoneticPr fontId="0" type="noConversion"/>
  <pageMargins left="0.75" right="0.75" top="1" bottom="1" header="0.5" footer="0.5"/>
  <pageSetup scale="76" orientation="landscape" horizontalDpi="4294967293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view="pageBreakPreview" zoomScale="80" zoomScaleSheetLayoutView="80" workbookViewId="0">
      <selection sqref="A1:K1"/>
    </sheetView>
  </sheetViews>
  <sheetFormatPr defaultRowHeight="13.8" x14ac:dyDescent="0.25"/>
  <cols>
    <col min="1" max="1" width="4.5546875" customWidth="1"/>
    <col min="2" max="2" width="41.109375" bestFit="1" customWidth="1"/>
    <col min="3" max="3" width="30.6640625" hidden="1" customWidth="1"/>
    <col min="4" max="4" width="28.33203125" customWidth="1"/>
    <col min="5" max="5" width="22.5546875" bestFit="1" customWidth="1"/>
    <col min="6" max="6" width="20.5546875" customWidth="1"/>
    <col min="7" max="8" width="22.5546875" bestFit="1" customWidth="1"/>
    <col min="9" max="9" width="24.6640625" bestFit="1" customWidth="1"/>
    <col min="10" max="10" width="37" bestFit="1" customWidth="1"/>
    <col min="11" max="11" width="21.44140625" customWidth="1"/>
    <col min="12" max="12" width="17.88671875" customWidth="1"/>
  </cols>
  <sheetData>
    <row r="1" spans="1:14" ht="15.6" x14ac:dyDescent="0.3">
      <c r="A1" s="381" t="s">
        <v>623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233"/>
      <c r="M1" s="233"/>
      <c r="N1" s="233"/>
    </row>
    <row r="2" spans="1:14" ht="15.6" x14ac:dyDescent="0.3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187"/>
      <c r="M2" s="187"/>
      <c r="N2" s="187"/>
    </row>
    <row r="3" spans="1:14" ht="15.6" x14ac:dyDescent="0.3">
      <c r="A3" s="381" t="s">
        <v>1214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233"/>
      <c r="M3" s="233"/>
      <c r="N3" s="233"/>
    </row>
    <row r="4" spans="1:14" ht="15.6" x14ac:dyDescent="0.3">
      <c r="A4" s="381" t="s">
        <v>1372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233"/>
      <c r="M4" s="233"/>
      <c r="N4" s="233"/>
    </row>
    <row r="5" spans="1:14" ht="15.6" x14ac:dyDescent="0.3">
      <c r="A5" s="240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1"/>
      <c r="M5" s="21"/>
      <c r="N5" s="21"/>
    </row>
    <row r="6" spans="1:14" ht="15.6" x14ac:dyDescent="0.3">
      <c r="A6" s="381" t="s">
        <v>1215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233"/>
      <c r="M6" s="233"/>
      <c r="N6" s="233"/>
    </row>
    <row r="8" spans="1:14" ht="14.4" thickBot="1" x14ac:dyDescent="0.3"/>
    <row r="9" spans="1:14" ht="14.4" thickBot="1" x14ac:dyDescent="0.3">
      <c r="A9" s="189"/>
      <c r="B9" s="190"/>
      <c r="C9" s="191"/>
      <c r="D9" s="189"/>
      <c r="E9" s="379" t="s">
        <v>730</v>
      </c>
      <c r="F9" s="380"/>
      <c r="G9" s="192" t="s">
        <v>1153</v>
      </c>
      <c r="H9" s="379" t="s">
        <v>960</v>
      </c>
      <c r="I9" s="380"/>
      <c r="J9" s="274" t="s">
        <v>1216</v>
      </c>
      <c r="K9" s="191"/>
      <c r="L9" s="276"/>
    </row>
    <row r="10" spans="1:14" x14ac:dyDescent="0.25">
      <c r="A10" s="194"/>
      <c r="B10" s="195"/>
      <c r="C10" s="196"/>
      <c r="D10" s="196"/>
      <c r="E10" s="191"/>
      <c r="F10" s="191"/>
      <c r="G10" s="191"/>
      <c r="H10" s="191"/>
      <c r="I10" s="191"/>
      <c r="J10" s="189"/>
      <c r="K10" s="196"/>
      <c r="L10" s="277"/>
    </row>
    <row r="11" spans="1:14" x14ac:dyDescent="0.25">
      <c r="A11" s="194"/>
      <c r="B11" s="195"/>
      <c r="C11" s="196"/>
      <c r="D11" s="196"/>
      <c r="E11" s="196"/>
      <c r="F11" s="196"/>
      <c r="G11" s="196"/>
      <c r="H11" s="196"/>
      <c r="I11" s="196"/>
      <c r="J11" s="194"/>
      <c r="K11" s="196"/>
      <c r="L11" s="277"/>
    </row>
    <row r="12" spans="1:14" ht="14.4" thickBot="1" x14ac:dyDescent="0.3">
      <c r="A12" s="198"/>
      <c r="B12" s="278" t="s">
        <v>947</v>
      </c>
      <c r="C12" s="279" t="s">
        <v>1217</v>
      </c>
      <c r="D12" s="279" t="s">
        <v>1282</v>
      </c>
      <c r="E12" s="199" t="s">
        <v>1218</v>
      </c>
      <c r="F12" s="199" t="s">
        <v>1219</v>
      </c>
      <c r="G12" s="199" t="s">
        <v>1218</v>
      </c>
      <c r="H12" s="199" t="s">
        <v>1218</v>
      </c>
      <c r="I12" s="199" t="s">
        <v>1220</v>
      </c>
      <c r="J12" s="298" t="s">
        <v>1220</v>
      </c>
      <c r="K12" s="200" t="s">
        <v>944</v>
      </c>
      <c r="L12" s="200" t="s">
        <v>1221</v>
      </c>
    </row>
    <row r="13" spans="1:14" x14ac:dyDescent="0.25">
      <c r="A13" s="201"/>
      <c r="B13" s="202"/>
      <c r="C13" s="203"/>
      <c r="D13" s="204"/>
      <c r="E13" s="205"/>
      <c r="F13" s="205"/>
      <c r="G13" s="205"/>
      <c r="H13" s="205"/>
      <c r="I13" s="205"/>
      <c r="J13" s="205"/>
      <c r="K13" s="193"/>
      <c r="L13" s="197"/>
    </row>
    <row r="14" spans="1:14" x14ac:dyDescent="0.25">
      <c r="A14" s="206" t="s">
        <v>1222</v>
      </c>
      <c r="B14" s="207" t="s">
        <v>987</v>
      </c>
      <c r="C14" s="208"/>
      <c r="D14" s="280">
        <f>'Allocation ProForma'!G176</f>
        <v>1225741672.3782828</v>
      </c>
      <c r="E14" s="281">
        <f>'Allocation ProForma'!G125+'Allocation ProForma'!G126+'Allocation ProForma'!G127</f>
        <v>638986358.35767853</v>
      </c>
      <c r="F14" s="281">
        <f>'Allocation ProForma'!G128</f>
        <v>19485352.335027497</v>
      </c>
      <c r="G14" s="281">
        <f>'Allocation ProForma'!G137</f>
        <v>116584202.03824541</v>
      </c>
      <c r="H14" s="281">
        <f>'Allocation ProForma'!G147+'Allocation ProForma'!G149+'Allocation ProForma'!G154+'Allocation ProForma'!G143</f>
        <v>163957436.51872292</v>
      </c>
      <c r="I14" s="281">
        <f>'Allocation ProForma'!G148+'Allocation ProForma'!G150+'Allocation ProForma'!G155+'Allocation ProForma'!G159+'Allocation ProForma'!G162+'Allocation ProForma'!G165</f>
        <v>284576290.79214478</v>
      </c>
      <c r="J14" s="281">
        <f>'Allocation ProForma'!G168+'Allocation ProForma'!G171</f>
        <v>2152032.3364633913</v>
      </c>
      <c r="K14" s="297">
        <f>SUM(E14:J14)</f>
        <v>1225741672.3782825</v>
      </c>
      <c r="L14" s="209" t="str">
        <f>IF(ABS(K14-D14)&lt;0.01,"ok","err")</f>
        <v>ok</v>
      </c>
    </row>
    <row r="15" spans="1:14" x14ac:dyDescent="0.25">
      <c r="A15" s="210" t="s">
        <v>1223</v>
      </c>
      <c r="B15" s="215" t="s">
        <v>1224</v>
      </c>
      <c r="C15" s="208"/>
      <c r="D15" s="282">
        <f>'Allocation ProForma'!G840+'Allocation ProForma'!G841+'Allocation ProForma'!G842</f>
        <v>0</v>
      </c>
      <c r="E15" s="237">
        <f t="shared" ref="E15:J15" si="0">(E14/$D$14)*$D$15</f>
        <v>0</v>
      </c>
      <c r="F15" s="237">
        <f t="shared" si="0"/>
        <v>0</v>
      </c>
      <c r="G15" s="237">
        <f t="shared" si="0"/>
        <v>0</v>
      </c>
      <c r="H15" s="237">
        <f t="shared" si="0"/>
        <v>0</v>
      </c>
      <c r="I15" s="237">
        <f t="shared" si="0"/>
        <v>0</v>
      </c>
      <c r="J15" s="237">
        <f t="shared" si="0"/>
        <v>0</v>
      </c>
      <c r="K15" s="297">
        <f>SUM(E15:J15)</f>
        <v>0</v>
      </c>
      <c r="L15" s="209" t="str">
        <f>IF(ABS(K15-D15)&lt;0.01,"ok","err")</f>
        <v>ok</v>
      </c>
    </row>
    <row r="16" spans="1:14" x14ac:dyDescent="0.25">
      <c r="A16" s="210" t="s">
        <v>1225</v>
      </c>
      <c r="B16" s="236" t="s">
        <v>1226</v>
      </c>
      <c r="C16" s="208"/>
      <c r="D16" s="234">
        <f>D14+D15</f>
        <v>1225741672.3782828</v>
      </c>
      <c r="E16" s="235">
        <f t="shared" ref="E16:K16" si="1">E14+E15</f>
        <v>638986358.35767853</v>
      </c>
      <c r="F16" s="235">
        <f t="shared" si="1"/>
        <v>19485352.335027497</v>
      </c>
      <c r="G16" s="235">
        <f t="shared" si="1"/>
        <v>116584202.03824541</v>
      </c>
      <c r="H16" s="235">
        <f t="shared" si="1"/>
        <v>163957436.51872292</v>
      </c>
      <c r="I16" s="235">
        <f t="shared" si="1"/>
        <v>284576290.79214478</v>
      </c>
      <c r="J16" s="235">
        <f t="shared" si="1"/>
        <v>2152032.3364633913</v>
      </c>
      <c r="K16" s="297">
        <f t="shared" si="1"/>
        <v>1225741672.3782825</v>
      </c>
      <c r="L16" s="209" t="str">
        <f>IF(ABS(K16-D16)&lt;0.01,"ok","err")</f>
        <v>ok</v>
      </c>
    </row>
    <row r="17" spans="1:12" x14ac:dyDescent="0.25">
      <c r="A17" s="210"/>
      <c r="B17" s="211"/>
      <c r="C17" s="212"/>
      <c r="D17" s="283"/>
      <c r="E17" s="238"/>
      <c r="F17" s="238"/>
      <c r="G17" s="238"/>
      <c r="H17" s="238"/>
      <c r="I17" s="238"/>
      <c r="J17" s="238"/>
      <c r="K17" s="296"/>
      <c r="L17" s="213"/>
    </row>
    <row r="18" spans="1:12" x14ac:dyDescent="0.25">
      <c r="A18" s="210" t="s">
        <v>1227</v>
      </c>
      <c r="B18" s="207" t="s">
        <v>1143</v>
      </c>
      <c r="C18" s="208"/>
      <c r="D18" s="284">
        <f>'Allocation ProForma'!G995</f>
        <v>3.9289109476525703E-2</v>
      </c>
      <c r="E18" s="285">
        <f t="shared" ref="E18:J18" si="2">D18</f>
        <v>3.9289109476525703E-2</v>
      </c>
      <c r="F18" s="285">
        <f t="shared" si="2"/>
        <v>3.9289109476525703E-2</v>
      </c>
      <c r="G18" s="285">
        <f t="shared" si="2"/>
        <v>3.9289109476525703E-2</v>
      </c>
      <c r="H18" s="285">
        <f t="shared" si="2"/>
        <v>3.9289109476525703E-2</v>
      </c>
      <c r="I18" s="285">
        <f t="shared" si="2"/>
        <v>3.9289109476525703E-2</v>
      </c>
      <c r="J18" s="285">
        <f t="shared" si="2"/>
        <v>3.9289109476525703E-2</v>
      </c>
      <c r="K18" s="296"/>
      <c r="L18" s="209"/>
    </row>
    <row r="19" spans="1:12" x14ac:dyDescent="0.25">
      <c r="A19" s="214"/>
      <c r="B19" s="207"/>
      <c r="C19" s="212"/>
      <c r="D19" s="283"/>
      <c r="E19" s="238"/>
      <c r="F19" s="238"/>
      <c r="G19" s="238"/>
      <c r="H19" s="238"/>
      <c r="I19" s="238"/>
      <c r="J19" s="238"/>
      <c r="K19" s="296"/>
      <c r="L19" s="213"/>
    </row>
    <row r="20" spans="1:12" x14ac:dyDescent="0.25">
      <c r="A20" s="210" t="s">
        <v>1228</v>
      </c>
      <c r="B20" s="207" t="s">
        <v>1229</v>
      </c>
      <c r="C20" s="208"/>
      <c r="D20" s="286">
        <f>D18*D16</f>
        <v>48158298.756010056</v>
      </c>
      <c r="E20" s="235">
        <f t="shared" ref="E20:J20" si="3">E18*E16</f>
        <v>25105204.987521317</v>
      </c>
      <c r="F20" s="235">
        <f t="shared" si="3"/>
        <v>765562.1410795711</v>
      </c>
      <c r="G20" s="235">
        <f t="shared" si="3"/>
        <v>4580489.4771140153</v>
      </c>
      <c r="H20" s="235">
        <f t="shared" si="3"/>
        <v>6441741.6728746183</v>
      </c>
      <c r="I20" s="235">
        <f t="shared" si="3"/>
        <v>11180749.04335619</v>
      </c>
      <c r="J20" s="235">
        <f t="shared" si="3"/>
        <v>84551.434064333574</v>
      </c>
      <c r="K20" s="297">
        <f>SUM(E20:J20)</f>
        <v>48158298.756010041</v>
      </c>
      <c r="L20" s="209" t="str">
        <f>IF(ABS(K20-D20)&lt;0.01,"ok","err")</f>
        <v>ok</v>
      </c>
    </row>
    <row r="21" spans="1:12" x14ac:dyDescent="0.25">
      <c r="A21" s="214"/>
      <c r="B21" s="207"/>
      <c r="C21" s="212"/>
      <c r="D21" s="283"/>
      <c r="E21" s="238"/>
      <c r="F21" s="238"/>
      <c r="G21" s="238"/>
      <c r="H21" s="238"/>
      <c r="I21" s="238"/>
      <c r="J21" s="238"/>
      <c r="K21" s="297"/>
      <c r="L21" s="213"/>
    </row>
    <row r="22" spans="1:12" x14ac:dyDescent="0.25">
      <c r="A22" s="210" t="s">
        <v>1230</v>
      </c>
      <c r="B22" s="207" t="s">
        <v>817</v>
      </c>
      <c r="C22" s="208"/>
      <c r="D22" s="286">
        <f>'Allocation ProForma'!G742</f>
        <v>30026799.727204185</v>
      </c>
      <c r="E22" s="235">
        <f t="shared" ref="E22:J22" si="4">(E14/$D$14)*$D$22</f>
        <v>15653147.676372889</v>
      </c>
      <c r="F22" s="235">
        <f t="shared" si="4"/>
        <v>477329.5918402255</v>
      </c>
      <c r="G22" s="235">
        <f t="shared" si="4"/>
        <v>2855944.7433699965</v>
      </c>
      <c r="H22" s="235">
        <f t="shared" si="4"/>
        <v>4016439.3697909107</v>
      </c>
      <c r="I22" s="235">
        <f t="shared" si="4"/>
        <v>6971220.3503261972</v>
      </c>
      <c r="J22" s="235">
        <f t="shared" si="4"/>
        <v>52717.995503959042</v>
      </c>
      <c r="K22" s="297">
        <f>SUM(E22:J22)</f>
        <v>30026799.727204178</v>
      </c>
      <c r="L22" s="209" t="str">
        <f>IF(ABS(K22-D22)&lt;0.01,"ok","err")</f>
        <v>ok</v>
      </c>
    </row>
    <row r="23" spans="1:12" x14ac:dyDescent="0.25">
      <c r="A23" s="214"/>
      <c r="B23" s="207"/>
      <c r="C23" s="212"/>
      <c r="D23" s="283"/>
      <c r="E23" s="238"/>
      <c r="F23" s="238"/>
      <c r="G23" s="238"/>
      <c r="H23" s="238"/>
      <c r="I23" s="238"/>
      <c r="J23" s="238"/>
      <c r="K23" s="297"/>
      <c r="L23" s="213"/>
    </row>
    <row r="24" spans="1:12" x14ac:dyDescent="0.25">
      <c r="A24" s="210" t="s">
        <v>1231</v>
      </c>
      <c r="B24" s="207" t="s">
        <v>1232</v>
      </c>
      <c r="C24" s="208"/>
      <c r="D24" s="286">
        <f>D20-D22</f>
        <v>18131499.028805871</v>
      </c>
      <c r="E24" s="235">
        <f t="shared" ref="E24:J24" si="5">E20-E22</f>
        <v>9452057.3111484274</v>
      </c>
      <c r="F24" s="235">
        <f t="shared" si="5"/>
        <v>288232.54923934559</v>
      </c>
      <c r="G24" s="235">
        <f t="shared" si="5"/>
        <v>1724544.7337440187</v>
      </c>
      <c r="H24" s="235">
        <f t="shared" si="5"/>
        <v>2425302.3030837076</v>
      </c>
      <c r="I24" s="235">
        <f t="shared" si="5"/>
        <v>4209528.6930299923</v>
      </c>
      <c r="J24" s="235">
        <f t="shared" si="5"/>
        <v>31833.438560374532</v>
      </c>
      <c r="K24" s="297">
        <f>SUM(E24:J24)</f>
        <v>18131499.028805863</v>
      </c>
      <c r="L24" s="209" t="str">
        <f>IF(ABS(K24-D24)&lt;0.01,"ok","err")</f>
        <v>ok</v>
      </c>
    </row>
    <row r="25" spans="1:12" x14ac:dyDescent="0.25">
      <c r="A25" s="214"/>
      <c r="B25" s="207"/>
      <c r="C25" s="212"/>
      <c r="D25" s="283"/>
      <c r="E25" s="238"/>
      <c r="F25" s="238"/>
      <c r="G25" s="238"/>
      <c r="H25" s="238"/>
      <c r="I25" s="238"/>
      <c r="J25" s="238"/>
      <c r="K25" s="297"/>
      <c r="L25" s="213"/>
    </row>
    <row r="26" spans="1:12" x14ac:dyDescent="0.25">
      <c r="A26" s="210" t="s">
        <v>1233</v>
      </c>
      <c r="B26" s="207" t="s">
        <v>1234</v>
      </c>
      <c r="C26" s="212"/>
      <c r="D26" s="286">
        <f>'Allocation ProForma'!G792+'Allocation ProForma'!G986</f>
        <v>13329982.500652956</v>
      </c>
      <c r="E26" s="235">
        <f t="shared" ref="E26:J26" si="6">$D$26*(E24/$K$24)</f>
        <v>6948998.444784156</v>
      </c>
      <c r="F26" s="235">
        <f t="shared" si="6"/>
        <v>211903.87134428293</v>
      </c>
      <c r="G26" s="235">
        <f t="shared" si="6"/>
        <v>1267857.1741850611</v>
      </c>
      <c r="H26" s="235">
        <f t="shared" si="6"/>
        <v>1783042.7151961925</v>
      </c>
      <c r="I26" s="235">
        <f t="shared" si="6"/>
        <v>3094776.8700722754</v>
      </c>
      <c r="J26" s="235">
        <f t="shared" si="6"/>
        <v>23403.425070990968</v>
      </c>
      <c r="K26" s="297">
        <f>SUM(E26:J26)</f>
        <v>13329982.50065296</v>
      </c>
      <c r="L26" s="209" t="str">
        <f>IF(ABS(K26-D26)&lt;0.01,"ok","err")</f>
        <v>ok</v>
      </c>
    </row>
    <row r="27" spans="1:12" x14ac:dyDescent="0.25">
      <c r="A27" s="214"/>
      <c r="B27" s="207"/>
      <c r="C27" s="212"/>
      <c r="D27" s="283"/>
      <c r="E27" s="238"/>
      <c r="F27" s="238"/>
      <c r="G27" s="238"/>
      <c r="H27" s="238"/>
      <c r="I27" s="238"/>
      <c r="J27" s="238"/>
      <c r="K27" s="297"/>
      <c r="L27" s="213"/>
    </row>
    <row r="28" spans="1:12" x14ac:dyDescent="0.25">
      <c r="A28" s="210" t="s">
        <v>1235</v>
      </c>
      <c r="B28" s="207" t="s">
        <v>997</v>
      </c>
      <c r="C28" s="208"/>
      <c r="D28" s="286">
        <f>'Allocation ProForma'!G712</f>
        <v>299652164.7436952</v>
      </c>
      <c r="E28" s="235">
        <f>'Allocation ProForma'!G182+'Allocation ProForma'!G183+'Allocation ProForma'!G184</f>
        <v>55537893.501220353</v>
      </c>
      <c r="F28" s="235">
        <f>'Allocation ProForma'!G185</f>
        <v>169971473.14394507</v>
      </c>
      <c r="G28" s="235">
        <f>'Allocation ProForma'!G194</f>
        <v>10450183.513641555</v>
      </c>
      <c r="H28" s="235">
        <f>'Allocation ProForma'!G200+'Allocation ProForma'!G204+'Allocation ProForma'!G206+'Allocation ProForma'!G211</f>
        <v>14556342.018353745</v>
      </c>
      <c r="I28" s="235">
        <f>'Allocation ProForma'!G205+'Allocation ProForma'!G207+'Allocation ProForma'!G212+'Allocation ProForma'!G216+'Allocation ProForma'!G219</f>
        <v>32567103.073183261</v>
      </c>
      <c r="J28" s="235">
        <f>'Allocation ProForma'!G225+'Allocation ProForma'!G228</f>
        <v>16569169.493351236</v>
      </c>
      <c r="K28" s="297">
        <f t="shared" ref="K28:K33" si="7">SUM(E28:J28)</f>
        <v>299652164.7436952</v>
      </c>
      <c r="L28" s="209" t="str">
        <f>IF(ABS(K28-D28)&lt;0.01,"ok","err")</f>
        <v>ok</v>
      </c>
    </row>
    <row r="29" spans="1:12" x14ac:dyDescent="0.25">
      <c r="A29" s="210" t="s">
        <v>1236</v>
      </c>
      <c r="B29" s="207" t="s">
        <v>1094</v>
      </c>
      <c r="C29" s="208"/>
      <c r="D29" s="282">
        <f>'Allocation ProForma'!G713</f>
        <v>64668068.80177781</v>
      </c>
      <c r="E29" s="235">
        <f>'Allocation ProForma'!G302</f>
        <v>34629460.700222082</v>
      </c>
      <c r="F29" s="235">
        <v>0</v>
      </c>
      <c r="G29" s="235">
        <f>'Allocation ProForma'!G308</f>
        <v>4823666.9709434314</v>
      </c>
      <c r="H29" s="235">
        <f>'Allocation ProForma'!G314+'Allocation ProForma'!G318+'Allocation ProForma'!G320+'Allocation ProForma'!G325</f>
        <v>9231150.1924370863</v>
      </c>
      <c r="I29" s="235">
        <f>'Allocation ProForma'!G319+'Allocation ProForma'!G321+'Allocation ProForma'!G326+'Allocation ProForma'!G330+'Allocation ProForma'!G333</f>
        <v>15983790.938175213</v>
      </c>
      <c r="J29" s="235">
        <v>0</v>
      </c>
      <c r="K29" s="297">
        <f t="shared" si="7"/>
        <v>64668068.80177781</v>
      </c>
      <c r="L29" s="209" t="str">
        <f>IF(ABS(K29-D29)&lt;0.01,"ok","err")</f>
        <v>ok</v>
      </c>
    </row>
    <row r="30" spans="1:12" x14ac:dyDescent="0.25">
      <c r="A30" s="210" t="s">
        <v>1237</v>
      </c>
      <c r="B30" s="207" t="s">
        <v>1238</v>
      </c>
      <c r="C30" s="208"/>
      <c r="D30" s="282">
        <f>'Allocation ProForma'!G714+'Allocation ProForma'!G715+'Allocation ProForma'!G718+'Allocation ProForma'!G719+'Allocation ProForma'!G720</f>
        <v>15746902.552664513</v>
      </c>
      <c r="E30" s="235">
        <f>'Allocation ProForma'!G417+'Allocation ProForma'!G474+'Allocation ProForma'!G359+'Allocation ProForma'!G531+'Allocation ProForma'!G589</f>
        <v>8370877.9135959307</v>
      </c>
      <c r="F30" s="235">
        <f>'Allocation ProForma'!G356+'Allocation ProForma'!G357+'Allocation ProForma'!G358+'Allocation ProForma'!G414+'Allocation ProForma'!G415+'Allocation ProForma'!G416+'Allocation ProForma'!G471+'Allocation ProForma'!G472+'Allocation ProForma'!G473+'Allocation ProForma'!G528+'Allocation ProForma'!G529+'Allocation ProForma'!G530+'Allocation ProForma'!G586+'Allocation ProForma'!G587+'Allocation ProForma'!G588</f>
        <v>0</v>
      </c>
      <c r="G30" s="235">
        <f>'Allocation ProForma'!G365+'Allocation ProForma'!G423+'Allocation ProForma'!G480+'Allocation ProForma'!G537+'Allocation ProForma'!G595</f>
        <v>1484142.2569831738</v>
      </c>
      <c r="H30" s="235">
        <f>'Allocation ProForma'!G371+'Allocation ProForma'!G375+'Allocation ProForma'!G377+'Allocation ProForma'!G382+'Allocation ProForma'!G429+'Allocation ProForma'!G433+'Allocation ProForma'!G435+'Allocation ProForma'!G440+'Allocation ProForma'!G486+'Allocation ProForma'!G490+'Allocation ProForma'!G492+'Allocation ProForma'!G497+'Allocation ProForma'!G543+'Allocation ProForma'!G547+'Allocation ProForma'!G549+'Allocation ProForma'!G554+'Allocation ProForma'!G601+'Allocation ProForma'!G605+'Allocation ProForma'!G607+'Allocation ProForma'!G612</f>
        <v>2157008.8505649301</v>
      </c>
      <c r="I30" s="235">
        <f>'Allocation ProForma'!G376+'Allocation ProForma'!G378+'Allocation ProForma'!G383+'Allocation ProForma'!G387+'Allocation ProForma'!G391+'Allocation ProForma'!G434+'Allocation ProForma'!G436+'Allocation ProForma'!G441+'Allocation ProForma'!G445+'Allocation ProForma'!G448+'Allocation ProForma'!G491+'Allocation ProForma'!G493+'Allocation ProForma'!G498+'Allocation ProForma'!G502+'Allocation ProForma'!G505+'Allocation ProForma'!G548+'Allocation ProForma'!G550+'Allocation ProForma'!G555+'Allocation ProForma'!G559+'Allocation ProForma'!G562+'Allocation ProForma'!G606+'Allocation ProForma'!G608+'Allocation ProForma'!G613+'Allocation ProForma'!G617+'Allocation ProForma'!G620</f>
        <v>3734873.5315204789</v>
      </c>
      <c r="J30" s="235">
        <v>0</v>
      </c>
      <c r="K30" s="297">
        <f t="shared" si="7"/>
        <v>15746902.552664513</v>
      </c>
      <c r="L30" s="209" t="str">
        <f>IF(ABS(K30-D30)&lt;0.01,"ok","err")</f>
        <v>ok</v>
      </c>
    </row>
    <row r="31" spans="1:12" x14ac:dyDescent="0.25">
      <c r="A31" s="210" t="s">
        <v>1239</v>
      </c>
      <c r="B31" s="207" t="s">
        <v>1270</v>
      </c>
      <c r="C31" s="208"/>
      <c r="D31" s="282">
        <f>'Allocation ProForma'!G716+'Allocation ProForma'!G717</f>
        <v>0</v>
      </c>
      <c r="E31" s="235">
        <f t="shared" ref="E31:J31" si="8">$D$31*(E14/$K$14)</f>
        <v>0</v>
      </c>
      <c r="F31" s="235">
        <f t="shared" si="8"/>
        <v>0</v>
      </c>
      <c r="G31" s="235">
        <f t="shared" si="8"/>
        <v>0</v>
      </c>
      <c r="H31" s="235">
        <f t="shared" si="8"/>
        <v>0</v>
      </c>
      <c r="I31" s="235">
        <f t="shared" si="8"/>
        <v>0</v>
      </c>
      <c r="J31" s="235">
        <f t="shared" si="8"/>
        <v>0</v>
      </c>
      <c r="K31" s="297">
        <f t="shared" si="7"/>
        <v>0</v>
      </c>
      <c r="L31" s="209" t="str">
        <f>IF(ABS(K31-D31)&lt;0.01,"ok","err")</f>
        <v>ok</v>
      </c>
    </row>
    <row r="32" spans="1:12" x14ac:dyDescent="0.25">
      <c r="A32" s="210" t="s">
        <v>1241</v>
      </c>
      <c r="B32" s="215" t="s">
        <v>1240</v>
      </c>
      <c r="C32" s="208"/>
      <c r="D32" s="282">
        <f>'Allocation ProForma'!G723</f>
        <v>1716605.785352347</v>
      </c>
      <c r="E32" s="235">
        <f>D32</f>
        <v>1716605.785352347</v>
      </c>
      <c r="F32" s="235">
        <v>0</v>
      </c>
      <c r="G32" s="235">
        <v>0</v>
      </c>
      <c r="H32" s="235">
        <v>0</v>
      </c>
      <c r="I32" s="235">
        <v>0</v>
      </c>
      <c r="J32" s="235">
        <v>0</v>
      </c>
      <c r="K32" s="297">
        <f t="shared" si="7"/>
        <v>1716605.785352347</v>
      </c>
      <c r="L32" s="209" t="str">
        <f>IF(ABS(K32-D32)&lt;0.01,"ok","err")</f>
        <v>ok</v>
      </c>
    </row>
    <row r="33" spans="1:12" x14ac:dyDescent="0.25">
      <c r="A33" s="210" t="s">
        <v>1243</v>
      </c>
      <c r="B33" s="215" t="s">
        <v>1242</v>
      </c>
      <c r="C33" s="208"/>
      <c r="D33" s="282">
        <f>'Allocation ProForma'!G810</f>
        <v>39500.317750543574</v>
      </c>
      <c r="E33" s="235">
        <f>D33</f>
        <v>39500.317750543574</v>
      </c>
      <c r="F33" s="235">
        <v>0</v>
      </c>
      <c r="G33" s="235">
        <v>0</v>
      </c>
      <c r="H33" s="235">
        <v>0</v>
      </c>
      <c r="I33" s="235">
        <v>0</v>
      </c>
      <c r="J33" s="235">
        <v>0</v>
      </c>
      <c r="K33" s="297">
        <f t="shared" si="7"/>
        <v>39500.317750543574</v>
      </c>
      <c r="L33" s="209" t="str">
        <f t="shared" ref="L33:L39" si="9">IF(ABS(K33-D33)&lt;0.01,"ok","err")</f>
        <v>ok</v>
      </c>
    </row>
    <row r="34" spans="1:12" x14ac:dyDescent="0.25">
      <c r="A34" s="210" t="s">
        <v>1245</v>
      </c>
      <c r="B34" s="215" t="s">
        <v>1244</v>
      </c>
      <c r="C34" s="208"/>
      <c r="D34" s="282">
        <f>'Allocation ProForma'!G797+'Allocation ProForma'!G800+'Allocation ProForma'!G801</f>
        <v>0</v>
      </c>
      <c r="E34" s="235">
        <v>0</v>
      </c>
      <c r="F34" s="235">
        <f>D34</f>
        <v>0</v>
      </c>
      <c r="G34" s="235">
        <v>0</v>
      </c>
      <c r="H34" s="235">
        <v>0</v>
      </c>
      <c r="I34" s="235">
        <v>0</v>
      </c>
      <c r="J34" s="235">
        <v>0</v>
      </c>
      <c r="K34" s="297">
        <f t="shared" ref="K34:K39" si="10">SUM(E34:J34)</f>
        <v>0</v>
      </c>
      <c r="L34" s="209" t="str">
        <f t="shared" si="9"/>
        <v>ok</v>
      </c>
    </row>
    <row r="35" spans="1:12" x14ac:dyDescent="0.25">
      <c r="A35" s="210" t="s">
        <v>1247</v>
      </c>
      <c r="B35" s="207" t="s">
        <v>1246</v>
      </c>
      <c r="C35" s="208"/>
      <c r="D35" s="282">
        <f>'Allocation ProForma'!G808+'Allocation ProForma'!G811</f>
        <v>0</v>
      </c>
      <c r="E35" s="235">
        <v>0</v>
      </c>
      <c r="F35" s="235">
        <v>0</v>
      </c>
      <c r="G35" s="235">
        <f>D35</f>
        <v>0</v>
      </c>
      <c r="H35" s="235">
        <v>0</v>
      </c>
      <c r="I35" s="235">
        <v>0</v>
      </c>
      <c r="J35" s="235">
        <v>0</v>
      </c>
      <c r="K35" s="297">
        <f t="shared" si="10"/>
        <v>0</v>
      </c>
      <c r="L35" s="209" t="str">
        <f t="shared" si="9"/>
        <v>ok</v>
      </c>
    </row>
    <row r="36" spans="1:12" x14ac:dyDescent="0.25">
      <c r="A36" s="210" t="s">
        <v>1249</v>
      </c>
      <c r="B36" s="207" t="s">
        <v>1248</v>
      </c>
      <c r="C36" s="208"/>
      <c r="D36" s="282">
        <f>'Allocation ProForma'!G802</f>
        <v>0</v>
      </c>
      <c r="E36" s="235">
        <v>0</v>
      </c>
      <c r="F36" s="235">
        <v>0</v>
      </c>
      <c r="G36" s="235">
        <v>0</v>
      </c>
      <c r="H36" s="235">
        <f>(H14/($I$14+$H$14)*$D$36)</f>
        <v>0</v>
      </c>
      <c r="I36" s="235">
        <f>(I14/($I$14+$H$14)*$D$36)</f>
        <v>0</v>
      </c>
      <c r="J36" s="235">
        <v>0</v>
      </c>
      <c r="K36" s="297">
        <f t="shared" si="10"/>
        <v>0</v>
      </c>
      <c r="L36" s="209" t="str">
        <f t="shared" si="9"/>
        <v>ok</v>
      </c>
    </row>
    <row r="37" spans="1:12" x14ac:dyDescent="0.25">
      <c r="A37" s="216" t="s">
        <v>1251</v>
      </c>
      <c r="B37" s="207" t="s">
        <v>1250</v>
      </c>
      <c r="C37" s="208"/>
      <c r="D37" s="282">
        <f>'Allocation ProForma'!G803+'Allocation ProForma'!G804+'Allocation ProForma'!G805+'Allocation ProForma'!G806+'Allocation ProForma'!G807+'Allocation ProForma'!G809+'Allocation ProForma'!G814+'Allocation ProForma'!G815+'Allocation ProForma'!G818+'Allocation ProForma'!G819+'Allocation ProForma'!G820+'Allocation ProForma'!G821+'Allocation ProForma'!G822+'Allocation ProForma'!G823+'Allocation ProForma'!G824+'Allocation ProForma'!G826+'Allocation ProForma'!G827+'Allocation ProForma'!G983+'Allocation ProForma'!G984</f>
        <v>798300.83444422018</v>
      </c>
      <c r="E37" s="235">
        <f t="shared" ref="E37:J37" si="11">(E14/($D$14)*$D$37)</f>
        <v>416158.93019747356</v>
      </c>
      <c r="F37" s="235">
        <f t="shared" si="11"/>
        <v>12690.417058523177</v>
      </c>
      <c r="G37" s="235">
        <f t="shared" si="11"/>
        <v>75928.939896091135</v>
      </c>
      <c r="H37" s="235">
        <f t="shared" si="11"/>
        <v>106782.17224374332</v>
      </c>
      <c r="I37" s="235">
        <f t="shared" si="11"/>
        <v>185338.79978284671</v>
      </c>
      <c r="J37" s="235">
        <f t="shared" si="11"/>
        <v>1401.5752655421495</v>
      </c>
      <c r="K37" s="297">
        <f t="shared" si="10"/>
        <v>798300.83444422006</v>
      </c>
      <c r="L37" s="209" t="str">
        <f t="shared" si="9"/>
        <v>ok</v>
      </c>
    </row>
    <row r="38" spans="1:12" x14ac:dyDescent="0.25">
      <c r="A38" s="210"/>
      <c r="B38" s="207"/>
      <c r="D38" s="286"/>
      <c r="E38" s="235"/>
      <c r="F38" s="235"/>
      <c r="G38" s="235"/>
      <c r="H38" s="235"/>
      <c r="I38" s="235"/>
      <c r="J38" s="235"/>
      <c r="K38" s="297"/>
      <c r="L38" s="209"/>
    </row>
    <row r="39" spans="1:12" x14ac:dyDescent="0.25">
      <c r="A39" s="210" t="s">
        <v>1253</v>
      </c>
      <c r="B39" s="207" t="s">
        <v>1252</v>
      </c>
      <c r="C39" s="208"/>
      <c r="D39" s="286">
        <f>'Allocation ProForma'!G828+'Allocation ProForma'!G983+'Allocation ProForma'!G984</f>
        <v>837801.15219476377</v>
      </c>
      <c r="E39" s="235">
        <f>SUM(E33:E37)</f>
        <v>455659.24794801715</v>
      </c>
      <c r="F39" s="235">
        <f>SUM(F34:F37)</f>
        <v>12690.417058523177</v>
      </c>
      <c r="G39" s="235">
        <f>SUM(G33:G37)</f>
        <v>75928.939896091135</v>
      </c>
      <c r="H39" s="235">
        <f>SUM(H33:H37)</f>
        <v>106782.17224374332</v>
      </c>
      <c r="I39" s="235">
        <f>SUM(I33:I37)</f>
        <v>185338.79978284671</v>
      </c>
      <c r="J39" s="235">
        <f>SUM(J33:J37)</f>
        <v>1401.5752655421495</v>
      </c>
      <c r="K39" s="297">
        <f t="shared" si="10"/>
        <v>837801.15219476365</v>
      </c>
      <c r="L39" s="209" t="str">
        <f t="shared" si="9"/>
        <v>ok</v>
      </c>
    </row>
    <row r="40" spans="1:12" x14ac:dyDescent="0.25">
      <c r="A40" s="214"/>
      <c r="B40" s="207"/>
      <c r="C40" s="212"/>
      <c r="D40" s="234"/>
      <c r="E40" s="238"/>
      <c r="F40" s="238"/>
      <c r="G40" s="238"/>
      <c r="H40" s="238"/>
      <c r="I40" s="238"/>
      <c r="J40" s="238"/>
      <c r="K40" s="277"/>
      <c r="L40" s="213"/>
    </row>
    <row r="41" spans="1:12" x14ac:dyDescent="0.25">
      <c r="A41" s="210" t="s">
        <v>1255</v>
      </c>
      <c r="B41" s="207" t="s">
        <v>1254</v>
      </c>
      <c r="C41" s="217">
        <f>'Allocation ProForma'!G975</f>
        <v>444109824.29234767</v>
      </c>
      <c r="D41" s="286">
        <f t="shared" ref="D41:I41" si="12">SUM(D28:D32)+D22+D26+D39+D24</f>
        <v>444109824.29234761</v>
      </c>
      <c r="E41" s="235">
        <f t="shared" si="12"/>
        <v>132764700.58064419</v>
      </c>
      <c r="F41" s="235">
        <f t="shared" si="12"/>
        <v>170961629.57342744</v>
      </c>
      <c r="G41" s="235">
        <f t="shared" si="12"/>
        <v>22682268.332763329</v>
      </c>
      <c r="H41" s="235">
        <f t="shared" si="12"/>
        <v>34276067.621670321</v>
      </c>
      <c r="I41" s="235">
        <f t="shared" si="12"/>
        <v>66746632.256090261</v>
      </c>
      <c r="J41" s="235">
        <f>SUM(J28:J32)+J22+J26+J39+J24</f>
        <v>16678525.927752102</v>
      </c>
      <c r="K41" s="297">
        <f>SUM(E41:J41)</f>
        <v>444109824.29234761</v>
      </c>
      <c r="L41" s="209" t="str">
        <f>IF(ABS(K41-D41)&lt;0.01,"ok","err")</f>
        <v>ok</v>
      </c>
    </row>
    <row r="42" spans="1:12" x14ac:dyDescent="0.25">
      <c r="A42" s="214"/>
      <c r="B42" s="207"/>
      <c r="C42" s="212"/>
      <c r="D42" s="287"/>
      <c r="E42" s="238"/>
      <c r="F42" s="238"/>
      <c r="G42" s="238"/>
      <c r="H42" s="238"/>
      <c r="I42" s="238"/>
      <c r="J42" s="238"/>
      <c r="K42" s="277"/>
      <c r="L42" s="213"/>
    </row>
    <row r="43" spans="1:12" x14ac:dyDescent="0.25">
      <c r="A43" s="210" t="s">
        <v>1256</v>
      </c>
      <c r="B43" s="207" t="s">
        <v>1257</v>
      </c>
      <c r="C43" s="208"/>
      <c r="D43" s="286">
        <f>-('Allocation ProForma'!G700+'Allocation ProForma'!G701+'Allocation ProForma'!G702)</f>
        <v>0</v>
      </c>
      <c r="E43" s="235">
        <v>0</v>
      </c>
      <c r="F43" s="235">
        <f>D43</f>
        <v>0</v>
      </c>
      <c r="G43" s="235">
        <v>0</v>
      </c>
      <c r="H43" s="235">
        <v>0</v>
      </c>
      <c r="I43" s="235">
        <v>0</v>
      </c>
      <c r="J43" s="235">
        <v>0</v>
      </c>
      <c r="K43" s="297">
        <f>SUM(E43:J43)</f>
        <v>0</v>
      </c>
      <c r="L43" s="209" t="str">
        <f>IF(ABS(K43-D43)&lt;0.01,"ok","err")</f>
        <v>ok</v>
      </c>
    </row>
    <row r="44" spans="1:12" x14ac:dyDescent="0.25">
      <c r="A44" s="210" t="s">
        <v>1258</v>
      </c>
      <c r="B44" s="207" t="s">
        <v>1259</v>
      </c>
      <c r="C44" s="208"/>
      <c r="D44" s="282">
        <f>-('Allocation ProForma'!G698+'Allocation ProForma'!G699+'Allocation ProForma'!G703+'Allocation ProForma'!G704+'Allocation ProForma'!G705+'Allocation ProForma'!G706)</f>
        <v>-49839343.715016432</v>
      </c>
      <c r="E44" s="235">
        <f>-('Allocation ProForma'!G698+'Allocation ProForma'!G699)-(E14/($D$14)*('Allocation ProForma'!G703+'Allocation ProForma'!G704+'Allocation ProForma'!G705+'Allocation ProForma'!G706))</f>
        <v>-45223109.245722055</v>
      </c>
      <c r="F44" s="235">
        <f>(F14/($D$14)*-('Allocation ProForma'!G703+'Allocation ProForma'!G704+'Allocation ProForma'!G705+'Allocation ProForma'!G706))</f>
        <v>-153298.91855421878</v>
      </c>
      <c r="G44" s="235">
        <f>(G14/($D$14)*-('Allocation ProForma'!G703+'Allocation ProForma'!G704+'Allocation ProForma'!G705+'Allocation ProForma'!G706))</f>
        <v>-917213.69907393819</v>
      </c>
      <c r="H44" s="235">
        <f>(H14/($D$14)*-('Allocation ProForma'!G703+'Allocation ProForma'!G704+'Allocation ProForma'!G705+'Allocation ProForma'!G706))</f>
        <v>-1289917.5378040057</v>
      </c>
      <c r="I44" s="235">
        <f>(I14/($D$14)*-('Allocation ProForma'!G703+'Allocation ProForma'!G704+'Allocation ProForma'!G705+'Allocation ProForma'!G706))</f>
        <v>-2238873.4303861954</v>
      </c>
      <c r="J44" s="235">
        <f>(J14/($D$14)*-('Allocation ProForma'!G703+'Allocation ProForma'!G704+'Allocation ProForma'!G705+'Allocation ProForma'!G706))</f>
        <v>-16930.883476020092</v>
      </c>
      <c r="K44" s="297">
        <f>SUM(E44:J44)</f>
        <v>-49839343.715016432</v>
      </c>
      <c r="L44" s="209" t="str">
        <f>IF(ABS(K44-D44)&lt;0.01,"ok","err")</f>
        <v>ok</v>
      </c>
    </row>
    <row r="45" spans="1:12" x14ac:dyDescent="0.25">
      <c r="A45" s="210" t="s">
        <v>1260</v>
      </c>
      <c r="B45" s="207" t="s">
        <v>1261</v>
      </c>
      <c r="C45" s="208"/>
      <c r="D45" s="282">
        <f t="shared" ref="D45:J45" si="13">SUM(D43:D44)</f>
        <v>-49839343.715016432</v>
      </c>
      <c r="E45" s="235">
        <f t="shared" si="13"/>
        <v>-45223109.245722055</v>
      </c>
      <c r="F45" s="235">
        <f t="shared" si="13"/>
        <v>-153298.91855421878</v>
      </c>
      <c r="G45" s="235">
        <f t="shared" si="13"/>
        <v>-917213.69907393819</v>
      </c>
      <c r="H45" s="235">
        <f t="shared" si="13"/>
        <v>-1289917.5378040057</v>
      </c>
      <c r="I45" s="235">
        <f t="shared" si="13"/>
        <v>-2238873.4303861954</v>
      </c>
      <c r="J45" s="235">
        <f t="shared" si="13"/>
        <v>-16930.883476020092</v>
      </c>
      <c r="K45" s="297">
        <f>SUM(E45:J45)</f>
        <v>-49839343.715016432</v>
      </c>
      <c r="L45" s="209" t="str">
        <f>IF(ABS(K45-D45)&lt;0.01,"ok","err")</f>
        <v>ok</v>
      </c>
    </row>
    <row r="46" spans="1:12" x14ac:dyDescent="0.25">
      <c r="A46" s="214"/>
      <c r="B46" s="207"/>
      <c r="D46" s="288"/>
      <c r="E46" s="238"/>
      <c r="F46" s="238"/>
      <c r="G46" s="238"/>
      <c r="H46" s="238"/>
      <c r="I46" s="238"/>
      <c r="J46" s="238"/>
      <c r="K46" s="277"/>
      <c r="L46" s="213"/>
    </row>
    <row r="47" spans="1:12" x14ac:dyDescent="0.25">
      <c r="A47" s="210" t="s">
        <v>1262</v>
      </c>
      <c r="B47" s="207" t="s">
        <v>1263</v>
      </c>
      <c r="C47" s="218">
        <f>'Allocation ProForma'!G975-SUM('Allocation ProForma'!G698:G706)</f>
        <v>394270480.57733124</v>
      </c>
      <c r="D47" s="286">
        <f t="shared" ref="D47:I47" si="14">D41+D45</f>
        <v>394270480.57733119</v>
      </c>
      <c r="E47" s="235">
        <f t="shared" si="14"/>
        <v>87541591.334922135</v>
      </c>
      <c r="F47" s="235">
        <f t="shared" si="14"/>
        <v>170808330.65487322</v>
      </c>
      <c r="G47" s="235">
        <f t="shared" si="14"/>
        <v>21765054.633689392</v>
      </c>
      <c r="H47" s="235">
        <f t="shared" si="14"/>
        <v>32986150.083866313</v>
      </c>
      <c r="I47" s="235">
        <f t="shared" si="14"/>
        <v>64507758.825704068</v>
      </c>
      <c r="J47" s="235">
        <f>J41+J45</f>
        <v>16661595.044276081</v>
      </c>
      <c r="K47" s="297">
        <f>SUM(E47:J47)</f>
        <v>394270480.57733113</v>
      </c>
      <c r="L47" s="209" t="str">
        <f>IF(ABS(K47-D47)&lt;0.01,"ok","err")</f>
        <v>ok</v>
      </c>
    </row>
    <row r="48" spans="1:12" x14ac:dyDescent="0.25">
      <c r="A48" s="214"/>
      <c r="B48" s="207"/>
      <c r="C48" s="212"/>
      <c r="D48" s="289"/>
      <c r="E48" s="238"/>
      <c r="F48" s="238"/>
      <c r="G48" s="238"/>
      <c r="H48" s="238"/>
      <c r="I48" s="238"/>
      <c r="J48" s="238"/>
      <c r="K48" s="277"/>
      <c r="L48" s="213"/>
    </row>
    <row r="49" spans="1:12" x14ac:dyDescent="0.25">
      <c r="A49" s="210" t="s">
        <v>1264</v>
      </c>
      <c r="B49" s="207" t="s">
        <v>1265</v>
      </c>
      <c r="C49" s="208"/>
      <c r="D49" s="290"/>
      <c r="E49" s="291">
        <f>'Allocation ProForma'!G1013</f>
        <v>4267045465</v>
      </c>
      <c r="F49" s="291">
        <f>'Allocation ProForma'!G1013</f>
        <v>4267045465</v>
      </c>
      <c r="G49" s="291">
        <f>'Allocation ProForma'!G1013</f>
        <v>4267045465</v>
      </c>
      <c r="H49" s="291">
        <f>'Allocation ProForma'!G1013</f>
        <v>4267045465</v>
      </c>
      <c r="I49" s="291">
        <f>'Allocation ProForma'!$G$1029*12</f>
        <v>4338229</v>
      </c>
      <c r="J49" s="291">
        <f>'Allocation ProForma'!$G$1029*12</f>
        <v>4338229</v>
      </c>
      <c r="K49" s="277"/>
      <c r="L49" s="213"/>
    </row>
    <row r="50" spans="1:12" ht="14.4" thickBot="1" x14ac:dyDescent="0.3">
      <c r="A50" s="214"/>
      <c r="B50" s="207"/>
      <c r="C50" s="212"/>
      <c r="D50" s="288"/>
      <c r="E50" s="238"/>
      <c r="F50" s="238"/>
      <c r="G50" s="238"/>
      <c r="H50" s="238"/>
      <c r="I50" s="238"/>
      <c r="J50" s="238"/>
      <c r="K50" s="277"/>
      <c r="L50" s="213"/>
    </row>
    <row r="51" spans="1:12" ht="14.4" thickBot="1" x14ac:dyDescent="0.3">
      <c r="A51" s="219" t="s">
        <v>1266</v>
      </c>
      <c r="B51" s="220" t="s">
        <v>1267</v>
      </c>
      <c r="C51" s="221"/>
      <c r="D51" s="292"/>
      <c r="E51" s="293">
        <f t="shared" ref="E51:J51" si="15">E47/E49</f>
        <v>2.0515739064177543E-2</v>
      </c>
      <c r="F51" s="293">
        <f t="shared" si="15"/>
        <v>4.0029648630630008E-2</v>
      </c>
      <c r="G51" s="293">
        <f t="shared" si="15"/>
        <v>5.1007318324154281E-3</v>
      </c>
      <c r="H51" s="293">
        <f t="shared" si="15"/>
        <v>7.730442610567852E-3</v>
      </c>
      <c r="I51" s="294">
        <f t="shared" si="15"/>
        <v>14.869606658778055</v>
      </c>
      <c r="J51" s="294">
        <f t="shared" si="15"/>
        <v>3.8406444298528459</v>
      </c>
      <c r="K51" s="275">
        <f>I51+J51</f>
        <v>18.710251088630901</v>
      </c>
      <c r="L51" s="222"/>
    </row>
    <row r="53" spans="1:12" x14ac:dyDescent="0.25">
      <c r="D53" s="269"/>
      <c r="F53" s="345"/>
      <c r="J53" s="223" t="s">
        <v>1268</v>
      </c>
      <c r="K53" s="224">
        <f>I51+J51</f>
        <v>18.710251088630901</v>
      </c>
    </row>
    <row r="54" spans="1:12" x14ac:dyDescent="0.25">
      <c r="I54" s="20"/>
      <c r="J54" s="223" t="s">
        <v>1269</v>
      </c>
      <c r="K54" s="9">
        <f>E51+F51+G51+H51</f>
        <v>7.3376562137790827E-2</v>
      </c>
    </row>
    <row r="56" spans="1:12" x14ac:dyDescent="0.25">
      <c r="I56" s="8"/>
      <c r="J56" s="238"/>
      <c r="K56" s="340"/>
    </row>
    <row r="57" spans="1:12" x14ac:dyDescent="0.25">
      <c r="J57" s="238"/>
      <c r="K57" s="341"/>
    </row>
    <row r="58" spans="1:12" x14ac:dyDescent="0.25">
      <c r="J58" s="21"/>
      <c r="K58" s="342"/>
    </row>
  </sheetData>
  <mergeCells count="6">
    <mergeCell ref="E9:F9"/>
    <mergeCell ref="H9:I9"/>
    <mergeCell ref="A1:K1"/>
    <mergeCell ref="A3:K3"/>
    <mergeCell ref="A4:K4"/>
    <mergeCell ref="A6:K6"/>
  </mergeCells>
  <pageMargins left="0.7" right="0.7" top="0.75" bottom="0.75" header="0.3" footer="0.3"/>
  <pageSetup scale="50" orientation="landscape" r:id="rId1"/>
  <headerFooter>
    <oddHeader>&amp;R&amp;"Times New Roman,Bold"&amp;12Exhibit MJB - 10
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80" zoomScaleNormal="80" workbookViewId="0">
      <selection sqref="A1:K1"/>
    </sheetView>
  </sheetViews>
  <sheetFormatPr defaultRowHeight="13.8" x14ac:dyDescent="0.25"/>
  <cols>
    <col min="1" max="1" width="4.5546875" customWidth="1"/>
    <col min="2" max="2" width="41.109375" bestFit="1" customWidth="1"/>
    <col min="3" max="3" width="30.6640625" hidden="1" customWidth="1"/>
    <col min="4" max="4" width="28.33203125" customWidth="1"/>
    <col min="5" max="5" width="22.5546875" bestFit="1" customWidth="1"/>
    <col min="6" max="6" width="20.5546875" customWidth="1"/>
    <col min="7" max="8" width="22.5546875" bestFit="1" customWidth="1"/>
    <col min="9" max="9" width="24.6640625" bestFit="1" customWidth="1"/>
    <col min="10" max="10" width="37" bestFit="1" customWidth="1"/>
    <col min="11" max="11" width="21.44140625" customWidth="1"/>
    <col min="12" max="12" width="17.88671875" customWidth="1"/>
  </cols>
  <sheetData>
    <row r="1" spans="1:14" ht="15.6" x14ac:dyDescent="0.3">
      <c r="A1" s="381" t="s">
        <v>623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233"/>
      <c r="M1" s="233"/>
      <c r="N1" s="233"/>
    </row>
    <row r="2" spans="1:14" ht="15.6" x14ac:dyDescent="0.3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187"/>
      <c r="M2" s="187"/>
      <c r="N2" s="187"/>
    </row>
    <row r="3" spans="1:14" ht="15.6" x14ac:dyDescent="0.3">
      <c r="A3" s="381" t="s">
        <v>1214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233"/>
      <c r="M3" s="233"/>
      <c r="N3" s="233"/>
    </row>
    <row r="4" spans="1:14" ht="15.6" x14ac:dyDescent="0.3">
      <c r="A4" s="381" t="s">
        <v>1372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233"/>
      <c r="M4" s="233"/>
      <c r="N4" s="233"/>
    </row>
    <row r="5" spans="1:14" ht="15.6" x14ac:dyDescent="0.3">
      <c r="A5" s="240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1"/>
      <c r="M5" s="21"/>
      <c r="N5" s="21"/>
    </row>
    <row r="6" spans="1:14" ht="15.6" x14ac:dyDescent="0.3">
      <c r="A6" s="381" t="s">
        <v>594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233"/>
      <c r="M6" s="233"/>
      <c r="N6" s="233"/>
    </row>
    <row r="8" spans="1:14" ht="14.4" thickBot="1" x14ac:dyDescent="0.3"/>
    <row r="9" spans="1:14" ht="14.4" thickBot="1" x14ac:dyDescent="0.3">
      <c r="A9" s="189"/>
      <c r="B9" s="190"/>
      <c r="C9" s="191"/>
      <c r="D9" s="189"/>
      <c r="E9" s="379" t="s">
        <v>730</v>
      </c>
      <c r="F9" s="380"/>
      <c r="G9" s="192" t="s">
        <v>1153</v>
      </c>
      <c r="H9" s="379" t="s">
        <v>960</v>
      </c>
      <c r="I9" s="380"/>
      <c r="J9" s="274" t="s">
        <v>1216</v>
      </c>
      <c r="K9" s="191"/>
      <c r="L9" s="276"/>
    </row>
    <row r="10" spans="1:14" x14ac:dyDescent="0.25">
      <c r="A10" s="194"/>
      <c r="B10" s="195"/>
      <c r="C10" s="196"/>
      <c r="D10" s="196"/>
      <c r="E10" s="191"/>
      <c r="F10" s="191"/>
      <c r="G10" s="191"/>
      <c r="H10" s="191"/>
      <c r="I10" s="191"/>
      <c r="J10" s="189"/>
      <c r="K10" s="196"/>
      <c r="L10" s="277"/>
    </row>
    <row r="11" spans="1:14" x14ac:dyDescent="0.25">
      <c r="A11" s="194"/>
      <c r="B11" s="195"/>
      <c r="C11" s="196"/>
      <c r="D11" s="196"/>
      <c r="E11" s="196"/>
      <c r="F11" s="196"/>
      <c r="G11" s="196"/>
      <c r="H11" s="196"/>
      <c r="I11" s="196"/>
      <c r="J11" s="194"/>
      <c r="K11" s="196"/>
      <c r="L11" s="277"/>
    </row>
    <row r="12" spans="1:14" ht="14.4" thickBot="1" x14ac:dyDescent="0.3">
      <c r="A12" s="198"/>
      <c r="B12" s="278" t="s">
        <v>947</v>
      </c>
      <c r="C12" s="279" t="s">
        <v>1217</v>
      </c>
      <c r="D12" s="279" t="s">
        <v>1282</v>
      </c>
      <c r="E12" s="199" t="s">
        <v>1218</v>
      </c>
      <c r="F12" s="199" t="s">
        <v>1219</v>
      </c>
      <c r="G12" s="199" t="s">
        <v>1218</v>
      </c>
      <c r="H12" s="199" t="s">
        <v>1218</v>
      </c>
      <c r="I12" s="199" t="s">
        <v>1220</v>
      </c>
      <c r="J12" s="298" t="s">
        <v>1220</v>
      </c>
      <c r="K12" s="200" t="s">
        <v>944</v>
      </c>
      <c r="L12" s="200" t="s">
        <v>1221</v>
      </c>
    </row>
    <row r="13" spans="1:14" x14ac:dyDescent="0.25">
      <c r="A13" s="201"/>
      <c r="B13" s="202"/>
      <c r="C13" s="203"/>
      <c r="D13" s="204"/>
      <c r="E13" s="205"/>
      <c r="F13" s="205"/>
      <c r="G13" s="205"/>
      <c r="H13" s="205"/>
      <c r="I13" s="205"/>
      <c r="J13" s="205"/>
      <c r="K13" s="193"/>
      <c r="L13" s="197"/>
    </row>
    <row r="14" spans="1:14" x14ac:dyDescent="0.25">
      <c r="A14" s="206" t="s">
        <v>1222</v>
      </c>
      <c r="B14" s="207" t="s">
        <v>987</v>
      </c>
      <c r="C14" s="208"/>
      <c r="D14" s="280">
        <f>'Allocation ProForma'!H176</f>
        <v>272051302.68880898</v>
      </c>
      <c r="E14" s="281">
        <f>'Allocation ProForma'!H125+'Allocation ProForma'!H126+'Allocation ProForma'!H127</f>
        <v>158384625.34341449</v>
      </c>
      <c r="F14" s="281">
        <f>'Allocation ProForma'!H128</f>
        <v>6323848.2682743678</v>
      </c>
      <c r="G14" s="281">
        <f>'Allocation ProForma'!H137</f>
        <v>28897557.700993054</v>
      </c>
      <c r="H14" s="281">
        <f>'Allocation ProForma'!H147+'Allocation ProForma'!H149+'Allocation ProForma'!H154+'Allocation ProForma'!H143</f>
        <v>38109946.724596426</v>
      </c>
      <c r="I14" s="281">
        <f>'Allocation ProForma'!H148+'Allocation ProForma'!H150+'Allocation ProForma'!H155+'Allocation ProForma'!H159+'Allocation ProForma'!H162+'Allocation ProForma'!H165</f>
        <v>39841453.381607376</v>
      </c>
      <c r="J14" s="281">
        <f>'Allocation ProForma'!H168+'Allocation ProForma'!H171</f>
        <v>493871.26992326311</v>
      </c>
      <c r="K14" s="297">
        <f>SUM(E14:J14)</f>
        <v>272051302.68880898</v>
      </c>
      <c r="L14" s="209" t="str">
        <f>IF(ABS(K14-D14)&lt;0.01,"ok","err")</f>
        <v>ok</v>
      </c>
    </row>
    <row r="15" spans="1:14" x14ac:dyDescent="0.25">
      <c r="A15" s="210" t="s">
        <v>1223</v>
      </c>
      <c r="B15" s="215" t="s">
        <v>1224</v>
      </c>
      <c r="C15" s="208"/>
      <c r="D15" s="282">
        <f>'Allocation ProForma'!H840+'Allocation ProForma'!H841+'Allocation ProForma'!H842</f>
        <v>0</v>
      </c>
      <c r="E15" s="237">
        <f t="shared" ref="E15:J15" si="0">(E14/$D$14)*$D$15</f>
        <v>0</v>
      </c>
      <c r="F15" s="237">
        <f t="shared" si="0"/>
        <v>0</v>
      </c>
      <c r="G15" s="237">
        <f t="shared" si="0"/>
        <v>0</v>
      </c>
      <c r="H15" s="237">
        <f t="shared" si="0"/>
        <v>0</v>
      </c>
      <c r="I15" s="237">
        <f t="shared" si="0"/>
        <v>0</v>
      </c>
      <c r="J15" s="237">
        <f t="shared" si="0"/>
        <v>0</v>
      </c>
      <c r="K15" s="297">
        <f>SUM(E15:J15)</f>
        <v>0</v>
      </c>
      <c r="L15" s="209" t="str">
        <f>IF(ABS(K15-D15)&lt;0.01,"ok","err")</f>
        <v>ok</v>
      </c>
    </row>
    <row r="16" spans="1:14" x14ac:dyDescent="0.25">
      <c r="A16" s="210" t="s">
        <v>1225</v>
      </c>
      <c r="B16" s="236" t="s">
        <v>1226</v>
      </c>
      <c r="C16" s="208"/>
      <c r="D16" s="234">
        <f>D14+D15</f>
        <v>272051302.68880898</v>
      </c>
      <c r="E16" s="235">
        <f t="shared" ref="E16:K16" si="1">E14+E15</f>
        <v>158384625.34341449</v>
      </c>
      <c r="F16" s="235">
        <f t="shared" si="1"/>
        <v>6323848.2682743678</v>
      </c>
      <c r="G16" s="235">
        <f t="shared" si="1"/>
        <v>28897557.700993054</v>
      </c>
      <c r="H16" s="235">
        <f t="shared" si="1"/>
        <v>38109946.724596426</v>
      </c>
      <c r="I16" s="235">
        <f t="shared" si="1"/>
        <v>39841453.381607376</v>
      </c>
      <c r="J16" s="235">
        <f t="shared" si="1"/>
        <v>493871.26992326311</v>
      </c>
      <c r="K16" s="297">
        <f t="shared" si="1"/>
        <v>272051302.68880898</v>
      </c>
      <c r="L16" s="209" t="str">
        <f>IF(ABS(K16-D16)&lt;0.01,"ok","err")</f>
        <v>ok</v>
      </c>
    </row>
    <row r="17" spans="1:12" x14ac:dyDescent="0.25">
      <c r="A17" s="210"/>
      <c r="B17" s="211"/>
      <c r="C17" s="212"/>
      <c r="D17" s="283"/>
      <c r="E17" s="238"/>
      <c r="F17" s="238"/>
      <c r="G17" s="238"/>
      <c r="H17" s="238"/>
      <c r="I17" s="238"/>
      <c r="J17" s="238"/>
      <c r="K17" s="296"/>
      <c r="L17" s="213"/>
    </row>
    <row r="18" spans="1:12" x14ac:dyDescent="0.25">
      <c r="A18" s="210" t="s">
        <v>1227</v>
      </c>
      <c r="B18" s="207" t="s">
        <v>1143</v>
      </c>
      <c r="C18" s="208"/>
      <c r="D18" s="284">
        <f>'Allocation ProForma'!H995</f>
        <v>0.11753192325290561</v>
      </c>
      <c r="E18" s="285">
        <f t="shared" ref="E18:J18" si="2">D18</f>
        <v>0.11753192325290561</v>
      </c>
      <c r="F18" s="285">
        <f t="shared" si="2"/>
        <v>0.11753192325290561</v>
      </c>
      <c r="G18" s="285">
        <f t="shared" si="2"/>
        <v>0.11753192325290561</v>
      </c>
      <c r="H18" s="285">
        <f t="shared" si="2"/>
        <v>0.11753192325290561</v>
      </c>
      <c r="I18" s="285">
        <f t="shared" si="2"/>
        <v>0.11753192325290561</v>
      </c>
      <c r="J18" s="285">
        <f t="shared" si="2"/>
        <v>0.11753192325290561</v>
      </c>
      <c r="K18" s="296"/>
      <c r="L18" s="209"/>
    </row>
    <row r="19" spans="1:12" x14ac:dyDescent="0.25">
      <c r="A19" s="214"/>
      <c r="B19" s="207"/>
      <c r="C19" s="212"/>
      <c r="D19" s="283"/>
      <c r="E19" s="238"/>
      <c r="F19" s="238"/>
      <c r="G19" s="238"/>
      <c r="H19" s="238"/>
      <c r="I19" s="238"/>
      <c r="J19" s="238"/>
      <c r="K19" s="296"/>
      <c r="L19" s="213"/>
    </row>
    <row r="20" spans="1:12" x14ac:dyDescent="0.25">
      <c r="A20" s="210" t="s">
        <v>1228</v>
      </c>
      <c r="B20" s="207" t="s">
        <v>1229</v>
      </c>
      <c r="C20" s="208"/>
      <c r="D20" s="286">
        <f>D18*D16</f>
        <v>31974712.82847409</v>
      </c>
      <c r="E20" s="235">
        <f t="shared" ref="E20:J20" si="3">E18*E16</f>
        <v>18615249.630302399</v>
      </c>
      <c r="F20" s="235">
        <f t="shared" si="3"/>
        <v>743254.04932984302</v>
      </c>
      <c r="G20" s="235">
        <f t="shared" si="3"/>
        <v>3396385.5339095271</v>
      </c>
      <c r="H20" s="235">
        <f t="shared" si="3"/>
        <v>4479135.3336075889</v>
      </c>
      <c r="I20" s="235">
        <f t="shared" si="3"/>
        <v>4682642.6411312949</v>
      </c>
      <c r="J20" s="235">
        <f t="shared" si="3"/>
        <v>58045.640193435989</v>
      </c>
      <c r="K20" s="297">
        <f>SUM(E20:J20)</f>
        <v>31974712.828474086</v>
      </c>
      <c r="L20" s="209" t="str">
        <f>IF(ABS(K20-D20)&lt;0.01,"ok","err")</f>
        <v>ok</v>
      </c>
    </row>
    <row r="21" spans="1:12" x14ac:dyDescent="0.25">
      <c r="A21" s="214"/>
      <c r="B21" s="207"/>
      <c r="C21" s="212"/>
      <c r="D21" s="283"/>
      <c r="E21" s="238"/>
      <c r="F21" s="238"/>
      <c r="G21" s="238"/>
      <c r="H21" s="238"/>
      <c r="I21" s="238"/>
      <c r="J21" s="238"/>
      <c r="K21" s="297"/>
      <c r="L21" s="213"/>
    </row>
    <row r="22" spans="1:12" x14ac:dyDescent="0.25">
      <c r="A22" s="210" t="s">
        <v>1230</v>
      </c>
      <c r="B22" s="207" t="s">
        <v>817</v>
      </c>
      <c r="C22" s="208"/>
      <c r="D22" s="286">
        <f>'Allocation ProForma'!H742</f>
        <v>6606045.6087163119</v>
      </c>
      <c r="E22" s="235">
        <f t="shared" ref="E22:J22" si="4">(E14/$D$14)*$D$22</f>
        <v>3845951.2907933658</v>
      </c>
      <c r="F22" s="235">
        <f t="shared" si="4"/>
        <v>153557.91231261991</v>
      </c>
      <c r="G22" s="235">
        <f t="shared" si="4"/>
        <v>701700.6802266055</v>
      </c>
      <c r="H22" s="235">
        <f t="shared" si="4"/>
        <v>925399.15714503569</v>
      </c>
      <c r="I22" s="235">
        <f t="shared" si="4"/>
        <v>967444.21201137581</v>
      </c>
      <c r="J22" s="235">
        <f t="shared" si="4"/>
        <v>11992.356227309207</v>
      </c>
      <c r="K22" s="297">
        <f>SUM(E22:J22)</f>
        <v>6606045.6087163119</v>
      </c>
      <c r="L22" s="209" t="str">
        <f>IF(ABS(K22-D22)&lt;0.01,"ok","err")</f>
        <v>ok</v>
      </c>
    </row>
    <row r="23" spans="1:12" x14ac:dyDescent="0.25">
      <c r="A23" s="214"/>
      <c r="B23" s="207"/>
      <c r="C23" s="212"/>
      <c r="D23" s="283"/>
      <c r="E23" s="238"/>
      <c r="F23" s="238"/>
      <c r="G23" s="238"/>
      <c r="H23" s="238"/>
      <c r="I23" s="238"/>
      <c r="J23" s="238"/>
      <c r="K23" s="297"/>
      <c r="L23" s="213"/>
    </row>
    <row r="24" spans="1:12" x14ac:dyDescent="0.25">
      <c r="A24" s="210" t="s">
        <v>1231</v>
      </c>
      <c r="B24" s="207" t="s">
        <v>1232</v>
      </c>
      <c r="C24" s="208"/>
      <c r="D24" s="286">
        <f>D20-D22</f>
        <v>25368667.219757777</v>
      </c>
      <c r="E24" s="235">
        <f t="shared" ref="E24:J24" si="5">E20-E22</f>
        <v>14769298.339509033</v>
      </c>
      <c r="F24" s="235">
        <f t="shared" si="5"/>
        <v>589696.13701722305</v>
      </c>
      <c r="G24" s="235">
        <f t="shared" si="5"/>
        <v>2694684.8536829217</v>
      </c>
      <c r="H24" s="235">
        <f t="shared" si="5"/>
        <v>3553736.1764625534</v>
      </c>
      <c r="I24" s="235">
        <f t="shared" si="5"/>
        <v>3715198.429119919</v>
      </c>
      <c r="J24" s="235">
        <f t="shared" si="5"/>
        <v>46053.283966126779</v>
      </c>
      <c r="K24" s="297">
        <f>SUM(E24:J24)</f>
        <v>25368667.219757777</v>
      </c>
      <c r="L24" s="209" t="str">
        <f>IF(ABS(K24-D24)&lt;0.01,"ok","err")</f>
        <v>ok</v>
      </c>
    </row>
    <row r="25" spans="1:12" x14ac:dyDescent="0.25">
      <c r="A25" s="214"/>
      <c r="B25" s="207"/>
      <c r="C25" s="212"/>
      <c r="D25" s="283"/>
      <c r="E25" s="238"/>
      <c r="F25" s="238"/>
      <c r="G25" s="238"/>
      <c r="H25" s="238"/>
      <c r="I25" s="238"/>
      <c r="J25" s="238"/>
      <c r="K25" s="297"/>
      <c r="L25" s="213"/>
    </row>
    <row r="26" spans="1:12" x14ac:dyDescent="0.25">
      <c r="A26" s="210" t="s">
        <v>1233</v>
      </c>
      <c r="B26" s="207" t="s">
        <v>1234</v>
      </c>
      <c r="C26" s="212"/>
      <c r="D26" s="286">
        <f>'Allocation ProForma'!H792+'Allocation ProForma'!H986</f>
        <v>16376748.797407227</v>
      </c>
      <c r="E26" s="235">
        <f t="shared" ref="E26:J26" si="6">$D$26*(E24/$K$24)</f>
        <v>9534323.8462179061</v>
      </c>
      <c r="F26" s="235">
        <f t="shared" si="6"/>
        <v>380678.4731367809</v>
      </c>
      <c r="G26" s="235">
        <f t="shared" si="6"/>
        <v>1739554.4099602336</v>
      </c>
      <c r="H26" s="235">
        <f t="shared" si="6"/>
        <v>2294115.1835071202</v>
      </c>
      <c r="I26" s="235">
        <f t="shared" si="6"/>
        <v>2398347.176821053</v>
      </c>
      <c r="J26" s="235">
        <f t="shared" si="6"/>
        <v>29729.707764132254</v>
      </c>
      <c r="K26" s="297">
        <f>SUM(E26:J26)</f>
        <v>16376748.797407225</v>
      </c>
      <c r="L26" s="209" t="str">
        <f>IF(ABS(K26-D26)&lt;0.01,"ok","err")</f>
        <v>ok</v>
      </c>
    </row>
    <row r="27" spans="1:12" x14ac:dyDescent="0.25">
      <c r="A27" s="214"/>
      <c r="B27" s="207"/>
      <c r="C27" s="212"/>
      <c r="D27" s="283"/>
      <c r="E27" s="238"/>
      <c r="F27" s="238"/>
      <c r="G27" s="238"/>
      <c r="H27" s="238"/>
      <c r="I27" s="238"/>
      <c r="J27" s="238"/>
      <c r="K27" s="297"/>
      <c r="L27" s="213"/>
    </row>
    <row r="28" spans="1:12" x14ac:dyDescent="0.25">
      <c r="A28" s="210" t="s">
        <v>1235</v>
      </c>
      <c r="B28" s="207" t="s">
        <v>997</v>
      </c>
      <c r="C28" s="208"/>
      <c r="D28" s="286">
        <f>'Allocation ProForma'!H712</f>
        <v>84996856.45797278</v>
      </c>
      <c r="E28" s="235">
        <f>'Allocation ProForma'!H182+'Allocation ProForma'!H183+'Allocation ProForma'!H184</f>
        <v>13766097.412723485</v>
      </c>
      <c r="F28" s="235">
        <f>'Allocation ProForma'!H185</f>
        <v>55163170.140123792</v>
      </c>
      <c r="G28" s="235">
        <f>'Allocation ProForma'!H194</f>
        <v>2590271.8875440527</v>
      </c>
      <c r="H28" s="235">
        <f>'Allocation ProForma'!H200+'Allocation ProForma'!H204+'Allocation ProForma'!H206+'Allocation ProForma'!H211</f>
        <v>3536884.0677350345</v>
      </c>
      <c r="I28" s="235">
        <f>'Allocation ProForma'!H205+'Allocation ProForma'!H207+'Allocation ProForma'!H212+'Allocation ProForma'!H216+'Allocation ProForma'!H219</f>
        <v>5852441.0813872963</v>
      </c>
      <c r="J28" s="235">
        <f>'Allocation ProForma'!H225+'Allocation ProForma'!H228</f>
        <v>4087991.8684591255</v>
      </c>
      <c r="K28" s="297">
        <f t="shared" ref="K28:K33" si="7">SUM(E28:J28)</f>
        <v>84996856.45797278</v>
      </c>
      <c r="L28" s="209" t="str">
        <f>IF(ABS(K28-D28)&lt;0.01,"ok","err")</f>
        <v>ok</v>
      </c>
    </row>
    <row r="29" spans="1:12" x14ac:dyDescent="0.25">
      <c r="A29" s="210" t="s">
        <v>1236</v>
      </c>
      <c r="B29" s="207" t="s">
        <v>1094</v>
      </c>
      <c r="C29" s="208"/>
      <c r="D29" s="282">
        <f>'Allocation ProForma'!H713</f>
        <v>14151439.302020008</v>
      </c>
      <c r="E29" s="235">
        <f>'Allocation ProForma'!H302</f>
        <v>8583554.3859592341</v>
      </c>
      <c r="F29" s="235">
        <v>0</v>
      </c>
      <c r="G29" s="235">
        <f>'Allocation ProForma'!H308</f>
        <v>1195635.3621349537</v>
      </c>
      <c r="H29" s="235">
        <f>'Allocation ProForma'!H314+'Allocation ProForma'!H318+'Allocation ProForma'!H320+'Allocation ProForma'!H325</f>
        <v>2144658.3397336602</v>
      </c>
      <c r="I29" s="235">
        <f>'Allocation ProForma'!H319+'Allocation ProForma'!H321+'Allocation ProForma'!H326+'Allocation ProForma'!H330+'Allocation ProForma'!H333</f>
        <v>2227591.2141921604</v>
      </c>
      <c r="J29" s="235">
        <v>0</v>
      </c>
      <c r="K29" s="297">
        <f t="shared" si="7"/>
        <v>14151439.30202001</v>
      </c>
      <c r="L29" s="209" t="str">
        <f>IF(ABS(K29-D29)&lt;0.01,"ok","err")</f>
        <v>ok</v>
      </c>
    </row>
    <row r="30" spans="1:12" x14ac:dyDescent="0.25">
      <c r="A30" s="210" t="s">
        <v>1237</v>
      </c>
      <c r="B30" s="207" t="s">
        <v>1238</v>
      </c>
      <c r="C30" s="208"/>
      <c r="D30" s="282">
        <f>'Allocation ProForma'!H714+'Allocation ProForma'!H715+'Allocation ProForma'!H718+'Allocation ProForma'!H719+'Allocation ProForma'!H720</f>
        <v>3464397.052099661</v>
      </c>
      <c r="E30" s="235">
        <f>'Allocation ProForma'!H417+'Allocation ProForma'!H474+'Allocation ProForma'!H359+'Allocation ProForma'!H531+'Allocation ProForma'!H589</f>
        <v>2074877.4129513032</v>
      </c>
      <c r="F30" s="235">
        <f>'Allocation ProForma'!H356+'Allocation ProForma'!H357+'Allocation ProForma'!H358+'Allocation ProForma'!H414+'Allocation ProForma'!H415+'Allocation ProForma'!H416+'Allocation ProForma'!H471+'Allocation ProForma'!H472+'Allocation ProForma'!H473+'Allocation ProForma'!H528+'Allocation ProForma'!H529+'Allocation ProForma'!H530+'Allocation ProForma'!H586+'Allocation ProForma'!H587+'Allocation ProForma'!H588</f>
        <v>0</v>
      </c>
      <c r="G30" s="235">
        <f>'Allocation ProForma'!H365+'Allocation ProForma'!H423+'Allocation ProForma'!H480+'Allocation ProForma'!H537+'Allocation ProForma'!H595</f>
        <v>367872.19672854047</v>
      </c>
      <c r="H30" s="235">
        <f>'Allocation ProForma'!H371+'Allocation ProForma'!H375+'Allocation ProForma'!H377+'Allocation ProForma'!H382+'Allocation ProForma'!H429+'Allocation ProForma'!H433+'Allocation ProForma'!H435+'Allocation ProForma'!H440+'Allocation ProForma'!H486+'Allocation ProForma'!H490+'Allocation ProForma'!H492+'Allocation ProForma'!H497+'Allocation ProForma'!H543+'Allocation ProForma'!H547+'Allocation ProForma'!H549+'Allocation ProForma'!H554+'Allocation ProForma'!H601+'Allocation ProForma'!H605+'Allocation ProForma'!H607+'Allocation ProForma'!H612</f>
        <v>501134.41161789669</v>
      </c>
      <c r="I30" s="235">
        <f>'Allocation ProForma'!H376+'Allocation ProForma'!H378+'Allocation ProForma'!H383+'Allocation ProForma'!H387+'Allocation ProForma'!H391+'Allocation ProForma'!H434+'Allocation ProForma'!H436+'Allocation ProForma'!H441+'Allocation ProForma'!H445+'Allocation ProForma'!H448+'Allocation ProForma'!H491+'Allocation ProForma'!H493+'Allocation ProForma'!H498+'Allocation ProForma'!H502+'Allocation ProForma'!H505+'Allocation ProForma'!H548+'Allocation ProForma'!H550+'Allocation ProForma'!H555+'Allocation ProForma'!H559+'Allocation ProForma'!H562+'Allocation ProForma'!H606+'Allocation ProForma'!H608+'Allocation ProForma'!H613+'Allocation ProForma'!H617+'Allocation ProForma'!H620</f>
        <v>520513.0308019215</v>
      </c>
      <c r="J30" s="235">
        <v>0</v>
      </c>
      <c r="K30" s="297">
        <f t="shared" si="7"/>
        <v>3464397.0520996619</v>
      </c>
      <c r="L30" s="209" t="str">
        <f>IF(ABS(K30-D30)&lt;0.01,"ok","err")</f>
        <v>ok</v>
      </c>
    </row>
    <row r="31" spans="1:12" x14ac:dyDescent="0.25">
      <c r="A31" s="210" t="s">
        <v>1239</v>
      </c>
      <c r="B31" s="207" t="s">
        <v>1270</v>
      </c>
      <c r="C31" s="208"/>
      <c r="D31" s="282">
        <f>'Allocation ProForma'!H716+'Allocation ProForma'!H717</f>
        <v>0</v>
      </c>
      <c r="E31" s="235">
        <f t="shared" ref="E31:J31" si="8">$D$31*(E14/$K$14)</f>
        <v>0</v>
      </c>
      <c r="F31" s="235">
        <f t="shared" si="8"/>
        <v>0</v>
      </c>
      <c r="G31" s="235">
        <f t="shared" si="8"/>
        <v>0</v>
      </c>
      <c r="H31" s="235">
        <f t="shared" si="8"/>
        <v>0</v>
      </c>
      <c r="I31" s="235">
        <f t="shared" si="8"/>
        <v>0</v>
      </c>
      <c r="J31" s="235">
        <f t="shared" si="8"/>
        <v>0</v>
      </c>
      <c r="K31" s="297">
        <f t="shared" si="7"/>
        <v>0</v>
      </c>
      <c r="L31" s="209" t="str">
        <f>IF(ABS(K31-D31)&lt;0.01,"ok","err")</f>
        <v>ok</v>
      </c>
    </row>
    <row r="32" spans="1:12" x14ac:dyDescent="0.25">
      <c r="A32" s="210" t="s">
        <v>1241</v>
      </c>
      <c r="B32" s="215" t="s">
        <v>1240</v>
      </c>
      <c r="C32" s="208"/>
      <c r="D32" s="282">
        <f>'Allocation ProForma'!H723</f>
        <v>425492.59560746321</v>
      </c>
      <c r="E32" s="235">
        <f>D32</f>
        <v>425492.59560746321</v>
      </c>
      <c r="F32" s="235">
        <v>0</v>
      </c>
      <c r="G32" s="235">
        <v>0</v>
      </c>
      <c r="H32" s="235">
        <v>0</v>
      </c>
      <c r="I32" s="235">
        <v>0</v>
      </c>
      <c r="J32" s="235">
        <v>0</v>
      </c>
      <c r="K32" s="297">
        <f t="shared" si="7"/>
        <v>425492.59560746321</v>
      </c>
      <c r="L32" s="209" t="str">
        <f>IF(ABS(K32-D32)&lt;0.01,"ok","err")</f>
        <v>ok</v>
      </c>
    </row>
    <row r="33" spans="1:12" x14ac:dyDescent="0.25">
      <c r="A33" s="210" t="s">
        <v>1243</v>
      </c>
      <c r="B33" s="215" t="s">
        <v>1242</v>
      </c>
      <c r="C33" s="208"/>
      <c r="D33" s="282">
        <f>'Allocation ProForma'!H810</f>
        <v>9790.8866848823691</v>
      </c>
      <c r="E33" s="235">
        <f>D33</f>
        <v>9790.8866848823691</v>
      </c>
      <c r="F33" s="235">
        <v>0</v>
      </c>
      <c r="G33" s="235">
        <v>0</v>
      </c>
      <c r="H33" s="235">
        <v>0</v>
      </c>
      <c r="I33" s="235">
        <v>0</v>
      </c>
      <c r="J33" s="235">
        <v>0</v>
      </c>
      <c r="K33" s="297">
        <f t="shared" si="7"/>
        <v>9790.8866848823691</v>
      </c>
      <c r="L33" s="209" t="str">
        <f t="shared" ref="L33:L39" si="9">IF(ABS(K33-D33)&lt;0.01,"ok","err")</f>
        <v>ok</v>
      </c>
    </row>
    <row r="34" spans="1:12" x14ac:dyDescent="0.25">
      <c r="A34" s="210" t="s">
        <v>1245</v>
      </c>
      <c r="B34" s="215" t="s">
        <v>1244</v>
      </c>
      <c r="C34" s="208"/>
      <c r="D34" s="282">
        <f>'Allocation ProForma'!H797+'Allocation ProForma'!H800+'Allocation ProForma'!H801</f>
        <v>0</v>
      </c>
      <c r="E34" s="235">
        <v>0</v>
      </c>
      <c r="F34" s="235">
        <f>D34</f>
        <v>0</v>
      </c>
      <c r="G34" s="235">
        <v>0</v>
      </c>
      <c r="H34" s="235">
        <v>0</v>
      </c>
      <c r="I34" s="235">
        <v>0</v>
      </c>
      <c r="J34" s="235">
        <v>0</v>
      </c>
      <c r="K34" s="297">
        <f t="shared" ref="K34:K39" si="10">SUM(E34:J34)</f>
        <v>0</v>
      </c>
      <c r="L34" s="209" t="str">
        <f t="shared" si="9"/>
        <v>ok</v>
      </c>
    </row>
    <row r="35" spans="1:12" x14ac:dyDescent="0.25">
      <c r="A35" s="210" t="s">
        <v>1247</v>
      </c>
      <c r="B35" s="207" t="s">
        <v>1246</v>
      </c>
      <c r="C35" s="208"/>
      <c r="D35" s="282">
        <f>'Allocation ProForma'!H808+'Allocation ProForma'!H811</f>
        <v>0</v>
      </c>
      <c r="E35" s="235">
        <v>0</v>
      </c>
      <c r="F35" s="235">
        <v>0</v>
      </c>
      <c r="G35" s="235">
        <f>D35</f>
        <v>0</v>
      </c>
      <c r="H35" s="235">
        <v>0</v>
      </c>
      <c r="I35" s="235">
        <v>0</v>
      </c>
      <c r="J35" s="235">
        <v>0</v>
      </c>
      <c r="K35" s="297">
        <f t="shared" si="10"/>
        <v>0</v>
      </c>
      <c r="L35" s="209" t="str">
        <f t="shared" si="9"/>
        <v>ok</v>
      </c>
    </row>
    <row r="36" spans="1:12" x14ac:dyDescent="0.25">
      <c r="A36" s="210" t="s">
        <v>1249</v>
      </c>
      <c r="B36" s="207" t="s">
        <v>1248</v>
      </c>
      <c r="C36" s="208"/>
      <c r="D36" s="282">
        <f>'Allocation ProForma'!H802</f>
        <v>0</v>
      </c>
      <c r="E36" s="235">
        <v>0</v>
      </c>
      <c r="F36" s="235">
        <v>0</v>
      </c>
      <c r="G36" s="235">
        <v>0</v>
      </c>
      <c r="H36" s="235">
        <f>(H14/($I$14+$H$14)*$D$36)</f>
        <v>0</v>
      </c>
      <c r="I36" s="235">
        <f>(I14/($I$14+$H$14)*$D$36)</f>
        <v>0</v>
      </c>
      <c r="J36" s="235">
        <v>0</v>
      </c>
      <c r="K36" s="297">
        <f t="shared" si="10"/>
        <v>0</v>
      </c>
      <c r="L36" s="209" t="str">
        <f t="shared" si="9"/>
        <v>ok</v>
      </c>
    </row>
    <row r="37" spans="1:12" x14ac:dyDescent="0.25">
      <c r="A37" s="216" t="s">
        <v>1251</v>
      </c>
      <c r="B37" s="207" t="s">
        <v>1250</v>
      </c>
      <c r="C37" s="208"/>
      <c r="D37" s="282">
        <f>'Allocation ProForma'!H803+'Allocation ProForma'!H804+'Allocation ProForma'!H805+'Allocation ProForma'!H806+'Allocation ProForma'!H807+'Allocation ProForma'!H809+'Allocation ProForma'!H814+'Allocation ProForma'!H815+'Allocation ProForma'!H818+'Allocation ProForma'!H819+'Allocation ProForma'!H820+'Allocation ProForma'!H821+'Allocation ProForma'!H822+'Allocation ProForma'!H823+'Allocation ProForma'!H824+'Allocation ProForma'!H826+'Allocation ProForma'!H827+'Allocation ProForma'!H983+'Allocation ProForma'!H984</f>
        <v>626981.20820785034</v>
      </c>
      <c r="E37" s="235">
        <f t="shared" ref="E37:J37" si="11">(E14/($D$14)*$D$37)</f>
        <v>365020.06341411534</v>
      </c>
      <c r="F37" s="235">
        <f t="shared" si="11"/>
        <v>14574.214453592049</v>
      </c>
      <c r="G37" s="235">
        <f t="shared" si="11"/>
        <v>66598.562339359836</v>
      </c>
      <c r="H37" s="235">
        <f t="shared" si="11"/>
        <v>87829.832851255007</v>
      </c>
      <c r="I37" s="235">
        <f t="shared" si="11"/>
        <v>91820.338043117561</v>
      </c>
      <c r="J37" s="235">
        <f t="shared" si="11"/>
        <v>1138.197106410586</v>
      </c>
      <c r="K37" s="297">
        <f t="shared" si="10"/>
        <v>626981.20820785034</v>
      </c>
      <c r="L37" s="209" t="str">
        <f t="shared" si="9"/>
        <v>ok</v>
      </c>
    </row>
    <row r="38" spans="1:12" x14ac:dyDescent="0.25">
      <c r="A38" s="210"/>
      <c r="B38" s="207"/>
      <c r="D38" s="286"/>
      <c r="E38" s="235"/>
      <c r="F38" s="235"/>
      <c r="G38" s="235"/>
      <c r="H38" s="235"/>
      <c r="I38" s="235"/>
      <c r="J38" s="235"/>
      <c r="K38" s="297"/>
      <c r="L38" s="209"/>
    </row>
    <row r="39" spans="1:12" x14ac:dyDescent="0.25">
      <c r="A39" s="210" t="s">
        <v>1253</v>
      </c>
      <c r="B39" s="207" t="s">
        <v>1252</v>
      </c>
      <c r="C39" s="208"/>
      <c r="D39" s="286">
        <f>'Allocation ProForma'!H828+'Allocation ProForma'!H983+'Allocation ProForma'!H984</f>
        <v>636772.09489273268</v>
      </c>
      <c r="E39" s="235">
        <f>SUM(E33:E37)</f>
        <v>374810.95009899774</v>
      </c>
      <c r="F39" s="235">
        <f>SUM(F34:F37)</f>
        <v>14574.214453592049</v>
      </c>
      <c r="G39" s="235">
        <f>SUM(G33:G37)</f>
        <v>66598.562339359836</v>
      </c>
      <c r="H39" s="235">
        <f>SUM(H33:H37)</f>
        <v>87829.832851255007</v>
      </c>
      <c r="I39" s="235">
        <f>SUM(I33:I37)</f>
        <v>91820.338043117561</v>
      </c>
      <c r="J39" s="235">
        <f>SUM(J33:J37)</f>
        <v>1138.197106410586</v>
      </c>
      <c r="K39" s="297">
        <f t="shared" si="10"/>
        <v>636772.0948927328</v>
      </c>
      <c r="L39" s="209" t="str">
        <f t="shared" si="9"/>
        <v>ok</v>
      </c>
    </row>
    <row r="40" spans="1:12" x14ac:dyDescent="0.25">
      <c r="A40" s="214"/>
      <c r="B40" s="207"/>
      <c r="C40" s="212"/>
      <c r="D40" s="234"/>
      <c r="E40" s="238"/>
      <c r="F40" s="238"/>
      <c r="G40" s="238"/>
      <c r="H40" s="238"/>
      <c r="I40" s="238"/>
      <c r="J40" s="238"/>
      <c r="K40" s="277"/>
      <c r="L40" s="213"/>
    </row>
    <row r="41" spans="1:12" x14ac:dyDescent="0.25">
      <c r="A41" s="210" t="s">
        <v>1255</v>
      </c>
      <c r="B41" s="207" t="s">
        <v>1254</v>
      </c>
      <c r="C41" s="217">
        <f>'Allocation ProForma'!H975</f>
        <v>152026419.12847397</v>
      </c>
      <c r="D41" s="286">
        <f t="shared" ref="D41:I41" si="12">SUM(D28:D32)+D22+D26+D39+D24</f>
        <v>152026419.12847394</v>
      </c>
      <c r="E41" s="235">
        <f t="shared" si="12"/>
        <v>53374406.233860791</v>
      </c>
      <c r="F41" s="235">
        <f t="shared" si="12"/>
        <v>56301676.877044007</v>
      </c>
      <c r="G41" s="235">
        <f t="shared" si="12"/>
        <v>9356317.9526166674</v>
      </c>
      <c r="H41" s="235">
        <f t="shared" si="12"/>
        <v>13043757.169052556</v>
      </c>
      <c r="I41" s="235">
        <f t="shared" si="12"/>
        <v>15773355.482376844</v>
      </c>
      <c r="J41" s="235">
        <f>SUM(J28:J32)+J22+J26+J39+J24</f>
        <v>4176905.4135231045</v>
      </c>
      <c r="K41" s="297">
        <f>SUM(E41:J41)</f>
        <v>152026419.12847397</v>
      </c>
      <c r="L41" s="209" t="str">
        <f>IF(ABS(K41-D41)&lt;0.01,"ok","err")</f>
        <v>ok</v>
      </c>
    </row>
    <row r="42" spans="1:12" x14ac:dyDescent="0.25">
      <c r="A42" s="214"/>
      <c r="B42" s="207"/>
      <c r="C42" s="212"/>
      <c r="D42" s="287"/>
      <c r="E42" s="238"/>
      <c r="F42" s="238"/>
      <c r="G42" s="238"/>
      <c r="H42" s="238"/>
      <c r="I42" s="238"/>
      <c r="J42" s="238"/>
      <c r="K42" s="277"/>
      <c r="L42" s="213"/>
    </row>
    <row r="43" spans="1:12" x14ac:dyDescent="0.25">
      <c r="A43" s="210" t="s">
        <v>1256</v>
      </c>
      <c r="B43" s="207" t="s">
        <v>1257</v>
      </c>
      <c r="C43" s="208"/>
      <c r="D43" s="286">
        <f>-('Allocation ProForma'!H700+'Allocation ProForma'!H701+'Allocation ProForma'!H702)</f>
        <v>0</v>
      </c>
      <c r="E43" s="235">
        <v>0</v>
      </c>
      <c r="F43" s="235">
        <f>D43</f>
        <v>0</v>
      </c>
      <c r="G43" s="235">
        <v>0</v>
      </c>
      <c r="H43" s="235">
        <v>0</v>
      </c>
      <c r="I43" s="235">
        <v>0</v>
      </c>
      <c r="J43" s="235">
        <v>0</v>
      </c>
      <c r="K43" s="297">
        <f>SUM(E43:J43)</f>
        <v>0</v>
      </c>
      <c r="L43" s="209" t="str">
        <f>IF(ABS(K43-D43)&lt;0.01,"ok","err")</f>
        <v>ok</v>
      </c>
    </row>
    <row r="44" spans="1:12" x14ac:dyDescent="0.25">
      <c r="A44" s="210" t="s">
        <v>1258</v>
      </c>
      <c r="B44" s="207" t="s">
        <v>1259</v>
      </c>
      <c r="C44" s="208"/>
      <c r="D44" s="282">
        <f>-('Allocation ProForma'!H698+'Allocation ProForma'!H699+'Allocation ProForma'!H703+'Allocation ProForma'!H704+'Allocation ProForma'!H705+'Allocation ProForma'!H706)</f>
        <v>-11060217.619101597</v>
      </c>
      <c r="E44" s="235">
        <f>-('Allocation ProForma'!H698+'Allocation ProForma'!H699)-(E14/($D$14)*('Allocation ProForma'!H703+'Allocation ProForma'!H704+'Allocation ProForma'!H705+'Allocation ProForma'!H706))</f>
        <v>-10252067.220760284</v>
      </c>
      <c r="F44" s="235">
        <f>(F14/($D$14)*-('Allocation ProForma'!H703+'Allocation ProForma'!H704+'Allocation ProForma'!H705+'Allocation ProForma'!H706))</f>
        <v>-44961.4664245573</v>
      </c>
      <c r="G44" s="235">
        <f>(G14/($D$14)*-('Allocation ProForma'!H703+'Allocation ProForma'!H704+'Allocation ProForma'!H705+'Allocation ProForma'!H706))</f>
        <v>-205456.63260820915</v>
      </c>
      <c r="H44" s="235">
        <f>(H14/($D$14)*-('Allocation ProForma'!H703+'Allocation ProForma'!H704+'Allocation ProForma'!H705+'Allocation ProForma'!H706))</f>
        <v>-270955.12374890968</v>
      </c>
      <c r="I44" s="235">
        <f>(I14/($D$14)*-('Allocation ProForma'!H703+'Allocation ProForma'!H704+'Allocation ProForma'!H705+'Allocation ProForma'!H706))</f>
        <v>-283265.8363277773</v>
      </c>
      <c r="J44" s="235">
        <f>(J14/($D$14)*-('Allocation ProForma'!H703+'Allocation ProForma'!H704+'Allocation ProForma'!H705+'Allocation ProForma'!H706))</f>
        <v>-3511.3392318578744</v>
      </c>
      <c r="K44" s="297">
        <f>SUM(E44:J44)</f>
        <v>-11060217.619101595</v>
      </c>
      <c r="L44" s="209" t="str">
        <f>IF(ABS(K44-D44)&lt;0.01,"ok","err")</f>
        <v>ok</v>
      </c>
    </row>
    <row r="45" spans="1:12" x14ac:dyDescent="0.25">
      <c r="A45" s="210" t="s">
        <v>1260</v>
      </c>
      <c r="B45" s="207" t="s">
        <v>1261</v>
      </c>
      <c r="C45" s="208"/>
      <c r="D45" s="282">
        <f t="shared" ref="D45:J45" si="13">SUM(D43:D44)</f>
        <v>-11060217.619101597</v>
      </c>
      <c r="E45" s="235">
        <f t="shared" si="13"/>
        <v>-10252067.220760284</v>
      </c>
      <c r="F45" s="235">
        <f t="shared" si="13"/>
        <v>-44961.4664245573</v>
      </c>
      <c r="G45" s="235">
        <f t="shared" si="13"/>
        <v>-205456.63260820915</v>
      </c>
      <c r="H45" s="235">
        <f t="shared" si="13"/>
        <v>-270955.12374890968</v>
      </c>
      <c r="I45" s="235">
        <f t="shared" si="13"/>
        <v>-283265.8363277773</v>
      </c>
      <c r="J45" s="235">
        <f t="shared" si="13"/>
        <v>-3511.3392318578744</v>
      </c>
      <c r="K45" s="297">
        <f>SUM(E45:J45)</f>
        <v>-11060217.619101595</v>
      </c>
      <c r="L45" s="209" t="str">
        <f>IF(ABS(K45-D45)&lt;0.01,"ok","err")</f>
        <v>ok</v>
      </c>
    </row>
    <row r="46" spans="1:12" x14ac:dyDescent="0.25">
      <c r="A46" s="214"/>
      <c r="B46" s="207"/>
      <c r="D46" s="288"/>
      <c r="E46" s="238"/>
      <c r="F46" s="238"/>
      <c r="G46" s="238"/>
      <c r="H46" s="238"/>
      <c r="I46" s="238"/>
      <c r="J46" s="238"/>
      <c r="K46" s="277"/>
      <c r="L46" s="213"/>
    </row>
    <row r="47" spans="1:12" x14ac:dyDescent="0.25">
      <c r="A47" s="210" t="s">
        <v>1262</v>
      </c>
      <c r="B47" s="207" t="s">
        <v>1263</v>
      </c>
      <c r="C47" s="218">
        <f>'Allocation ProForma'!H975-SUM('Allocation ProForma'!H698:H706)</f>
        <v>140966201.50937238</v>
      </c>
      <c r="D47" s="286">
        <f t="shared" ref="D47:I47" si="14">D41+D45</f>
        <v>140966201.50937235</v>
      </c>
      <c r="E47" s="235">
        <f t="shared" si="14"/>
        <v>43122339.013100505</v>
      </c>
      <c r="F47" s="235">
        <f t="shared" si="14"/>
        <v>56256715.410619453</v>
      </c>
      <c r="G47" s="235">
        <f t="shared" si="14"/>
        <v>9150861.3200084586</v>
      </c>
      <c r="H47" s="235">
        <f t="shared" si="14"/>
        <v>12772802.045303646</v>
      </c>
      <c r="I47" s="235">
        <f t="shared" si="14"/>
        <v>15490089.646049066</v>
      </c>
      <c r="J47" s="235">
        <f>J41+J45</f>
        <v>4173394.0742912465</v>
      </c>
      <c r="K47" s="297">
        <f>SUM(E47:J47)</f>
        <v>140966201.50937238</v>
      </c>
      <c r="L47" s="209" t="str">
        <f>IF(ABS(K47-D47)&lt;0.01,"ok","err")</f>
        <v>ok</v>
      </c>
    </row>
    <row r="48" spans="1:12" x14ac:dyDescent="0.25">
      <c r="A48" s="214"/>
      <c r="B48" s="207"/>
      <c r="C48" s="212"/>
      <c r="D48" s="289"/>
      <c r="E48" s="238"/>
      <c r="F48" s="238"/>
      <c r="G48" s="238"/>
      <c r="H48" s="238"/>
      <c r="I48" s="238"/>
      <c r="J48" s="238"/>
      <c r="K48" s="277"/>
      <c r="L48" s="213"/>
    </row>
    <row r="49" spans="1:12" x14ac:dyDescent="0.25">
      <c r="A49" s="210" t="s">
        <v>1264</v>
      </c>
      <c r="B49" s="207" t="s">
        <v>1265</v>
      </c>
      <c r="C49" s="208"/>
      <c r="D49" s="290"/>
      <c r="E49" s="291">
        <f>'Allocation ProForma'!H1013</f>
        <v>1384842707</v>
      </c>
      <c r="F49" s="291">
        <f>'Allocation ProForma'!H1013</f>
        <v>1384842707</v>
      </c>
      <c r="G49" s="291">
        <f>'Allocation ProForma'!H1013</f>
        <v>1384842707</v>
      </c>
      <c r="H49" s="291">
        <f>'Allocation ProForma'!H1013</f>
        <v>1384842707</v>
      </c>
      <c r="I49" s="291">
        <f>'Allocation ProForma'!$H$1029*12</f>
        <v>535170</v>
      </c>
      <c r="J49" s="291">
        <f>'Allocation ProForma'!$H$1029*12</f>
        <v>535170</v>
      </c>
      <c r="K49" s="277"/>
      <c r="L49" s="213"/>
    </row>
    <row r="50" spans="1:12" ht="14.4" thickBot="1" x14ac:dyDescent="0.3">
      <c r="A50" s="214"/>
      <c r="B50" s="207"/>
      <c r="C50" s="212"/>
      <c r="D50" s="288"/>
      <c r="E50" s="238"/>
      <c r="F50" s="238"/>
      <c r="G50" s="238"/>
      <c r="H50" s="238"/>
      <c r="I50" s="238"/>
      <c r="J50" s="238"/>
      <c r="K50" s="277"/>
      <c r="L50" s="213"/>
    </row>
    <row r="51" spans="1:12" ht="14.4" thickBot="1" x14ac:dyDescent="0.3">
      <c r="A51" s="219" t="s">
        <v>1266</v>
      </c>
      <c r="B51" s="220" t="s">
        <v>1267</v>
      </c>
      <c r="C51" s="221"/>
      <c r="D51" s="292"/>
      <c r="E51" s="293">
        <f t="shared" ref="E51:J51" si="15">E47/E49</f>
        <v>3.1138799226171254E-2</v>
      </c>
      <c r="F51" s="293">
        <f t="shared" si="15"/>
        <v>4.0623180615572574E-2</v>
      </c>
      <c r="G51" s="293">
        <f t="shared" si="15"/>
        <v>6.607870535587446E-3</v>
      </c>
      <c r="H51" s="293">
        <f t="shared" si="15"/>
        <v>9.2232872229753137E-3</v>
      </c>
      <c r="I51" s="294">
        <f t="shared" si="15"/>
        <v>28.944241355175112</v>
      </c>
      <c r="J51" s="294">
        <f t="shared" si="15"/>
        <v>7.7982586361179562</v>
      </c>
      <c r="K51" s="275">
        <f>I51+J51</f>
        <v>36.742499991293066</v>
      </c>
      <c r="L51" s="222"/>
    </row>
    <row r="53" spans="1:12" x14ac:dyDescent="0.25">
      <c r="D53" s="269"/>
      <c r="J53" s="223" t="s">
        <v>1268</v>
      </c>
      <c r="K53" s="224">
        <f>I51+J51</f>
        <v>36.742499991293066</v>
      </c>
    </row>
    <row r="54" spans="1:12" x14ac:dyDescent="0.25">
      <c r="I54" s="20"/>
      <c r="J54" s="223" t="s">
        <v>1269</v>
      </c>
      <c r="K54" s="9">
        <f>E51+F51+G51+H51</f>
        <v>8.7593137600306598E-2</v>
      </c>
    </row>
    <row r="56" spans="1:12" x14ac:dyDescent="0.25">
      <c r="I56" s="8"/>
      <c r="J56" s="238"/>
      <c r="K56" s="340"/>
    </row>
    <row r="57" spans="1:12" x14ac:dyDescent="0.25">
      <c r="J57" s="238"/>
      <c r="K57" s="341"/>
    </row>
    <row r="58" spans="1:12" x14ac:dyDescent="0.25">
      <c r="J58" s="21"/>
      <c r="K58" s="342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80" zoomScaleNormal="80" workbookViewId="0">
      <selection sqref="A1:K1"/>
    </sheetView>
  </sheetViews>
  <sheetFormatPr defaultRowHeight="13.8" x14ac:dyDescent="0.25"/>
  <cols>
    <col min="1" max="1" width="4.5546875" customWidth="1"/>
    <col min="2" max="2" width="41.109375" bestFit="1" customWidth="1"/>
    <col min="3" max="3" width="30.6640625" hidden="1" customWidth="1"/>
    <col min="4" max="4" width="28.33203125" customWidth="1"/>
    <col min="5" max="5" width="22.5546875" bestFit="1" customWidth="1"/>
    <col min="6" max="6" width="20.5546875" customWidth="1"/>
    <col min="7" max="8" width="22.5546875" bestFit="1" customWidth="1"/>
    <col min="9" max="9" width="24.6640625" bestFit="1" customWidth="1"/>
    <col min="10" max="10" width="37" bestFit="1" customWidth="1"/>
    <col min="11" max="11" width="21.44140625" customWidth="1"/>
    <col min="12" max="12" width="17.88671875" customWidth="1"/>
  </cols>
  <sheetData>
    <row r="1" spans="1:14" ht="15.6" x14ac:dyDescent="0.3">
      <c r="A1" s="381" t="s">
        <v>623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233"/>
      <c r="M1" s="233"/>
      <c r="N1" s="233"/>
    </row>
    <row r="2" spans="1:14" ht="15.6" x14ac:dyDescent="0.3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187"/>
      <c r="M2" s="187"/>
      <c r="N2" s="187"/>
    </row>
    <row r="3" spans="1:14" ht="15.6" x14ac:dyDescent="0.3">
      <c r="A3" s="381" t="s">
        <v>1214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233"/>
      <c r="M3" s="233"/>
      <c r="N3" s="233"/>
    </row>
    <row r="4" spans="1:14" ht="15.6" x14ac:dyDescent="0.3">
      <c r="A4" s="381" t="s">
        <v>1372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233"/>
      <c r="M4" s="233"/>
      <c r="N4" s="233"/>
    </row>
    <row r="5" spans="1:14" ht="15.6" x14ac:dyDescent="0.3">
      <c r="A5" s="240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1"/>
      <c r="M5" s="21"/>
      <c r="N5" s="21"/>
    </row>
    <row r="6" spans="1:14" ht="15.6" x14ac:dyDescent="0.3">
      <c r="A6" s="381" t="s">
        <v>1384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233"/>
      <c r="M6" s="233"/>
      <c r="N6" s="233"/>
    </row>
    <row r="8" spans="1:14" ht="14.4" thickBot="1" x14ac:dyDescent="0.3"/>
    <row r="9" spans="1:14" ht="14.4" thickBot="1" x14ac:dyDescent="0.3">
      <c r="A9" s="189"/>
      <c r="B9" s="190"/>
      <c r="C9" s="191"/>
      <c r="D9" s="189"/>
      <c r="E9" s="379" t="s">
        <v>730</v>
      </c>
      <c r="F9" s="380"/>
      <c r="G9" s="192" t="s">
        <v>1153</v>
      </c>
      <c r="H9" s="379" t="s">
        <v>960</v>
      </c>
      <c r="I9" s="380"/>
      <c r="J9" s="274" t="s">
        <v>1216</v>
      </c>
      <c r="K9" s="191"/>
      <c r="L9" s="276"/>
    </row>
    <row r="10" spans="1:14" x14ac:dyDescent="0.25">
      <c r="A10" s="194"/>
      <c r="B10" s="195"/>
      <c r="C10" s="196"/>
      <c r="D10" s="196"/>
      <c r="E10" s="191"/>
      <c r="F10" s="191"/>
      <c r="G10" s="191"/>
      <c r="H10" s="191"/>
      <c r="I10" s="191"/>
      <c r="J10" s="189"/>
      <c r="K10" s="196"/>
      <c r="L10" s="277"/>
    </row>
    <row r="11" spans="1:14" x14ac:dyDescent="0.25">
      <c r="A11" s="194"/>
      <c r="B11" s="195"/>
      <c r="C11" s="196"/>
      <c r="D11" s="196"/>
      <c r="E11" s="196"/>
      <c r="F11" s="196"/>
      <c r="G11" s="196"/>
      <c r="H11" s="196"/>
      <c r="I11" s="196"/>
      <c r="J11" s="194"/>
      <c r="K11" s="196"/>
      <c r="L11" s="277"/>
    </row>
    <row r="12" spans="1:14" ht="14.4" thickBot="1" x14ac:dyDescent="0.3">
      <c r="A12" s="198"/>
      <c r="B12" s="278" t="s">
        <v>947</v>
      </c>
      <c r="C12" s="279" t="s">
        <v>1217</v>
      </c>
      <c r="D12" s="279" t="s">
        <v>1282</v>
      </c>
      <c r="E12" s="199" t="s">
        <v>1218</v>
      </c>
      <c r="F12" s="199" t="s">
        <v>1219</v>
      </c>
      <c r="G12" s="199" t="s">
        <v>1218</v>
      </c>
      <c r="H12" s="199" t="s">
        <v>1218</v>
      </c>
      <c r="I12" s="199" t="s">
        <v>1220</v>
      </c>
      <c r="J12" s="298" t="s">
        <v>1220</v>
      </c>
      <c r="K12" s="200" t="s">
        <v>944</v>
      </c>
      <c r="L12" s="200" t="s">
        <v>1221</v>
      </c>
    </row>
    <row r="13" spans="1:14" x14ac:dyDescent="0.25">
      <c r="A13" s="201"/>
      <c r="B13" s="202"/>
      <c r="C13" s="203"/>
      <c r="D13" s="204"/>
      <c r="E13" s="205"/>
      <c r="F13" s="205"/>
      <c r="G13" s="205"/>
      <c r="H13" s="205"/>
      <c r="I13" s="205"/>
      <c r="J13" s="205"/>
      <c r="K13" s="193"/>
      <c r="L13" s="197"/>
    </row>
    <row r="14" spans="1:14" x14ac:dyDescent="0.25">
      <c r="A14" s="206" t="s">
        <v>1222</v>
      </c>
      <c r="B14" s="207" t="s">
        <v>987</v>
      </c>
      <c r="C14" s="208"/>
      <c r="D14" s="280">
        <f>'Allocation ProForma'!K176</f>
        <v>260999577.51330796</v>
      </c>
      <c r="E14" s="281">
        <f>'Allocation ProForma'!K125+'Allocation ProForma'!K126+'Allocation ProForma'!K127</f>
        <v>181912539.98870805</v>
      </c>
      <c r="F14" s="281">
        <f>'Allocation ProForma'!K128</f>
        <v>8977304.6717738248</v>
      </c>
      <c r="G14" s="281">
        <f>'Allocation ProForma'!K137</f>
        <v>33190267.738802798</v>
      </c>
      <c r="H14" s="281">
        <f>'Allocation ProForma'!K147+'Allocation ProForma'!K149+'Allocation ProForma'!K154+'Allocation ProForma'!K143</f>
        <v>33707394.48818326</v>
      </c>
      <c r="I14" s="281">
        <f>'Allocation ProForma'!K148+'Allocation ProForma'!K150+'Allocation ProForma'!K155+'Allocation ProForma'!K159+'Allocation ProForma'!K162+'Allocation ProForma'!K165</f>
        <v>3138164.2490672618</v>
      </c>
      <c r="J14" s="281">
        <f>'Allocation ProForma'!K168+'Allocation ProForma'!K171</f>
        <v>73906.376772784191</v>
      </c>
      <c r="K14" s="297">
        <f>SUM(E14:J14)</f>
        <v>260999577.51330796</v>
      </c>
      <c r="L14" s="209" t="str">
        <f>IF(ABS(K14-D14)&lt;0.01,"ok","err")</f>
        <v>ok</v>
      </c>
    </row>
    <row r="15" spans="1:14" x14ac:dyDescent="0.25">
      <c r="A15" s="210" t="s">
        <v>1223</v>
      </c>
      <c r="B15" s="215" t="s">
        <v>1224</v>
      </c>
      <c r="C15" s="208"/>
      <c r="D15" s="282">
        <f>'Allocation ProForma'!K840+'Allocation ProForma'!K841+'Allocation ProForma'!K842</f>
        <v>0</v>
      </c>
      <c r="E15" s="237">
        <f t="shared" ref="E15:J15" si="0">(E14/$D$14)*$D$15</f>
        <v>0</v>
      </c>
      <c r="F15" s="237">
        <f t="shared" si="0"/>
        <v>0</v>
      </c>
      <c r="G15" s="237">
        <f t="shared" si="0"/>
        <v>0</v>
      </c>
      <c r="H15" s="237">
        <f t="shared" si="0"/>
        <v>0</v>
      </c>
      <c r="I15" s="237">
        <f t="shared" si="0"/>
        <v>0</v>
      </c>
      <c r="J15" s="237">
        <f t="shared" si="0"/>
        <v>0</v>
      </c>
      <c r="K15" s="297">
        <f>SUM(E15:J15)</f>
        <v>0</v>
      </c>
      <c r="L15" s="209" t="str">
        <f>IF(ABS(K15-D15)&lt;0.01,"ok","err")</f>
        <v>ok</v>
      </c>
    </row>
    <row r="16" spans="1:14" x14ac:dyDescent="0.25">
      <c r="A16" s="210" t="s">
        <v>1225</v>
      </c>
      <c r="B16" s="236" t="s">
        <v>1226</v>
      </c>
      <c r="C16" s="208"/>
      <c r="D16" s="234">
        <f>D14+D15</f>
        <v>260999577.51330796</v>
      </c>
      <c r="E16" s="235">
        <f t="shared" ref="E16:K16" si="1">E14+E15</f>
        <v>181912539.98870805</v>
      </c>
      <c r="F16" s="235">
        <f t="shared" si="1"/>
        <v>8977304.6717738248</v>
      </c>
      <c r="G16" s="235">
        <f t="shared" si="1"/>
        <v>33190267.738802798</v>
      </c>
      <c r="H16" s="235">
        <f t="shared" si="1"/>
        <v>33707394.48818326</v>
      </c>
      <c r="I16" s="235">
        <f t="shared" si="1"/>
        <v>3138164.2490672618</v>
      </c>
      <c r="J16" s="235">
        <f t="shared" si="1"/>
        <v>73906.376772784191</v>
      </c>
      <c r="K16" s="297">
        <f t="shared" si="1"/>
        <v>260999577.51330796</v>
      </c>
      <c r="L16" s="209" t="str">
        <f>IF(ABS(K16-D16)&lt;0.01,"ok","err")</f>
        <v>ok</v>
      </c>
    </row>
    <row r="17" spans="1:12" x14ac:dyDescent="0.25">
      <c r="A17" s="210"/>
      <c r="B17" s="211"/>
      <c r="C17" s="212"/>
      <c r="D17" s="283"/>
      <c r="E17" s="238"/>
      <c r="F17" s="238"/>
      <c r="G17" s="238"/>
      <c r="H17" s="238"/>
      <c r="I17" s="238"/>
      <c r="J17" s="238"/>
      <c r="K17" s="296"/>
      <c r="L17" s="213"/>
    </row>
    <row r="18" spans="1:12" x14ac:dyDescent="0.25">
      <c r="A18" s="210" t="s">
        <v>1227</v>
      </c>
      <c r="B18" s="207" t="s">
        <v>1143</v>
      </c>
      <c r="C18" s="208"/>
      <c r="D18" s="284">
        <f>'Allocation ProForma'!K995</f>
        <v>0.12873717602393711</v>
      </c>
      <c r="E18" s="285">
        <f t="shared" ref="E18:J18" si="2">D18</f>
        <v>0.12873717602393711</v>
      </c>
      <c r="F18" s="285">
        <f t="shared" si="2"/>
        <v>0.12873717602393711</v>
      </c>
      <c r="G18" s="285">
        <f t="shared" si="2"/>
        <v>0.12873717602393711</v>
      </c>
      <c r="H18" s="285">
        <f t="shared" si="2"/>
        <v>0.12873717602393711</v>
      </c>
      <c r="I18" s="285">
        <f t="shared" si="2"/>
        <v>0.12873717602393711</v>
      </c>
      <c r="J18" s="285">
        <f t="shared" si="2"/>
        <v>0.12873717602393711</v>
      </c>
      <c r="K18" s="296"/>
      <c r="L18" s="209"/>
    </row>
    <row r="19" spans="1:12" x14ac:dyDescent="0.25">
      <c r="A19" s="214"/>
      <c r="B19" s="207"/>
      <c r="C19" s="212"/>
      <c r="D19" s="283"/>
      <c r="E19" s="238"/>
      <c r="F19" s="238"/>
      <c r="G19" s="238"/>
      <c r="H19" s="238"/>
      <c r="I19" s="238"/>
      <c r="J19" s="238"/>
      <c r="K19" s="296"/>
      <c r="L19" s="213"/>
    </row>
    <row r="20" spans="1:12" x14ac:dyDescent="0.25">
      <c r="A20" s="210" t="s">
        <v>1228</v>
      </c>
      <c r="B20" s="207" t="s">
        <v>1229</v>
      </c>
      <c r="C20" s="208"/>
      <c r="D20" s="286">
        <f>D18*D16</f>
        <v>33600348.552503943</v>
      </c>
      <c r="E20" s="235">
        <f t="shared" ref="E20:J20" si="3">E18*E16</f>
        <v>23418906.681487806</v>
      </c>
      <c r="F20" s="235">
        <f t="shared" si="3"/>
        <v>1155712.8517506598</v>
      </c>
      <c r="G20" s="235">
        <f t="shared" si="3"/>
        <v>4272821.3401718568</v>
      </c>
      <c r="H20" s="235">
        <f t="shared" si="3"/>
        <v>4339394.7775335358</v>
      </c>
      <c r="I20" s="235">
        <f t="shared" si="3"/>
        <v>403998.4033241985</v>
      </c>
      <c r="J20" s="235">
        <f t="shared" si="3"/>
        <v>9514.4982358893358</v>
      </c>
      <c r="K20" s="297">
        <f>SUM(E20:J20)</f>
        <v>33600348.552503943</v>
      </c>
      <c r="L20" s="209" t="str">
        <f>IF(ABS(K20-D20)&lt;0.01,"ok","err")</f>
        <v>ok</v>
      </c>
    </row>
    <row r="21" spans="1:12" x14ac:dyDescent="0.25">
      <c r="A21" s="214"/>
      <c r="B21" s="207"/>
      <c r="C21" s="212"/>
      <c r="D21" s="283"/>
      <c r="E21" s="238"/>
      <c r="F21" s="238"/>
      <c r="G21" s="238"/>
      <c r="H21" s="238"/>
      <c r="I21" s="238"/>
      <c r="J21" s="238"/>
      <c r="K21" s="297"/>
      <c r="L21" s="213"/>
    </row>
    <row r="22" spans="1:12" x14ac:dyDescent="0.25">
      <c r="A22" s="210" t="s">
        <v>1230</v>
      </c>
      <c r="B22" s="207" t="s">
        <v>817</v>
      </c>
      <c r="C22" s="208"/>
      <c r="D22" s="286">
        <f>'Allocation ProForma'!K742</f>
        <v>6272030.7093191929</v>
      </c>
      <c r="E22" s="235">
        <f t="shared" ref="E22:J22" si="4">(E14/$D$14)*$D$22</f>
        <v>4371505.3031503735</v>
      </c>
      <c r="F22" s="235">
        <f t="shared" si="4"/>
        <v>215731.88403114997</v>
      </c>
      <c r="G22" s="235">
        <f t="shared" si="4"/>
        <v>797588.94819545432</v>
      </c>
      <c r="H22" s="235">
        <f t="shared" si="4"/>
        <v>810015.92176999687</v>
      </c>
      <c r="I22" s="235">
        <f t="shared" si="4"/>
        <v>75412.62222937461</v>
      </c>
      <c r="J22" s="235">
        <f t="shared" si="4"/>
        <v>1776.0299428445696</v>
      </c>
      <c r="K22" s="297">
        <f>SUM(E22:J22)</f>
        <v>6272030.7093191948</v>
      </c>
      <c r="L22" s="209" t="str">
        <f>IF(ABS(K22-D22)&lt;0.01,"ok","err")</f>
        <v>ok</v>
      </c>
    </row>
    <row r="23" spans="1:12" x14ac:dyDescent="0.25">
      <c r="A23" s="214"/>
      <c r="B23" s="207"/>
      <c r="C23" s="212"/>
      <c r="D23" s="283"/>
      <c r="E23" s="238"/>
      <c r="F23" s="238"/>
      <c r="G23" s="238"/>
      <c r="H23" s="238"/>
      <c r="I23" s="238"/>
      <c r="J23" s="238"/>
      <c r="K23" s="297"/>
      <c r="L23" s="213"/>
    </row>
    <row r="24" spans="1:12" x14ac:dyDescent="0.25">
      <c r="A24" s="210" t="s">
        <v>1231</v>
      </c>
      <c r="B24" s="207" t="s">
        <v>1232</v>
      </c>
      <c r="C24" s="208"/>
      <c r="D24" s="286">
        <f>D20-D22</f>
        <v>27328317.843184751</v>
      </c>
      <c r="E24" s="235">
        <f t="shared" ref="E24:J24" si="5">E20-E22</f>
        <v>19047401.378337432</v>
      </c>
      <c r="F24" s="235">
        <f t="shared" si="5"/>
        <v>939980.96771950973</v>
      </c>
      <c r="G24" s="235">
        <f t="shared" si="5"/>
        <v>3475232.3919764026</v>
      </c>
      <c r="H24" s="235">
        <f t="shared" si="5"/>
        <v>3529378.8557635387</v>
      </c>
      <c r="I24" s="235">
        <f t="shared" si="5"/>
        <v>328585.78109482391</v>
      </c>
      <c r="J24" s="235">
        <f t="shared" si="5"/>
        <v>7738.4682930447661</v>
      </c>
      <c r="K24" s="297">
        <f>SUM(E24:J24)</f>
        <v>27328317.843184751</v>
      </c>
      <c r="L24" s="209" t="str">
        <f>IF(ABS(K24-D24)&lt;0.01,"ok","err")</f>
        <v>ok</v>
      </c>
    </row>
    <row r="25" spans="1:12" x14ac:dyDescent="0.25">
      <c r="A25" s="214"/>
      <c r="B25" s="207"/>
      <c r="C25" s="212"/>
      <c r="D25" s="283"/>
      <c r="E25" s="238"/>
      <c r="F25" s="238"/>
      <c r="G25" s="238"/>
      <c r="H25" s="238"/>
      <c r="I25" s="238"/>
      <c r="J25" s="238"/>
      <c r="K25" s="297"/>
      <c r="L25" s="213"/>
    </row>
    <row r="26" spans="1:12" x14ac:dyDescent="0.25">
      <c r="A26" s="210" t="s">
        <v>1233</v>
      </c>
      <c r="B26" s="207" t="s">
        <v>1234</v>
      </c>
      <c r="C26" s="212"/>
      <c r="D26" s="286">
        <f>'Allocation ProForma'!K792+'Allocation ProForma'!K986</f>
        <v>17811834.363963693</v>
      </c>
      <c r="E26" s="235">
        <f t="shared" ref="E26:J26" si="6">$D$26*(E24/$K$24)</f>
        <v>12414564.275842849</v>
      </c>
      <c r="F26" s="235">
        <f t="shared" si="6"/>
        <v>612653.34362589021</v>
      </c>
      <c r="G26" s="235">
        <f t="shared" si="6"/>
        <v>2265059.4192207837</v>
      </c>
      <c r="H26" s="235">
        <f t="shared" si="6"/>
        <v>2300350.5721525163</v>
      </c>
      <c r="I26" s="235">
        <f t="shared" si="6"/>
        <v>214163.03560280096</v>
      </c>
      <c r="J26" s="235">
        <f t="shared" si="6"/>
        <v>5043.7175188546198</v>
      </c>
      <c r="K26" s="297">
        <f>SUM(E26:J26)</f>
        <v>17811834.363963697</v>
      </c>
      <c r="L26" s="209" t="str">
        <f>IF(ABS(K26-D26)&lt;0.01,"ok","err")</f>
        <v>ok</v>
      </c>
    </row>
    <row r="27" spans="1:12" x14ac:dyDescent="0.25">
      <c r="A27" s="214"/>
      <c r="B27" s="207"/>
      <c r="C27" s="212"/>
      <c r="D27" s="283"/>
      <c r="E27" s="238"/>
      <c r="F27" s="238"/>
      <c r="G27" s="238"/>
      <c r="H27" s="238"/>
      <c r="I27" s="238"/>
      <c r="J27" s="238"/>
      <c r="K27" s="297"/>
      <c r="L27" s="213"/>
    </row>
    <row r="28" spans="1:12" x14ac:dyDescent="0.25">
      <c r="A28" s="210" t="s">
        <v>1235</v>
      </c>
      <c r="B28" s="207" t="s">
        <v>997</v>
      </c>
      <c r="C28" s="208"/>
      <c r="D28" s="286">
        <f>'Allocation ProForma'!K712</f>
        <v>101603566.48833007</v>
      </c>
      <c r="E28" s="235">
        <f>'Allocation ProForma'!K182+'Allocation ProForma'!K183+'Allocation ProForma'!K184</f>
        <v>15811040.6275279</v>
      </c>
      <c r="F28" s="235">
        <f>'Allocation ProForma'!K185</f>
        <v>78309371.762317881</v>
      </c>
      <c r="G28" s="235">
        <f>'Allocation ProForma'!K194</f>
        <v>2975054.79021595</v>
      </c>
      <c r="H28" s="235">
        <f>'Allocation ProForma'!K200+'Allocation ProForma'!K204+'Allocation ProForma'!K206+'Allocation ProForma'!K211</f>
        <v>3039787.3039847664</v>
      </c>
      <c r="I28" s="235">
        <f>'Allocation ProForma'!K205+'Allocation ProForma'!K207+'Allocation ProForma'!K212+'Allocation ProForma'!K216+'Allocation ProForma'!K219</f>
        <v>827694.18555616844</v>
      </c>
      <c r="J28" s="235">
        <f>'Allocation ProForma'!K225+'Allocation ProForma'!K228</f>
        <v>640617.81872736616</v>
      </c>
      <c r="K28" s="297">
        <f t="shared" ref="K28:K33" si="7">SUM(E28:J28)</f>
        <v>101603566.48833004</v>
      </c>
      <c r="L28" s="209" t="str">
        <f>IF(ABS(K28-D28)&lt;0.01,"ok","err")</f>
        <v>ok</v>
      </c>
    </row>
    <row r="29" spans="1:12" x14ac:dyDescent="0.25">
      <c r="A29" s="210" t="s">
        <v>1236</v>
      </c>
      <c r="B29" s="207" t="s">
        <v>1094</v>
      </c>
      <c r="C29" s="208"/>
      <c r="D29" s="282">
        <f>'Allocation ProForma'!K713</f>
        <v>13301550.216644557</v>
      </c>
      <c r="E29" s="235">
        <f>'Allocation ProForma'!K302</f>
        <v>9858634.8081163932</v>
      </c>
      <c r="F29" s="235">
        <v>0</v>
      </c>
      <c r="G29" s="235">
        <f>'Allocation ProForma'!K308</f>
        <v>1373246.0783658493</v>
      </c>
      <c r="H29" s="235">
        <f>'Allocation ProForma'!K314+'Allocation ProForma'!K318+'Allocation ProForma'!K320+'Allocation ProForma'!K325</f>
        <v>1897059.2049906291</v>
      </c>
      <c r="I29" s="235">
        <f>'Allocation ProForma'!K319+'Allocation ProForma'!K321+'Allocation ProForma'!K326+'Allocation ProForma'!K330+'Allocation ProForma'!K333</f>
        <v>172610.12517168463</v>
      </c>
      <c r="J29" s="235">
        <v>0</v>
      </c>
      <c r="K29" s="297">
        <f t="shared" si="7"/>
        <v>13301550.216644555</v>
      </c>
      <c r="L29" s="209" t="str">
        <f>IF(ABS(K29-D29)&lt;0.01,"ok","err")</f>
        <v>ok</v>
      </c>
    </row>
    <row r="30" spans="1:12" x14ac:dyDescent="0.25">
      <c r="A30" s="210" t="s">
        <v>1237</v>
      </c>
      <c r="B30" s="207" t="s">
        <v>1238</v>
      </c>
      <c r="C30" s="208"/>
      <c r="D30" s="282">
        <f>'Allocation ProForma'!K714+'Allocation ProForma'!K715+'Allocation ProForma'!K718+'Allocation ProForma'!K719+'Allocation ProForma'!K720</f>
        <v>3289230.1971657602</v>
      </c>
      <c r="E30" s="235">
        <f>'Allocation ProForma'!K417+'Allocation ProForma'!K474+'Allocation ProForma'!K359+'Allocation ProForma'!K531+'Allocation ProForma'!K589</f>
        <v>2383098.8616273864</v>
      </c>
      <c r="F30" s="235">
        <f>'Allocation ProForma'!K356+'Allocation ProForma'!K357+'Allocation ProForma'!K358+'Allocation ProForma'!K414+'Allocation ProForma'!K415+'Allocation ProForma'!K416+'Allocation ProForma'!K471+'Allocation ProForma'!K472+'Allocation ProForma'!K473+'Allocation ProForma'!K528+'Allocation ProForma'!K529+'Allocation ProForma'!K530+'Allocation ProForma'!K586+'Allocation ProForma'!K587+'Allocation ProForma'!K588</f>
        <v>0</v>
      </c>
      <c r="G30" s="235">
        <f>'Allocation ProForma'!K365+'Allocation ProForma'!K423+'Allocation ProForma'!K480+'Allocation ProForma'!K537+'Allocation ProForma'!K595</f>
        <v>422519.32946783968</v>
      </c>
      <c r="H30" s="235">
        <f>'Allocation ProForma'!K371+'Allocation ProForma'!K375+'Allocation ProForma'!K377+'Allocation ProForma'!K382+'Allocation ProForma'!K429+'Allocation ProForma'!K433+'Allocation ProForma'!K435+'Allocation ProForma'!K440+'Allocation ProForma'!K486+'Allocation ProForma'!K490+'Allocation ProForma'!K492+'Allocation ProForma'!K497+'Allocation ProForma'!K543+'Allocation ProForma'!K547+'Allocation ProForma'!K549+'Allocation ProForma'!K554+'Allocation ProForma'!K601+'Allocation ProForma'!K605+'Allocation ProForma'!K607+'Allocation ProForma'!K612</f>
        <v>443278.83415470121</v>
      </c>
      <c r="I30" s="235">
        <f>'Allocation ProForma'!K376+'Allocation ProForma'!K378+'Allocation ProForma'!K383+'Allocation ProForma'!K387+'Allocation ProForma'!K391+'Allocation ProForma'!K434+'Allocation ProForma'!K436+'Allocation ProForma'!K441+'Allocation ProForma'!K445+'Allocation ProForma'!K448+'Allocation ProForma'!K491+'Allocation ProForma'!K493+'Allocation ProForma'!K498+'Allocation ProForma'!K502+'Allocation ProForma'!K505+'Allocation ProForma'!K548+'Allocation ProForma'!K550+'Allocation ProForma'!K555+'Allocation ProForma'!K559+'Allocation ProForma'!K562+'Allocation ProForma'!K606+'Allocation ProForma'!K608+'Allocation ProForma'!K613+'Allocation ProForma'!K617+'Allocation ProForma'!K620</f>
        <v>40333.171915833453</v>
      </c>
      <c r="J30" s="235">
        <v>0</v>
      </c>
      <c r="K30" s="297">
        <f t="shared" si="7"/>
        <v>3289230.1971657607</v>
      </c>
      <c r="L30" s="209" t="str">
        <f>IF(ABS(K30-D30)&lt;0.01,"ok","err")</f>
        <v>ok</v>
      </c>
    </row>
    <row r="31" spans="1:12" x14ac:dyDescent="0.25">
      <c r="A31" s="210" t="s">
        <v>1239</v>
      </c>
      <c r="B31" s="207" t="s">
        <v>1270</v>
      </c>
      <c r="C31" s="208"/>
      <c r="D31" s="282">
        <f>'Allocation ProForma'!K716+'Allocation ProForma'!K717</f>
        <v>0</v>
      </c>
      <c r="E31" s="235">
        <f t="shared" ref="E31:J31" si="8">$D$31*(E14/$K$14)</f>
        <v>0</v>
      </c>
      <c r="F31" s="235">
        <f t="shared" si="8"/>
        <v>0</v>
      </c>
      <c r="G31" s="235">
        <f t="shared" si="8"/>
        <v>0</v>
      </c>
      <c r="H31" s="235">
        <f t="shared" si="8"/>
        <v>0</v>
      </c>
      <c r="I31" s="235">
        <f t="shared" si="8"/>
        <v>0</v>
      </c>
      <c r="J31" s="235">
        <f t="shared" si="8"/>
        <v>0</v>
      </c>
      <c r="K31" s="297">
        <f t="shared" si="7"/>
        <v>0</v>
      </c>
      <c r="L31" s="209" t="str">
        <f>IF(ABS(K31-D31)&lt;0.01,"ok","err")</f>
        <v>ok</v>
      </c>
    </row>
    <row r="32" spans="1:12" x14ac:dyDescent="0.25">
      <c r="A32" s="210" t="s">
        <v>1241</v>
      </c>
      <c r="B32" s="215" t="s">
        <v>1240</v>
      </c>
      <c r="C32" s="208"/>
      <c r="D32" s="282">
        <f>'Allocation ProForma'!K723</f>
        <v>488699.19441685366</v>
      </c>
      <c r="E32" s="235">
        <f>D32</f>
        <v>488699.19441685366</v>
      </c>
      <c r="F32" s="235">
        <v>0</v>
      </c>
      <c r="G32" s="235">
        <v>0</v>
      </c>
      <c r="H32" s="235">
        <v>0</v>
      </c>
      <c r="I32" s="235">
        <v>0</v>
      </c>
      <c r="J32" s="235">
        <v>0</v>
      </c>
      <c r="K32" s="297">
        <f t="shared" si="7"/>
        <v>488699.19441685366</v>
      </c>
      <c r="L32" s="209" t="str">
        <f>IF(ABS(K32-D32)&lt;0.01,"ok","err")</f>
        <v>ok</v>
      </c>
    </row>
    <row r="33" spans="1:12" x14ac:dyDescent="0.25">
      <c r="A33" s="210" t="s">
        <v>1243</v>
      </c>
      <c r="B33" s="215" t="s">
        <v>1242</v>
      </c>
      <c r="C33" s="208"/>
      <c r="D33" s="282">
        <f>'Allocation ProForma'!K810</f>
        <v>11245.315394261088</v>
      </c>
      <c r="E33" s="235">
        <f>D33</f>
        <v>11245.315394261088</v>
      </c>
      <c r="F33" s="235">
        <v>0</v>
      </c>
      <c r="G33" s="235">
        <v>0</v>
      </c>
      <c r="H33" s="235">
        <v>0</v>
      </c>
      <c r="I33" s="235">
        <v>0</v>
      </c>
      <c r="J33" s="235">
        <v>0</v>
      </c>
      <c r="K33" s="297">
        <f t="shared" si="7"/>
        <v>11245.315394261088</v>
      </c>
      <c r="L33" s="209" t="str">
        <f t="shared" ref="L33:L39" si="9">IF(ABS(K33-D33)&lt;0.01,"ok","err")</f>
        <v>ok</v>
      </c>
    </row>
    <row r="34" spans="1:12" x14ac:dyDescent="0.25">
      <c r="A34" s="210" t="s">
        <v>1245</v>
      </c>
      <c r="B34" s="215" t="s">
        <v>1244</v>
      </c>
      <c r="C34" s="208"/>
      <c r="D34" s="282">
        <f>'Allocation ProForma'!K797+'Allocation ProForma'!K800+'Allocation ProForma'!K801</f>
        <v>0</v>
      </c>
      <c r="E34" s="235">
        <v>0</v>
      </c>
      <c r="F34" s="235">
        <f>D34</f>
        <v>0</v>
      </c>
      <c r="G34" s="235">
        <v>0</v>
      </c>
      <c r="H34" s="235">
        <v>0</v>
      </c>
      <c r="I34" s="235">
        <v>0</v>
      </c>
      <c r="J34" s="235">
        <v>0</v>
      </c>
      <c r="K34" s="297">
        <f t="shared" ref="K34:K39" si="10">SUM(E34:J34)</f>
        <v>0</v>
      </c>
      <c r="L34" s="209" t="str">
        <f t="shared" si="9"/>
        <v>ok</v>
      </c>
    </row>
    <row r="35" spans="1:12" x14ac:dyDescent="0.25">
      <c r="A35" s="210" t="s">
        <v>1247</v>
      </c>
      <c r="B35" s="207" t="s">
        <v>1246</v>
      </c>
      <c r="C35" s="208"/>
      <c r="D35" s="282">
        <f>'Allocation ProForma'!K808+'Allocation ProForma'!K811</f>
        <v>0</v>
      </c>
      <c r="E35" s="235">
        <v>0</v>
      </c>
      <c r="F35" s="235">
        <v>0</v>
      </c>
      <c r="G35" s="235">
        <f>D35</f>
        <v>0</v>
      </c>
      <c r="H35" s="235">
        <v>0</v>
      </c>
      <c r="I35" s="235">
        <v>0</v>
      </c>
      <c r="J35" s="235">
        <v>0</v>
      </c>
      <c r="K35" s="297">
        <f t="shared" si="10"/>
        <v>0</v>
      </c>
      <c r="L35" s="209" t="str">
        <f t="shared" si="9"/>
        <v>ok</v>
      </c>
    </row>
    <row r="36" spans="1:12" x14ac:dyDescent="0.25">
      <c r="A36" s="210" t="s">
        <v>1249</v>
      </c>
      <c r="B36" s="207" t="s">
        <v>1248</v>
      </c>
      <c r="C36" s="208"/>
      <c r="D36" s="282">
        <f>'Allocation ProForma'!K802</f>
        <v>0</v>
      </c>
      <c r="E36" s="235">
        <v>0</v>
      </c>
      <c r="F36" s="235">
        <v>0</v>
      </c>
      <c r="G36" s="235">
        <v>0</v>
      </c>
      <c r="H36" s="235">
        <f>(H14/($I$14+$H$14)*$D$36)</f>
        <v>0</v>
      </c>
      <c r="I36" s="235">
        <f>(I14/($I$14+$H$14)*$D$36)</f>
        <v>0</v>
      </c>
      <c r="J36" s="235">
        <v>0</v>
      </c>
      <c r="K36" s="297">
        <f t="shared" si="10"/>
        <v>0</v>
      </c>
      <c r="L36" s="209" t="str">
        <f t="shared" si="9"/>
        <v>ok</v>
      </c>
    </row>
    <row r="37" spans="1:12" x14ac:dyDescent="0.25">
      <c r="A37" s="216" t="s">
        <v>1251</v>
      </c>
      <c r="B37" s="207" t="s">
        <v>1250</v>
      </c>
      <c r="C37" s="208"/>
      <c r="D37" s="282">
        <f>'Allocation ProForma'!K803+'Allocation ProForma'!K804+'Allocation ProForma'!K805+'Allocation ProForma'!K806+'Allocation ProForma'!K807+'Allocation ProForma'!K809+'Allocation ProForma'!K814+'Allocation ProForma'!K815+'Allocation ProForma'!K818+'Allocation ProForma'!K819+'Allocation ProForma'!K820+'Allocation ProForma'!K821+'Allocation ProForma'!K822+'Allocation ProForma'!K823+'Allocation ProForma'!K824+'Allocation ProForma'!K826+'Allocation ProForma'!K827+'Allocation ProForma'!K983+'Allocation ProForma'!K984</f>
        <v>646801.48315963277</v>
      </c>
      <c r="E37" s="235">
        <f t="shared" ref="E37:J37" si="11">(E14/($D$14)*$D$37)</f>
        <v>450810.31084823504</v>
      </c>
      <c r="F37" s="235">
        <f t="shared" si="11"/>
        <v>22247.292627066203</v>
      </c>
      <c r="G37" s="235">
        <f t="shared" si="11"/>
        <v>82251.146168343388</v>
      </c>
      <c r="H37" s="235">
        <f t="shared" si="11"/>
        <v>83532.674482172733</v>
      </c>
      <c r="I37" s="235">
        <f t="shared" si="11"/>
        <v>7776.9064227383487</v>
      </c>
      <c r="J37" s="235">
        <f t="shared" si="11"/>
        <v>183.15261107713505</v>
      </c>
      <c r="K37" s="297">
        <f t="shared" si="10"/>
        <v>646801.48315963289</v>
      </c>
      <c r="L37" s="209" t="str">
        <f t="shared" si="9"/>
        <v>ok</v>
      </c>
    </row>
    <row r="38" spans="1:12" x14ac:dyDescent="0.25">
      <c r="A38" s="210"/>
      <c r="B38" s="207"/>
      <c r="D38" s="286"/>
      <c r="E38" s="235"/>
      <c r="F38" s="235"/>
      <c r="G38" s="235"/>
      <c r="H38" s="235"/>
      <c r="I38" s="235"/>
      <c r="J38" s="235"/>
      <c r="K38" s="297"/>
      <c r="L38" s="209"/>
    </row>
    <row r="39" spans="1:12" x14ac:dyDescent="0.25">
      <c r="A39" s="210" t="s">
        <v>1253</v>
      </c>
      <c r="B39" s="207" t="s">
        <v>1252</v>
      </c>
      <c r="C39" s="208"/>
      <c r="D39" s="286">
        <f>'Allocation ProForma'!K828+'Allocation ProForma'!K983+'Allocation ProForma'!K984</f>
        <v>658046.79855389381</v>
      </c>
      <c r="E39" s="235">
        <f>SUM(E33:E37)</f>
        <v>462055.62624249613</v>
      </c>
      <c r="F39" s="235">
        <f>SUM(F34:F37)</f>
        <v>22247.292627066203</v>
      </c>
      <c r="G39" s="235">
        <f>SUM(G33:G37)</f>
        <v>82251.146168343388</v>
      </c>
      <c r="H39" s="235">
        <f>SUM(H33:H37)</f>
        <v>83532.674482172733</v>
      </c>
      <c r="I39" s="235">
        <f>SUM(I33:I37)</f>
        <v>7776.9064227383487</v>
      </c>
      <c r="J39" s="235">
        <f>SUM(J33:J37)</f>
        <v>183.15261107713505</v>
      </c>
      <c r="K39" s="297">
        <f t="shared" si="10"/>
        <v>658046.79855389392</v>
      </c>
      <c r="L39" s="209" t="str">
        <f t="shared" si="9"/>
        <v>ok</v>
      </c>
    </row>
    <row r="40" spans="1:12" x14ac:dyDescent="0.25">
      <c r="A40" s="214"/>
      <c r="B40" s="207"/>
      <c r="C40" s="212"/>
      <c r="D40" s="234"/>
      <c r="E40" s="238"/>
      <c r="F40" s="238"/>
      <c r="G40" s="238"/>
      <c r="H40" s="238"/>
      <c r="I40" s="238"/>
      <c r="J40" s="238"/>
      <c r="K40" s="277"/>
      <c r="L40" s="213"/>
    </row>
    <row r="41" spans="1:12" x14ac:dyDescent="0.25">
      <c r="A41" s="210" t="s">
        <v>1255</v>
      </c>
      <c r="B41" s="207" t="s">
        <v>1254</v>
      </c>
      <c r="C41" s="217">
        <f>'Allocation ProForma'!K975</f>
        <v>170753275.81157878</v>
      </c>
      <c r="D41" s="286">
        <f t="shared" ref="D41:I41" si="12">SUM(D28:D32)+D22+D26+D39+D24</f>
        <v>170753275.81157872</v>
      </c>
      <c r="E41" s="235">
        <f t="shared" si="12"/>
        <v>64837000.075261682</v>
      </c>
      <c r="F41" s="235">
        <f t="shared" si="12"/>
        <v>80099985.250321493</v>
      </c>
      <c r="G41" s="235">
        <f t="shared" si="12"/>
        <v>11390952.103610624</v>
      </c>
      <c r="H41" s="235">
        <f t="shared" si="12"/>
        <v>12103403.36729832</v>
      </c>
      <c r="I41" s="235">
        <f t="shared" si="12"/>
        <v>1666575.8279934246</v>
      </c>
      <c r="J41" s="235">
        <f>SUM(J28:J32)+J22+J26+J39+J24</f>
        <v>655359.18709318724</v>
      </c>
      <c r="K41" s="297">
        <f>SUM(E41:J41)</f>
        <v>170753275.81157872</v>
      </c>
      <c r="L41" s="209" t="str">
        <f>IF(ABS(K41-D41)&lt;0.01,"ok","err")</f>
        <v>ok</v>
      </c>
    </row>
    <row r="42" spans="1:12" x14ac:dyDescent="0.25">
      <c r="A42" s="214"/>
      <c r="B42" s="207"/>
      <c r="C42" s="212"/>
      <c r="D42" s="287"/>
      <c r="E42" s="238"/>
      <c r="F42" s="238"/>
      <c r="G42" s="238"/>
      <c r="H42" s="238"/>
      <c r="I42" s="238"/>
      <c r="J42" s="238"/>
      <c r="K42" s="277"/>
      <c r="L42" s="213"/>
    </row>
    <row r="43" spans="1:12" x14ac:dyDescent="0.25">
      <c r="A43" s="210" t="s">
        <v>1256</v>
      </c>
      <c r="B43" s="207" t="s">
        <v>1257</v>
      </c>
      <c r="C43" s="208"/>
      <c r="D43" s="286">
        <f>-('Allocation ProForma'!K700+'Allocation ProForma'!K701+'Allocation ProForma'!K702)</f>
        <v>0</v>
      </c>
      <c r="E43" s="235">
        <v>0</v>
      </c>
      <c r="F43" s="235">
        <f>D43</f>
        <v>0</v>
      </c>
      <c r="G43" s="235">
        <v>0</v>
      </c>
      <c r="H43" s="235">
        <v>0</v>
      </c>
      <c r="I43" s="235">
        <v>0</v>
      </c>
      <c r="J43" s="235">
        <v>0</v>
      </c>
      <c r="K43" s="297">
        <f>SUM(E43:J43)</f>
        <v>0</v>
      </c>
      <c r="L43" s="209" t="str">
        <f>IF(ABS(K43-D43)&lt;0.01,"ok","err")</f>
        <v>ok</v>
      </c>
    </row>
    <row r="44" spans="1:12" x14ac:dyDescent="0.25">
      <c r="A44" s="210" t="s">
        <v>1258</v>
      </c>
      <c r="B44" s="207" t="s">
        <v>1259</v>
      </c>
      <c r="C44" s="208"/>
      <c r="D44" s="282">
        <f>-('Allocation ProForma'!K698+'Allocation ProForma'!K699+'Allocation ProForma'!K703+'Allocation ProForma'!K704+'Allocation ProForma'!K705+'Allocation ProForma'!K706)</f>
        <v>-10795044.849812014</v>
      </c>
      <c r="E44" s="235">
        <f>-('Allocation ProForma'!K698+'Allocation ProForma'!K699)-(E14/($D$14)*('Allocation ProForma'!K703+'Allocation ProForma'!K704+'Allocation ProForma'!K705+'Allocation ProForma'!K706))</f>
        <v>-10408988.799487956</v>
      </c>
      <c r="F44" s="235">
        <f>(F14/($D$14)*-('Allocation ProForma'!K703+'Allocation ProForma'!K704+'Allocation ProForma'!K705+'Allocation ProForma'!K706))</f>
        <v>-43821.88146904239</v>
      </c>
      <c r="G44" s="235">
        <f>(G14/($D$14)*-('Allocation ProForma'!K703+'Allocation ProForma'!K704+'Allocation ProForma'!K705+'Allocation ProForma'!K706))</f>
        <v>-162015.21859324523</v>
      </c>
      <c r="H44" s="235">
        <f>(H14/($D$14)*-('Allocation ProForma'!K703+'Allocation ProForma'!K704+'Allocation ProForma'!K705+'Allocation ProForma'!K706))</f>
        <v>-164539.5249351112</v>
      </c>
      <c r="I44" s="235">
        <f>(I14/($D$14)*-('Allocation ProForma'!K703+'Allocation ProForma'!K704+'Allocation ProForma'!K705+'Allocation ProForma'!K706))</f>
        <v>-15318.658192073965</v>
      </c>
      <c r="J44" s="235">
        <f>(J14/($D$14)*-('Allocation ProForma'!K703+'Allocation ProForma'!K704+'Allocation ProForma'!K705+'Allocation ProForma'!K706))</f>
        <v>-360.76713458622083</v>
      </c>
      <c r="K44" s="297">
        <f>SUM(E44:J44)</f>
        <v>-10795044.849812016</v>
      </c>
      <c r="L44" s="209" t="str">
        <f>IF(ABS(K44-D44)&lt;0.01,"ok","err")</f>
        <v>ok</v>
      </c>
    </row>
    <row r="45" spans="1:12" x14ac:dyDescent="0.25">
      <c r="A45" s="210" t="s">
        <v>1260</v>
      </c>
      <c r="B45" s="207" t="s">
        <v>1261</v>
      </c>
      <c r="C45" s="208"/>
      <c r="D45" s="282">
        <f t="shared" ref="D45:J45" si="13">SUM(D43:D44)</f>
        <v>-10795044.849812014</v>
      </c>
      <c r="E45" s="235">
        <f t="shared" si="13"/>
        <v>-10408988.799487956</v>
      </c>
      <c r="F45" s="235">
        <f t="shared" si="13"/>
        <v>-43821.88146904239</v>
      </c>
      <c r="G45" s="235">
        <f t="shared" si="13"/>
        <v>-162015.21859324523</v>
      </c>
      <c r="H45" s="235">
        <f t="shared" si="13"/>
        <v>-164539.5249351112</v>
      </c>
      <c r="I45" s="235">
        <f t="shared" si="13"/>
        <v>-15318.658192073965</v>
      </c>
      <c r="J45" s="235">
        <f t="shared" si="13"/>
        <v>-360.76713458622083</v>
      </c>
      <c r="K45" s="297">
        <f>SUM(E45:J45)</f>
        <v>-10795044.849812016</v>
      </c>
      <c r="L45" s="209" t="str">
        <f>IF(ABS(K45-D45)&lt;0.01,"ok","err")</f>
        <v>ok</v>
      </c>
    </row>
    <row r="46" spans="1:12" x14ac:dyDescent="0.25">
      <c r="A46" s="214"/>
      <c r="B46" s="207"/>
      <c r="D46" s="288"/>
      <c r="E46" s="238"/>
      <c r="F46" s="238"/>
      <c r="G46" s="238"/>
      <c r="H46" s="238"/>
      <c r="I46" s="238"/>
      <c r="J46" s="238"/>
      <c r="K46" s="277"/>
      <c r="L46" s="213"/>
    </row>
    <row r="47" spans="1:12" x14ac:dyDescent="0.25">
      <c r="A47" s="210" t="s">
        <v>1262</v>
      </c>
      <c r="B47" s="207" t="s">
        <v>1263</v>
      </c>
      <c r="C47" s="218">
        <f>'Allocation ProForma'!K975-SUM('Allocation ProForma'!K698:K706)</f>
        <v>159958230.96176678</v>
      </c>
      <c r="D47" s="286">
        <f t="shared" ref="D47:I47" si="14">D41+D45</f>
        <v>159958230.96176672</v>
      </c>
      <c r="E47" s="235">
        <f t="shared" si="14"/>
        <v>54428011.275773726</v>
      </c>
      <c r="F47" s="235">
        <f t="shared" si="14"/>
        <v>80056163.368852451</v>
      </c>
      <c r="G47" s="235">
        <f t="shared" si="14"/>
        <v>11228936.885017378</v>
      </c>
      <c r="H47" s="235">
        <f t="shared" si="14"/>
        <v>11938863.842363209</v>
      </c>
      <c r="I47" s="235">
        <f t="shared" si="14"/>
        <v>1651257.1698013507</v>
      </c>
      <c r="J47" s="235">
        <f>J41+J45</f>
        <v>654998.41995860101</v>
      </c>
      <c r="K47" s="297">
        <f>SUM(E47:J47)</f>
        <v>159958230.96176669</v>
      </c>
      <c r="L47" s="209" t="str">
        <f>IF(ABS(K47-D47)&lt;0.01,"ok","err")</f>
        <v>ok</v>
      </c>
    </row>
    <row r="48" spans="1:12" x14ac:dyDescent="0.25">
      <c r="A48" s="214"/>
      <c r="B48" s="207"/>
      <c r="C48" s="212"/>
      <c r="D48" s="289"/>
      <c r="E48" s="238"/>
      <c r="F48" s="238"/>
      <c r="G48" s="238"/>
      <c r="H48" s="238"/>
      <c r="I48" s="238"/>
      <c r="J48" s="238"/>
      <c r="K48" s="277"/>
      <c r="L48" s="213"/>
    </row>
    <row r="49" spans="1:12" ht="14.4" x14ac:dyDescent="0.3">
      <c r="A49" s="210" t="s">
        <v>1264</v>
      </c>
      <c r="B49" s="207" t="s">
        <v>1265</v>
      </c>
      <c r="C49" s="208"/>
      <c r="D49" s="290"/>
      <c r="E49" s="344">
        <f>'[9]Sch M-2.3 pgs 3-19'!$D$179+'[9]Sch M-2.3 pgs 3-19'!$D$180</f>
        <v>4979368.1612047162</v>
      </c>
      <c r="F49" s="291">
        <f>'Allocation ProForma'!K1013</f>
        <v>1965916065</v>
      </c>
      <c r="G49" s="291">
        <f>E49</f>
        <v>4979368.1612047162</v>
      </c>
      <c r="H49" s="291">
        <f>G49</f>
        <v>4979368.1612047162</v>
      </c>
      <c r="I49" s="291">
        <f>'Allocation ProForma'!$K$1029*12</f>
        <v>33546</v>
      </c>
      <c r="J49" s="291">
        <f>'Allocation ProForma'!$K$1029*12</f>
        <v>33546</v>
      </c>
      <c r="K49" s="277"/>
      <c r="L49" s="213"/>
    </row>
    <row r="50" spans="1:12" ht="14.4" thickBot="1" x14ac:dyDescent="0.3">
      <c r="A50" s="214"/>
      <c r="B50" s="207"/>
      <c r="C50" s="212"/>
      <c r="D50" s="288"/>
      <c r="E50" s="238"/>
      <c r="F50" s="238"/>
      <c r="G50" s="238"/>
      <c r="H50" s="238"/>
      <c r="I50" s="238"/>
      <c r="J50" s="238"/>
      <c r="K50" s="277"/>
      <c r="L50" s="213"/>
    </row>
    <row r="51" spans="1:12" ht="14.4" thickBot="1" x14ac:dyDescent="0.3">
      <c r="A51" s="219" t="s">
        <v>1266</v>
      </c>
      <c r="B51" s="220" t="s">
        <v>1267</v>
      </c>
      <c r="C51" s="221"/>
      <c r="D51" s="292"/>
      <c r="E51" s="293">
        <f t="shared" ref="E51:J51" si="15">E47/E49</f>
        <v>10.930706369501573</v>
      </c>
      <c r="F51" s="293">
        <f t="shared" si="15"/>
        <v>4.0722065806432305E-2</v>
      </c>
      <c r="G51" s="293">
        <f t="shared" si="15"/>
        <v>2.255092718892397</v>
      </c>
      <c r="H51" s="293">
        <f t="shared" si="15"/>
        <v>2.3976664218929136</v>
      </c>
      <c r="I51" s="294">
        <f t="shared" si="15"/>
        <v>49.223668091616013</v>
      </c>
      <c r="J51" s="294">
        <f t="shared" si="15"/>
        <v>19.5253806700829</v>
      </c>
      <c r="K51" s="275">
        <f>I51+J51</f>
        <v>68.749048761698916</v>
      </c>
      <c r="L51" s="222"/>
    </row>
    <row r="53" spans="1:12" x14ac:dyDescent="0.25">
      <c r="D53" s="269"/>
      <c r="E53" s="345"/>
      <c r="J53" s="223" t="s">
        <v>1268</v>
      </c>
      <c r="K53" s="224">
        <f>I51+J51</f>
        <v>68.749048761698916</v>
      </c>
    </row>
    <row r="54" spans="1:12" x14ac:dyDescent="0.25">
      <c r="I54" s="20"/>
      <c r="J54" s="223" t="s">
        <v>1269</v>
      </c>
      <c r="K54" s="9">
        <f>F51</f>
        <v>4.0722065806432305E-2</v>
      </c>
    </row>
    <row r="55" spans="1:12" x14ac:dyDescent="0.25">
      <c r="J55" t="s">
        <v>1351</v>
      </c>
      <c r="K55" s="367">
        <f>E51+G51+H51</f>
        <v>15.583465510286885</v>
      </c>
    </row>
    <row r="56" spans="1:12" x14ac:dyDescent="0.25">
      <c r="I56" s="8"/>
      <c r="J56" s="238"/>
      <c r="K56" s="340"/>
    </row>
    <row r="57" spans="1:12" x14ac:dyDescent="0.25">
      <c r="J57" s="238"/>
      <c r="K57" s="341"/>
    </row>
    <row r="58" spans="1:12" x14ac:dyDescent="0.25">
      <c r="J58" s="21"/>
      <c r="K58" s="342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11</vt:i4>
      </vt:variant>
    </vt:vector>
  </HeadingPairs>
  <TitlesOfParts>
    <vt:vector size="26" baseType="lpstr">
      <vt:lpstr>Functional Assignment</vt:lpstr>
      <vt:lpstr>Allocation ProForma</vt:lpstr>
      <vt:lpstr>SJB Exhibit</vt:lpstr>
      <vt:lpstr>Table - Pro Forma Returns</vt:lpstr>
      <vt:lpstr>Summary of Returns</vt:lpstr>
      <vt:lpstr>Billing Det</vt:lpstr>
      <vt:lpstr>Res Unit Costs</vt:lpstr>
      <vt:lpstr>GS</vt:lpstr>
      <vt:lpstr>PS Sec</vt:lpstr>
      <vt:lpstr>PS Primary</vt:lpstr>
      <vt:lpstr>TOD Sec</vt:lpstr>
      <vt:lpstr>RTS</vt:lpstr>
      <vt:lpstr>Meters</vt:lpstr>
      <vt:lpstr>Services</vt:lpstr>
      <vt:lpstr>Lighting</vt:lpstr>
      <vt:lpstr>'Allocation ProForma'!Print_Area</vt:lpstr>
      <vt:lpstr>'Billing Det'!Print_Area</vt:lpstr>
      <vt:lpstr>'Functional Assignment'!Print_Area</vt:lpstr>
      <vt:lpstr>'Res Unit Costs'!Print_Area</vt:lpstr>
      <vt:lpstr>'SJB Exhibit'!Print_Area</vt:lpstr>
      <vt:lpstr>'Summary of Returns'!Print_Area</vt:lpstr>
      <vt:lpstr>'Table - Pro Forma Returns'!Print_Area</vt:lpstr>
      <vt:lpstr>'Allocation ProForma'!Print_Titles</vt:lpstr>
      <vt:lpstr>'Billing Det'!Print_Titles</vt:lpstr>
      <vt:lpstr>'Functional Assignment'!Print_Titles</vt:lpstr>
      <vt:lpstr>'SJB Exhibit'!Print_Titles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Wernert, Jeff</dc:creator>
  <cp:lastModifiedBy>STEVE</cp:lastModifiedBy>
  <cp:lastPrinted>2015-02-18T23:07:35Z</cp:lastPrinted>
  <dcterms:created xsi:type="dcterms:W3CDTF">1999-02-10T22:20:33Z</dcterms:created>
  <dcterms:modified xsi:type="dcterms:W3CDTF">2015-02-18T23:30:11Z</dcterms:modified>
</cp:coreProperties>
</file>