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3" l="1"/>
  <c r="E93" i="2" s="1"/>
  <c r="B20" i="3"/>
  <c r="A19" i="3"/>
  <c r="A18" i="3"/>
  <c r="A9" i="3"/>
  <c r="A10" i="3" s="1"/>
  <c r="A11" i="3" s="1"/>
  <c r="A12" i="3" s="1"/>
  <c r="A13" i="3" s="1"/>
  <c r="A14" i="3" s="1"/>
  <c r="A15" i="3" s="1"/>
  <c r="F116" i="2"/>
  <c r="E116" i="2"/>
  <c r="C116" i="2"/>
  <c r="B116" i="2"/>
  <c r="F105" i="2"/>
  <c r="C101" i="2"/>
  <c r="F100" i="2"/>
  <c r="C100" i="2"/>
  <c r="B99" i="2"/>
  <c r="B98" i="2"/>
  <c r="F97" i="2"/>
  <c r="F47" i="2" s="1"/>
  <c r="E97" i="2"/>
  <c r="C96" i="2"/>
  <c r="B96" i="2"/>
  <c r="B101" i="2" s="1"/>
  <c r="F95" i="2"/>
  <c r="F96" i="2" s="1"/>
  <c r="E95" i="2"/>
  <c r="E96" i="2" s="1"/>
  <c r="F94" i="2"/>
  <c r="E94" i="2"/>
  <c r="C93" i="2"/>
  <c r="B93" i="2"/>
  <c r="F77" i="2"/>
  <c r="E77" i="2"/>
  <c r="C77" i="2"/>
  <c r="B77" i="2"/>
  <c r="F68" i="2"/>
  <c r="F69" i="2" s="1"/>
  <c r="E68" i="2"/>
  <c r="E69" i="2" s="1"/>
  <c r="C68" i="2"/>
  <c r="C69" i="2" s="1"/>
  <c r="B68" i="2"/>
  <c r="F65" i="2"/>
  <c r="F60" i="2"/>
  <c r="C60" i="2"/>
  <c r="C65" i="2" s="1"/>
  <c r="B60" i="2"/>
  <c r="E60" i="2" s="1"/>
  <c r="E65" i="2" s="1"/>
  <c r="F54" i="2"/>
  <c r="E54" i="2"/>
  <c r="C54" i="2"/>
  <c r="B54" i="2"/>
  <c r="F52" i="2"/>
  <c r="E52" i="2"/>
  <c r="C52" i="2"/>
  <c r="B52" i="2"/>
  <c r="B53" i="2" s="1"/>
  <c r="B55" i="2" s="1"/>
  <c r="F51" i="2"/>
  <c r="E51" i="2"/>
  <c r="C51" i="2"/>
  <c r="B51" i="2"/>
  <c r="C49" i="2"/>
  <c r="B49" i="2"/>
  <c r="E47" i="2"/>
  <c r="C47" i="2"/>
  <c r="B47" i="2"/>
  <c r="B46" i="2"/>
  <c r="B48" i="2" s="1"/>
  <c r="B50" i="2" s="1"/>
  <c r="F39" i="2"/>
  <c r="E39" i="2"/>
  <c r="C39" i="2"/>
  <c r="B39" i="2"/>
  <c r="B40" i="2" s="1"/>
  <c r="F36" i="2"/>
  <c r="E36" i="2"/>
  <c r="C36" i="2"/>
  <c r="B36" i="2"/>
  <c r="F35" i="2"/>
  <c r="F37" i="2" s="1"/>
  <c r="E35" i="2"/>
  <c r="E37" i="2" s="1"/>
  <c r="C35" i="2"/>
  <c r="C37" i="2" s="1"/>
  <c r="B35" i="2"/>
  <c r="B37" i="2" s="1"/>
  <c r="F33" i="2"/>
  <c r="F34" i="2" s="1"/>
  <c r="F38" i="2" s="1"/>
  <c r="E33" i="2"/>
  <c r="E34" i="2" s="1"/>
  <c r="E38" i="2" s="1"/>
  <c r="C33" i="2"/>
  <c r="C34" i="2" s="1"/>
  <c r="B33" i="2"/>
  <c r="B34" i="2" s="1"/>
  <c r="B38" i="2" s="1"/>
  <c r="F32" i="2"/>
  <c r="E32" i="2"/>
  <c r="C32" i="2"/>
  <c r="B32" i="2"/>
  <c r="F23" i="2"/>
  <c r="F22" i="2"/>
  <c r="E22" i="2"/>
  <c r="C22" i="2"/>
  <c r="B22" i="2"/>
  <c r="F21" i="2"/>
  <c r="E21" i="2"/>
  <c r="E23" i="2" s="1"/>
  <c r="C21" i="2"/>
  <c r="C23" i="2" s="1"/>
  <c r="B21" i="2"/>
  <c r="B23" i="2" s="1"/>
  <c r="F20" i="2"/>
  <c r="F24" i="2" s="1"/>
  <c r="F27" i="2" s="1"/>
  <c r="F29" i="2" s="1"/>
  <c r="E20" i="2"/>
  <c r="E24" i="2" s="1"/>
  <c r="E27" i="2" s="1"/>
  <c r="E29" i="2" s="1"/>
  <c r="C20" i="2"/>
  <c r="C24" i="2" s="1"/>
  <c r="C27" i="2" s="1"/>
  <c r="C29" i="2" s="1"/>
  <c r="B20" i="2"/>
  <c r="B24" i="2" s="1"/>
  <c r="B27" i="2" s="1"/>
  <c r="B29" i="2" s="1"/>
  <c r="F14" i="2"/>
  <c r="F13" i="2"/>
  <c r="C13" i="2"/>
  <c r="F12" i="2"/>
  <c r="E12" i="2"/>
  <c r="C12" i="2"/>
  <c r="C14" i="2" s="1"/>
  <c r="B12" i="2"/>
  <c r="E11" i="2"/>
  <c r="B11" i="2"/>
  <c r="B14" i="2" s="1"/>
  <c r="F6" i="2"/>
  <c r="F7" i="2" s="1"/>
  <c r="C6" i="2"/>
  <c r="F5" i="2"/>
  <c r="E5" i="2"/>
  <c r="C5" i="2"/>
  <c r="C7" i="2" s="1"/>
  <c r="B5" i="2"/>
  <c r="E4" i="2"/>
  <c r="B4" i="2"/>
  <c r="B7" i="2" s="1"/>
  <c r="F40" i="2" l="1"/>
  <c r="F8" i="2"/>
  <c r="F9" i="2" s="1"/>
  <c r="F16" i="2" s="1"/>
  <c r="F63" i="2" s="1"/>
  <c r="B8" i="2"/>
  <c r="B9" i="2" s="1"/>
  <c r="B16" i="2" s="1"/>
  <c r="B63" i="2" s="1"/>
  <c r="A16" i="3"/>
  <c r="A17" i="3"/>
  <c r="E99" i="2"/>
  <c r="E98" i="2"/>
  <c r="E46" i="2"/>
  <c r="E48" i="2" s="1"/>
  <c r="E101" i="2"/>
  <c r="E49" i="2"/>
  <c r="F93" i="2"/>
  <c r="F49" i="2" s="1"/>
  <c r="C8" i="2"/>
  <c r="C9" i="2" s="1"/>
  <c r="C16" i="2" s="1"/>
  <c r="C63" i="2" s="1"/>
  <c r="E14" i="2"/>
  <c r="B57" i="2"/>
  <c r="B64" i="2" s="1"/>
  <c r="F99" i="2"/>
  <c r="E7" i="2"/>
  <c r="C38" i="2"/>
  <c r="C40" i="2" s="1"/>
  <c r="E40" i="2"/>
  <c r="F46" i="2"/>
  <c r="F48" i="2" s="1"/>
  <c r="B69" i="2"/>
  <c r="C99" i="2"/>
  <c r="C98" i="2"/>
  <c r="C46" i="2"/>
  <c r="C48" i="2" s="1"/>
  <c r="C50" i="2" s="1"/>
  <c r="C53" i="2" s="1"/>
  <c r="C55" i="2" s="1"/>
  <c r="C57" i="2" s="1"/>
  <c r="C64" i="2" s="1"/>
  <c r="C66" i="2" s="1"/>
  <c r="F98" i="2"/>
  <c r="B65" i="2"/>
  <c r="E8" i="2" l="1"/>
  <c r="E9" i="2" s="1"/>
  <c r="E16" i="2" s="1"/>
  <c r="E63" i="2" s="1"/>
  <c r="F101" i="2"/>
  <c r="F50" i="2"/>
  <c r="F53" i="2" s="1"/>
  <c r="F55" i="2" s="1"/>
  <c r="F57" i="2" s="1"/>
  <c r="F64" i="2" s="1"/>
  <c r="F66" i="2" s="1"/>
  <c r="B66" i="2"/>
  <c r="B67" i="2" s="1"/>
  <c r="E50" i="2"/>
  <c r="E53" i="2" s="1"/>
  <c r="E55" i="2" s="1"/>
  <c r="E57" i="2" s="1"/>
  <c r="E64" i="2" s="1"/>
  <c r="E66" i="2" l="1"/>
  <c r="E67" i="2" s="1"/>
</calcChain>
</file>

<file path=xl/sharedStrings.xml><?xml version="1.0" encoding="utf-8"?>
<sst xmlns="http://schemas.openxmlformats.org/spreadsheetml/2006/main" count="142" uniqueCount="112">
  <si>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</si>
  <si>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</si>
  <si>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</si>
  <si>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</si>
  <si>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</si>
  <si>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</si>
  <si>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</si>
  <si>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</si>
  <si>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</si>
  <si>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</si>
  <si>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</si>
  <si>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</si>
  <si>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</si>
  <si>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</si>
  <si>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</si>
  <si>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</si>
  <si>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</si>
  <si>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</si>
  <si>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</si>
  <si>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</si>
  <si>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</si>
  <si>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</si>
  <si>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</si>
  <si>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</si>
  <si>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</si>
  <si>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</si>
  <si>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</si>
  <si>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</si>
  <si>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</si>
  <si>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</si>
  <si>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</si>
  <si>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</si>
  <si>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</si>
  <si>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</si>
  <si>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</si>
  <si>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</si>
  <si>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</si>
  <si>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</si>
  <si>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</si>
  <si>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</si>
  <si>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</si>
  <si>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</si>
  <si>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</si>
  <si>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</si>
  <si>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</si>
  <si>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</si>
  <si>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</si>
  <si>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</si>
  <si>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</si>
  <si>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</si>
  <si>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</si>
  <si>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</si>
  <si>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</si>
  <si>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</si>
  <si>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</si>
  <si>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</si>
  <si>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</si>
  <si>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</si>
  <si>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</si>
  <si>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</si>
  <si>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</si>
  <si>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</si>
  <si>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</si>
  <si>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</si>
  <si>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</si>
  <si>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</si>
  <si>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</si>
  <si>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</si>
  <si>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</si>
  <si>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</si>
  <si>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</si>
  <si>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</si>
  <si>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</si>
  <si>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</si>
  <si>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</si>
  <si>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</si>
  <si>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</si>
  <si>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</si>
  <si>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</si>
  <si>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</si>
  <si>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</si>
  <si>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</si>
  <si>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</si>
  <si>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</si>
  <si>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</si>
  <si>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Louisville Gas &amp; Electric Company Data As Of:</t>
  </si>
  <si>
    <t>Per KCTA 1-21</t>
  </si>
  <si>
    <t>Electric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</si>
  <si>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</si>
  <si>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</si>
  <si>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</si>
  <si>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</si>
  <si>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</si>
  <si>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</si>
  <si>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</si>
  <si>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</si>
  <si>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</si>
  <si>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</si>
  <si>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</si>
  <si>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</si>
  <si>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</si>
  <si>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KCTA 1-1,1-14, as of 6/30/14</t>
  </si>
  <si>
    <t>KCTA 1-1, prorated  2014</t>
  </si>
  <si>
    <t>KCTA 1-1, prorated 2014</t>
  </si>
  <si>
    <t>KCTA 2-4</t>
  </si>
  <si>
    <t>TOTAL A&amp;G - Reconcilation of LG&amp;E Data</t>
  </si>
  <si>
    <t>KCTA 1-1,1-21 ( A&amp;G Tab)</t>
  </si>
  <si>
    <t>Total Labor - General Ledger All Accounts</t>
  </si>
  <si>
    <t>A&amp;G Expenses Assigned to Poles Based on Gen Ledg</t>
  </si>
  <si>
    <t>KCTA 1-1, prorated 2014 per 2-4</t>
  </si>
  <si>
    <t>Total Labor -Electric Cost of Service</t>
  </si>
  <si>
    <t>Gross Investment Account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</si>
</sst>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164" fontId="10" fillId="0" borderId="6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5" fontId="8" fillId="0" borderId="0" xfId="4" applyNumberFormat="1" applyFont="1"/>
    <xf numFmtId="165" fontId="8" fillId="0" borderId="0" xfId="4" applyNumberFormat="1" applyFon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0" fontId="0" fillId="0" borderId="0" xfId="0" applyBorder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10" fontId="9" fillId="0" borderId="0" xfId="0" applyNumberFormat="1" applyFont="1" applyFill="1"/>
    <xf numFmtId="170" fontId="0" fillId="0" borderId="0" xfId="2" applyNumberFormat="1" applyFont="1"/>
    <xf numFmtId="170" fontId="0" fillId="0" borderId="0" xfId="2" applyNumberFormat="1" applyFont="1" applyFill="1"/>
    <xf numFmtId="0" fontId="11" fillId="0" borderId="0" xfId="0" applyFont="1"/>
    <xf numFmtId="0" fontId="11" fillId="0" borderId="0" xfId="0" applyFont="1" applyFill="1"/>
    <xf numFmtId="10" fontId="11" fillId="0" borderId="0" xfId="1" applyNumberFormat="1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/>
    <xf numFmtId="169" fontId="0" fillId="0" borderId="0" xfId="2" applyNumberFormat="1" applyFont="1"/>
    <xf numFmtId="169" fontId="0" fillId="0" borderId="0" xfId="2" applyNumberFormat="1" applyFont="1" applyFill="1"/>
    <xf numFmtId="0" fontId="0" fillId="0" borderId="0" xfId="0" applyFont="1" applyFill="1"/>
    <xf numFmtId="0" fontId="12" fillId="0" borderId="0" xfId="0" applyFont="1"/>
    <xf numFmtId="169" fontId="13" fillId="0" borderId="0" xfId="2" applyNumberFormat="1" applyFont="1" applyFill="1" applyProtection="1"/>
    <xf numFmtId="169" fontId="12" fillId="0" borderId="0" xfId="0" applyNumberFormat="1" applyFont="1" applyFill="1"/>
    <xf numFmtId="169" fontId="13" fillId="0" borderId="0" xfId="0" applyNumberFormat="1" applyFont="1" applyFill="1" applyProtection="1"/>
    <xf numFmtId="169" fontId="12" fillId="0" borderId="0" xfId="0" applyNumberFormat="1" applyFont="1"/>
    <xf numFmtId="170" fontId="12" fillId="0" borderId="0" xfId="2" applyNumberFormat="1" applyFont="1"/>
    <xf numFmtId="0" fontId="12" fillId="0" borderId="0" xfId="0" applyFont="1" applyFill="1"/>
    <xf numFmtId="9" fontId="12" fillId="0" borderId="0" xfId="1" quotePrefix="1" applyFont="1"/>
    <xf numFmtId="0" fontId="12" fillId="0" borderId="0" xfId="0" quotePrefix="1" applyFont="1" applyFill="1"/>
    <xf numFmtId="10" fontId="1" fillId="6" borderId="0" xfId="0" applyNumberFormat="1" applyFont="1" applyFill="1" applyProtection="1"/>
    <xf numFmtId="169" fontId="1" fillId="6" borderId="0" xfId="0" applyNumberFormat="1" applyFont="1" applyFill="1" applyProtection="1"/>
    <xf numFmtId="10" fontId="0" fillId="6" borderId="0" xfId="1" applyNumberFormat="1" applyFont="1" applyFill="1"/>
    <xf numFmtId="0" fontId="0" fillId="6" borderId="0" xfId="0" applyFill="1"/>
    <xf numFmtId="10" fontId="9" fillId="6" borderId="0" xfId="0" applyNumberFormat="1" applyFont="1" applyFill="1"/>
    <xf numFmtId="164" fontId="0" fillId="6" borderId="0" xfId="0" applyNumberFormat="1" applyFill="1"/>
    <xf numFmtId="169" fontId="0" fillId="6" borderId="0" xfId="0" applyNumberFormat="1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82" zoomScale="150" zoomScaleNormal="150" zoomScalePageLayoutView="150" workbookViewId="0">
      <selection activeCell="E94" sqref="E94"/>
    </sheetView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85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91</v>
      </c>
    </row>
    <row r="3" spans="1:7" x14ac:dyDescent="0.25">
      <c r="A3" s="5" t="s">
        <v>19</v>
      </c>
      <c r="G3" s="68"/>
    </row>
    <row r="4" spans="1:7" x14ac:dyDescent="0.25">
      <c r="A4" s="7" t="s">
        <v>16</v>
      </c>
      <c r="B4" s="41">
        <f>+B108</f>
        <v>11527331.710000001</v>
      </c>
      <c r="E4" s="41">
        <f>+E108</f>
        <v>12786133.32</v>
      </c>
      <c r="G4" s="68"/>
    </row>
    <row r="5" spans="1:7" x14ac:dyDescent="0.25">
      <c r="A5" s="7" t="s">
        <v>17</v>
      </c>
      <c r="B5" s="41">
        <f>+B109</f>
        <v>27701656.219999999</v>
      </c>
      <c r="C5" s="41">
        <f>+C109</f>
        <v>27701656.219999999</v>
      </c>
      <c r="D5" s="41"/>
      <c r="E5" s="41">
        <f>+E109</f>
        <v>31220039.620000001</v>
      </c>
      <c r="F5" s="41">
        <f>+F109</f>
        <v>31220039.620000001</v>
      </c>
      <c r="G5" s="68"/>
    </row>
    <row r="6" spans="1:7" x14ac:dyDescent="0.25">
      <c r="A6" s="5" t="s">
        <v>18</v>
      </c>
      <c r="B6" s="58"/>
      <c r="C6" s="56">
        <f>+C110</f>
        <v>27726577.219999999</v>
      </c>
      <c r="D6" s="57"/>
      <c r="E6" s="58"/>
      <c r="F6" s="56">
        <f>+F110</f>
        <v>35703827.649999999</v>
      </c>
      <c r="G6" s="68"/>
    </row>
    <row r="7" spans="1:7" x14ac:dyDescent="0.25">
      <c r="A7" s="5" t="s">
        <v>21</v>
      </c>
      <c r="B7" s="49">
        <f>+B4+B5</f>
        <v>39228987.93</v>
      </c>
      <c r="C7" s="48">
        <f>+C6+C5</f>
        <v>55428233.439999998</v>
      </c>
      <c r="D7" s="26"/>
      <c r="E7" s="49">
        <f>+E4+E5</f>
        <v>44006172.939999998</v>
      </c>
      <c r="F7" s="48">
        <f>+F6+F5</f>
        <v>66923867.269999996</v>
      </c>
      <c r="G7" s="68"/>
    </row>
    <row r="8" spans="1:7" x14ac:dyDescent="0.25">
      <c r="A8" s="5" t="s">
        <v>30</v>
      </c>
      <c r="B8" s="41">
        <f>+B7*B89</f>
        <v>5884348.1894999994</v>
      </c>
      <c r="C8" s="41">
        <f>+C7*C89</f>
        <v>8314235.0159999989</v>
      </c>
      <c r="E8" s="41">
        <f>+E7*E89</f>
        <v>6600925.9409999996</v>
      </c>
      <c r="F8" s="41">
        <f>+F7*F89</f>
        <v>10038580.090499999</v>
      </c>
      <c r="G8" s="83" t="s">
        <v>99</v>
      </c>
    </row>
    <row r="9" spans="1:7" x14ac:dyDescent="0.25">
      <c r="A9" s="5" t="s">
        <v>29</v>
      </c>
      <c r="B9" s="45">
        <f>+B7-B8</f>
        <v>33344639.740499999</v>
      </c>
      <c r="C9" s="49">
        <f>+C7-C8</f>
        <v>47113998.423999995</v>
      </c>
      <c r="E9" s="45">
        <f>+E7-E8</f>
        <v>37405246.998999998</v>
      </c>
      <c r="F9" s="49">
        <f>+F7-F8</f>
        <v>56885287.179499999</v>
      </c>
      <c r="G9" s="68"/>
    </row>
    <row r="10" spans="1:7" x14ac:dyDescent="0.25">
      <c r="A10" s="5" t="s">
        <v>56</v>
      </c>
      <c r="B10" s="43"/>
      <c r="G10" s="68"/>
    </row>
    <row r="11" spans="1:7" x14ac:dyDescent="0.25">
      <c r="A11" s="7" t="s">
        <v>16</v>
      </c>
      <c r="B11" s="29">
        <f>+B113</f>
        <v>23130</v>
      </c>
      <c r="C11" s="29"/>
      <c r="D11" s="29"/>
      <c r="E11" s="29">
        <f>+E113</f>
        <v>23334</v>
      </c>
      <c r="F11" s="29"/>
      <c r="G11" s="68"/>
    </row>
    <row r="12" spans="1:7" x14ac:dyDescent="0.25">
      <c r="A12" s="7" t="s">
        <v>17</v>
      </c>
      <c r="B12" s="29">
        <f>+B114</f>
        <v>59477</v>
      </c>
      <c r="C12" s="29">
        <f>+C114</f>
        <v>59477</v>
      </c>
      <c r="D12" s="29"/>
      <c r="E12" s="29">
        <f>+E114</f>
        <v>59312</v>
      </c>
      <c r="F12" s="29">
        <f>+F114</f>
        <v>59312</v>
      </c>
      <c r="G12" s="69"/>
    </row>
    <row r="13" spans="1:7" x14ac:dyDescent="0.25">
      <c r="A13" s="5" t="s">
        <v>18</v>
      </c>
      <c r="B13" s="60"/>
      <c r="C13" s="61">
        <f>+C115</f>
        <v>22455</v>
      </c>
      <c r="D13" s="59"/>
      <c r="E13" s="60"/>
      <c r="F13" s="61">
        <f>+F115</f>
        <v>23443</v>
      </c>
      <c r="G13" s="68"/>
    </row>
    <row r="14" spans="1:7" x14ac:dyDescent="0.25">
      <c r="A14" s="7" t="s">
        <v>22</v>
      </c>
      <c r="B14" s="22">
        <f>+B11+B12</f>
        <v>82607</v>
      </c>
      <c r="C14" s="23">
        <f>+C13+C12</f>
        <v>81932</v>
      </c>
      <c r="D14" s="23"/>
      <c r="E14" s="22">
        <f>+E11+E12</f>
        <v>82646</v>
      </c>
      <c r="F14" s="23">
        <f>+F13+F12</f>
        <v>82755</v>
      </c>
      <c r="G14" s="70"/>
    </row>
    <row r="15" spans="1:7" x14ac:dyDescent="0.25">
      <c r="A15" s="20"/>
      <c r="C15" s="25"/>
      <c r="D15" s="25"/>
      <c r="E15" s="18"/>
      <c r="F15" s="18"/>
      <c r="G15" s="68"/>
    </row>
    <row r="16" spans="1:7" x14ac:dyDescent="0.25">
      <c r="A16" s="7" t="s">
        <v>20</v>
      </c>
      <c r="B16" s="15">
        <f>+B9/B14</f>
        <v>403.65392449187112</v>
      </c>
      <c r="C16" s="15">
        <f>+C9/C14</f>
        <v>575.03781701899129</v>
      </c>
      <c r="D16" s="15"/>
      <c r="E16" s="15">
        <f>+E9/E14</f>
        <v>452.59597559470512</v>
      </c>
      <c r="F16" s="15">
        <f>+F9/F14</f>
        <v>687.39396023805205</v>
      </c>
      <c r="G16" s="68"/>
    </row>
    <row r="17" spans="1:7" x14ac:dyDescent="0.25">
      <c r="A17" s="9" t="s">
        <v>0</v>
      </c>
      <c r="C17" s="25"/>
      <c r="D17" s="25"/>
      <c r="F17" s="44"/>
      <c r="G17" s="68"/>
    </row>
    <row r="18" spans="1:7" x14ac:dyDescent="0.25">
      <c r="A18" s="4" t="s">
        <v>1</v>
      </c>
      <c r="G18" s="68"/>
    </row>
    <row r="19" spans="1:7" x14ac:dyDescent="0.25">
      <c r="A19" s="14"/>
      <c r="G19" s="68"/>
    </row>
    <row r="20" spans="1:7" x14ac:dyDescent="0.25">
      <c r="A20" s="3" t="s">
        <v>23</v>
      </c>
      <c r="B20" s="92">
        <f>+B84</f>
        <v>7.8E-2</v>
      </c>
      <c r="C20" s="92">
        <f>+C84</f>
        <v>7.8E-2</v>
      </c>
      <c r="D20" s="92"/>
      <c r="E20" s="92">
        <f>+E84</f>
        <v>7.3099999999999998E-2</v>
      </c>
      <c r="F20" s="92">
        <f>+F84</f>
        <v>7.3099999999999998E-2</v>
      </c>
      <c r="G20" s="69"/>
    </row>
    <row r="21" spans="1:7" x14ac:dyDescent="0.25">
      <c r="A21" s="5" t="s">
        <v>36</v>
      </c>
      <c r="B21" s="47">
        <f>+B22-B$79</f>
        <v>67227852.699999988</v>
      </c>
      <c r="C21" s="47">
        <f>+C22-C79</f>
        <v>67227852.699999988</v>
      </c>
      <c r="D21" s="47"/>
      <c r="E21" s="47">
        <f>+E22-E$79</f>
        <v>86316298.300000012</v>
      </c>
      <c r="F21" s="47">
        <f>+F22-F79</f>
        <v>86316298.300000012</v>
      </c>
      <c r="G21" s="68"/>
    </row>
    <row r="22" spans="1:7" x14ac:dyDescent="0.25">
      <c r="A22" s="5" t="s">
        <v>25</v>
      </c>
      <c r="B22" s="63">
        <f>+B74</f>
        <v>135724484.94999999</v>
      </c>
      <c r="C22" s="63">
        <f>+C74</f>
        <v>135724484.94999999</v>
      </c>
      <c r="D22" s="63"/>
      <c r="E22" s="63">
        <f>+E74</f>
        <v>159591767.86000001</v>
      </c>
      <c r="F22" s="63">
        <f>+F74</f>
        <v>159591767.86000001</v>
      </c>
      <c r="G22" s="68"/>
    </row>
    <row r="23" spans="1:7" x14ac:dyDescent="0.25">
      <c r="A23" s="5" t="s">
        <v>62</v>
      </c>
      <c r="B23" s="39">
        <f>+B21/B22</f>
        <v>0.49532590029548679</v>
      </c>
      <c r="C23" s="39">
        <f>+C21/C22</f>
        <v>0.49532590029548679</v>
      </c>
      <c r="D23" s="21"/>
      <c r="E23" s="39">
        <f>+E21/E22</f>
        <v>0.54085683401740348</v>
      </c>
      <c r="F23" s="39">
        <f>+F21/F22</f>
        <v>0.54085683401740348</v>
      </c>
      <c r="G23" s="83" t="s">
        <v>98</v>
      </c>
    </row>
    <row r="24" spans="1:7" x14ac:dyDescent="0.25">
      <c r="A24" s="24" t="s">
        <v>24</v>
      </c>
      <c r="B24" s="10">
        <f>+B20*B23</f>
        <v>3.8635420223047973E-2</v>
      </c>
      <c r="C24" s="10">
        <f>+C20*C23</f>
        <v>3.8635420223047973E-2</v>
      </c>
      <c r="D24" s="10"/>
      <c r="E24" s="10">
        <f>+E20*E23</f>
        <v>3.9536634566672196E-2</v>
      </c>
      <c r="F24" s="10">
        <f>+F20*F23</f>
        <v>3.9536634566672196E-2</v>
      </c>
      <c r="G24" s="68"/>
    </row>
    <row r="25" spans="1:7" x14ac:dyDescent="0.25">
      <c r="A25" s="14"/>
      <c r="G25" s="68"/>
    </row>
    <row r="26" spans="1:7" x14ac:dyDescent="0.25">
      <c r="A26" s="14" t="s">
        <v>27</v>
      </c>
      <c r="G26" s="68"/>
    </row>
    <row r="27" spans="1:7" x14ac:dyDescent="0.25">
      <c r="A27" s="24" t="s">
        <v>24</v>
      </c>
      <c r="B27" s="13">
        <f>+B24</f>
        <v>3.8635420223047973E-2</v>
      </c>
      <c r="C27" s="13">
        <f>+C24</f>
        <v>3.8635420223047973E-2</v>
      </c>
      <c r="D27" s="13"/>
      <c r="E27" s="13">
        <f>+E24</f>
        <v>3.9536634566672196E-2</v>
      </c>
      <c r="F27" s="13">
        <f>+F24</f>
        <v>3.9536634566672196E-2</v>
      </c>
      <c r="G27" s="83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68"/>
    </row>
    <row r="29" spans="1:7" x14ac:dyDescent="0.25">
      <c r="A29" s="24" t="s">
        <v>97</v>
      </c>
      <c r="B29" s="13">
        <f t="shared" ref="B29:F29" si="0">B27/((1+B27)^B28-1)</f>
        <v>1.3953569027545772E-2</v>
      </c>
      <c r="C29" s="13">
        <f t="shared" si="0"/>
        <v>1.3953569027545772E-2</v>
      </c>
      <c r="D29" s="13"/>
      <c r="E29" s="13">
        <f t="shared" si="0"/>
        <v>1.3704123550360724E-2</v>
      </c>
      <c r="F29" s="13">
        <f t="shared" si="0"/>
        <v>1.3704123550360724E-2</v>
      </c>
      <c r="G29" s="68"/>
    </row>
    <row r="30" spans="1:7" x14ac:dyDescent="0.25">
      <c r="A30" s="14"/>
      <c r="G30" s="68"/>
    </row>
    <row r="31" spans="1:7" x14ac:dyDescent="0.25">
      <c r="A31" s="14" t="s">
        <v>28</v>
      </c>
      <c r="G31" s="68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69"/>
    </row>
    <row r="33" spans="1:7" x14ac:dyDescent="0.25">
      <c r="A33" s="24" t="s">
        <v>33</v>
      </c>
      <c r="B33" s="13">
        <f>+B86</f>
        <v>0.55640000000000001</v>
      </c>
      <c r="C33" s="13">
        <f>+C86</f>
        <v>0.55640000000000001</v>
      </c>
      <c r="D33" s="27"/>
      <c r="E33" s="13">
        <f>+E86</f>
        <v>0.54039999999999999</v>
      </c>
      <c r="F33" s="13">
        <f>+F86</f>
        <v>0.54039999999999999</v>
      </c>
      <c r="G33" s="69"/>
    </row>
    <row r="34" spans="1:7" x14ac:dyDescent="0.25">
      <c r="A34" s="24" t="s">
        <v>34</v>
      </c>
      <c r="B34" s="13">
        <f>+B33*B32</f>
        <v>6.1204000000000001E-2</v>
      </c>
      <c r="C34" s="13">
        <f>+C33*C32</f>
        <v>6.1204000000000001E-2</v>
      </c>
      <c r="D34" s="13"/>
      <c r="E34" s="13">
        <f>+E33*E32</f>
        <v>5.6741999999999994E-2</v>
      </c>
      <c r="F34" s="13">
        <f>+F33*F32</f>
        <v>5.6741999999999994E-2</v>
      </c>
      <c r="G34" s="69"/>
    </row>
    <row r="35" spans="1:7" x14ac:dyDescent="0.25">
      <c r="A35" s="5" t="s">
        <v>36</v>
      </c>
      <c r="B35" s="47">
        <f>+B36-B$79</f>
        <v>67227852.699999988</v>
      </c>
      <c r="C35" s="47">
        <f>+C36-B79</f>
        <v>67227852.699999988</v>
      </c>
      <c r="D35" s="47"/>
      <c r="E35" s="47">
        <f>+E36-E$79</f>
        <v>86316298.300000012</v>
      </c>
      <c r="F35" s="47">
        <f>+F36-E79</f>
        <v>86316298.300000012</v>
      </c>
      <c r="G35" s="69"/>
    </row>
    <row r="36" spans="1:7" x14ac:dyDescent="0.25">
      <c r="A36" s="5" t="s">
        <v>25</v>
      </c>
      <c r="B36" s="63">
        <f>+B74</f>
        <v>135724484.94999999</v>
      </c>
      <c r="C36" s="63">
        <f>+B74</f>
        <v>135724484.94999999</v>
      </c>
      <c r="D36" s="63"/>
      <c r="E36" s="63">
        <f>+E74</f>
        <v>159591767.86000001</v>
      </c>
      <c r="F36" s="63">
        <f>+F74</f>
        <v>159591767.86000001</v>
      </c>
      <c r="G36" s="69"/>
    </row>
    <row r="37" spans="1:7" x14ac:dyDescent="0.25">
      <c r="A37" s="5" t="s">
        <v>62</v>
      </c>
      <c r="B37" s="39">
        <f t="shared" ref="B37:C37" si="1">+B35/B36</f>
        <v>0.49532590029548679</v>
      </c>
      <c r="C37" s="39">
        <f t="shared" si="1"/>
        <v>0.49532590029548679</v>
      </c>
      <c r="D37" s="39"/>
      <c r="E37" s="39">
        <f t="shared" ref="E37:F37" si="2">+E35/E36</f>
        <v>0.54085683401740348</v>
      </c>
      <c r="F37" s="39">
        <f t="shared" si="2"/>
        <v>0.54085683401740348</v>
      </c>
      <c r="G37" s="83" t="s">
        <v>98</v>
      </c>
    </row>
    <row r="38" spans="1:7" x14ac:dyDescent="0.25">
      <c r="A38" s="24" t="s">
        <v>35</v>
      </c>
      <c r="B38" s="10">
        <f>+B34*B37</f>
        <v>3.0315926401684973E-2</v>
      </c>
      <c r="C38" s="10">
        <f>+C34*C37</f>
        <v>3.0315926401684973E-2</v>
      </c>
      <c r="D38" s="10"/>
      <c r="E38" s="10">
        <f>+E34*E37</f>
        <v>3.0689298475815505E-2</v>
      </c>
      <c r="F38" s="10">
        <f>+F34*F37</f>
        <v>3.0689298475815505E-2</v>
      </c>
      <c r="G38" s="69"/>
    </row>
    <row r="39" spans="1:7" x14ac:dyDescent="0.25">
      <c r="A39" s="24" t="s">
        <v>37</v>
      </c>
      <c r="B39" s="10">
        <f>+$B$87</f>
        <v>0.37369999999999998</v>
      </c>
      <c r="C39" s="10">
        <f>+C$87</f>
        <v>0.37369999999999998</v>
      </c>
      <c r="D39" s="10"/>
      <c r="E39" s="10">
        <f>+E$87</f>
        <v>0.37518600000000002</v>
      </c>
      <c r="F39" s="10">
        <f>+F$87</f>
        <v>0.37518600000000002</v>
      </c>
      <c r="G39" s="69"/>
    </row>
    <row r="40" spans="1:7" x14ac:dyDescent="0.25">
      <c r="A40" s="24" t="s">
        <v>82</v>
      </c>
      <c r="B40" s="13">
        <f>+(B39/(1-B39))*B38</f>
        <v>1.8088873856474012E-2</v>
      </c>
      <c r="C40" s="13">
        <f>+(C39/(1-C39))*C38</f>
        <v>1.8088873856474012E-2</v>
      </c>
      <c r="D40" s="13"/>
      <c r="E40" s="13">
        <f>+(E39/(1-E39))*E38</f>
        <v>1.8428196451979816E-2</v>
      </c>
      <c r="F40" s="13">
        <f>+(F39/(1-F39))*F38</f>
        <v>1.8428196451979816E-2</v>
      </c>
      <c r="G40" s="69"/>
    </row>
    <row r="41" spans="1:7" x14ac:dyDescent="0.25">
      <c r="A41" s="24"/>
      <c r="G41" s="68"/>
    </row>
    <row r="42" spans="1:7" x14ac:dyDescent="0.25">
      <c r="A42" s="14" t="s">
        <v>38</v>
      </c>
      <c r="G42" s="68"/>
    </row>
    <row r="43" spans="1:7" x14ac:dyDescent="0.25">
      <c r="A43" s="24" t="s">
        <v>83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68"/>
    </row>
    <row r="44" spans="1:7" x14ac:dyDescent="0.25">
      <c r="G44" s="68"/>
    </row>
    <row r="45" spans="1:7" x14ac:dyDescent="0.25">
      <c r="A45" s="3" t="s">
        <v>39</v>
      </c>
      <c r="G45" s="83"/>
    </row>
    <row r="46" spans="1:7" x14ac:dyDescent="0.25">
      <c r="A46" s="24" t="s">
        <v>48</v>
      </c>
      <c r="B46" s="46">
        <f>+B96</f>
        <v>509449</v>
      </c>
      <c r="C46" s="46">
        <f>+C96</f>
        <v>509449</v>
      </c>
      <c r="D46" s="46"/>
      <c r="E46" s="93">
        <f>+E96</f>
        <v>506599.72765266034</v>
      </c>
      <c r="F46" s="93">
        <f>+F96</f>
        <v>506599.72765266034</v>
      </c>
      <c r="G46" s="83"/>
    </row>
    <row r="47" spans="1:7" x14ac:dyDescent="0.25">
      <c r="A47" s="24" t="s">
        <v>47</v>
      </c>
      <c r="B47" s="46">
        <f>+B97</f>
        <v>63964275</v>
      </c>
      <c r="C47" s="46">
        <f>+C97</f>
        <v>63964275</v>
      </c>
      <c r="D47" s="46"/>
      <c r="E47" s="93">
        <f>+E97</f>
        <v>70473157.904786333</v>
      </c>
      <c r="F47" s="93">
        <f>+F97</f>
        <v>70473157.904786333</v>
      </c>
      <c r="G47" s="83"/>
    </row>
    <row r="48" spans="1:7" x14ac:dyDescent="0.25">
      <c r="A48" s="5" t="s">
        <v>49</v>
      </c>
      <c r="B48" s="13">
        <f>+B46/B47</f>
        <v>7.9645864820636209E-3</v>
      </c>
      <c r="C48" s="13">
        <f>+C46/C47</f>
        <v>7.9645864820636209E-3</v>
      </c>
      <c r="D48" s="13"/>
      <c r="E48" s="13">
        <f>+E46/E47</f>
        <v>7.188548700160541E-3</v>
      </c>
      <c r="F48" s="13">
        <f>+F46/F47</f>
        <v>7.188548700160541E-3</v>
      </c>
      <c r="G48" s="83"/>
    </row>
    <row r="49" spans="1:9" x14ac:dyDescent="0.25">
      <c r="A49" s="5" t="s">
        <v>50</v>
      </c>
      <c r="B49" s="46">
        <f>+B93</f>
        <v>83493455</v>
      </c>
      <c r="C49" s="46">
        <f>+B93</f>
        <v>83493455</v>
      </c>
      <c r="D49" s="46"/>
      <c r="E49" s="46">
        <f>+E93</f>
        <v>82720224.909999996</v>
      </c>
      <c r="F49" s="46">
        <f>+F93</f>
        <v>82720224.909999996</v>
      </c>
      <c r="G49" s="83"/>
    </row>
    <row r="50" spans="1:9" x14ac:dyDescent="0.25">
      <c r="A50" s="5" t="s">
        <v>42</v>
      </c>
      <c r="B50" s="52">
        <f>+B48*B49</f>
        <v>664990.84303378721</v>
      </c>
      <c r="C50" s="52">
        <f>+C48*C49</f>
        <v>664990.84303378721</v>
      </c>
      <c r="D50" s="52"/>
      <c r="E50" s="52">
        <f>+E48*E49</f>
        <v>594638.36525376805</v>
      </c>
      <c r="F50" s="52">
        <f>+F48*F49</f>
        <v>594638.36525376805</v>
      </c>
      <c r="G50" s="83"/>
    </row>
    <row r="51" spans="1:9" x14ac:dyDescent="0.25">
      <c r="A51" s="5" t="s">
        <v>40</v>
      </c>
      <c r="B51" s="64">
        <f>+B91</f>
        <v>564286</v>
      </c>
      <c r="C51" s="64">
        <f>+C91</f>
        <v>564286</v>
      </c>
      <c r="D51" s="64"/>
      <c r="E51" s="64">
        <f>+E91</f>
        <v>474898.81</v>
      </c>
      <c r="F51" s="64">
        <f>+F91</f>
        <v>474898.81</v>
      </c>
      <c r="G51" s="84"/>
    </row>
    <row r="52" spans="1:9" x14ac:dyDescent="0.25">
      <c r="A52" s="24" t="s">
        <v>41</v>
      </c>
      <c r="B52" s="64">
        <f>+B92</f>
        <v>7007225</v>
      </c>
      <c r="C52" s="64">
        <f>+C92</f>
        <v>7007225</v>
      </c>
      <c r="D52" s="64"/>
      <c r="E52" s="64">
        <f>+E92</f>
        <v>7870074.0599999996</v>
      </c>
      <c r="F52" s="64">
        <f>+F92</f>
        <v>7870074.0599999996</v>
      </c>
      <c r="G52" s="84"/>
      <c r="H52" s="18"/>
      <c r="I52" s="18"/>
    </row>
    <row r="53" spans="1:9" x14ac:dyDescent="0.25">
      <c r="A53" s="5" t="s">
        <v>51</v>
      </c>
      <c r="B53" s="52">
        <f>+B52+B51+B50</f>
        <v>8236501.8430337869</v>
      </c>
      <c r="C53" s="52">
        <f>+C52+C51+C50</f>
        <v>8236501.8430337869</v>
      </c>
      <c r="D53" s="52"/>
      <c r="E53" s="52">
        <f>+E52+E51+E50</f>
        <v>8939611.235253768</v>
      </c>
      <c r="F53" s="52">
        <f>+F52+F51+F50</f>
        <v>8939611.235253768</v>
      </c>
      <c r="G53" s="85"/>
    </row>
    <row r="54" spans="1:9" x14ac:dyDescent="0.25">
      <c r="A54" s="6" t="s">
        <v>111</v>
      </c>
      <c r="B54" s="46">
        <f>+B74</f>
        <v>135724484.94999999</v>
      </c>
      <c r="C54" s="46">
        <f t="shared" ref="C54:F54" si="3">+C74</f>
        <v>135724484.94999999</v>
      </c>
      <c r="D54" s="46"/>
      <c r="E54" s="46">
        <f t="shared" si="3"/>
        <v>159591767.86000001</v>
      </c>
      <c r="F54" s="46">
        <f t="shared" si="3"/>
        <v>159591767.86000001</v>
      </c>
      <c r="G54" s="86"/>
    </row>
    <row r="55" spans="1:9" x14ac:dyDescent="0.25">
      <c r="A55" s="5" t="s">
        <v>52</v>
      </c>
      <c r="B55" s="13">
        <f>+B53/B54</f>
        <v>6.0685452931120425E-2</v>
      </c>
      <c r="C55" s="13">
        <f>+C53/C54</f>
        <v>6.0685452931120425E-2</v>
      </c>
      <c r="D55" s="13"/>
      <c r="E55" s="13">
        <f>+E53/E54</f>
        <v>5.6015490993845847E-2</v>
      </c>
      <c r="F55" s="13">
        <f>+F53/F54</f>
        <v>5.6015490993845847E-2</v>
      </c>
      <c r="G55" s="83"/>
    </row>
    <row r="56" spans="1:9" x14ac:dyDescent="0.25">
      <c r="A56" s="5"/>
      <c r="B56" s="8"/>
      <c r="C56" s="8"/>
      <c r="D56" s="8"/>
      <c r="G56" s="83"/>
    </row>
    <row r="57" spans="1:9" x14ac:dyDescent="0.25">
      <c r="A57" s="3" t="s">
        <v>2</v>
      </c>
      <c r="B57" s="10">
        <f>+B55+B43+B40+B29+B24</f>
        <v>0.13356331603818816</v>
      </c>
      <c r="C57" s="10">
        <f t="shared" ref="C57:F57" si="4">+C55+C43+C40+C29+C24</f>
        <v>0.13356331603818816</v>
      </c>
      <c r="D57" s="10"/>
      <c r="E57" s="10">
        <f t="shared" si="4"/>
        <v>0.12988444556285861</v>
      </c>
      <c r="F57" s="10">
        <f t="shared" si="4"/>
        <v>0.12988444556285861</v>
      </c>
      <c r="G57" s="83"/>
    </row>
    <row r="58" spans="1:9" x14ac:dyDescent="0.25">
      <c r="B58" s="18"/>
      <c r="C58" s="18"/>
      <c r="D58" s="18"/>
      <c r="G58" s="83"/>
    </row>
    <row r="59" spans="1:9" x14ac:dyDescent="0.25">
      <c r="A59" s="28" t="s">
        <v>53</v>
      </c>
      <c r="B59" s="6"/>
      <c r="C59" s="6"/>
      <c r="D59" s="6"/>
      <c r="G59" s="83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83"/>
    </row>
    <row r="61" spans="1:9" x14ac:dyDescent="0.25">
      <c r="A61" s="3"/>
      <c r="G61" s="83"/>
    </row>
    <row r="62" spans="1:9" x14ac:dyDescent="0.25">
      <c r="A62" s="28" t="s">
        <v>59</v>
      </c>
      <c r="G62" s="83"/>
    </row>
    <row r="63" spans="1:9" x14ac:dyDescent="0.25">
      <c r="A63" s="5" t="s">
        <v>3</v>
      </c>
      <c r="B63" s="8">
        <f>+B16</f>
        <v>403.65392449187112</v>
      </c>
      <c r="C63" s="8">
        <f>+C16</f>
        <v>575.03781701899129</v>
      </c>
      <c r="D63" s="8"/>
      <c r="E63" s="8">
        <f>+E16</f>
        <v>452.59597559470512</v>
      </c>
      <c r="F63" s="8">
        <f>+F16</f>
        <v>687.39396023805205</v>
      </c>
      <c r="G63" s="83"/>
    </row>
    <row r="64" spans="1:9" x14ac:dyDescent="0.25">
      <c r="A64" s="5" t="s">
        <v>4</v>
      </c>
      <c r="B64" s="10">
        <f t="shared" ref="B64:C64" si="5">B57</f>
        <v>0.13356331603818816</v>
      </c>
      <c r="C64" s="10">
        <f t="shared" si="5"/>
        <v>0.13356331603818816</v>
      </c>
      <c r="D64" s="10"/>
      <c r="E64" s="10">
        <f t="shared" ref="E64" si="6">E57</f>
        <v>0.12988444556285861</v>
      </c>
      <c r="F64" s="10">
        <f t="shared" ref="F64" si="7">F57</f>
        <v>0.12988444556285861</v>
      </c>
      <c r="G64" s="83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83"/>
    </row>
    <row r="66" spans="1:7" x14ac:dyDescent="0.25">
      <c r="A66" s="3" t="s">
        <v>58</v>
      </c>
      <c r="B66" s="74">
        <f>+B65*B64*B63</f>
        <v>6.5989420669477017</v>
      </c>
      <c r="C66" s="74">
        <f>+C65*C64*C63</f>
        <v>5.8317355875791455</v>
      </c>
      <c r="D66" s="32"/>
      <c r="E66" s="74">
        <f t="shared" ref="E66:F66" si="8">+E65*E64*E63</f>
        <v>7.195248146156592</v>
      </c>
      <c r="F66" s="74">
        <f t="shared" si="8"/>
        <v>6.7791786946679622</v>
      </c>
      <c r="G66" s="83"/>
    </row>
    <row r="67" spans="1:7" x14ac:dyDescent="0.25">
      <c r="A67" s="78" t="s">
        <v>60</v>
      </c>
      <c r="B67" s="2">
        <f>+B69*B66+C69*C66</f>
        <v>6.2153388272634231</v>
      </c>
      <c r="C67" s="1"/>
      <c r="D67" s="79"/>
      <c r="E67" s="2">
        <f>+E69*E66+F69*F66</f>
        <v>6.9872134204122771</v>
      </c>
      <c r="F67" s="1"/>
      <c r="G67" s="83"/>
    </row>
    <row r="68" spans="1:7" x14ac:dyDescent="0.25">
      <c r="A68" s="71" t="s">
        <v>55</v>
      </c>
      <c r="B68" s="75">
        <f>+B105</f>
        <v>86757</v>
      </c>
      <c r="C68" s="75">
        <f>+C105</f>
        <v>86757</v>
      </c>
      <c r="D68" s="76"/>
      <c r="E68" s="75">
        <f>+E105</f>
        <v>87522</v>
      </c>
      <c r="F68" s="77">
        <f>+F105</f>
        <v>87522</v>
      </c>
      <c r="G68" s="83"/>
    </row>
    <row r="69" spans="1:7" x14ac:dyDescent="0.25">
      <c r="A69" s="71" t="s">
        <v>57</v>
      </c>
      <c r="B69" s="72">
        <f>+B68/(B68+C68)</f>
        <v>0.5</v>
      </c>
      <c r="C69" s="72">
        <f>+C68/(C68+B68)</f>
        <v>0.5</v>
      </c>
      <c r="D69" s="72"/>
      <c r="E69" s="72">
        <f>+E68/(E68+F68)</f>
        <v>0.5</v>
      </c>
      <c r="F69" s="73">
        <f>+F68/(F68+E68)</f>
        <v>0.5</v>
      </c>
      <c r="G69" s="83"/>
    </row>
    <row r="70" spans="1:7" x14ac:dyDescent="0.25">
      <c r="G70" s="83"/>
    </row>
    <row r="71" spans="1:7" x14ac:dyDescent="0.25">
      <c r="A71" s="11"/>
      <c r="B71" s="34"/>
      <c r="C71" s="55"/>
      <c r="D71" s="55"/>
      <c r="G71" s="83"/>
    </row>
    <row r="72" spans="1:7" x14ac:dyDescent="0.25">
      <c r="A72" s="12"/>
      <c r="B72" s="34"/>
      <c r="C72" s="55"/>
      <c r="D72" s="55"/>
      <c r="G72" s="83"/>
    </row>
    <row r="73" spans="1:7" x14ac:dyDescent="0.25">
      <c r="A73" s="3" t="s">
        <v>5</v>
      </c>
      <c r="G73" s="83"/>
    </row>
    <row r="74" spans="1:7" x14ac:dyDescent="0.25">
      <c r="A74" s="5" t="s">
        <v>6</v>
      </c>
      <c r="B74" s="41">
        <v>135724484.94999999</v>
      </c>
      <c r="C74" s="41">
        <v>135724484.94999999</v>
      </c>
      <c r="E74" s="41">
        <v>159591767.86000001</v>
      </c>
      <c r="F74" s="41">
        <v>159591767.86000001</v>
      </c>
      <c r="G74" s="87" t="s">
        <v>71</v>
      </c>
    </row>
    <row r="75" spans="1:7" x14ac:dyDescent="0.25">
      <c r="A75" s="5" t="s">
        <v>7</v>
      </c>
      <c r="B75" s="80">
        <v>241550956.02000001</v>
      </c>
      <c r="C75" s="80">
        <v>241550956.02000001</v>
      </c>
      <c r="D75" s="41"/>
      <c r="E75" s="80">
        <v>271406761.45999998</v>
      </c>
      <c r="F75" s="80">
        <v>271406761.45999998</v>
      </c>
      <c r="G75" s="88" t="s">
        <v>88</v>
      </c>
    </row>
    <row r="76" spans="1:7" x14ac:dyDescent="0.25">
      <c r="A76" s="5" t="s">
        <v>8</v>
      </c>
      <c r="B76" s="80">
        <v>28406648.48</v>
      </c>
      <c r="C76" s="41">
        <v>28406648</v>
      </c>
      <c r="D76" s="41"/>
      <c r="E76" s="80">
        <v>29949603.25</v>
      </c>
      <c r="F76" s="80">
        <v>29949603.25</v>
      </c>
      <c r="G76" s="88" t="s">
        <v>88</v>
      </c>
    </row>
    <row r="77" spans="1:7" x14ac:dyDescent="0.25">
      <c r="A77" s="5" t="s">
        <v>11</v>
      </c>
      <c r="B77" s="80">
        <f>SUM(B74:B76)</f>
        <v>405682089.45000005</v>
      </c>
      <c r="C77" s="80">
        <f>SUM(C74:C76)</f>
        <v>405682088.97000003</v>
      </c>
      <c r="D77" s="41"/>
      <c r="E77" s="81">
        <f>SUM(E74:E76)</f>
        <v>460948132.56999999</v>
      </c>
      <c r="F77" s="81">
        <f>SUM(F74:F76)</f>
        <v>460948132.56999999</v>
      </c>
      <c r="G77" s="88" t="s">
        <v>94</v>
      </c>
    </row>
    <row r="78" spans="1:7" x14ac:dyDescent="0.25">
      <c r="A78" s="5"/>
      <c r="B78" s="66"/>
      <c r="C78" s="66"/>
      <c r="E78" s="67"/>
      <c r="F78" s="67"/>
      <c r="G78" s="88"/>
    </row>
    <row r="79" spans="1:7" x14ac:dyDescent="0.25">
      <c r="A79" s="5" t="s">
        <v>66</v>
      </c>
      <c r="B79" s="16">
        <v>68496632.25</v>
      </c>
      <c r="C79" s="16">
        <v>68496632.25</v>
      </c>
      <c r="E79" s="52">
        <v>73275469.560000002</v>
      </c>
      <c r="F79" s="52">
        <v>73275469.560000002</v>
      </c>
      <c r="G79" s="83" t="s">
        <v>77</v>
      </c>
    </row>
    <row r="80" spans="1:7" x14ac:dyDescent="0.25">
      <c r="B80" s="17"/>
      <c r="C80" s="17"/>
      <c r="E80" s="17"/>
      <c r="F80" s="17"/>
      <c r="G80" s="89"/>
    </row>
    <row r="81" spans="1:15" x14ac:dyDescent="0.25">
      <c r="A81" s="5" t="s">
        <v>67</v>
      </c>
      <c r="B81" s="16">
        <v>4933705788.0299997</v>
      </c>
      <c r="C81" s="16">
        <v>4933705788.0299997</v>
      </c>
      <c r="E81" s="52">
        <v>6268420953.8999996</v>
      </c>
      <c r="F81" s="52">
        <v>6268420953.8999996</v>
      </c>
      <c r="G81" s="83" t="s">
        <v>81</v>
      </c>
    </row>
    <row r="82" spans="1:15" x14ac:dyDescent="0.25">
      <c r="A82" s="5" t="s">
        <v>89</v>
      </c>
      <c r="B82" s="16">
        <v>2144260455.77</v>
      </c>
      <c r="C82" s="16">
        <v>2144260455.77</v>
      </c>
      <c r="E82" s="52">
        <v>2406013060.8000002</v>
      </c>
      <c r="F82" s="52">
        <v>2406013060.8000002</v>
      </c>
      <c r="G82" s="83" t="s">
        <v>80</v>
      </c>
    </row>
    <row r="83" spans="1:15" x14ac:dyDescent="0.25">
      <c r="E83" s="18"/>
      <c r="F83" s="18"/>
      <c r="G83" s="89"/>
    </row>
    <row r="84" spans="1:15" x14ac:dyDescent="0.25">
      <c r="A84" s="5" t="s">
        <v>9</v>
      </c>
      <c r="B84" s="94">
        <v>7.8E-2</v>
      </c>
      <c r="C84" s="94">
        <v>7.8E-2</v>
      </c>
      <c r="D84" s="95"/>
      <c r="E84" s="96">
        <v>7.3099999999999998E-2</v>
      </c>
      <c r="F84" s="96">
        <v>7.3099999999999998E-2</v>
      </c>
      <c r="G84" s="89" t="s">
        <v>95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65">
        <v>0.105</v>
      </c>
      <c r="F85" s="65">
        <v>0.105</v>
      </c>
      <c r="G85" s="89" t="s">
        <v>95</v>
      </c>
    </row>
    <row r="86" spans="1:15" x14ac:dyDescent="0.25">
      <c r="A86" s="24" t="s">
        <v>32</v>
      </c>
      <c r="B86" s="17">
        <v>0.55640000000000001</v>
      </c>
      <c r="C86" s="17">
        <v>0.55640000000000001</v>
      </c>
      <c r="D86" s="18"/>
      <c r="E86" s="65">
        <v>0.54039999999999999</v>
      </c>
      <c r="F86" s="65">
        <v>0.54039999999999999</v>
      </c>
      <c r="G86" s="89" t="s">
        <v>95</v>
      </c>
    </row>
    <row r="87" spans="1:15" x14ac:dyDescent="0.25">
      <c r="A87" s="24" t="s">
        <v>37</v>
      </c>
      <c r="B87" s="17">
        <v>0.37369999999999998</v>
      </c>
      <c r="C87" s="17">
        <v>0.37369999999999998</v>
      </c>
      <c r="D87" s="18"/>
      <c r="E87" s="36">
        <v>0.37518600000000002</v>
      </c>
      <c r="F87" s="36">
        <v>0.37518600000000002</v>
      </c>
      <c r="G87" s="89" t="s">
        <v>84</v>
      </c>
      <c r="H87" s="18"/>
      <c r="I87" s="18"/>
    </row>
    <row r="88" spans="1:15" x14ac:dyDescent="0.25">
      <c r="A88" s="24"/>
      <c r="E88" s="18"/>
      <c r="F88" s="18"/>
      <c r="G88" s="89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90" t="s">
        <v>90</v>
      </c>
    </row>
    <row r="90" spans="1:15" x14ac:dyDescent="0.25">
      <c r="A90" s="5"/>
      <c r="B90" s="33"/>
      <c r="C90" s="33"/>
      <c r="E90" s="18"/>
      <c r="F90" s="18"/>
      <c r="G90" s="83"/>
    </row>
    <row r="91" spans="1:15" x14ac:dyDescent="0.25">
      <c r="A91" s="5" t="s">
        <v>92</v>
      </c>
      <c r="B91" s="41">
        <v>564286</v>
      </c>
      <c r="C91" s="41">
        <v>564286</v>
      </c>
      <c r="E91" s="52">
        <v>474898.81</v>
      </c>
      <c r="F91" s="52">
        <v>474898.81</v>
      </c>
      <c r="G91" s="89" t="s">
        <v>79</v>
      </c>
    </row>
    <row r="92" spans="1:15" x14ac:dyDescent="0.25">
      <c r="A92" s="5" t="s">
        <v>93</v>
      </c>
      <c r="B92" s="41">
        <v>7007225</v>
      </c>
      <c r="C92" s="41">
        <v>7007225</v>
      </c>
      <c r="E92" s="52">
        <v>7870074.0599999996</v>
      </c>
      <c r="F92" s="52">
        <v>7870074.0599999996</v>
      </c>
      <c r="G92" s="89" t="s">
        <v>79</v>
      </c>
    </row>
    <row r="93" spans="1:15" x14ac:dyDescent="0.25">
      <c r="A93" s="5" t="s">
        <v>43</v>
      </c>
      <c r="B93" s="41">
        <f>+'A&amp;G Detail'!B3</f>
        <v>83493455</v>
      </c>
      <c r="C93" s="41">
        <f>+B93</f>
        <v>83493455</v>
      </c>
      <c r="D93" s="18"/>
      <c r="E93" s="52">
        <f>+'A&amp;G Detail'!E20</f>
        <v>82720224.909999996</v>
      </c>
      <c r="F93" s="52">
        <f>+E93</f>
        <v>82720224.909999996</v>
      </c>
      <c r="G93" s="89" t="s">
        <v>106</v>
      </c>
      <c r="H93" s="18"/>
    </row>
    <row r="94" spans="1:15" x14ac:dyDescent="0.25">
      <c r="A94" s="5" t="s">
        <v>44</v>
      </c>
      <c r="B94" s="41">
        <v>232934</v>
      </c>
      <c r="C94" s="41">
        <v>232934</v>
      </c>
      <c r="D94" s="18"/>
      <c r="E94" s="97">
        <f>B94*E91/B91</f>
        <v>196035.48450349644</v>
      </c>
      <c r="F94" s="97">
        <f>C94*F91/C91</f>
        <v>196035.48450349644</v>
      </c>
      <c r="G94" s="89" t="s">
        <v>102</v>
      </c>
      <c r="H94" s="82"/>
      <c r="I94" s="82"/>
      <c r="J94" s="82"/>
      <c r="K94" s="82"/>
      <c r="L94" s="82"/>
      <c r="M94" s="82"/>
      <c r="N94" s="82"/>
      <c r="O94" s="18"/>
    </row>
    <row r="95" spans="1:15" x14ac:dyDescent="0.25">
      <c r="A95" s="5" t="s">
        <v>45</v>
      </c>
      <c r="B95" s="41">
        <v>276515</v>
      </c>
      <c r="C95" s="41">
        <v>276515</v>
      </c>
      <c r="D95" s="18"/>
      <c r="E95" s="97">
        <f>B95*E92/B92</f>
        <v>310564.2431491639</v>
      </c>
      <c r="F95" s="97">
        <f>C95*F92/C92</f>
        <v>310564.2431491639</v>
      </c>
      <c r="G95" s="89" t="s">
        <v>103</v>
      </c>
      <c r="H95" s="82"/>
      <c r="I95" s="82"/>
      <c r="J95" s="82"/>
      <c r="K95" s="82"/>
      <c r="L95" s="82"/>
      <c r="M95" s="82"/>
      <c r="N95" s="82"/>
      <c r="O95" s="18"/>
    </row>
    <row r="96" spans="1:15" x14ac:dyDescent="0.25">
      <c r="A96" s="5" t="s">
        <v>46</v>
      </c>
      <c r="B96" s="41">
        <f>+B95+B94</f>
        <v>509449</v>
      </c>
      <c r="C96" s="41">
        <f>+C95+C94</f>
        <v>509449</v>
      </c>
      <c r="D96" s="18"/>
      <c r="E96" s="98">
        <f>+E95+E94</f>
        <v>506599.72765266034</v>
      </c>
      <c r="F96" s="98">
        <f>+F95+F94</f>
        <v>506599.72765266034</v>
      </c>
      <c r="G96" s="89"/>
      <c r="H96" s="18"/>
    </row>
    <row r="97" spans="1:8" x14ac:dyDescent="0.25">
      <c r="A97" s="5" t="s">
        <v>110</v>
      </c>
      <c r="B97" s="52">
        <v>63964275</v>
      </c>
      <c r="C97" s="52">
        <v>63964275</v>
      </c>
      <c r="D97" s="18"/>
      <c r="E97" s="98">
        <f>+B97*E100/B100</f>
        <v>70473157.904786333</v>
      </c>
      <c r="F97" s="98">
        <f>+C97*F100/C100</f>
        <v>70473157.904786333</v>
      </c>
      <c r="G97" s="89" t="s">
        <v>109</v>
      </c>
      <c r="H97" s="69"/>
    </row>
    <row r="98" spans="1:8" x14ac:dyDescent="0.25">
      <c r="A98" s="5" t="s">
        <v>61</v>
      </c>
      <c r="B98" s="38">
        <f>+B96/B97</f>
        <v>7.9645864820636209E-3</v>
      </c>
      <c r="C98" s="38">
        <f>+C96/C97</f>
        <v>7.9645864820636209E-3</v>
      </c>
      <c r="D98" s="18"/>
      <c r="E98" s="38">
        <f>+E96/E97</f>
        <v>7.188548700160541E-3</v>
      </c>
      <c r="F98" s="38">
        <f>+F96/F97</f>
        <v>7.188548700160541E-3</v>
      </c>
      <c r="G98" s="89" t="s">
        <v>96</v>
      </c>
      <c r="H98" s="18"/>
    </row>
    <row r="99" spans="1:8" x14ac:dyDescent="0.25">
      <c r="A99" s="5" t="s">
        <v>42</v>
      </c>
      <c r="B99" s="41">
        <f>+B96/B97*B93</f>
        <v>664990.84303378721</v>
      </c>
      <c r="C99" s="41">
        <f>+C96/C97*C93</f>
        <v>664990.84303378721</v>
      </c>
      <c r="D99" s="18"/>
      <c r="E99" s="52">
        <f>+E96/E97*E93</f>
        <v>594638.36525376805</v>
      </c>
      <c r="F99" s="52">
        <f>+F96/F97*F93</f>
        <v>594638.36525376805</v>
      </c>
      <c r="G99" s="89" t="s">
        <v>96</v>
      </c>
      <c r="H99" s="18"/>
    </row>
    <row r="100" spans="1:8" x14ac:dyDescent="0.25">
      <c r="A100" s="5" t="s">
        <v>107</v>
      </c>
      <c r="B100" s="41">
        <v>106931638</v>
      </c>
      <c r="C100" s="41">
        <f>+B100</f>
        <v>106931638</v>
      </c>
      <c r="D100" s="18"/>
      <c r="E100" s="52">
        <v>117812798</v>
      </c>
      <c r="F100" s="52">
        <f>+E100</f>
        <v>117812798</v>
      </c>
      <c r="G100" s="89" t="s">
        <v>104</v>
      </c>
      <c r="H100" s="18"/>
    </row>
    <row r="101" spans="1:8" x14ac:dyDescent="0.25">
      <c r="A101" s="5" t="s">
        <v>108</v>
      </c>
      <c r="B101" s="41">
        <f>+B96/B100*B93</f>
        <v>397783.6489916576</v>
      </c>
      <c r="C101" s="41">
        <f>+C96/C100*C93</f>
        <v>397783.6489916576</v>
      </c>
      <c r="E101" s="41">
        <f>+E96/E100*E93</f>
        <v>355700.26450583752</v>
      </c>
      <c r="F101" s="41">
        <f>+F96/F100*F93</f>
        <v>355700.26450583752</v>
      </c>
      <c r="G101" s="89" t="s">
        <v>96</v>
      </c>
      <c r="H101" s="18"/>
    </row>
    <row r="102" spans="1:8" x14ac:dyDescent="0.25">
      <c r="A102" s="5"/>
      <c r="E102" s="18"/>
      <c r="F102" s="18"/>
      <c r="G102" s="89"/>
      <c r="H102" s="18"/>
    </row>
    <row r="103" spans="1:8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83" t="s">
        <v>69</v>
      </c>
      <c r="H103" s="18"/>
    </row>
    <row r="104" spans="1:8" x14ac:dyDescent="0.25">
      <c r="E104" s="18"/>
      <c r="F104" s="18"/>
      <c r="G104" s="89"/>
      <c r="H104" s="18"/>
    </row>
    <row r="105" spans="1:8" x14ac:dyDescent="0.25">
      <c r="A105" s="5" t="s">
        <v>55</v>
      </c>
      <c r="B105" s="29">
        <v>86757</v>
      </c>
      <c r="C105" s="29">
        <v>86757</v>
      </c>
      <c r="E105" s="23">
        <v>87522</v>
      </c>
      <c r="F105" s="23">
        <f>+E105</f>
        <v>87522</v>
      </c>
      <c r="G105" s="89" t="s">
        <v>101</v>
      </c>
      <c r="H105" s="18"/>
    </row>
    <row r="106" spans="1:8" x14ac:dyDescent="0.25">
      <c r="A106" s="5"/>
      <c r="B106" s="29"/>
      <c r="C106" s="29"/>
      <c r="E106" s="18"/>
      <c r="F106" s="18"/>
      <c r="G106" s="89"/>
      <c r="H106" s="18"/>
    </row>
    <row r="107" spans="1:8" x14ac:dyDescent="0.25">
      <c r="A107" s="5" t="s">
        <v>19</v>
      </c>
      <c r="E107" s="18"/>
      <c r="F107" s="18"/>
      <c r="G107" s="89"/>
      <c r="H107" s="18"/>
    </row>
    <row r="108" spans="1:8" x14ac:dyDescent="0.25">
      <c r="A108" s="7" t="s">
        <v>16</v>
      </c>
      <c r="B108" s="41">
        <v>11527331.710000001</v>
      </c>
      <c r="C108" s="41">
        <v>11527331.710000001</v>
      </c>
      <c r="E108" s="52">
        <v>12786133.32</v>
      </c>
      <c r="F108" s="52">
        <v>12786133.32</v>
      </c>
      <c r="G108" s="83" t="s">
        <v>72</v>
      </c>
    </row>
    <row r="109" spans="1:8" x14ac:dyDescent="0.25">
      <c r="A109" s="7" t="s">
        <v>17</v>
      </c>
      <c r="B109" s="41">
        <v>27701656.219999999</v>
      </c>
      <c r="C109" s="41">
        <v>27701656.219999999</v>
      </c>
      <c r="E109" s="52">
        <v>31220039.620000001</v>
      </c>
      <c r="F109" s="52">
        <v>31220039.620000001</v>
      </c>
      <c r="G109" s="83" t="s">
        <v>73</v>
      </c>
    </row>
    <row r="110" spans="1:8" x14ac:dyDescent="0.25">
      <c r="A110" s="5" t="s">
        <v>18</v>
      </c>
      <c r="B110" s="23">
        <v>27726577.219999999</v>
      </c>
      <c r="C110" s="23">
        <v>27726577.219999999</v>
      </c>
      <c r="E110" s="52">
        <v>35703827.649999999</v>
      </c>
      <c r="F110" s="52">
        <v>35703827.649999999</v>
      </c>
      <c r="G110" s="83" t="s">
        <v>76</v>
      </c>
    </row>
    <row r="111" spans="1:8" x14ac:dyDescent="0.25">
      <c r="A111" s="5"/>
      <c r="B111" s="41"/>
      <c r="C111" s="41"/>
      <c r="E111" s="18"/>
      <c r="F111" s="18"/>
      <c r="G111" s="83"/>
    </row>
    <row r="112" spans="1:8" x14ac:dyDescent="0.25">
      <c r="A112" s="5" t="s">
        <v>56</v>
      </c>
      <c r="E112" s="18"/>
      <c r="F112" s="18"/>
      <c r="G112" s="83"/>
    </row>
    <row r="113" spans="1:7" x14ac:dyDescent="0.25">
      <c r="A113" s="7" t="s">
        <v>16</v>
      </c>
      <c r="B113" s="29">
        <v>23130</v>
      </c>
      <c r="C113" s="29">
        <v>23130</v>
      </c>
      <c r="E113" s="23">
        <v>23334</v>
      </c>
      <c r="F113" s="23">
        <v>23334</v>
      </c>
      <c r="G113" s="83" t="s">
        <v>68</v>
      </c>
    </row>
    <row r="114" spans="1:7" x14ac:dyDescent="0.25">
      <c r="A114" s="7" t="s">
        <v>17</v>
      </c>
      <c r="B114" s="29">
        <v>59477</v>
      </c>
      <c r="C114" s="29">
        <v>59477</v>
      </c>
      <c r="D114" s="51"/>
      <c r="E114" s="23">
        <v>59312</v>
      </c>
      <c r="F114" s="23">
        <v>59312</v>
      </c>
      <c r="G114" s="91" t="s">
        <v>74</v>
      </c>
    </row>
    <row r="115" spans="1:7" ht="17.25" x14ac:dyDescent="0.4">
      <c r="A115" s="5" t="s">
        <v>18</v>
      </c>
      <c r="B115" s="53">
        <v>22455</v>
      </c>
      <c r="C115" s="53">
        <v>22455</v>
      </c>
      <c r="D115" s="18"/>
      <c r="E115" s="54">
        <v>23443</v>
      </c>
      <c r="F115" s="54">
        <v>23443</v>
      </c>
      <c r="G115" s="89" t="s">
        <v>75</v>
      </c>
    </row>
    <row r="116" spans="1:7" x14ac:dyDescent="0.25">
      <c r="A116" s="5" t="s">
        <v>65</v>
      </c>
      <c r="B116" s="29">
        <f>SUM(B113:B115)</f>
        <v>105062</v>
      </c>
      <c r="C116" s="29">
        <f>SUM(C113:C115)</f>
        <v>105062</v>
      </c>
      <c r="D116" s="18"/>
      <c r="E116" s="29">
        <f>SUM(E113:E115)</f>
        <v>106089</v>
      </c>
      <c r="F116" s="29">
        <f>SUM(F113:F115)</f>
        <v>106089</v>
      </c>
      <c r="G116" s="89" t="s">
        <v>96</v>
      </c>
    </row>
    <row r="117" spans="1:7" x14ac:dyDescent="0.25">
      <c r="D117" s="18"/>
      <c r="E117" s="18"/>
      <c r="G117" s="89"/>
    </row>
    <row r="118" spans="1:7" x14ac:dyDescent="0.25">
      <c r="A118" t="s">
        <v>64</v>
      </c>
      <c r="B118" s="23">
        <v>141804</v>
      </c>
      <c r="C118" s="23">
        <v>141804</v>
      </c>
      <c r="D118" s="51"/>
      <c r="E118" s="23">
        <v>143303</v>
      </c>
      <c r="F118" s="23">
        <v>143303</v>
      </c>
      <c r="G118" s="91" t="s">
        <v>70</v>
      </c>
    </row>
    <row r="119" spans="1:7" x14ac:dyDescent="0.25">
      <c r="B119" s="18"/>
      <c r="C119" s="51"/>
      <c r="D119" s="51"/>
      <c r="E119" s="18"/>
      <c r="G119" s="83"/>
    </row>
    <row r="120" spans="1:7" x14ac:dyDescent="0.25">
      <c r="B120" s="18"/>
      <c r="C120" s="18"/>
      <c r="D120" s="18"/>
      <c r="E120" s="18"/>
      <c r="G120" s="83"/>
    </row>
    <row r="121" spans="1:7" x14ac:dyDescent="0.25">
      <c r="B121" s="18"/>
      <c r="C121" s="18"/>
      <c r="D121" s="18"/>
      <c r="E121" s="18"/>
      <c r="G121" s="83"/>
    </row>
    <row r="122" spans="1:7" x14ac:dyDescent="0.25">
      <c r="B122" s="18"/>
      <c r="C122" s="18"/>
      <c r="D122" s="18"/>
      <c r="E122" s="18"/>
      <c r="G122" s="83"/>
    </row>
    <row r="123" spans="1:7" x14ac:dyDescent="0.25">
      <c r="B123" s="18"/>
      <c r="C123" s="18"/>
      <c r="D123" s="18"/>
      <c r="E123" s="18"/>
      <c r="G123" s="83"/>
    </row>
    <row r="124" spans="1:7" x14ac:dyDescent="0.25">
      <c r="B124" s="18"/>
      <c r="C124" s="18"/>
      <c r="D124" s="18"/>
      <c r="E124" s="18"/>
      <c r="G124" s="83"/>
    </row>
    <row r="125" spans="1:7" x14ac:dyDescent="0.25">
      <c r="B125" s="18"/>
      <c r="C125" s="18"/>
      <c r="D125" s="18"/>
      <c r="E125" s="18"/>
      <c r="G125" s="83"/>
    </row>
    <row r="126" spans="1:7" x14ac:dyDescent="0.25">
      <c r="B126" s="18"/>
      <c r="C126" s="18"/>
      <c r="D126" s="18"/>
      <c r="E126" s="18"/>
      <c r="G126" s="83"/>
    </row>
    <row r="127" spans="1:7" x14ac:dyDescent="0.25">
      <c r="B127" s="18"/>
      <c r="C127" s="18"/>
      <c r="D127" s="18"/>
      <c r="E127" s="18"/>
      <c r="G127" s="83"/>
    </row>
    <row r="128" spans="1:7" x14ac:dyDescent="0.25">
      <c r="B128" s="18"/>
      <c r="C128" s="18"/>
      <c r="D128" s="18"/>
      <c r="E128" s="18"/>
      <c r="G128" s="83"/>
    </row>
    <row r="129" spans="2:7" x14ac:dyDescent="0.25">
      <c r="B129" s="18"/>
      <c r="C129" s="18"/>
      <c r="D129" s="18"/>
      <c r="E129" s="18"/>
      <c r="G129" s="83"/>
    </row>
    <row r="130" spans="2:7" x14ac:dyDescent="0.25">
      <c r="B130" s="18"/>
      <c r="C130" s="18"/>
      <c r="D130" s="18"/>
      <c r="E130" s="18"/>
      <c r="G130" s="83"/>
    </row>
    <row r="131" spans="2:7" x14ac:dyDescent="0.25">
      <c r="B131" s="18"/>
      <c r="C131" s="18"/>
      <c r="D131" s="18"/>
      <c r="E131" s="18"/>
      <c r="G131" s="83"/>
    </row>
    <row r="132" spans="2:7" x14ac:dyDescent="0.25">
      <c r="B132" s="18"/>
      <c r="C132" s="18"/>
      <c r="D132" s="18"/>
      <c r="E132" s="18"/>
      <c r="G132" s="83"/>
    </row>
    <row r="133" spans="2:7" x14ac:dyDescent="0.25">
      <c r="B133" s="18"/>
      <c r="C133" s="18"/>
      <c r="D133" s="18"/>
      <c r="E133" s="18"/>
      <c r="G133" s="83"/>
    </row>
    <row r="134" spans="2:7" x14ac:dyDescent="0.25">
      <c r="B134" s="18"/>
      <c r="C134" s="18"/>
      <c r="D134" s="18"/>
      <c r="E134" s="18"/>
      <c r="G134" s="83"/>
    </row>
    <row r="135" spans="2:7" x14ac:dyDescent="0.25">
      <c r="B135" s="18"/>
      <c r="C135" s="18"/>
      <c r="D135" s="18"/>
      <c r="E135" s="18"/>
      <c r="G135" s="83"/>
    </row>
    <row r="136" spans="2:7" x14ac:dyDescent="0.25">
      <c r="B136" s="18"/>
      <c r="C136" s="18"/>
      <c r="D136" s="18"/>
      <c r="E136" s="18"/>
      <c r="G136" s="83"/>
    </row>
    <row r="137" spans="2:7" x14ac:dyDescent="0.25">
      <c r="B137" s="18"/>
      <c r="C137" s="18"/>
      <c r="D137" s="18"/>
      <c r="E137" s="18"/>
      <c r="G137" s="83"/>
    </row>
    <row r="138" spans="2:7" x14ac:dyDescent="0.25">
      <c r="B138" s="18"/>
      <c r="C138" s="18"/>
      <c r="D138" s="18"/>
      <c r="E138" s="18"/>
      <c r="G138" s="83"/>
    </row>
    <row r="139" spans="2:7" x14ac:dyDescent="0.25">
      <c r="B139" s="18"/>
      <c r="C139" s="18"/>
      <c r="D139" s="18"/>
      <c r="E139" s="18"/>
      <c r="G139" s="83"/>
    </row>
    <row r="140" spans="2:7" x14ac:dyDescent="0.25">
      <c r="B140" s="18"/>
      <c r="C140" s="18"/>
      <c r="D140" s="18"/>
      <c r="E140" s="18"/>
      <c r="G140" s="83"/>
    </row>
    <row r="141" spans="2:7" x14ac:dyDescent="0.25">
      <c r="B141" s="18"/>
      <c r="C141" s="18"/>
      <c r="D141" s="18"/>
      <c r="E141" s="18"/>
      <c r="G141" s="83"/>
    </row>
    <row r="142" spans="2:7" x14ac:dyDescent="0.25">
      <c r="B142" s="18"/>
      <c r="C142" s="18"/>
      <c r="D142" s="18"/>
      <c r="E142" s="18"/>
      <c r="G142" s="83"/>
    </row>
    <row r="143" spans="2:7" x14ac:dyDescent="0.25">
      <c r="B143" s="18"/>
      <c r="C143" s="18"/>
      <c r="D143" s="18"/>
      <c r="E143" s="18"/>
      <c r="G143" s="83"/>
    </row>
    <row r="144" spans="2:7" x14ac:dyDescent="0.25">
      <c r="B144" s="18"/>
      <c r="C144" s="18"/>
      <c r="D144" s="18"/>
      <c r="E144" s="18"/>
      <c r="G144" s="68"/>
    </row>
    <row r="145" spans="2:7" x14ac:dyDescent="0.25">
      <c r="B145" s="18"/>
      <c r="C145" s="18"/>
      <c r="D145" s="18"/>
      <c r="E145" s="18"/>
      <c r="G145" s="68"/>
    </row>
    <row r="146" spans="2:7" x14ac:dyDescent="0.25">
      <c r="B146" s="18"/>
      <c r="C146" s="18"/>
      <c r="D146" s="18"/>
      <c r="E146" s="18"/>
      <c r="G146" s="68"/>
    </row>
    <row r="147" spans="2:7" x14ac:dyDescent="0.25">
      <c r="B147" s="18"/>
      <c r="C147" s="18"/>
      <c r="D147" s="18"/>
      <c r="E147" s="18"/>
    </row>
    <row r="148" spans="2:7" x14ac:dyDescent="0.25">
      <c r="B148" s="18"/>
      <c r="C148" s="18"/>
      <c r="D148" s="18"/>
      <c r="E148" s="18"/>
    </row>
    <row r="149" spans="2:7" x14ac:dyDescent="0.25">
      <c r="B149" s="18"/>
      <c r="C149" s="18"/>
      <c r="D149" s="18"/>
      <c r="E149" s="18"/>
    </row>
    <row r="150" spans="2:7" x14ac:dyDescent="0.25">
      <c r="B150" s="18"/>
      <c r="C150" s="18"/>
      <c r="D150" s="18"/>
      <c r="E150" s="18"/>
    </row>
    <row r="151" spans="2:7" x14ac:dyDescent="0.25">
      <c r="B151" s="18"/>
      <c r="C151" s="18"/>
      <c r="D151" s="18"/>
      <c r="E151" s="18"/>
    </row>
    <row r="152" spans="2:7" x14ac:dyDescent="0.25">
      <c r="B152" s="18"/>
      <c r="C152" s="18"/>
      <c r="D152" s="18"/>
      <c r="E152" s="18"/>
    </row>
    <row r="153" spans="2:7" x14ac:dyDescent="0.25">
      <c r="B153" s="18"/>
      <c r="C153" s="18"/>
      <c r="D153" s="18"/>
      <c r="E153" s="18"/>
    </row>
    <row r="154" spans="2:7" x14ac:dyDescent="0.25">
      <c r="B154" s="18"/>
      <c r="C154" s="18"/>
      <c r="D154" s="18"/>
      <c r="E154" s="18"/>
    </row>
    <row r="155" spans="2:7" x14ac:dyDescent="0.25">
      <c r="B155" s="18"/>
      <c r="C155" s="18"/>
      <c r="D155" s="18"/>
      <c r="E155" s="18"/>
    </row>
    <row r="156" spans="2:7" x14ac:dyDescent="0.25">
      <c r="B156" s="18"/>
      <c r="C156" s="18"/>
      <c r="D156" s="18"/>
      <c r="E156" s="18"/>
    </row>
    <row r="157" spans="2:7" x14ac:dyDescent="0.25">
      <c r="B157" s="18"/>
      <c r="C157" s="18"/>
      <c r="D157" s="18"/>
      <c r="E157" s="18"/>
    </row>
    <row r="158" spans="2:7" x14ac:dyDescent="0.25">
      <c r="B158" s="18"/>
      <c r="C158" s="18"/>
      <c r="D158" s="18"/>
      <c r="E158" s="18"/>
    </row>
    <row r="159" spans="2:7" x14ac:dyDescent="0.25">
      <c r="B159" s="18"/>
      <c r="C159" s="18"/>
      <c r="D159" s="18"/>
      <c r="E159" s="18"/>
    </row>
    <row r="160" spans="2:7" x14ac:dyDescent="0.25">
      <c r="B160" s="18"/>
      <c r="C160" s="18"/>
      <c r="D160" s="18"/>
      <c r="E160" s="18"/>
    </row>
    <row r="161" spans="2:5" x14ac:dyDescent="0.25">
      <c r="B161" s="18"/>
      <c r="C161" s="18"/>
      <c r="D161" s="18"/>
      <c r="E161" s="18"/>
    </row>
    <row r="162" spans="2:5" x14ac:dyDescent="0.25">
      <c r="B162" s="18"/>
      <c r="C162" s="18"/>
      <c r="D162" s="18"/>
      <c r="E162" s="18"/>
    </row>
    <row r="163" spans="2:5" x14ac:dyDescent="0.25">
      <c r="B163" s="18"/>
      <c r="C163" s="18"/>
      <c r="D163" s="18"/>
      <c r="E163" s="18"/>
    </row>
    <row r="164" spans="2:5" x14ac:dyDescent="0.25">
      <c r="B164" s="18"/>
      <c r="C164" s="18"/>
      <c r="D164" s="18"/>
      <c r="E164" s="18"/>
    </row>
    <row r="165" spans="2:5" x14ac:dyDescent="0.25">
      <c r="B165" s="18"/>
      <c r="C165" s="18"/>
      <c r="D165" s="18"/>
      <c r="E165" s="18"/>
    </row>
    <row r="166" spans="2:5" x14ac:dyDescent="0.25">
      <c r="B166" s="18"/>
      <c r="C166" s="18"/>
      <c r="D166" s="18"/>
      <c r="E166" s="18"/>
    </row>
    <row r="167" spans="2:5" x14ac:dyDescent="0.25">
      <c r="B167" s="18"/>
      <c r="C167" s="18"/>
      <c r="D167" s="18"/>
      <c r="E167" s="18"/>
    </row>
    <row r="168" spans="2:5" x14ac:dyDescent="0.25">
      <c r="B168" s="18"/>
      <c r="C168" s="18"/>
      <c r="D168" s="18"/>
      <c r="E168" s="18"/>
    </row>
    <row r="169" spans="2:5" x14ac:dyDescent="0.25">
      <c r="B169" s="18"/>
      <c r="C169" s="18"/>
      <c r="D169" s="18"/>
      <c r="E169" s="18"/>
    </row>
    <row r="170" spans="2:5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50" zoomScaleNormal="150" zoomScalePageLayoutView="150" workbookViewId="0"/>
  </sheetViews>
  <sheetFormatPr defaultColWidth="8.85546875" defaultRowHeight="15" x14ac:dyDescent="0.25"/>
  <cols>
    <col min="1" max="1" width="15" bestFit="1" customWidth="1"/>
    <col min="2" max="2" width="15" customWidth="1"/>
    <col min="3" max="3" width="13.85546875" bestFit="1" customWidth="1"/>
    <col min="5" max="5" width="13.85546875" bestFit="1" customWidth="1"/>
  </cols>
  <sheetData>
    <row r="1" spans="1:5" x14ac:dyDescent="0.25">
      <c r="A1" s="50">
        <v>40999</v>
      </c>
      <c r="B1" s="50"/>
      <c r="C1" s="35"/>
      <c r="D1" s="18"/>
      <c r="E1" s="50">
        <v>41943</v>
      </c>
    </row>
    <row r="2" spans="1:5" x14ac:dyDescent="0.25">
      <c r="A2" t="s">
        <v>105</v>
      </c>
    </row>
    <row r="3" spans="1:5" x14ac:dyDescent="0.25">
      <c r="A3" t="s">
        <v>78</v>
      </c>
      <c r="B3" s="16">
        <v>83493455</v>
      </c>
      <c r="E3" t="s">
        <v>100</v>
      </c>
    </row>
    <row r="5" spans="1:5" x14ac:dyDescent="0.25">
      <c r="A5" t="s">
        <v>86</v>
      </c>
      <c r="B5" t="s">
        <v>87</v>
      </c>
      <c r="E5" t="s">
        <v>87</v>
      </c>
    </row>
    <row r="6" spans="1:5" x14ac:dyDescent="0.25">
      <c r="A6">
        <v>920</v>
      </c>
      <c r="B6" s="41">
        <v>16456590.77</v>
      </c>
      <c r="C6" s="41"/>
      <c r="E6" s="41">
        <v>23947295.379999999</v>
      </c>
    </row>
    <row r="7" spans="1:5" x14ac:dyDescent="0.25">
      <c r="A7">
        <v>921</v>
      </c>
      <c r="B7" s="41">
        <v>5348736.7</v>
      </c>
      <c r="C7" s="41"/>
      <c r="E7" s="41">
        <v>5668568.7400000002</v>
      </c>
    </row>
    <row r="8" spans="1:5" x14ac:dyDescent="0.25">
      <c r="A8">
        <v>922</v>
      </c>
      <c r="B8" s="41">
        <v>-2107021.6</v>
      </c>
      <c r="C8" s="41"/>
      <c r="E8" s="41">
        <v>-3635095.48</v>
      </c>
    </row>
    <row r="9" spans="1:5" x14ac:dyDescent="0.25">
      <c r="A9">
        <f>+A8+1</f>
        <v>923</v>
      </c>
      <c r="B9" s="41">
        <v>5267224.05</v>
      </c>
      <c r="C9" s="41"/>
      <c r="E9" s="41">
        <v>15502713.59</v>
      </c>
    </row>
    <row r="10" spans="1:5" x14ac:dyDescent="0.25">
      <c r="A10">
        <f t="shared" ref="A10:A15" si="0">+A9+1</f>
        <v>924</v>
      </c>
      <c r="B10" s="41">
        <v>4471918.43</v>
      </c>
      <c r="C10" s="41"/>
      <c r="E10" s="41">
        <v>4722577.68</v>
      </c>
    </row>
    <row r="11" spans="1:5" x14ac:dyDescent="0.25">
      <c r="A11">
        <f t="shared" si="0"/>
        <v>925</v>
      </c>
      <c r="B11" s="41">
        <v>2448359.89</v>
      </c>
      <c r="C11" s="41"/>
      <c r="E11" s="41">
        <v>2741572.8</v>
      </c>
    </row>
    <row r="12" spans="1:5" x14ac:dyDescent="0.25">
      <c r="A12">
        <f t="shared" si="0"/>
        <v>926</v>
      </c>
      <c r="B12" s="41">
        <v>37074584.329999998</v>
      </c>
      <c r="C12" s="41"/>
      <c r="E12" s="41">
        <v>26999944.859999999</v>
      </c>
    </row>
    <row r="13" spans="1:5" x14ac:dyDescent="0.25">
      <c r="A13">
        <f t="shared" si="0"/>
        <v>927</v>
      </c>
      <c r="B13" s="41">
        <v>30730.7</v>
      </c>
      <c r="C13" s="41"/>
      <c r="E13" s="41">
        <v>36604.050000000003</v>
      </c>
    </row>
    <row r="14" spans="1:5" x14ac:dyDescent="0.25">
      <c r="A14">
        <f t="shared" si="0"/>
        <v>928</v>
      </c>
      <c r="B14" s="41">
        <v>1173366.01</v>
      </c>
      <c r="C14" s="41"/>
      <c r="E14" s="41">
        <v>768241.77</v>
      </c>
    </row>
    <row r="15" spans="1:5" x14ac:dyDescent="0.25">
      <c r="A15">
        <f t="shared" si="0"/>
        <v>929</v>
      </c>
      <c r="B15" s="41">
        <v>-153700.96</v>
      </c>
      <c r="C15" s="41"/>
      <c r="E15" s="41">
        <v>-270393.89</v>
      </c>
    </row>
    <row r="16" spans="1:5" x14ac:dyDescent="0.25">
      <c r="A16">
        <f>+A15+1+0.1</f>
        <v>930.1</v>
      </c>
      <c r="B16" s="41">
        <v>520853.64</v>
      </c>
      <c r="C16" s="41"/>
      <c r="E16" s="41">
        <v>780551.68000000005</v>
      </c>
    </row>
    <row r="17" spans="1:5" x14ac:dyDescent="0.25">
      <c r="A17">
        <f>+A15+1+0.2</f>
        <v>930.2</v>
      </c>
      <c r="B17" s="41">
        <v>2363430.0499999998</v>
      </c>
      <c r="C17" s="41"/>
      <c r="E17" s="41">
        <v>2956518.47</v>
      </c>
    </row>
    <row r="18" spans="1:5" x14ac:dyDescent="0.25">
      <c r="A18">
        <f>931</f>
        <v>931</v>
      </c>
      <c r="B18" s="41">
        <v>1598924.75</v>
      </c>
      <c r="C18" s="41"/>
      <c r="E18" s="41">
        <v>1528692.17</v>
      </c>
    </row>
    <row r="19" spans="1:5" x14ac:dyDescent="0.25">
      <c r="A19">
        <f>935</f>
        <v>935</v>
      </c>
      <c r="B19" s="56">
        <v>8999457.8200000003</v>
      </c>
      <c r="C19" s="56"/>
      <c r="E19" s="56">
        <v>972433.09</v>
      </c>
    </row>
    <row r="20" spans="1:5" x14ac:dyDescent="0.25">
      <c r="B20" s="41">
        <f>SUM(B6:B19)</f>
        <v>83493454.580000013</v>
      </c>
      <c r="C20" s="41"/>
      <c r="E20" s="41">
        <f>SUM(E6:E19)</f>
        <v>82720224.909999996</v>
      </c>
    </row>
    <row r="22" spans="1:5" x14ac:dyDescent="0.25">
      <c r="C22" s="41"/>
      <c r="D22" s="41"/>
      <c r="E22" s="41"/>
    </row>
    <row r="25" spans="1:5" x14ac:dyDescent="0.25">
      <c r="C25" s="41"/>
      <c r="D25" s="41"/>
      <c r="E25" s="41"/>
    </row>
    <row r="26" spans="1:5" x14ac:dyDescent="0.25">
      <c r="C26" s="41"/>
      <c r="D26" s="41"/>
      <c r="E26" s="41"/>
    </row>
    <row r="27" spans="1:5" x14ac:dyDescent="0.25">
      <c r="C27" s="41"/>
      <c r="D27" s="41"/>
      <c r="E27" s="41"/>
    </row>
    <row r="28" spans="1:5" x14ac:dyDescent="0.25">
      <c r="C28" s="41"/>
      <c r="D28" s="41"/>
      <c r="E28" s="41"/>
    </row>
    <row r="29" spans="1:5" x14ac:dyDescent="0.25">
      <c r="C29" s="41"/>
      <c r="D29" s="41"/>
      <c r="E29" s="41"/>
    </row>
    <row r="30" spans="1:5" x14ac:dyDescent="0.25">
      <c r="C30" s="41"/>
      <c r="D30" s="41"/>
      <c r="E30" s="41"/>
    </row>
    <row r="31" spans="1:5" x14ac:dyDescent="0.25">
      <c r="C31" s="41"/>
      <c r="D31" s="41"/>
      <c r="E31" s="41"/>
    </row>
    <row r="32" spans="1:5" x14ac:dyDescent="0.25">
      <c r="C32" s="41"/>
      <c r="D32" s="41"/>
      <c r="E32" s="41"/>
    </row>
    <row r="33" spans="3:5" x14ac:dyDescent="0.25">
      <c r="C33" s="41"/>
      <c r="D33" s="41"/>
      <c r="E33" s="41"/>
    </row>
    <row r="34" spans="3:5" x14ac:dyDescent="0.25">
      <c r="C34" s="41"/>
      <c r="D34" s="41"/>
      <c r="E34" s="41"/>
    </row>
    <row r="35" spans="3:5" x14ac:dyDescent="0.25">
      <c r="C35" s="41"/>
      <c r="E35" s="41"/>
    </row>
    <row r="36" spans="3:5" x14ac:dyDescent="0.25">
      <c r="C36" s="57"/>
      <c r="D36" s="62"/>
      <c r="E36" s="57"/>
    </row>
    <row r="37" spans="3:5" x14ac:dyDescent="0.25">
      <c r="C37" s="41"/>
      <c r="E37" s="41"/>
    </row>
    <row r="38" spans="3:5" x14ac:dyDescent="0.25">
      <c r="C38" s="41"/>
    </row>
    <row r="39" spans="3:5" x14ac:dyDescent="0.25">
      <c r="C39" s="41"/>
      <c r="E39" s="41"/>
    </row>
    <row r="42" spans="3:5" x14ac:dyDescent="0.25">
      <c r="C42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2015-04-06T20:25:08Z</dcterms:created>
  <dcterms:modified xsi:type="dcterms:W3CDTF">2015-04-06T20:25:08Z</dcterms:modified>
  <cp:category/>
  <cp:contentStatus/>
</cp:coreProperties>
</file>