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16950" windowHeight="9105" tabRatio="678" firstSheet="4" activeTab="4"/>
  </bookViews>
  <sheets>
    <sheet name="Year to Date" sheetId="101" state="hidden" r:id="rId1"/>
    <sheet name="2014 Budget" sheetId="47220" state="hidden" r:id="rId2"/>
    <sheet name="Daily Budget Data" sheetId="47221" state="hidden" r:id="rId3"/>
    <sheet name="Monthly Budget Data" sheetId="47222" state="hidden" r:id="rId4"/>
    <sheet name="OSS Summary" sheetId="4" r:id="rId5"/>
    <sheet name="Sales Analysis" sheetId="1" r:id="rId6"/>
    <sheet name="Input Data" sheetId="2" state="hidden" r:id="rId7"/>
    <sheet name="Load Temp Charts" sheetId="47235" r:id="rId8"/>
    <sheet name="Chart Data" sheetId="47223" state="hidden" r:id="rId9"/>
    <sheet name="Daily Historical Avg Temp" sheetId="47225" state="hidden" r:id="rId10"/>
    <sheet name="MTD Avg Temp Charts" sheetId="47233" r:id="rId11"/>
    <sheet name="MTD Min-Max Temp Charts" sheetId="47232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lear_Data">#REF!</definedName>
    <definedName name="End_No">#REF!</definedName>
    <definedName name="Gas_Chart_Series">OFFSET(#REF!,1,0,#REF!,1)</definedName>
    <definedName name="Gas_List">#REF!</definedName>
    <definedName name="ImpliedHeatRate">OFFSET(#REF!,1,1,#REF!,1)</definedName>
    <definedName name="Power_Chart_Series">OFFSET(#REF!,1,0,#REF!,1)</definedName>
    <definedName name="Power_List">#REF!</definedName>
    <definedName name="Power_Location">#REF!</definedName>
    <definedName name="_xlnm.Print_Area" localSheetId="1">'2014 Budget'!$B$1:$P$41</definedName>
    <definedName name="_xlnm.Print_Area" localSheetId="6">'Input Data'!$CF$4:$CL$20</definedName>
    <definedName name="_xlnm.Print_Area" localSheetId="4">'OSS Summary'!$A$1:$M$62</definedName>
    <definedName name="_xlnm.Print_Area" localSheetId="5">'Sales Analysis'!$A$1:$AW$71</definedName>
    <definedName name="_xlnm.Print_Area" localSheetId="0">'Year to Date'!$A$1:$T$60</definedName>
    <definedName name="_xlnm.Print_Titles" localSheetId="5">'Sales Analysis'!$A:$B,'Sales Analysis'!$1:$2</definedName>
    <definedName name="Product_Indicato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parkSpread">OFFSET(#REF!,1,0,#REF!,1)</definedName>
    <definedName name="Start_No">#REF!</definedName>
    <definedName name="XAxis">OFFSET(#REF!,1,0,#REF!,1)</definedName>
  </definedNames>
  <calcPr calcId="145621"/>
</workbook>
</file>

<file path=xl/calcChain.xml><?xml version="1.0" encoding="utf-8"?>
<calcChain xmlns="http://schemas.openxmlformats.org/spreadsheetml/2006/main">
  <c r="B6" i="47221" l="1"/>
  <c r="D6" i="47221"/>
  <c r="E6" i="47221"/>
  <c r="F6" i="47221"/>
  <c r="H6" i="47221"/>
  <c r="I6" i="47221"/>
  <c r="J6" i="47221"/>
  <c r="L6" i="47221"/>
  <c r="M6" i="47221"/>
  <c r="N6" i="47221"/>
  <c r="P6" i="47221"/>
  <c r="Q6" i="47221"/>
  <c r="R6" i="47221"/>
  <c r="T6" i="47221"/>
  <c r="U6" i="47221"/>
  <c r="V6" i="47221"/>
  <c r="W6" i="47221"/>
  <c r="Y6" i="47221"/>
  <c r="Z6" i="47221"/>
  <c r="AA6" i="47221"/>
  <c r="AC6" i="47221"/>
  <c r="AD6" i="47221"/>
  <c r="AE6" i="47221"/>
  <c r="AG6" i="47221"/>
  <c r="AH6" i="47221"/>
  <c r="AI6" i="47221"/>
  <c r="AK6" i="47221"/>
  <c r="AL6" i="47221"/>
  <c r="AM6" i="47221"/>
  <c r="AO6" i="47221"/>
  <c r="AP6" i="47221"/>
  <c r="AQ6" i="47221"/>
  <c r="B7" i="47221"/>
  <c r="D7" i="47221"/>
  <c r="E7" i="47221"/>
  <c r="F7" i="47221"/>
  <c r="H7" i="47221"/>
  <c r="I7" i="47221"/>
  <c r="J7" i="47221"/>
  <c r="L7" i="47221"/>
  <c r="M7" i="47221"/>
  <c r="N7" i="47221"/>
  <c r="P7" i="47221"/>
  <c r="Q7" i="47221"/>
  <c r="R7" i="47221"/>
  <c r="T7" i="47221"/>
  <c r="U7" i="47221"/>
  <c r="V7" i="47221"/>
  <c r="W7" i="47221"/>
  <c r="Y7" i="47221"/>
  <c r="Z7" i="47221"/>
  <c r="AA7" i="47221"/>
  <c r="AC7" i="47221"/>
  <c r="AD7" i="47221"/>
  <c r="AE7" i="47221"/>
  <c r="AG7" i="47221"/>
  <c r="AH7" i="47221"/>
  <c r="AI7" i="47221"/>
  <c r="AK7" i="47221"/>
  <c r="AL7" i="47221"/>
  <c r="AM7" i="47221"/>
  <c r="AO7" i="47221"/>
  <c r="AP7" i="47221"/>
  <c r="AQ7" i="47221"/>
  <c r="B8" i="47221"/>
  <c r="D8" i="47221"/>
  <c r="E8" i="47221"/>
  <c r="F8" i="47221"/>
  <c r="H8" i="47221"/>
  <c r="I8" i="47221"/>
  <c r="J8" i="47221"/>
  <c r="L8" i="47221"/>
  <c r="M8" i="47221"/>
  <c r="N8" i="47221"/>
  <c r="P8" i="47221"/>
  <c r="Q8" i="47221"/>
  <c r="R8" i="47221"/>
  <c r="T8" i="47221"/>
  <c r="U8" i="47221"/>
  <c r="V8" i="47221"/>
  <c r="W8" i="47221"/>
  <c r="Y8" i="47221"/>
  <c r="Z8" i="47221"/>
  <c r="AA8" i="47221"/>
  <c r="AC8" i="47221"/>
  <c r="AD8" i="47221"/>
  <c r="AE8" i="47221"/>
  <c r="AG8" i="47221"/>
  <c r="AH8" i="47221"/>
  <c r="AI8" i="47221"/>
  <c r="AK8" i="47221"/>
  <c r="AL8" i="47221"/>
  <c r="AM8" i="47221"/>
  <c r="AO8" i="47221"/>
  <c r="AP8" i="47221"/>
  <c r="AQ8" i="47221"/>
  <c r="B9" i="47221"/>
  <c r="D9" i="47221"/>
  <c r="E9" i="47221"/>
  <c r="F9" i="47221"/>
  <c r="H9" i="47221"/>
  <c r="I9" i="47221"/>
  <c r="J9" i="47221"/>
  <c r="L9" i="47221"/>
  <c r="M9" i="47221"/>
  <c r="N9" i="47221"/>
  <c r="P9" i="47221"/>
  <c r="Q9" i="47221"/>
  <c r="R9" i="47221"/>
  <c r="T9" i="47221"/>
  <c r="U9" i="47221"/>
  <c r="V9" i="47221"/>
  <c r="W9" i="47221"/>
  <c r="Y9" i="47221"/>
  <c r="Z9" i="47221"/>
  <c r="AA9" i="47221"/>
  <c r="AC9" i="47221"/>
  <c r="AD9" i="47221"/>
  <c r="AE9" i="47221"/>
  <c r="AG9" i="47221"/>
  <c r="AH9" i="47221"/>
  <c r="AI9" i="47221"/>
  <c r="AK9" i="47221"/>
  <c r="AL9" i="47221"/>
  <c r="AM9" i="47221"/>
  <c r="AO9" i="47221"/>
  <c r="AP9" i="47221"/>
  <c r="AQ9" i="47221"/>
  <c r="B10" i="47221"/>
  <c r="D10" i="47221"/>
  <c r="E10" i="47221"/>
  <c r="F10" i="47221"/>
  <c r="H10" i="47221"/>
  <c r="I10" i="47221"/>
  <c r="J10" i="47221"/>
  <c r="L10" i="47221"/>
  <c r="M10" i="47221"/>
  <c r="N10" i="47221"/>
  <c r="P10" i="47221"/>
  <c r="Q10" i="47221"/>
  <c r="R10" i="47221"/>
  <c r="T10" i="47221"/>
  <c r="U10" i="47221"/>
  <c r="V10" i="47221"/>
  <c r="W10" i="47221"/>
  <c r="Y10" i="47221"/>
  <c r="Z10" i="47221"/>
  <c r="AA10" i="47221"/>
  <c r="AC10" i="47221"/>
  <c r="AD10" i="47221"/>
  <c r="AE10" i="47221"/>
  <c r="AG10" i="47221"/>
  <c r="AH10" i="47221"/>
  <c r="AI10" i="47221"/>
  <c r="AK10" i="47221"/>
  <c r="AL10" i="47221"/>
  <c r="AM10" i="47221"/>
  <c r="AO10" i="47221"/>
  <c r="AP10" i="47221"/>
  <c r="AQ10" i="47221"/>
  <c r="B11" i="47221"/>
  <c r="D11" i="47221"/>
  <c r="E11" i="47221"/>
  <c r="F11" i="47221"/>
  <c r="H11" i="47221"/>
  <c r="I11" i="47221"/>
  <c r="J11" i="47221"/>
  <c r="L11" i="47221"/>
  <c r="M11" i="47221"/>
  <c r="N11" i="47221"/>
  <c r="P11" i="47221"/>
  <c r="Q11" i="47221"/>
  <c r="R11" i="47221"/>
  <c r="T11" i="47221"/>
  <c r="U11" i="47221"/>
  <c r="V11" i="47221"/>
  <c r="W11" i="47221"/>
  <c r="Y11" i="47221"/>
  <c r="Z11" i="47221"/>
  <c r="AA11" i="47221"/>
  <c r="AC11" i="47221"/>
  <c r="AD11" i="47221"/>
  <c r="AE11" i="47221"/>
  <c r="AG11" i="47221"/>
  <c r="AH11" i="47221"/>
  <c r="AI11" i="47221"/>
  <c r="AK11" i="47221"/>
  <c r="AL11" i="47221"/>
  <c r="AM11" i="47221"/>
  <c r="AO11" i="47221"/>
  <c r="AP11" i="47221"/>
  <c r="AQ11" i="47221"/>
  <c r="B12" i="47221"/>
  <c r="D12" i="47221"/>
  <c r="E12" i="47221"/>
  <c r="F12" i="47221"/>
  <c r="H12" i="47221"/>
  <c r="I12" i="47221"/>
  <c r="J12" i="47221"/>
  <c r="L12" i="47221"/>
  <c r="M12" i="47221"/>
  <c r="N12" i="47221"/>
  <c r="P12" i="47221"/>
  <c r="Q12" i="47221"/>
  <c r="R12" i="47221"/>
  <c r="T12" i="47221"/>
  <c r="U12" i="47221"/>
  <c r="V12" i="47221"/>
  <c r="W12" i="47221"/>
  <c r="Y12" i="47221"/>
  <c r="Z12" i="47221"/>
  <c r="AA12" i="47221"/>
  <c r="AC12" i="47221"/>
  <c r="AD12" i="47221"/>
  <c r="AE12" i="47221"/>
  <c r="AG12" i="47221"/>
  <c r="AH12" i="47221"/>
  <c r="AI12" i="47221"/>
  <c r="AK12" i="47221"/>
  <c r="AL12" i="47221"/>
  <c r="AM12" i="47221"/>
  <c r="AO12" i="47221"/>
  <c r="AP12" i="47221"/>
  <c r="AQ12" i="47221"/>
  <c r="B13" i="47221"/>
  <c r="D13" i="47221"/>
  <c r="E13" i="47221"/>
  <c r="F13" i="47221"/>
  <c r="H13" i="47221"/>
  <c r="I13" i="47221"/>
  <c r="J13" i="47221"/>
  <c r="L13" i="47221"/>
  <c r="M13" i="47221"/>
  <c r="N13" i="47221"/>
  <c r="P13" i="47221"/>
  <c r="Q13" i="47221"/>
  <c r="R13" i="47221"/>
  <c r="T13" i="47221"/>
  <c r="U13" i="47221"/>
  <c r="V13" i="47221"/>
  <c r="W13" i="47221"/>
  <c r="Y13" i="47221"/>
  <c r="Z13" i="47221"/>
  <c r="AA13" i="47221"/>
  <c r="AC13" i="47221"/>
  <c r="AD13" i="47221"/>
  <c r="AE13" i="47221"/>
  <c r="AG13" i="47221"/>
  <c r="AH13" i="47221"/>
  <c r="AI13" i="47221"/>
  <c r="AK13" i="47221"/>
  <c r="AL13" i="47221"/>
  <c r="AM13" i="47221"/>
  <c r="AO13" i="47221"/>
  <c r="AP13" i="47221"/>
  <c r="AQ13" i="47221"/>
  <c r="B14" i="47221"/>
  <c r="D14" i="47221"/>
  <c r="E14" i="47221"/>
  <c r="F14" i="47221"/>
  <c r="H14" i="47221"/>
  <c r="I14" i="47221"/>
  <c r="J14" i="47221"/>
  <c r="L14" i="47221"/>
  <c r="M14" i="47221"/>
  <c r="N14" i="47221"/>
  <c r="P14" i="47221"/>
  <c r="Q14" i="47221"/>
  <c r="R14" i="47221"/>
  <c r="T14" i="47221"/>
  <c r="U14" i="47221"/>
  <c r="V14" i="47221"/>
  <c r="W14" i="47221"/>
  <c r="Y14" i="47221"/>
  <c r="Z14" i="47221"/>
  <c r="AA14" i="47221"/>
  <c r="AC14" i="47221"/>
  <c r="AD14" i="47221"/>
  <c r="AE14" i="47221"/>
  <c r="AG14" i="47221"/>
  <c r="AH14" i="47221"/>
  <c r="AI14" i="47221"/>
  <c r="AK14" i="47221"/>
  <c r="AL14" i="47221"/>
  <c r="AM14" i="47221"/>
  <c r="AO14" i="47221"/>
  <c r="AP14" i="47221"/>
  <c r="AQ14" i="47221"/>
  <c r="B15" i="47221"/>
  <c r="D15" i="47221"/>
  <c r="E15" i="47221"/>
  <c r="F15" i="47221"/>
  <c r="H15" i="47221"/>
  <c r="I15" i="47221"/>
  <c r="J15" i="47221"/>
  <c r="L15" i="47221"/>
  <c r="M15" i="47221"/>
  <c r="N15" i="47221"/>
  <c r="P15" i="47221"/>
  <c r="Q15" i="47221"/>
  <c r="R15" i="47221"/>
  <c r="T15" i="47221"/>
  <c r="U15" i="47221"/>
  <c r="V15" i="47221"/>
  <c r="W15" i="47221"/>
  <c r="Y15" i="47221"/>
  <c r="Z15" i="47221"/>
  <c r="AA15" i="47221"/>
  <c r="AC15" i="47221"/>
  <c r="AD15" i="47221"/>
  <c r="AE15" i="47221"/>
  <c r="AG15" i="47221"/>
  <c r="AH15" i="47221"/>
  <c r="AI15" i="47221"/>
  <c r="AK15" i="47221"/>
  <c r="AL15" i="47221"/>
  <c r="AM15" i="47221"/>
  <c r="AO15" i="47221"/>
  <c r="AP15" i="47221"/>
  <c r="AQ15" i="47221"/>
  <c r="B16" i="47221"/>
  <c r="D16" i="47221"/>
  <c r="E16" i="47221"/>
  <c r="F16" i="47221"/>
  <c r="H16" i="47221"/>
  <c r="I16" i="47221"/>
  <c r="J16" i="47221"/>
  <c r="L16" i="47221"/>
  <c r="M16" i="47221"/>
  <c r="N16" i="47221"/>
  <c r="P16" i="47221"/>
  <c r="Q16" i="47221"/>
  <c r="R16" i="47221"/>
  <c r="T16" i="47221"/>
  <c r="U16" i="47221"/>
  <c r="V16" i="47221"/>
  <c r="W16" i="47221"/>
  <c r="Y16" i="47221"/>
  <c r="Z16" i="47221"/>
  <c r="AA16" i="47221"/>
  <c r="AC16" i="47221"/>
  <c r="AD16" i="47221"/>
  <c r="AE16" i="47221"/>
  <c r="AG16" i="47221"/>
  <c r="AH16" i="47221"/>
  <c r="AI16" i="47221"/>
  <c r="AK16" i="47221"/>
  <c r="AL16" i="47221"/>
  <c r="AM16" i="47221"/>
  <c r="AO16" i="47221"/>
  <c r="AP16" i="47221"/>
  <c r="AQ16" i="47221"/>
  <c r="B17" i="47221"/>
  <c r="D17" i="47221"/>
  <c r="E17" i="47221"/>
  <c r="F17" i="47221"/>
  <c r="H17" i="47221"/>
  <c r="I17" i="47221"/>
  <c r="J17" i="47221"/>
  <c r="L17" i="47221"/>
  <c r="M17" i="47221"/>
  <c r="N17" i="47221"/>
  <c r="P17" i="47221"/>
  <c r="Q17" i="47221"/>
  <c r="R17" i="47221"/>
  <c r="T17" i="47221"/>
  <c r="U17" i="47221"/>
  <c r="V17" i="47221"/>
  <c r="W17" i="47221"/>
  <c r="Y17" i="47221"/>
  <c r="Z17" i="47221"/>
  <c r="AA17" i="47221"/>
  <c r="AC17" i="47221"/>
  <c r="AD17" i="47221"/>
  <c r="AE17" i="47221"/>
  <c r="AG17" i="47221"/>
  <c r="AH17" i="47221"/>
  <c r="AI17" i="47221"/>
  <c r="AK17" i="47221"/>
  <c r="AL17" i="47221"/>
  <c r="AM17" i="47221"/>
  <c r="AO17" i="47221"/>
  <c r="AP17" i="47221"/>
  <c r="AQ17" i="47221"/>
  <c r="B18" i="47221"/>
  <c r="D18" i="47221"/>
  <c r="E18" i="47221"/>
  <c r="F18" i="47221"/>
  <c r="H18" i="47221"/>
  <c r="I18" i="47221"/>
  <c r="J18" i="47221"/>
  <c r="L18" i="47221"/>
  <c r="M18" i="47221"/>
  <c r="N18" i="47221"/>
  <c r="P18" i="47221"/>
  <c r="Q18" i="47221"/>
  <c r="R18" i="47221"/>
  <c r="T18" i="47221"/>
  <c r="U18" i="47221"/>
  <c r="V18" i="47221"/>
  <c r="W18" i="47221"/>
  <c r="Y18" i="47221"/>
  <c r="Z18" i="47221"/>
  <c r="AA18" i="47221"/>
  <c r="AC18" i="47221"/>
  <c r="AD18" i="47221"/>
  <c r="AE18" i="47221"/>
  <c r="AG18" i="47221"/>
  <c r="AH18" i="47221"/>
  <c r="AI18" i="47221"/>
  <c r="AK18" i="47221"/>
  <c r="AL18" i="47221"/>
  <c r="AM18" i="47221"/>
  <c r="AO18" i="47221"/>
  <c r="AP18" i="47221"/>
  <c r="AQ18" i="47221"/>
  <c r="B19" i="47221"/>
  <c r="D19" i="47221"/>
  <c r="E19" i="47221"/>
  <c r="F19" i="47221"/>
  <c r="H19" i="47221"/>
  <c r="I19" i="47221"/>
  <c r="J19" i="47221"/>
  <c r="L19" i="47221"/>
  <c r="M19" i="47221"/>
  <c r="N19" i="47221"/>
  <c r="P19" i="47221"/>
  <c r="Q19" i="47221"/>
  <c r="R19" i="47221"/>
  <c r="T19" i="47221"/>
  <c r="U19" i="47221"/>
  <c r="V19" i="47221"/>
  <c r="W19" i="47221"/>
  <c r="Y19" i="47221"/>
  <c r="Z19" i="47221"/>
  <c r="AA19" i="47221"/>
  <c r="AC19" i="47221"/>
  <c r="AD19" i="47221"/>
  <c r="AE19" i="47221"/>
  <c r="AG19" i="47221"/>
  <c r="AH19" i="47221"/>
  <c r="AI19" i="47221"/>
  <c r="AK19" i="47221"/>
  <c r="AL19" i="47221"/>
  <c r="AM19" i="47221"/>
  <c r="AO19" i="47221"/>
  <c r="AP19" i="47221"/>
  <c r="AQ19" i="47221"/>
  <c r="B20" i="47221"/>
  <c r="D20" i="47221"/>
  <c r="E20" i="47221"/>
  <c r="F20" i="47221"/>
  <c r="H20" i="47221"/>
  <c r="I20" i="47221"/>
  <c r="J20" i="47221"/>
  <c r="L20" i="47221"/>
  <c r="M20" i="47221"/>
  <c r="N20" i="47221"/>
  <c r="P20" i="47221"/>
  <c r="Q20" i="47221"/>
  <c r="R20" i="47221"/>
  <c r="T20" i="47221"/>
  <c r="U20" i="47221"/>
  <c r="V20" i="47221"/>
  <c r="W20" i="47221"/>
  <c r="Y20" i="47221"/>
  <c r="Z20" i="47221"/>
  <c r="AA20" i="47221"/>
  <c r="AC20" i="47221"/>
  <c r="AD20" i="47221"/>
  <c r="AE20" i="47221"/>
  <c r="AG20" i="47221"/>
  <c r="AH20" i="47221"/>
  <c r="AI20" i="47221"/>
  <c r="AK20" i="47221"/>
  <c r="AL20" i="47221"/>
  <c r="AM20" i="47221"/>
  <c r="AO20" i="47221"/>
  <c r="AP20" i="47221"/>
  <c r="AQ20" i="47221"/>
  <c r="B21" i="47221"/>
  <c r="D21" i="47221"/>
  <c r="E21" i="47221"/>
  <c r="F21" i="47221"/>
  <c r="H21" i="47221"/>
  <c r="I21" i="47221"/>
  <c r="J21" i="47221"/>
  <c r="L21" i="47221"/>
  <c r="M21" i="47221"/>
  <c r="N21" i="47221"/>
  <c r="P21" i="47221"/>
  <c r="Q21" i="47221"/>
  <c r="R21" i="47221"/>
  <c r="T21" i="47221"/>
  <c r="U21" i="47221"/>
  <c r="V21" i="47221"/>
  <c r="W21" i="47221"/>
  <c r="Y21" i="47221"/>
  <c r="Z21" i="47221"/>
  <c r="AA21" i="47221"/>
  <c r="AC21" i="47221"/>
  <c r="AD21" i="47221"/>
  <c r="AE21" i="47221"/>
  <c r="AG21" i="47221"/>
  <c r="AH21" i="47221"/>
  <c r="AI21" i="47221"/>
  <c r="AK21" i="47221"/>
  <c r="AL21" i="47221"/>
  <c r="AM21" i="47221"/>
  <c r="AO21" i="47221"/>
  <c r="AP21" i="47221"/>
  <c r="AQ21" i="47221"/>
  <c r="B22" i="47221"/>
  <c r="D22" i="47221"/>
  <c r="E22" i="47221"/>
  <c r="F22" i="47221"/>
  <c r="H22" i="47221"/>
  <c r="I22" i="47221"/>
  <c r="J22" i="47221"/>
  <c r="L22" i="47221"/>
  <c r="M22" i="47221"/>
  <c r="N22" i="47221"/>
  <c r="P22" i="47221"/>
  <c r="Q22" i="47221"/>
  <c r="R22" i="47221"/>
  <c r="T22" i="47221"/>
  <c r="U22" i="47221"/>
  <c r="V22" i="47221"/>
  <c r="W22" i="47221"/>
  <c r="Y22" i="47221"/>
  <c r="Z22" i="47221"/>
  <c r="AA22" i="47221"/>
  <c r="AC22" i="47221"/>
  <c r="AD22" i="47221"/>
  <c r="AE22" i="47221"/>
  <c r="AG22" i="47221"/>
  <c r="AH22" i="47221"/>
  <c r="AI22" i="47221"/>
  <c r="AK22" i="47221"/>
  <c r="AL22" i="47221"/>
  <c r="AM22" i="47221"/>
  <c r="AO22" i="47221"/>
  <c r="AP22" i="47221"/>
  <c r="AQ22" i="47221"/>
  <c r="B23" i="47221"/>
  <c r="D23" i="47221"/>
  <c r="E23" i="47221"/>
  <c r="F23" i="47221"/>
  <c r="H23" i="47221"/>
  <c r="I23" i="47221"/>
  <c r="J23" i="47221"/>
  <c r="L23" i="47221"/>
  <c r="M23" i="47221"/>
  <c r="N23" i="47221"/>
  <c r="P23" i="47221"/>
  <c r="Q23" i="47221"/>
  <c r="R23" i="47221"/>
  <c r="T23" i="47221"/>
  <c r="U23" i="47221"/>
  <c r="V23" i="47221"/>
  <c r="W23" i="47221"/>
  <c r="Y23" i="47221"/>
  <c r="Z23" i="47221"/>
  <c r="AA23" i="47221"/>
  <c r="AC23" i="47221"/>
  <c r="AD23" i="47221"/>
  <c r="AE23" i="47221"/>
  <c r="AG23" i="47221"/>
  <c r="AH23" i="47221"/>
  <c r="AI23" i="47221"/>
  <c r="AK23" i="47221"/>
  <c r="AL23" i="47221"/>
  <c r="AM23" i="47221"/>
  <c r="AO23" i="47221"/>
  <c r="AP23" i="47221"/>
  <c r="AQ23" i="47221"/>
  <c r="B24" i="47221"/>
  <c r="D24" i="47221"/>
  <c r="E24" i="47221"/>
  <c r="F24" i="47221"/>
  <c r="H24" i="47221"/>
  <c r="I24" i="47221"/>
  <c r="J24" i="47221"/>
  <c r="L24" i="47221"/>
  <c r="M24" i="47221"/>
  <c r="N24" i="47221"/>
  <c r="P24" i="47221"/>
  <c r="Q24" i="47221"/>
  <c r="R24" i="47221"/>
  <c r="T24" i="47221"/>
  <c r="U24" i="47221"/>
  <c r="V24" i="47221"/>
  <c r="W24" i="47221"/>
  <c r="Y24" i="47221"/>
  <c r="Z24" i="47221"/>
  <c r="AA24" i="47221"/>
  <c r="AC24" i="47221"/>
  <c r="AD24" i="47221"/>
  <c r="AE24" i="47221"/>
  <c r="AG24" i="47221"/>
  <c r="AH24" i="47221"/>
  <c r="AI24" i="47221"/>
  <c r="AK24" i="47221"/>
  <c r="AL24" i="47221"/>
  <c r="AM24" i="47221"/>
  <c r="AO24" i="47221"/>
  <c r="AP24" i="47221"/>
  <c r="AQ24" i="47221"/>
  <c r="B25" i="47221"/>
  <c r="D25" i="47221"/>
  <c r="E25" i="47221"/>
  <c r="F25" i="47221"/>
  <c r="H25" i="47221"/>
  <c r="I25" i="47221"/>
  <c r="J25" i="47221"/>
  <c r="L25" i="47221"/>
  <c r="M25" i="47221"/>
  <c r="N25" i="47221"/>
  <c r="P25" i="47221"/>
  <c r="Q25" i="47221"/>
  <c r="R25" i="47221"/>
  <c r="T25" i="47221"/>
  <c r="U25" i="47221"/>
  <c r="V25" i="47221"/>
  <c r="W25" i="47221"/>
  <c r="Y25" i="47221"/>
  <c r="Z25" i="47221"/>
  <c r="AA25" i="47221"/>
  <c r="AC25" i="47221"/>
  <c r="AD25" i="47221"/>
  <c r="AE25" i="47221"/>
  <c r="AG25" i="47221"/>
  <c r="AH25" i="47221"/>
  <c r="AI25" i="47221"/>
  <c r="AK25" i="47221"/>
  <c r="AL25" i="47221"/>
  <c r="AM25" i="47221"/>
  <c r="AO25" i="47221"/>
  <c r="AP25" i="47221"/>
  <c r="AQ25" i="47221"/>
  <c r="B26" i="47221"/>
  <c r="D26" i="47221"/>
  <c r="E26" i="47221"/>
  <c r="F26" i="47221"/>
  <c r="H26" i="47221"/>
  <c r="I26" i="47221"/>
  <c r="J26" i="47221"/>
  <c r="L26" i="47221"/>
  <c r="M26" i="47221"/>
  <c r="N26" i="47221"/>
  <c r="P26" i="47221"/>
  <c r="Q26" i="47221"/>
  <c r="R26" i="47221"/>
  <c r="T26" i="47221"/>
  <c r="U26" i="47221"/>
  <c r="V26" i="47221"/>
  <c r="W26" i="47221"/>
  <c r="Y26" i="47221"/>
  <c r="Z26" i="47221"/>
  <c r="AA26" i="47221"/>
  <c r="AC26" i="47221"/>
  <c r="AD26" i="47221"/>
  <c r="AE26" i="47221"/>
  <c r="AG26" i="47221"/>
  <c r="AH26" i="47221"/>
  <c r="AI26" i="47221"/>
  <c r="AK26" i="47221"/>
  <c r="AL26" i="47221"/>
  <c r="AM26" i="47221"/>
  <c r="AO26" i="47221"/>
  <c r="AP26" i="47221"/>
  <c r="AQ26" i="47221"/>
  <c r="B27" i="47221"/>
  <c r="D27" i="47221"/>
  <c r="E27" i="47221"/>
  <c r="F27" i="47221"/>
  <c r="H27" i="47221"/>
  <c r="I27" i="47221"/>
  <c r="J27" i="47221"/>
  <c r="L27" i="47221"/>
  <c r="M27" i="47221"/>
  <c r="N27" i="47221"/>
  <c r="P27" i="47221"/>
  <c r="Q27" i="47221"/>
  <c r="R27" i="47221"/>
  <c r="T27" i="47221"/>
  <c r="U27" i="47221"/>
  <c r="V27" i="47221"/>
  <c r="W27" i="47221"/>
  <c r="Y27" i="47221"/>
  <c r="Z27" i="47221"/>
  <c r="AA27" i="47221"/>
  <c r="AC27" i="47221"/>
  <c r="AD27" i="47221"/>
  <c r="AE27" i="47221"/>
  <c r="AG27" i="47221"/>
  <c r="AH27" i="47221"/>
  <c r="AI27" i="47221"/>
  <c r="AK27" i="47221"/>
  <c r="AL27" i="47221"/>
  <c r="AM27" i="47221"/>
  <c r="AO27" i="47221"/>
  <c r="AP27" i="47221"/>
  <c r="AQ27" i="47221"/>
  <c r="U36" i="101" l="1"/>
  <c r="A2" i="101"/>
  <c r="H36" i="101"/>
  <c r="G36" i="101"/>
  <c r="T36" i="101" l="1"/>
  <c r="Q36" i="101"/>
  <c r="P36" i="101"/>
  <c r="O36" i="101"/>
  <c r="N36" i="101"/>
  <c r="S55" i="101" l="1"/>
  <c r="J55" i="101"/>
  <c r="K55" i="101"/>
  <c r="L55" i="101"/>
  <c r="M55" i="101"/>
  <c r="C55" i="101"/>
  <c r="D55" i="101"/>
  <c r="E55" i="101"/>
  <c r="F55" i="101"/>
  <c r="G55" i="101"/>
  <c r="I55" i="101"/>
  <c r="H55" i="101" s="1"/>
  <c r="N55" i="101" l="1"/>
  <c r="B55" i="101"/>
  <c r="C45" i="4"/>
  <c r="B45" i="4"/>
  <c r="C42" i="4"/>
  <c r="B42" i="4"/>
  <c r="AC27" i="2" l="1"/>
  <c r="AC28" i="2"/>
  <c r="AC29" i="2"/>
  <c r="AC30" i="2"/>
  <c r="AC31" i="2"/>
  <c r="AC32" i="2"/>
  <c r="AC33" i="2"/>
  <c r="AC34" i="2"/>
  <c r="AC4" i="2"/>
  <c r="C17" i="4" l="1"/>
  <c r="H35" i="101" l="1"/>
  <c r="G35" i="101"/>
  <c r="Q35" i="101" l="1"/>
  <c r="P35" i="101"/>
  <c r="O35" i="101"/>
  <c r="N35" i="101"/>
  <c r="S54" i="101" l="1"/>
  <c r="K54" i="101"/>
  <c r="L54" i="101"/>
  <c r="M54" i="101"/>
  <c r="C54" i="101"/>
  <c r="D54" i="101"/>
  <c r="E54" i="101"/>
  <c r="G54" i="101"/>
  <c r="I54" i="101"/>
  <c r="H54" i="101" s="1"/>
  <c r="J54" i="101"/>
  <c r="F54" i="101" s="1"/>
  <c r="N54" i="101" l="1"/>
  <c r="B54" i="101"/>
  <c r="H34" i="101" l="1"/>
  <c r="G34" i="101"/>
  <c r="Q34" i="101" l="1"/>
  <c r="P34" i="101"/>
  <c r="O34" i="101"/>
  <c r="N34" i="101"/>
  <c r="C14" i="1" l="1"/>
  <c r="D14" i="1"/>
  <c r="G14" i="1"/>
  <c r="H14" i="1"/>
  <c r="I14" i="1" s="1"/>
  <c r="K14" i="1"/>
  <c r="L14" i="1"/>
  <c r="M14" i="1" s="1"/>
  <c r="O14" i="1"/>
  <c r="P14" i="1"/>
  <c r="S14" i="1"/>
  <c r="T14" i="1"/>
  <c r="U14" i="1" s="1"/>
  <c r="W14" i="1"/>
  <c r="X14" i="1"/>
  <c r="AA14" i="1"/>
  <c r="AB14" i="1"/>
  <c r="AC14" i="1" s="1"/>
  <c r="AE14" i="1"/>
  <c r="AF14" i="1"/>
  <c r="AI14" i="1"/>
  <c r="AJ14" i="1"/>
  <c r="S53" i="101"/>
  <c r="J53" i="101"/>
  <c r="K53" i="101"/>
  <c r="L53" i="101"/>
  <c r="M53" i="101"/>
  <c r="C53" i="101"/>
  <c r="D53" i="101"/>
  <c r="E53" i="101"/>
  <c r="F53" i="101"/>
  <c r="G53" i="101"/>
  <c r="I53" i="101"/>
  <c r="H53" i="101" s="1"/>
  <c r="N53" i="101" l="1"/>
  <c r="B53" i="101"/>
  <c r="E14" i="1"/>
  <c r="AK14" i="1"/>
  <c r="AG14" i="1"/>
  <c r="Y14" i="1"/>
  <c r="Q14" i="1"/>
  <c r="V40" i="101" l="1"/>
  <c r="J22" i="2" l="1"/>
  <c r="K22" i="2"/>
  <c r="L22" i="2"/>
  <c r="O54" i="47223" l="1"/>
  <c r="N54" i="47223"/>
  <c r="K54" i="47223"/>
  <c r="J54" i="47223"/>
  <c r="H33" i="101" l="1"/>
  <c r="G33" i="101"/>
  <c r="Q33" i="101" l="1"/>
  <c r="P33" i="101"/>
  <c r="O33" i="101"/>
  <c r="N33" i="101"/>
  <c r="S52" i="101" l="1"/>
  <c r="K52" i="101"/>
  <c r="L52" i="101"/>
  <c r="M52" i="101"/>
  <c r="C52" i="101"/>
  <c r="D52" i="101"/>
  <c r="E52" i="101"/>
  <c r="G52" i="101"/>
  <c r="I52" i="101"/>
  <c r="H52" i="101" s="1"/>
  <c r="J52" i="101"/>
  <c r="F52" i="101" s="1"/>
  <c r="N52" i="101" l="1"/>
  <c r="B52" i="101"/>
  <c r="H32" i="101" l="1"/>
  <c r="G32" i="101"/>
  <c r="Q32" i="101" l="1"/>
  <c r="P32" i="101"/>
  <c r="O32" i="101"/>
  <c r="N32" i="101"/>
  <c r="E42" i="4" l="1"/>
  <c r="D42" i="4"/>
  <c r="E45" i="4" l="1"/>
  <c r="S51" i="101"/>
  <c r="J51" i="101"/>
  <c r="F51" i="101" s="1"/>
  <c r="K51" i="101"/>
  <c r="L51" i="101"/>
  <c r="M51" i="101"/>
  <c r="C51" i="101"/>
  <c r="D51" i="101"/>
  <c r="E51" i="101"/>
  <c r="G51" i="101"/>
  <c r="I51" i="101"/>
  <c r="H51" i="101" s="1"/>
  <c r="AQ28" i="1"/>
  <c r="AV28" i="1" s="1"/>
  <c r="AR28" i="1"/>
  <c r="AS28" i="1"/>
  <c r="AM28" i="1"/>
  <c r="AU28" i="1" s="1"/>
  <c r="AW28" i="1" s="1"/>
  <c r="AN28" i="1"/>
  <c r="AO28" i="1" s="1"/>
  <c r="AQ44" i="1"/>
  <c r="AV44" i="1" s="1"/>
  <c r="AR44" i="1"/>
  <c r="AS44" i="1" s="1"/>
  <c r="AM44" i="1"/>
  <c r="AO44" i="1" s="1"/>
  <c r="AN44" i="1"/>
  <c r="AM60" i="1"/>
  <c r="AN60" i="1"/>
  <c r="AO60" i="1"/>
  <c r="AU44" i="1" l="1"/>
  <c r="AW44" i="1" s="1"/>
  <c r="N51" i="101"/>
  <c r="B51" i="101"/>
  <c r="J42" i="47220" l="1"/>
  <c r="J63" i="47220"/>
  <c r="M59" i="1" l="1"/>
  <c r="M58" i="1"/>
  <c r="M57" i="1"/>
  <c r="M56" i="1"/>
  <c r="M55" i="1"/>
  <c r="M43" i="1"/>
  <c r="M42" i="1"/>
  <c r="M41" i="1"/>
  <c r="M40" i="1"/>
  <c r="M39" i="1"/>
  <c r="M24" i="1"/>
  <c r="M25" i="1"/>
  <c r="M26" i="1"/>
  <c r="M27" i="1"/>
  <c r="M23" i="1"/>
  <c r="H31" i="101" l="1"/>
  <c r="Q31" i="101" l="1"/>
  <c r="P31" i="101"/>
  <c r="N31" i="101"/>
  <c r="O31" i="101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4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G31" i="101" l="1"/>
  <c r="S50" i="101" l="1"/>
  <c r="K50" i="101"/>
  <c r="L50" i="101"/>
  <c r="M50" i="101"/>
  <c r="C50" i="101"/>
  <c r="D50" i="101"/>
  <c r="E50" i="101"/>
  <c r="G50" i="101"/>
  <c r="I50" i="101"/>
  <c r="J50" i="101"/>
  <c r="F50" i="101" s="1"/>
  <c r="Q30" i="101"/>
  <c r="H50" i="101" l="1"/>
  <c r="B50" i="101"/>
  <c r="N50" i="101"/>
  <c r="N30" i="101" l="1"/>
  <c r="P30" i="101" l="1"/>
  <c r="O30" i="101"/>
  <c r="S49" i="101" l="1"/>
  <c r="J49" i="101"/>
  <c r="F49" i="101" s="1"/>
  <c r="K49" i="101"/>
  <c r="L49" i="101"/>
  <c r="M49" i="101"/>
  <c r="C49" i="101"/>
  <c r="D49" i="101"/>
  <c r="E49" i="101"/>
  <c r="G49" i="101"/>
  <c r="I49" i="101"/>
  <c r="H49" i="101" l="1"/>
  <c r="N49" i="101"/>
  <c r="B49" i="101"/>
  <c r="K16" i="2"/>
  <c r="L16" i="2"/>
  <c r="K17" i="2"/>
  <c r="L17" i="2"/>
  <c r="K18" i="2"/>
  <c r="L18" i="2"/>
  <c r="K19" i="2"/>
  <c r="L19" i="2"/>
  <c r="K20" i="2"/>
  <c r="L20" i="2"/>
  <c r="K21" i="2"/>
  <c r="L21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Q29" i="101" l="1"/>
  <c r="P29" i="101"/>
  <c r="O29" i="101"/>
  <c r="N29" i="101"/>
  <c r="H29" i="101"/>
  <c r="G29" i="101"/>
  <c r="C48" i="101" l="1"/>
  <c r="D48" i="101"/>
  <c r="E48" i="101"/>
  <c r="G48" i="101"/>
  <c r="I48" i="101"/>
  <c r="J48" i="101"/>
  <c r="F48" i="101" s="1"/>
  <c r="K48" i="101"/>
  <c r="L48" i="101"/>
  <c r="M48" i="101"/>
  <c r="R48" i="101"/>
  <c r="S48" i="101"/>
  <c r="B48" i="101" l="1"/>
  <c r="H48" i="101"/>
  <c r="N48" i="101"/>
  <c r="B87" i="47223" l="1"/>
  <c r="D90" i="47223"/>
  <c r="D91" i="47223"/>
  <c r="D92" i="47223"/>
  <c r="D93" i="47223"/>
  <c r="D94" i="47223"/>
  <c r="D95" i="47223"/>
  <c r="D96" i="47223"/>
  <c r="D97" i="47223"/>
  <c r="D98" i="47223"/>
  <c r="D99" i="47223"/>
  <c r="D100" i="47223"/>
  <c r="D89" i="47223"/>
  <c r="H28" i="101" l="1"/>
  <c r="G28" i="101"/>
  <c r="Q28" i="101" l="1"/>
  <c r="P28" i="101"/>
  <c r="O28" i="101"/>
  <c r="N28" i="101"/>
  <c r="C47" i="101" l="1"/>
  <c r="D47" i="101"/>
  <c r="E47" i="101"/>
  <c r="G47" i="101"/>
  <c r="I47" i="101"/>
  <c r="J47" i="101"/>
  <c r="F47" i="101" s="1"/>
  <c r="K47" i="101"/>
  <c r="L47" i="101"/>
  <c r="M47" i="101"/>
  <c r="R47" i="101"/>
  <c r="S47" i="101"/>
  <c r="H47" i="101" l="1"/>
  <c r="B47" i="101"/>
  <c r="N47" i="101"/>
  <c r="AF47" i="101" l="1"/>
  <c r="AF48" i="101"/>
  <c r="AF49" i="101"/>
  <c r="AF50" i="101"/>
  <c r="AF51" i="101"/>
  <c r="AF52" i="101"/>
  <c r="AF53" i="101"/>
  <c r="AF54" i="101"/>
  <c r="AF55" i="101"/>
  <c r="AF56" i="101"/>
  <c r="AF57" i="101"/>
  <c r="AF46" i="101"/>
  <c r="AF61" i="10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47222" s="1"/>
  <c r="E55" i="47223" l="1"/>
  <c r="E56" i="47223"/>
  <c r="E57" i="47223"/>
  <c r="E58" i="47223"/>
  <c r="E59" i="47223"/>
  <c r="E60" i="47223"/>
  <c r="E61" i="47223"/>
  <c r="E62" i="47223"/>
  <c r="E63" i="47223"/>
  <c r="E64" i="47223"/>
  <c r="E65" i="47223"/>
  <c r="E66" i="47223"/>
  <c r="E67" i="47223"/>
  <c r="E68" i="47223"/>
  <c r="E69" i="47223"/>
  <c r="E70" i="47223"/>
  <c r="E71" i="47223"/>
  <c r="E72" i="47223"/>
  <c r="E73" i="47223"/>
  <c r="E74" i="47223"/>
  <c r="E75" i="47223"/>
  <c r="E76" i="47223"/>
  <c r="E77" i="47223"/>
  <c r="E78" i="47223"/>
  <c r="E79" i="47223"/>
  <c r="E80" i="47223"/>
  <c r="E81" i="47223"/>
  <c r="E82" i="47223"/>
  <c r="E83" i="47223"/>
  <c r="E84" i="47223"/>
  <c r="E54" i="47223"/>
  <c r="J368" i="47225" l="1"/>
  <c r="J367" i="47225"/>
  <c r="J366" i="47225"/>
  <c r="J365" i="47225"/>
  <c r="J364" i="47225"/>
  <c r="J363" i="47225"/>
  <c r="J362" i="47225"/>
  <c r="J361" i="47225"/>
  <c r="J360" i="47225"/>
  <c r="J359" i="47225"/>
  <c r="J358" i="47225"/>
  <c r="J357" i="47225"/>
  <c r="J356" i="47225"/>
  <c r="J355" i="47225"/>
  <c r="J354" i="47225"/>
  <c r="J353" i="47225"/>
  <c r="J352" i="47225"/>
  <c r="J351" i="47225"/>
  <c r="J350" i="47225"/>
  <c r="J349" i="47225"/>
  <c r="J348" i="47225"/>
  <c r="J347" i="47225"/>
  <c r="J346" i="47225"/>
  <c r="J345" i="47225"/>
  <c r="J344" i="47225"/>
  <c r="J343" i="47225"/>
  <c r="J342" i="47225"/>
  <c r="J341" i="47225"/>
  <c r="J340" i="47225"/>
  <c r="J339" i="47225"/>
  <c r="J338" i="47225"/>
  <c r="J337" i="47225"/>
  <c r="J336" i="47225"/>
  <c r="J335" i="47225"/>
  <c r="J334" i="47225"/>
  <c r="J333" i="47225"/>
  <c r="J332" i="47225"/>
  <c r="J331" i="47225"/>
  <c r="J330" i="47225"/>
  <c r="J329" i="47225"/>
  <c r="J328" i="47225"/>
  <c r="J327" i="47225"/>
  <c r="J326" i="47225"/>
  <c r="J325" i="47225"/>
  <c r="J324" i="47225"/>
  <c r="J323" i="47225"/>
  <c r="J322" i="47225"/>
  <c r="J321" i="47225"/>
  <c r="J320" i="47225"/>
  <c r="J319" i="47225"/>
  <c r="J318" i="47225"/>
  <c r="J317" i="47225"/>
  <c r="J316" i="47225"/>
  <c r="J315" i="47225"/>
  <c r="J314" i="47225"/>
  <c r="J313" i="47225"/>
  <c r="J312" i="47225"/>
  <c r="J311" i="47225"/>
  <c r="J310" i="47225"/>
  <c r="J309" i="47225"/>
  <c r="J308" i="47225"/>
  <c r="J307" i="47225"/>
  <c r="J306" i="47225"/>
  <c r="J305" i="47225"/>
  <c r="J304" i="47225"/>
  <c r="J303" i="47225"/>
  <c r="J302" i="47225"/>
  <c r="J301" i="47225"/>
  <c r="J300" i="47225"/>
  <c r="J299" i="47225"/>
  <c r="J298" i="47225"/>
  <c r="J297" i="47225"/>
  <c r="J296" i="47225"/>
  <c r="J295" i="47225"/>
  <c r="J294" i="47225"/>
  <c r="J293" i="47225"/>
  <c r="J292" i="47225"/>
  <c r="J291" i="47225"/>
  <c r="J290" i="47225"/>
  <c r="J289" i="47225"/>
  <c r="J288" i="47225"/>
  <c r="J287" i="47225"/>
  <c r="J286" i="47225"/>
  <c r="J285" i="47225"/>
  <c r="J284" i="47225"/>
  <c r="J283" i="47225"/>
  <c r="J282" i="47225"/>
  <c r="J281" i="47225"/>
  <c r="J280" i="47225"/>
  <c r="J279" i="47225"/>
  <c r="J278" i="47225"/>
  <c r="J277" i="47225"/>
  <c r="J276" i="47225"/>
  <c r="J275" i="47225"/>
  <c r="J274" i="47225"/>
  <c r="J273" i="47225"/>
  <c r="J272" i="47225"/>
  <c r="J271" i="47225"/>
  <c r="J270" i="47225"/>
  <c r="J269" i="47225"/>
  <c r="J268" i="47225"/>
  <c r="J267" i="47225"/>
  <c r="J266" i="47225"/>
  <c r="J265" i="47225"/>
  <c r="J264" i="47225"/>
  <c r="J263" i="47225"/>
  <c r="J262" i="47225"/>
  <c r="J261" i="47225"/>
  <c r="J260" i="47225"/>
  <c r="J259" i="47225"/>
  <c r="J258" i="47225"/>
  <c r="J257" i="47225"/>
  <c r="J256" i="47225"/>
  <c r="J255" i="47225"/>
  <c r="J254" i="47225"/>
  <c r="J253" i="47225"/>
  <c r="J252" i="47225"/>
  <c r="J251" i="47225"/>
  <c r="J250" i="47225"/>
  <c r="J249" i="47225"/>
  <c r="J248" i="47225"/>
  <c r="J247" i="47225"/>
  <c r="J246" i="47225"/>
  <c r="J245" i="47225"/>
  <c r="J244" i="47225"/>
  <c r="J243" i="47225"/>
  <c r="J242" i="47225"/>
  <c r="J241" i="47225"/>
  <c r="J240" i="47225"/>
  <c r="J239" i="47225"/>
  <c r="J238" i="47225"/>
  <c r="J237" i="47225"/>
  <c r="J236" i="47225"/>
  <c r="J235" i="47225"/>
  <c r="J234" i="47225"/>
  <c r="J233" i="47225"/>
  <c r="J232" i="47225"/>
  <c r="J231" i="47225"/>
  <c r="J230" i="47225"/>
  <c r="J229" i="47225"/>
  <c r="J228" i="47225"/>
  <c r="J227" i="47225"/>
  <c r="J226" i="47225"/>
  <c r="J225" i="47225"/>
  <c r="J224" i="47225"/>
  <c r="J223" i="47225"/>
  <c r="J222" i="47225"/>
  <c r="J221" i="47225"/>
  <c r="J220" i="47225"/>
  <c r="J219" i="47225"/>
  <c r="J218" i="47225"/>
  <c r="J217" i="47225"/>
  <c r="J216" i="47225"/>
  <c r="J215" i="47225"/>
  <c r="J214" i="47225"/>
  <c r="J213" i="47225"/>
  <c r="J212" i="47225"/>
  <c r="J211" i="47225"/>
  <c r="J210" i="47225"/>
  <c r="J209" i="47225"/>
  <c r="J208" i="47225"/>
  <c r="J207" i="47225"/>
  <c r="J206" i="47225"/>
  <c r="J205" i="47225"/>
  <c r="J204" i="47225"/>
  <c r="J203" i="47225"/>
  <c r="J202" i="47225"/>
  <c r="J201" i="47225"/>
  <c r="J200" i="47225"/>
  <c r="J199" i="47225"/>
  <c r="J198" i="47225"/>
  <c r="J197" i="47225"/>
  <c r="J196" i="47225"/>
  <c r="J195" i="47225"/>
  <c r="J194" i="47225"/>
  <c r="J193" i="47225"/>
  <c r="J192" i="47225"/>
  <c r="J191" i="47225"/>
  <c r="J190" i="47225"/>
  <c r="J189" i="47225"/>
  <c r="J188" i="47225"/>
  <c r="J187" i="47225"/>
  <c r="J186" i="47225"/>
  <c r="J185" i="47225"/>
  <c r="J184" i="47225"/>
  <c r="J183" i="47225"/>
  <c r="J182" i="47225"/>
  <c r="J181" i="47225"/>
  <c r="J180" i="47225"/>
  <c r="J179" i="47225"/>
  <c r="J178" i="47225"/>
  <c r="J177" i="47225"/>
  <c r="J176" i="47225"/>
  <c r="J175" i="47225"/>
  <c r="J174" i="47225"/>
  <c r="J173" i="47225"/>
  <c r="J172" i="47225"/>
  <c r="J171" i="47225"/>
  <c r="J170" i="47225"/>
  <c r="J169" i="47225"/>
  <c r="J168" i="47225"/>
  <c r="J167" i="47225"/>
  <c r="J166" i="47225"/>
  <c r="J165" i="47225"/>
  <c r="J164" i="47225"/>
  <c r="J163" i="47225"/>
  <c r="J162" i="47225"/>
  <c r="J161" i="47225"/>
  <c r="J160" i="47225"/>
  <c r="J159" i="47225"/>
  <c r="J158" i="47225"/>
  <c r="J157" i="47225"/>
  <c r="J156" i="47225"/>
  <c r="J155" i="47225"/>
  <c r="J154" i="47225"/>
  <c r="J153" i="47225"/>
  <c r="J152" i="47225"/>
  <c r="J151" i="47225"/>
  <c r="J150" i="47225"/>
  <c r="J149" i="47225"/>
  <c r="J148" i="47225"/>
  <c r="J147" i="47225"/>
  <c r="J146" i="47225"/>
  <c r="J145" i="47225"/>
  <c r="J144" i="47225"/>
  <c r="J143" i="47225"/>
  <c r="J142" i="47225"/>
  <c r="J141" i="47225"/>
  <c r="J140" i="47225"/>
  <c r="J139" i="47225"/>
  <c r="J138" i="47225"/>
  <c r="J137" i="47225"/>
  <c r="J136" i="47225"/>
  <c r="J135" i="47225"/>
  <c r="J134" i="47225"/>
  <c r="J133" i="47225"/>
  <c r="J132" i="47225"/>
  <c r="J131" i="47225"/>
  <c r="J130" i="47225"/>
  <c r="J129" i="47225"/>
  <c r="J128" i="47225"/>
  <c r="J127" i="47225"/>
  <c r="J126" i="47225"/>
  <c r="J125" i="47225"/>
  <c r="J124" i="47225"/>
  <c r="J123" i="47225"/>
  <c r="J122" i="47225"/>
  <c r="J121" i="47225"/>
  <c r="J120" i="47225"/>
  <c r="J119" i="47225"/>
  <c r="J118" i="47225"/>
  <c r="J117" i="47225"/>
  <c r="J116" i="47225"/>
  <c r="J115" i="47225"/>
  <c r="J114" i="47225"/>
  <c r="J113" i="47225"/>
  <c r="J112" i="47225"/>
  <c r="J111" i="47225"/>
  <c r="J110" i="47225"/>
  <c r="J109" i="47225"/>
  <c r="J108" i="47225"/>
  <c r="J107" i="47225"/>
  <c r="J106" i="47225"/>
  <c r="J105" i="47225"/>
  <c r="J104" i="47225"/>
  <c r="J103" i="47225"/>
  <c r="J102" i="47225"/>
  <c r="J101" i="47225"/>
  <c r="J100" i="47225"/>
  <c r="J99" i="47225"/>
  <c r="J98" i="47225"/>
  <c r="J97" i="47225"/>
  <c r="J96" i="47225"/>
  <c r="J95" i="47225"/>
  <c r="J94" i="47225"/>
  <c r="J93" i="47225"/>
  <c r="J92" i="47225"/>
  <c r="J91" i="47225"/>
  <c r="J90" i="47225"/>
  <c r="J89" i="47225"/>
  <c r="J88" i="47225"/>
  <c r="J87" i="47225"/>
  <c r="J86" i="47225"/>
  <c r="J85" i="47225"/>
  <c r="J84" i="47225"/>
  <c r="J83" i="47225"/>
  <c r="J82" i="47225"/>
  <c r="J81" i="47225"/>
  <c r="J80" i="47225"/>
  <c r="J79" i="47225"/>
  <c r="J78" i="47225"/>
  <c r="J77" i="47225"/>
  <c r="J76" i="47225"/>
  <c r="J75" i="47225"/>
  <c r="J74" i="47225"/>
  <c r="J73" i="47225"/>
  <c r="J72" i="47225"/>
  <c r="J71" i="47225"/>
  <c r="J70" i="47225"/>
  <c r="J69" i="47225"/>
  <c r="J68" i="47225"/>
  <c r="J67" i="47225"/>
  <c r="J66" i="47225"/>
  <c r="J65" i="47225"/>
  <c r="J64" i="47225"/>
  <c r="J63" i="47225"/>
  <c r="J62" i="47225"/>
  <c r="J61" i="47225"/>
  <c r="J60" i="47225"/>
  <c r="J59" i="47225"/>
  <c r="J58" i="47225"/>
  <c r="J57" i="47225"/>
  <c r="J56" i="47225"/>
  <c r="J55" i="47225"/>
  <c r="J54" i="47225"/>
  <c r="J53" i="47225"/>
  <c r="J52" i="47225"/>
  <c r="J51" i="47225"/>
  <c r="J50" i="47225"/>
  <c r="J49" i="47225"/>
  <c r="J48" i="47225"/>
  <c r="J47" i="47225"/>
  <c r="J46" i="47225"/>
  <c r="J45" i="47225"/>
  <c r="J44" i="47225"/>
  <c r="J43" i="47225"/>
  <c r="J42" i="47225"/>
  <c r="J41" i="47225"/>
  <c r="J40" i="47225"/>
  <c r="J39" i="47225"/>
  <c r="J38" i="47225"/>
  <c r="J37" i="47225"/>
  <c r="J36" i="47225"/>
  <c r="J35" i="47225"/>
  <c r="J34" i="47225"/>
  <c r="J33" i="47225"/>
  <c r="J32" i="47225"/>
  <c r="J31" i="47225"/>
  <c r="J30" i="47225"/>
  <c r="J29" i="47225"/>
  <c r="J28" i="47225"/>
  <c r="J27" i="47225"/>
  <c r="J26" i="47225"/>
  <c r="J25" i="47225"/>
  <c r="J24" i="47225"/>
  <c r="J23" i="47225"/>
  <c r="J22" i="47225"/>
  <c r="J21" i="47225"/>
  <c r="J20" i="47225"/>
  <c r="J19" i="47225"/>
  <c r="J18" i="47225"/>
  <c r="J17" i="47225"/>
  <c r="J16" i="47225"/>
  <c r="J15" i="47225"/>
  <c r="J14" i="47225"/>
  <c r="J13" i="47225"/>
  <c r="J12" i="47225"/>
  <c r="J11" i="47225"/>
  <c r="J10" i="47225"/>
  <c r="J9" i="47225"/>
  <c r="J8" i="47225"/>
  <c r="J7" i="47225"/>
  <c r="J6" i="47225"/>
  <c r="J5" i="47225"/>
  <c r="J4" i="47225"/>
  <c r="K38" i="47223"/>
  <c r="L38" i="47223" s="1"/>
  <c r="M38" i="47223" s="1"/>
  <c r="N38" i="47223" s="1"/>
  <c r="O38" i="47223" s="1"/>
  <c r="P38" i="47223" s="1"/>
  <c r="Q38" i="47223" s="1"/>
  <c r="R38" i="47223" s="1"/>
  <c r="S38" i="47223" s="1"/>
  <c r="T38" i="47223" s="1"/>
  <c r="U38" i="47223" s="1"/>
  <c r="V38" i="47223" s="1"/>
  <c r="W38" i="47223" s="1"/>
  <c r="X38" i="47223" s="1"/>
  <c r="Y38" i="47223" s="1"/>
  <c r="Z38" i="47223" s="1"/>
  <c r="H38" i="47223"/>
  <c r="I38" i="47223" s="1"/>
  <c r="J38" i="47223" s="1"/>
  <c r="G38" i="47223"/>
  <c r="D38" i="47223"/>
  <c r="E38" i="47223" s="1"/>
  <c r="F38" i="47223" s="1"/>
  <c r="B4" i="47223"/>
  <c r="CF3" i="47223"/>
  <c r="CG3" i="47223" s="1"/>
  <c r="CH3" i="47223" s="1"/>
  <c r="CI3" i="47223" s="1"/>
  <c r="CJ3" i="47223" s="1"/>
  <c r="CK3" i="47223" s="1"/>
  <c r="CL3" i="47223" s="1"/>
  <c r="CM3" i="47223" s="1"/>
  <c r="CN3" i="47223" s="1"/>
  <c r="CO3" i="47223" s="1"/>
  <c r="CP3" i="47223" s="1"/>
  <c r="CQ3" i="47223" s="1"/>
  <c r="CR3" i="47223" s="1"/>
  <c r="CS3" i="47223" s="1"/>
  <c r="CT3" i="47223" s="1"/>
  <c r="CU3" i="47223" s="1"/>
  <c r="CV3" i="47223" s="1"/>
  <c r="CW3" i="47223" s="1"/>
  <c r="CX3" i="47223" s="1"/>
  <c r="CY3" i="47223" s="1"/>
  <c r="CZ3" i="47223" s="1"/>
  <c r="CE3" i="47223"/>
  <c r="CD3" i="47223"/>
  <c r="BD3" i="47223"/>
  <c r="BE3" i="47223" s="1"/>
  <c r="BF3" i="47223" s="1"/>
  <c r="BG3" i="47223" s="1"/>
  <c r="BH3" i="47223" s="1"/>
  <c r="BI3" i="47223" s="1"/>
  <c r="BJ3" i="47223" s="1"/>
  <c r="BK3" i="47223" s="1"/>
  <c r="BL3" i="47223" s="1"/>
  <c r="BM3" i="47223" s="1"/>
  <c r="BN3" i="47223" s="1"/>
  <c r="BO3" i="47223" s="1"/>
  <c r="BP3" i="47223" s="1"/>
  <c r="BQ3" i="47223" s="1"/>
  <c r="BR3" i="47223" s="1"/>
  <c r="BS3" i="47223" s="1"/>
  <c r="BT3" i="47223" s="1"/>
  <c r="BU3" i="47223" s="1"/>
  <c r="BV3" i="47223" s="1"/>
  <c r="BW3" i="47223" s="1"/>
  <c r="BX3" i="47223" s="1"/>
  <c r="BY3" i="47223" s="1"/>
  <c r="BZ3" i="47223" s="1"/>
  <c r="AD3" i="47223"/>
  <c r="D3" i="47223"/>
  <c r="AW55" i="1"/>
  <c r="AV55" i="1"/>
  <c r="AU55" i="1"/>
  <c r="AS55" i="1"/>
  <c r="AR55" i="1"/>
  <c r="AQ55" i="1"/>
  <c r="AO55" i="1"/>
  <c r="AN55" i="1"/>
  <c r="AM55" i="1"/>
  <c r="AW39" i="1"/>
  <c r="AV39" i="1"/>
  <c r="AU39" i="1"/>
  <c r="AS39" i="1"/>
  <c r="AR39" i="1"/>
  <c r="AQ39" i="1"/>
  <c r="AN39" i="1"/>
  <c r="AO39" i="1" s="1"/>
  <c r="AM39" i="1"/>
  <c r="AW23" i="1"/>
  <c r="AV23" i="1"/>
  <c r="AU23" i="1"/>
  <c r="AS23" i="1"/>
  <c r="AR23" i="1"/>
  <c r="AQ23" i="1"/>
  <c r="AN23" i="1"/>
  <c r="AO23" i="1" s="1"/>
  <c r="AM23" i="1"/>
  <c r="AW7" i="1"/>
  <c r="AV7" i="1"/>
  <c r="AU7" i="1"/>
  <c r="AS7" i="1"/>
  <c r="AR7" i="1"/>
  <c r="AQ7" i="1"/>
  <c r="AM7" i="1"/>
  <c r="AK7" i="1"/>
  <c r="AJ7" i="1"/>
  <c r="AI7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L7" i="1"/>
  <c r="K7" i="1"/>
  <c r="I7" i="1"/>
  <c r="H7" i="1"/>
  <c r="G7" i="1"/>
  <c r="D7" i="1"/>
  <c r="E7" i="1" s="1"/>
  <c r="C7" i="1"/>
  <c r="G40" i="47222"/>
  <c r="G39" i="47222"/>
  <c r="AZ37" i="47222"/>
  <c r="AY37" i="47222"/>
  <c r="AX37" i="47222"/>
  <c r="AV37" i="47222"/>
  <c r="AU37" i="47222"/>
  <c r="AT37" i="47222"/>
  <c r="AR37" i="47222"/>
  <c r="AQ37" i="47222"/>
  <c r="AP37" i="47222"/>
  <c r="AN37" i="47222"/>
  <c r="AM37" i="47222"/>
  <c r="AL37" i="47222"/>
  <c r="AJ37" i="47222"/>
  <c r="AI37" i="47222"/>
  <c r="AH37" i="47222"/>
  <c r="AF37" i="47222"/>
  <c r="AE37" i="47222"/>
  <c r="AD37" i="47222"/>
  <c r="AB37" i="47222"/>
  <c r="X37" i="47222"/>
  <c r="T37" i="47222"/>
  <c r="P37" i="47222"/>
  <c r="L37" i="47222"/>
  <c r="G37" i="47222"/>
  <c r="E37" i="47222"/>
  <c r="I11" i="47222"/>
  <c r="I10" i="47222"/>
  <c r="I9" i="47222"/>
  <c r="I8" i="47222"/>
  <c r="I7" i="47222"/>
  <c r="I6" i="47222"/>
  <c r="I5" i="47222"/>
  <c r="I37" i="47222" s="1"/>
  <c r="A5" i="47222"/>
  <c r="AQ37" i="47221"/>
  <c r="AF65" i="1" s="1"/>
  <c r="AP37" i="47221"/>
  <c r="AF49" i="1" s="1"/>
  <c r="AO37" i="47221"/>
  <c r="AF33" i="1" s="1"/>
  <c r="AQ5" i="47221"/>
  <c r="AP5" i="47221"/>
  <c r="AO5" i="47221"/>
  <c r="AM5" i="47221"/>
  <c r="AM37" i="47221" s="1"/>
  <c r="AJ65" i="1" s="1"/>
  <c r="AL5" i="47221"/>
  <c r="AL37" i="47221" s="1"/>
  <c r="AJ49" i="1" s="1"/>
  <c r="AK5" i="47221"/>
  <c r="AK37" i="47221" s="1"/>
  <c r="AJ33" i="1" s="1"/>
  <c r="AI5" i="47221"/>
  <c r="AI37" i="47221" s="1"/>
  <c r="AB65" i="1" s="1"/>
  <c r="AH5" i="47221"/>
  <c r="AH37" i="47221" s="1"/>
  <c r="AB49" i="1" s="1"/>
  <c r="AG5" i="47221"/>
  <c r="AG37" i="47221" s="1"/>
  <c r="AB33" i="1" s="1"/>
  <c r="AE5" i="47221"/>
  <c r="AE37" i="47221" s="1"/>
  <c r="T65" i="1" s="1"/>
  <c r="AD5" i="47221"/>
  <c r="AD37" i="47221" s="1"/>
  <c r="T49" i="1" s="1"/>
  <c r="AC5" i="47221"/>
  <c r="AC37" i="47221" s="1"/>
  <c r="T33" i="1" s="1"/>
  <c r="AA5" i="47221"/>
  <c r="AA37" i="47221" s="1"/>
  <c r="P65" i="1" s="1"/>
  <c r="Z5" i="47221"/>
  <c r="Z37" i="47221" s="1"/>
  <c r="P49" i="1" s="1"/>
  <c r="Y5" i="47221"/>
  <c r="Y37" i="47221" s="1"/>
  <c r="P33" i="1" s="1"/>
  <c r="W5" i="47221"/>
  <c r="W37" i="47221" s="1"/>
  <c r="G62" i="4" s="1"/>
  <c r="V5" i="47221"/>
  <c r="V37" i="47221" s="1"/>
  <c r="G59" i="4" s="1"/>
  <c r="U5" i="47221"/>
  <c r="U37" i="47221" s="1"/>
  <c r="G61" i="4" s="1"/>
  <c r="T5" i="47221"/>
  <c r="T37" i="47221" s="1"/>
  <c r="G58" i="4" s="1"/>
  <c r="R5" i="47221"/>
  <c r="R37" i="47221" s="1"/>
  <c r="L65" i="1" s="1"/>
  <c r="Q5" i="47221"/>
  <c r="Q37" i="47221" s="1"/>
  <c r="L49" i="1" s="1"/>
  <c r="P5" i="47221"/>
  <c r="P37" i="47221" s="1"/>
  <c r="L33" i="1" s="1"/>
  <c r="N5" i="47221"/>
  <c r="N37" i="47221" s="1"/>
  <c r="H65" i="1" s="1"/>
  <c r="M5" i="47221"/>
  <c r="M37" i="47221" s="1"/>
  <c r="H49" i="1" s="1"/>
  <c r="L5" i="47221"/>
  <c r="L37" i="47221" s="1"/>
  <c r="H33" i="1" s="1"/>
  <c r="J5" i="47221"/>
  <c r="J37" i="47221" s="1"/>
  <c r="D65" i="1" s="1"/>
  <c r="AN65" i="1" s="1"/>
  <c r="I5" i="47221"/>
  <c r="I37" i="47221" s="1"/>
  <c r="H5" i="47221"/>
  <c r="H37" i="47221" s="1"/>
  <c r="D33" i="1" s="1"/>
  <c r="F5" i="47221"/>
  <c r="F37" i="47221" s="1"/>
  <c r="X65" i="1" s="1"/>
  <c r="E5" i="47221"/>
  <c r="E37" i="47221" s="1"/>
  <c r="X49" i="1" s="1"/>
  <c r="AR49" i="1" s="1"/>
  <c r="D5" i="47221"/>
  <c r="D37" i="47221" s="1"/>
  <c r="X33" i="1" s="1"/>
  <c r="B5" i="47221"/>
  <c r="B39" i="47221" s="1"/>
  <c r="A5" i="47221"/>
  <c r="P94" i="47220"/>
  <c r="O94" i="47220"/>
  <c r="N94" i="47220"/>
  <c r="M94" i="47220"/>
  <c r="L94" i="47220"/>
  <c r="K94" i="47220"/>
  <c r="J94" i="47220"/>
  <c r="I94" i="47220"/>
  <c r="H94" i="47220"/>
  <c r="G94" i="47220"/>
  <c r="F94" i="47220"/>
  <c r="E94" i="47220"/>
  <c r="D94" i="47220"/>
  <c r="P93" i="47220"/>
  <c r="O93" i="47220"/>
  <c r="N93" i="47220"/>
  <c r="M93" i="47220"/>
  <c r="L93" i="47220"/>
  <c r="K93" i="47220"/>
  <c r="J93" i="47220"/>
  <c r="I93" i="47220"/>
  <c r="H93" i="47220"/>
  <c r="G93" i="47220"/>
  <c r="F93" i="47220"/>
  <c r="E93" i="47220"/>
  <c r="D93" i="47220"/>
  <c r="P92" i="47220"/>
  <c r="O92" i="47220"/>
  <c r="N92" i="47220"/>
  <c r="M92" i="47220"/>
  <c r="L92" i="47220"/>
  <c r="K92" i="47220"/>
  <c r="J92" i="47220"/>
  <c r="I92" i="47220"/>
  <c r="H92" i="47220"/>
  <c r="G92" i="47220"/>
  <c r="F92" i="47220"/>
  <c r="E92" i="47220"/>
  <c r="D92" i="47220"/>
  <c r="P89" i="47220"/>
  <c r="P88" i="47220"/>
  <c r="O88" i="47220"/>
  <c r="N88" i="47220"/>
  <c r="M88" i="47220"/>
  <c r="L88" i="47220"/>
  <c r="K88" i="47220"/>
  <c r="J88" i="47220"/>
  <c r="I88" i="47220"/>
  <c r="H88" i="47220"/>
  <c r="G88" i="47220"/>
  <c r="F88" i="47220"/>
  <c r="E88" i="47220"/>
  <c r="D88" i="47220"/>
  <c r="P87" i="47220"/>
  <c r="P84" i="47220"/>
  <c r="O84" i="47220"/>
  <c r="N84" i="47220"/>
  <c r="M84" i="47220"/>
  <c r="L84" i="47220"/>
  <c r="K84" i="47220"/>
  <c r="J84" i="47220"/>
  <c r="I84" i="47220"/>
  <c r="H84" i="47220"/>
  <c r="G84" i="47220"/>
  <c r="F84" i="47220"/>
  <c r="E84" i="47220"/>
  <c r="D84" i="47220"/>
  <c r="P83" i="47220"/>
  <c r="O83" i="47220"/>
  <c r="N83" i="47220"/>
  <c r="M83" i="47220"/>
  <c r="L83" i="47220"/>
  <c r="K83" i="47220"/>
  <c r="J83" i="47220"/>
  <c r="I83" i="47220"/>
  <c r="H83" i="47220"/>
  <c r="G83" i="47220"/>
  <c r="F83" i="47220"/>
  <c r="E83" i="47220"/>
  <c r="D83" i="47220"/>
  <c r="P82" i="47220"/>
  <c r="O82" i="47220"/>
  <c r="N82" i="47220"/>
  <c r="M82" i="47220"/>
  <c r="L82" i="47220"/>
  <c r="K82" i="47220"/>
  <c r="J82" i="47220"/>
  <c r="I82" i="47220"/>
  <c r="H82" i="47220"/>
  <c r="G82" i="47220"/>
  <c r="F82" i="47220"/>
  <c r="E82" i="47220"/>
  <c r="D82" i="47220"/>
  <c r="P66" i="47220"/>
  <c r="P65" i="47220"/>
  <c r="P62" i="47220"/>
  <c r="P61" i="47220"/>
  <c r="P58" i="47220"/>
  <c r="P57" i="47220"/>
  <c r="P54" i="47220"/>
  <c r="P53" i="47220"/>
  <c r="P50" i="47220"/>
  <c r="O47" i="47220"/>
  <c r="N47" i="47220"/>
  <c r="M47" i="47220"/>
  <c r="L47" i="47220"/>
  <c r="K47" i="47220"/>
  <c r="J47" i="47220"/>
  <c r="I47" i="47220"/>
  <c r="H47" i="47220"/>
  <c r="G47" i="47220"/>
  <c r="F47" i="47220"/>
  <c r="E47" i="47220"/>
  <c r="D47" i="47220"/>
  <c r="O46" i="47220"/>
  <c r="N46" i="47220"/>
  <c r="M46" i="47220"/>
  <c r="L46" i="47220"/>
  <c r="K46" i="47220"/>
  <c r="J46" i="47220"/>
  <c r="I46" i="47220"/>
  <c r="H46" i="47220"/>
  <c r="G46" i="47220"/>
  <c r="F46" i="47220"/>
  <c r="E46" i="47220"/>
  <c r="D46" i="47220"/>
  <c r="P44" i="47220"/>
  <c r="P43" i="47220"/>
  <c r="P40" i="47220"/>
  <c r="O40" i="47220"/>
  <c r="N40" i="47220"/>
  <c r="M40" i="47220"/>
  <c r="L40" i="47220"/>
  <c r="K40" i="47220"/>
  <c r="J40" i="47220"/>
  <c r="I40" i="47220"/>
  <c r="H40" i="47220"/>
  <c r="G40" i="47220"/>
  <c r="F40" i="47220"/>
  <c r="E40" i="47220"/>
  <c r="D40" i="47220"/>
  <c r="P39" i="47220"/>
  <c r="O39" i="47220"/>
  <c r="N39" i="47220"/>
  <c r="M39" i="47220"/>
  <c r="L39" i="47220"/>
  <c r="K39" i="47220"/>
  <c r="J39" i="47220"/>
  <c r="I39" i="47220"/>
  <c r="H39" i="47220"/>
  <c r="G39" i="47220"/>
  <c r="F39" i="47220"/>
  <c r="E39" i="47220"/>
  <c r="D39" i="47220"/>
  <c r="P36" i="47220"/>
  <c r="O36" i="47220"/>
  <c r="N36" i="47220"/>
  <c r="M36" i="47220"/>
  <c r="L36" i="47220"/>
  <c r="K36" i="47220"/>
  <c r="J36" i="47220"/>
  <c r="I36" i="47220"/>
  <c r="H36" i="47220"/>
  <c r="G36" i="47220"/>
  <c r="F36" i="47220"/>
  <c r="E36" i="47220"/>
  <c r="D36" i="47220"/>
  <c r="P35" i="47220"/>
  <c r="O35" i="47220"/>
  <c r="N35" i="47220"/>
  <c r="M35" i="47220"/>
  <c r="L35" i="47220"/>
  <c r="K35" i="47220"/>
  <c r="J35" i="47220"/>
  <c r="I35" i="47220"/>
  <c r="H35" i="47220"/>
  <c r="G35" i="47220"/>
  <c r="F35" i="47220"/>
  <c r="E35" i="47220"/>
  <c r="D35" i="47220"/>
  <c r="P33" i="47220"/>
  <c r="P32" i="47220"/>
  <c r="O32" i="47220"/>
  <c r="N32" i="47220"/>
  <c r="M32" i="47220"/>
  <c r="L32" i="47220"/>
  <c r="K32" i="47220"/>
  <c r="J32" i="47220"/>
  <c r="I32" i="47220"/>
  <c r="H32" i="47220"/>
  <c r="G32" i="47220"/>
  <c r="F32" i="47220"/>
  <c r="E32" i="47220"/>
  <c r="D32" i="47220"/>
  <c r="P31" i="47220"/>
  <c r="P28" i="47220"/>
  <c r="P26" i="47220"/>
  <c r="P22" i="47220"/>
  <c r="P18" i="47220"/>
  <c r="O17" i="47220"/>
  <c r="N17" i="47220"/>
  <c r="M17" i="47220"/>
  <c r="L17" i="47220"/>
  <c r="K17" i="47220"/>
  <c r="J17" i="47220"/>
  <c r="I17" i="47220"/>
  <c r="H17" i="47220"/>
  <c r="G17" i="47220"/>
  <c r="F17" i="47220"/>
  <c r="E17" i="47220"/>
  <c r="D17" i="47220"/>
  <c r="P16" i="47220"/>
  <c r="P13" i="47220"/>
  <c r="O13" i="47220"/>
  <c r="N13" i="47220"/>
  <c r="M13" i="47220"/>
  <c r="L13" i="47220"/>
  <c r="K13" i="47220"/>
  <c r="J13" i="47220"/>
  <c r="I13" i="47220"/>
  <c r="H13" i="47220"/>
  <c r="G13" i="47220"/>
  <c r="F13" i="47220"/>
  <c r="E13" i="47220"/>
  <c r="D13" i="47220"/>
  <c r="O12" i="47220"/>
  <c r="N12" i="47220"/>
  <c r="M12" i="47220"/>
  <c r="L12" i="47220"/>
  <c r="K12" i="47220"/>
  <c r="J12" i="47220"/>
  <c r="I12" i="47220"/>
  <c r="H12" i="47220"/>
  <c r="G12" i="47220"/>
  <c r="F12" i="47220"/>
  <c r="E12" i="47220"/>
  <c r="D12" i="47220"/>
  <c r="P11" i="47220"/>
  <c r="P9" i="47220"/>
  <c r="AD59" i="101"/>
  <c r="AC59" i="101"/>
  <c r="AB59" i="101"/>
  <c r="AA59" i="101"/>
  <c r="Z59" i="101"/>
  <c r="Y59" i="101"/>
  <c r="X59" i="101"/>
  <c r="W59" i="101"/>
  <c r="V59" i="101"/>
  <c r="U59" i="101"/>
  <c r="R59" i="101"/>
  <c r="O59" i="101"/>
  <c r="R57" i="101"/>
  <c r="Q57" i="101"/>
  <c r="P57" i="101"/>
  <c r="R56" i="101"/>
  <c r="Q56" i="101"/>
  <c r="P56" i="101"/>
  <c r="R55" i="101"/>
  <c r="R54" i="101"/>
  <c r="R53" i="101"/>
  <c r="R52" i="101"/>
  <c r="R51" i="101"/>
  <c r="R50" i="101"/>
  <c r="R49" i="101"/>
  <c r="S46" i="101"/>
  <c r="S59" i="101" s="1"/>
  <c r="R46" i="101"/>
  <c r="Q46" i="101"/>
  <c r="P46" i="101"/>
  <c r="M46" i="101"/>
  <c r="M59" i="101" s="1"/>
  <c r="L46" i="101"/>
  <c r="L59" i="101" s="1"/>
  <c r="K46" i="101"/>
  <c r="K59" i="101" s="1"/>
  <c r="J46" i="101"/>
  <c r="J59" i="101" s="1"/>
  <c r="I46" i="101"/>
  <c r="I59" i="101" s="1"/>
  <c r="G46" i="101"/>
  <c r="E46" i="101"/>
  <c r="E59" i="101" s="1"/>
  <c r="D46" i="101"/>
  <c r="D59" i="101" s="1"/>
  <c r="C46" i="101"/>
  <c r="U40" i="101"/>
  <c r="U42" i="101" s="1"/>
  <c r="U43" i="101" s="1"/>
  <c r="T40" i="101"/>
  <c r="T42" i="101" s="1"/>
  <c r="T43" i="101" s="1"/>
  <c r="S40" i="101"/>
  <c r="Q40" i="101"/>
  <c r="Q42" i="101" s="1"/>
  <c r="Q43" i="101" s="1"/>
  <c r="P40" i="101"/>
  <c r="P42" i="101" s="1"/>
  <c r="P43" i="101" s="1"/>
  <c r="O40" i="101"/>
  <c r="O42" i="101" s="1"/>
  <c r="O43" i="101" s="1"/>
  <c r="N40" i="101"/>
  <c r="N42" i="101" s="1"/>
  <c r="N43" i="101" s="1"/>
  <c r="M40" i="101"/>
  <c r="L40" i="101"/>
  <c r="K40" i="101"/>
  <c r="J40" i="101"/>
  <c r="H40" i="101"/>
  <c r="G40" i="101"/>
  <c r="F40" i="101"/>
  <c r="E40" i="101"/>
  <c r="D40" i="101"/>
  <c r="B40" i="101"/>
  <c r="AA38" i="101"/>
  <c r="Z38" i="101"/>
  <c r="X38" i="101"/>
  <c r="D38" i="101"/>
  <c r="C38" i="101"/>
  <c r="AA37" i="101"/>
  <c r="Z37" i="101"/>
  <c r="X37" i="101"/>
  <c r="D37" i="101"/>
  <c r="C37" i="101"/>
  <c r="C36" i="101"/>
  <c r="D35" i="101"/>
  <c r="C35" i="101"/>
  <c r="D34" i="101"/>
  <c r="C34" i="101"/>
  <c r="D33" i="101"/>
  <c r="C33" i="101"/>
  <c r="D32" i="101"/>
  <c r="C32" i="101"/>
  <c r="D31" i="101"/>
  <c r="C31" i="101"/>
  <c r="D30" i="101"/>
  <c r="C30" i="101"/>
  <c r="D29" i="101"/>
  <c r="C29" i="101"/>
  <c r="D28" i="101"/>
  <c r="C28" i="101"/>
  <c r="C40" i="101" s="1"/>
  <c r="AB27" i="101"/>
  <c r="AA27" i="101"/>
  <c r="Z27" i="101"/>
  <c r="Y27" i="101"/>
  <c r="X27" i="101"/>
  <c r="Q27" i="101"/>
  <c r="P27" i="101"/>
  <c r="O27" i="101"/>
  <c r="N27" i="101"/>
  <c r="H27" i="101"/>
  <c r="G27" i="101"/>
  <c r="C27" i="101"/>
  <c r="Q22" i="101"/>
  <c r="P22" i="101"/>
  <c r="AB20" i="101"/>
  <c r="AA20" i="101"/>
  <c r="Z20" i="101"/>
  <c r="W20" i="101"/>
  <c r="P20" i="101"/>
  <c r="N20" i="101"/>
  <c r="M20" i="101"/>
  <c r="L20" i="101"/>
  <c r="I20" i="101"/>
  <c r="H20" i="101"/>
  <c r="G20" i="101"/>
  <c r="F20" i="101"/>
  <c r="E20" i="101"/>
  <c r="D20" i="101"/>
  <c r="B20" i="101"/>
  <c r="AD17" i="101"/>
  <c r="AC17" i="101"/>
  <c r="AA17" i="101"/>
  <c r="Y17" i="101"/>
  <c r="X17" i="101"/>
  <c r="V17" i="101"/>
  <c r="U17" i="101"/>
  <c r="T17" i="101"/>
  <c r="Q17" i="101"/>
  <c r="O17" i="101"/>
  <c r="C17" i="101"/>
  <c r="AD16" i="101"/>
  <c r="AC16" i="101"/>
  <c r="AA16" i="101"/>
  <c r="Y16" i="101"/>
  <c r="X16" i="101"/>
  <c r="V16" i="101"/>
  <c r="U16" i="101"/>
  <c r="T16" i="101"/>
  <c r="Q16" i="101"/>
  <c r="O16" i="101"/>
  <c r="C16" i="101"/>
  <c r="Y15" i="101"/>
  <c r="Q55" i="101" s="1"/>
  <c r="V15" i="101"/>
  <c r="P55" i="101" s="1"/>
  <c r="T15" i="101"/>
  <c r="X36" i="101" s="1"/>
  <c r="Q15" i="101"/>
  <c r="C15" i="101"/>
  <c r="U15" i="101" s="1"/>
  <c r="AA14" i="101"/>
  <c r="Y14" i="101"/>
  <c r="AA35" i="101" s="1"/>
  <c r="V14" i="101"/>
  <c r="P54" i="101" s="1"/>
  <c r="T14" i="101"/>
  <c r="X35" i="101" s="1"/>
  <c r="Q14" i="101"/>
  <c r="C14" i="101"/>
  <c r="AD14" i="101" s="1"/>
  <c r="AA13" i="101"/>
  <c r="Y13" i="101"/>
  <c r="Q53" i="101" s="1"/>
  <c r="V13" i="101"/>
  <c r="Z34" i="101" s="1"/>
  <c r="T13" i="101"/>
  <c r="X34" i="101" s="1"/>
  <c r="Q13" i="101"/>
  <c r="C13" i="101"/>
  <c r="AD13" i="101" s="1"/>
  <c r="AA12" i="101"/>
  <c r="Y12" i="101"/>
  <c r="Q52" i="101" s="1"/>
  <c r="V12" i="101"/>
  <c r="P52" i="101" s="1"/>
  <c r="T12" i="101"/>
  <c r="X33" i="101" s="1"/>
  <c r="Q12" i="101"/>
  <c r="C12" i="101"/>
  <c r="AD12" i="101" s="1"/>
  <c r="AA11" i="101"/>
  <c r="Y11" i="101"/>
  <c r="V11" i="101"/>
  <c r="P51" i="101" s="1"/>
  <c r="T11" i="101"/>
  <c r="X32" i="101" s="1"/>
  <c r="Q11" i="101"/>
  <c r="C11" i="101"/>
  <c r="AD11" i="101" s="1"/>
  <c r="AA10" i="101"/>
  <c r="Y10" i="101"/>
  <c r="Q50" i="101" s="1"/>
  <c r="V10" i="101"/>
  <c r="P50" i="101" s="1"/>
  <c r="T10" i="101"/>
  <c r="X31" i="101" s="1"/>
  <c r="Q10" i="101"/>
  <c r="C10" i="101"/>
  <c r="AD10" i="101" s="1"/>
  <c r="AA9" i="101"/>
  <c r="Y9" i="101"/>
  <c r="Q49" i="101" s="1"/>
  <c r="V9" i="101"/>
  <c r="P49" i="101" s="1"/>
  <c r="T9" i="101"/>
  <c r="X30" i="101" s="1"/>
  <c r="Q9" i="101"/>
  <c r="C9" i="101"/>
  <c r="AD9" i="101" s="1"/>
  <c r="AA8" i="101"/>
  <c r="Y8" i="101"/>
  <c r="Q48" i="101" s="1"/>
  <c r="V8" i="101"/>
  <c r="P48" i="101" s="1"/>
  <c r="T8" i="101"/>
  <c r="X29" i="101" s="1"/>
  <c r="Q8" i="101"/>
  <c r="C8" i="101"/>
  <c r="AD8" i="101" s="1"/>
  <c r="AA7" i="101"/>
  <c r="Y7" i="101"/>
  <c r="V7" i="101"/>
  <c r="T7" i="101"/>
  <c r="X28" i="101" s="1"/>
  <c r="Q7" i="101"/>
  <c r="Q20" i="101" s="1"/>
  <c r="C7" i="101"/>
  <c r="AD7" i="101" s="1"/>
  <c r="AD6" i="101"/>
  <c r="AC6" i="101"/>
  <c r="Y6" i="101"/>
  <c r="X6" i="101"/>
  <c r="V6" i="101"/>
  <c r="U6" i="101"/>
  <c r="T6" i="101"/>
  <c r="Q6" i="101"/>
  <c r="O6" i="101"/>
  <c r="C6" i="101"/>
  <c r="X83" i="2"/>
  <c r="AV36" i="2"/>
  <c r="AU36" i="2"/>
  <c r="AT36" i="2"/>
  <c r="AS36" i="2"/>
  <c r="W65" i="1" s="1"/>
  <c r="AR36" i="2"/>
  <c r="W49" i="1" s="1"/>
  <c r="AQ36" i="2"/>
  <c r="W33" i="1" s="1"/>
  <c r="AK36" i="2"/>
  <c r="AJ36" i="2"/>
  <c r="AE36" i="2"/>
  <c r="AB36" i="2"/>
  <c r="H36" i="2"/>
  <c r="G36" i="2"/>
  <c r="F36" i="2"/>
  <c r="F14" i="4" s="1"/>
  <c r="E36" i="2"/>
  <c r="D36" i="2"/>
  <c r="C36" i="2"/>
  <c r="B36" i="2"/>
  <c r="AN34" i="2"/>
  <c r="AM34" i="2"/>
  <c r="AH34" i="2"/>
  <c r="AG34" i="2"/>
  <c r="X34" i="2"/>
  <c r="W34" i="2"/>
  <c r="V34" i="2"/>
  <c r="J34" i="2"/>
  <c r="I34" i="2"/>
  <c r="AN33" i="2"/>
  <c r="AM33" i="2"/>
  <c r="AH33" i="2"/>
  <c r="AG33" i="2"/>
  <c r="X33" i="2"/>
  <c r="W33" i="2"/>
  <c r="V33" i="2"/>
  <c r="J33" i="2"/>
  <c r="I33" i="2"/>
  <c r="AN32" i="2"/>
  <c r="AM32" i="2"/>
  <c r="AH32" i="2"/>
  <c r="AG32" i="2"/>
  <c r="X32" i="2"/>
  <c r="W32" i="2"/>
  <c r="V32" i="2"/>
  <c r="J32" i="2"/>
  <c r="I32" i="2"/>
  <c r="AN31" i="2"/>
  <c r="AM31" i="2"/>
  <c r="AH31" i="2"/>
  <c r="AG31" i="2"/>
  <c r="X31" i="2"/>
  <c r="W31" i="2"/>
  <c r="T31" i="2"/>
  <c r="J31" i="2"/>
  <c r="I31" i="2"/>
  <c r="AN30" i="2"/>
  <c r="AM30" i="2"/>
  <c r="AH30" i="2"/>
  <c r="AG30" i="2"/>
  <c r="X30" i="2"/>
  <c r="W30" i="2"/>
  <c r="T30" i="2"/>
  <c r="J30" i="2"/>
  <c r="I30" i="2"/>
  <c r="AN29" i="2"/>
  <c r="AM29" i="2"/>
  <c r="AH29" i="2"/>
  <c r="AG29" i="2"/>
  <c r="X29" i="2"/>
  <c r="W29" i="2"/>
  <c r="V29" i="2"/>
  <c r="J29" i="2"/>
  <c r="I29" i="2"/>
  <c r="AN28" i="2"/>
  <c r="AM28" i="2"/>
  <c r="AH28" i="2"/>
  <c r="AG28" i="2"/>
  <c r="X28" i="2"/>
  <c r="W28" i="2"/>
  <c r="V28" i="2"/>
  <c r="J28" i="2"/>
  <c r="I28" i="2"/>
  <c r="AN27" i="2"/>
  <c r="AM27" i="2"/>
  <c r="AH27" i="2"/>
  <c r="AG27" i="2"/>
  <c r="X27" i="2"/>
  <c r="W27" i="2"/>
  <c r="V27" i="2"/>
  <c r="J27" i="2"/>
  <c r="I27" i="2"/>
  <c r="AN26" i="2"/>
  <c r="AM26" i="2"/>
  <c r="AH26" i="2"/>
  <c r="AC26" i="2" s="1"/>
  <c r="AG26" i="2"/>
  <c r="X26" i="2"/>
  <c r="S26" i="2" s="1"/>
  <c r="W26" i="2"/>
  <c r="V26" i="2"/>
  <c r="J26" i="2"/>
  <c r="I26" i="2"/>
  <c r="AN25" i="2"/>
  <c r="AM25" i="2"/>
  <c r="AH25" i="2"/>
  <c r="AC25" i="2" s="1"/>
  <c r="AG25" i="2"/>
  <c r="X25" i="2"/>
  <c r="W25" i="2"/>
  <c r="V25" i="2"/>
  <c r="J25" i="2"/>
  <c r="I25" i="2"/>
  <c r="AN24" i="2"/>
  <c r="AM24" i="2"/>
  <c r="AH24" i="2"/>
  <c r="AC24" i="2" s="1"/>
  <c r="AG24" i="2"/>
  <c r="X24" i="2"/>
  <c r="W24" i="2"/>
  <c r="V24" i="2"/>
  <c r="J24" i="2"/>
  <c r="I24" i="2"/>
  <c r="AN23" i="2"/>
  <c r="AM23" i="2"/>
  <c r="AH23" i="2"/>
  <c r="AC23" i="2" s="1"/>
  <c r="AG23" i="2"/>
  <c r="X23" i="2"/>
  <c r="W23" i="2"/>
  <c r="V23" i="2"/>
  <c r="J23" i="2"/>
  <c r="I23" i="2"/>
  <c r="AN22" i="2"/>
  <c r="AM22" i="2"/>
  <c r="AH22" i="2"/>
  <c r="AC22" i="2" s="1"/>
  <c r="AG22" i="2"/>
  <c r="X22" i="2"/>
  <c r="W22" i="2"/>
  <c r="V22" i="2"/>
  <c r="I22" i="2"/>
  <c r="AN21" i="2"/>
  <c r="AM21" i="2"/>
  <c r="AH21" i="2"/>
  <c r="AC21" i="2" s="1"/>
  <c r="AG21" i="2"/>
  <c r="X21" i="2"/>
  <c r="W21" i="2"/>
  <c r="V21" i="2"/>
  <c r="J21" i="2"/>
  <c r="I21" i="2"/>
  <c r="AN20" i="2"/>
  <c r="AM20" i="2"/>
  <c r="AH20" i="2"/>
  <c r="AC20" i="2" s="1"/>
  <c r="AG20" i="2"/>
  <c r="X20" i="2"/>
  <c r="W20" i="2"/>
  <c r="V20" i="2"/>
  <c r="J20" i="2"/>
  <c r="I20" i="2"/>
  <c r="AN19" i="2"/>
  <c r="AM19" i="2"/>
  <c r="AH19" i="2"/>
  <c r="AC19" i="2" s="1"/>
  <c r="AG19" i="2"/>
  <c r="X19" i="2"/>
  <c r="W19" i="2"/>
  <c r="V19" i="2"/>
  <c r="J19" i="2"/>
  <c r="I19" i="2"/>
  <c r="AN18" i="2"/>
  <c r="AM18" i="2"/>
  <c r="AH18" i="2"/>
  <c r="AC18" i="2" s="1"/>
  <c r="AG18" i="2"/>
  <c r="X18" i="2"/>
  <c r="W18" i="2"/>
  <c r="V18" i="2"/>
  <c r="J18" i="2"/>
  <c r="I18" i="2"/>
  <c r="AN17" i="2"/>
  <c r="AM17" i="2"/>
  <c r="AH17" i="2"/>
  <c r="AC17" i="2" s="1"/>
  <c r="AG17" i="2"/>
  <c r="X17" i="2"/>
  <c r="W17" i="2"/>
  <c r="V17" i="2"/>
  <c r="J17" i="2"/>
  <c r="I17" i="2"/>
  <c r="AN16" i="2"/>
  <c r="AM16" i="2"/>
  <c r="AH16" i="2"/>
  <c r="AC16" i="2" s="1"/>
  <c r="AG16" i="2"/>
  <c r="X16" i="2"/>
  <c r="W16" i="2"/>
  <c r="V16" i="2"/>
  <c r="J16" i="2"/>
  <c r="I16" i="2"/>
  <c r="AN15" i="2"/>
  <c r="AM15" i="2"/>
  <c r="AH15" i="2"/>
  <c r="AC15" i="2" s="1"/>
  <c r="AG15" i="2"/>
  <c r="X15" i="2"/>
  <c r="L15" i="2"/>
  <c r="W15" i="2" s="1"/>
  <c r="K15" i="2"/>
  <c r="V15" i="2" s="1"/>
  <c r="J15" i="2"/>
  <c r="I15" i="2"/>
  <c r="AN14" i="2"/>
  <c r="AM14" i="2"/>
  <c r="AH14" i="2"/>
  <c r="AC14" i="2" s="1"/>
  <c r="AG14" i="2"/>
  <c r="X14" i="2"/>
  <c r="L14" i="2"/>
  <c r="W14" i="2" s="1"/>
  <c r="K14" i="2"/>
  <c r="V14" i="2" s="1"/>
  <c r="J14" i="2"/>
  <c r="I14" i="2"/>
  <c r="AN13" i="2"/>
  <c r="AM13" i="2"/>
  <c r="AH13" i="2"/>
  <c r="AC13" i="2" s="1"/>
  <c r="AG13" i="2"/>
  <c r="X13" i="2"/>
  <c r="L13" i="2"/>
  <c r="W13" i="2" s="1"/>
  <c r="K13" i="2"/>
  <c r="V13" i="2" s="1"/>
  <c r="J13" i="2"/>
  <c r="I13" i="2"/>
  <c r="AN12" i="2"/>
  <c r="AM12" i="2"/>
  <c r="AH12" i="2"/>
  <c r="AC12" i="2" s="1"/>
  <c r="AG12" i="2"/>
  <c r="X12" i="2"/>
  <c r="S12" i="2" s="1"/>
  <c r="L12" i="2"/>
  <c r="W12" i="2" s="1"/>
  <c r="K12" i="2"/>
  <c r="V12" i="2" s="1"/>
  <c r="J12" i="2"/>
  <c r="I12" i="2"/>
  <c r="AN11" i="2"/>
  <c r="AM11" i="2"/>
  <c r="AH11" i="2"/>
  <c r="AC11" i="2" s="1"/>
  <c r="AG11" i="2"/>
  <c r="X11" i="2"/>
  <c r="L11" i="2"/>
  <c r="W11" i="2" s="1"/>
  <c r="K11" i="2"/>
  <c r="V11" i="2" s="1"/>
  <c r="J11" i="2"/>
  <c r="I11" i="2"/>
  <c r="AN10" i="2"/>
  <c r="AM10" i="2"/>
  <c r="AH10" i="2"/>
  <c r="AC10" i="2" s="1"/>
  <c r="AG10" i="2"/>
  <c r="X10" i="2"/>
  <c r="L10" i="2"/>
  <c r="W10" i="2" s="1"/>
  <c r="K10" i="2"/>
  <c r="V10" i="2" s="1"/>
  <c r="J10" i="2"/>
  <c r="I10" i="2"/>
  <c r="AN9" i="2"/>
  <c r="AM9" i="2"/>
  <c r="AH9" i="2"/>
  <c r="AC9" i="2" s="1"/>
  <c r="AG9" i="2"/>
  <c r="X9" i="2"/>
  <c r="L9" i="2"/>
  <c r="W9" i="2" s="1"/>
  <c r="K9" i="2"/>
  <c r="V9" i="2" s="1"/>
  <c r="J9" i="2"/>
  <c r="I9" i="2"/>
  <c r="AN8" i="2"/>
  <c r="AM8" i="2"/>
  <c r="AH8" i="2"/>
  <c r="AC8" i="2" s="1"/>
  <c r="AG8" i="2"/>
  <c r="X8" i="2"/>
  <c r="L8" i="2"/>
  <c r="W8" i="2" s="1"/>
  <c r="K8" i="2"/>
  <c r="V8" i="2" s="1"/>
  <c r="J8" i="2"/>
  <c r="I8" i="2"/>
  <c r="AN7" i="2"/>
  <c r="AM7" i="2"/>
  <c r="AH7" i="2"/>
  <c r="AC7" i="2" s="1"/>
  <c r="AG7" i="2"/>
  <c r="X7" i="2"/>
  <c r="L7" i="2"/>
  <c r="W7" i="2" s="1"/>
  <c r="K7" i="2"/>
  <c r="V7" i="2" s="1"/>
  <c r="J7" i="2"/>
  <c r="I7" i="2"/>
  <c r="AN6" i="2"/>
  <c r="AM6" i="2"/>
  <c r="AH6" i="2"/>
  <c r="AC6" i="2" s="1"/>
  <c r="AG6" i="2"/>
  <c r="X6" i="2"/>
  <c r="L6" i="2"/>
  <c r="W6" i="2" s="1"/>
  <c r="K6" i="2"/>
  <c r="V6" i="2" s="1"/>
  <c r="J6" i="2"/>
  <c r="I6" i="2"/>
  <c r="AN5" i="2"/>
  <c r="AM5" i="2"/>
  <c r="AH5" i="2"/>
  <c r="AC5" i="2" s="1"/>
  <c r="AG5" i="2"/>
  <c r="X5" i="2"/>
  <c r="L5" i="2"/>
  <c r="W5" i="2" s="1"/>
  <c r="K5" i="2"/>
  <c r="V5" i="2" s="1"/>
  <c r="J5" i="2"/>
  <c r="I5" i="2"/>
  <c r="AN4" i="2"/>
  <c r="AM4" i="2"/>
  <c r="AH4" i="2"/>
  <c r="AG4" i="2"/>
  <c r="X4" i="2"/>
  <c r="S4" i="2" s="1"/>
  <c r="L4" i="2"/>
  <c r="K4" i="2"/>
  <c r="J4" i="2"/>
  <c r="I4" i="2"/>
  <c r="C30" i="4"/>
  <c r="C22" i="4"/>
  <c r="C21" i="4"/>
  <c r="C14" i="4"/>
  <c r="C13" i="4"/>
  <c r="C12" i="4"/>
  <c r="C11" i="4"/>
  <c r="C10" i="4"/>
  <c r="C9" i="4"/>
  <c r="AR65" i="1" l="1"/>
  <c r="D49" i="1"/>
  <c r="AN49" i="1" s="1"/>
  <c r="AR33" i="1"/>
  <c r="X17" i="1"/>
  <c r="H17" i="1"/>
  <c r="P17" i="1"/>
  <c r="AB17" i="1"/>
  <c r="AN33" i="1"/>
  <c r="L17" i="1"/>
  <c r="T17" i="1"/>
  <c r="AJ17" i="1"/>
  <c r="AF17" i="1"/>
  <c r="Z36" i="101"/>
  <c r="AA36" i="101"/>
  <c r="AC15" i="101"/>
  <c r="X15" i="101"/>
  <c r="O15" i="101" s="1"/>
  <c r="AD15" i="101"/>
  <c r="Y33" i="1"/>
  <c r="Y65" i="1"/>
  <c r="W17" i="1"/>
  <c r="Y49" i="1"/>
  <c r="AN32" i="1"/>
  <c r="AN64" i="1"/>
  <c r="AN48" i="1"/>
  <c r="Z35" i="101"/>
  <c r="Y35" i="101" s="1"/>
  <c r="AB35" i="101" s="1"/>
  <c r="U14" i="101"/>
  <c r="AJ39" i="47222"/>
  <c r="X16" i="1"/>
  <c r="H16" i="1"/>
  <c r="P16" i="1"/>
  <c r="AB16" i="1"/>
  <c r="L16" i="1"/>
  <c r="T16" i="1"/>
  <c r="AJ16" i="1"/>
  <c r="W52" i="1"/>
  <c r="W36" i="1"/>
  <c r="W68" i="1"/>
  <c r="Y34" i="101"/>
  <c r="AB34" i="101" s="1"/>
  <c r="P53" i="101"/>
  <c r="AA34" i="101"/>
  <c r="U13" i="101"/>
  <c r="AF15" i="1"/>
  <c r="AJ36" i="1"/>
  <c r="AB36" i="1"/>
  <c r="AR39" i="47222"/>
  <c r="T36" i="1"/>
  <c r="P68" i="1"/>
  <c r="L68" i="1"/>
  <c r="H68" i="1"/>
  <c r="AR63" i="1"/>
  <c r="W15" i="1"/>
  <c r="Z33" i="101"/>
  <c r="Y33" i="101" s="1"/>
  <c r="AB33" i="101" s="1"/>
  <c r="AA33" i="101"/>
  <c r="U12" i="101"/>
  <c r="AF39" i="47222"/>
  <c r="Y20" i="2"/>
  <c r="S20" i="2"/>
  <c r="Y22" i="2"/>
  <c r="S22" i="2"/>
  <c r="Y24" i="2"/>
  <c r="S24" i="2"/>
  <c r="Y28" i="2"/>
  <c r="S28" i="2"/>
  <c r="Y30" i="2"/>
  <c r="S30" i="2"/>
  <c r="Y32" i="2"/>
  <c r="S32" i="2"/>
  <c r="Y34" i="2"/>
  <c r="S34" i="2"/>
  <c r="Y19" i="2"/>
  <c r="S19" i="2"/>
  <c r="Y21" i="2"/>
  <c r="S21" i="2"/>
  <c r="Y23" i="2"/>
  <c r="S23" i="2"/>
  <c r="Y25" i="2"/>
  <c r="S25" i="2"/>
  <c r="Y27" i="2"/>
  <c r="S27" i="2"/>
  <c r="Y29" i="2"/>
  <c r="S29" i="2"/>
  <c r="Y31" i="2"/>
  <c r="S31" i="2"/>
  <c r="Y33" i="2"/>
  <c r="S33" i="2"/>
  <c r="Y18" i="2"/>
  <c r="S18" i="2"/>
  <c r="Y17" i="2"/>
  <c r="S17" i="2"/>
  <c r="Y15" i="2"/>
  <c r="S15" i="2"/>
  <c r="Y14" i="2"/>
  <c r="S14" i="2"/>
  <c r="Y16" i="2"/>
  <c r="S16" i="2"/>
  <c r="Y13" i="2"/>
  <c r="S13" i="2"/>
  <c r="AA32" i="101"/>
  <c r="Q51" i="101"/>
  <c r="Y11" i="2"/>
  <c r="S11" i="2"/>
  <c r="F46" i="101"/>
  <c r="F59" i="101" s="1"/>
  <c r="Y10" i="2"/>
  <c r="S10" i="2"/>
  <c r="Y7" i="2"/>
  <c r="S7" i="2"/>
  <c r="Y9" i="2"/>
  <c r="S9" i="2"/>
  <c r="Y6" i="2"/>
  <c r="S6" i="2"/>
  <c r="Y8" i="2"/>
  <c r="S8" i="2"/>
  <c r="Y5" i="2"/>
  <c r="S5" i="2"/>
  <c r="Z32" i="101"/>
  <c r="Y32" i="101" s="1"/>
  <c r="AB32" i="101" s="1"/>
  <c r="U11" i="101"/>
  <c r="H46" i="101"/>
  <c r="AR60" i="1"/>
  <c r="AB52" i="1"/>
  <c r="P36" i="1"/>
  <c r="P12" i="1"/>
  <c r="P52" i="1"/>
  <c r="D13" i="1"/>
  <c r="X12" i="1"/>
  <c r="X36" i="1"/>
  <c r="AR61" i="1"/>
  <c r="AR45" i="1"/>
  <c r="W13" i="1"/>
  <c r="Y26" i="2"/>
  <c r="AN7" i="1"/>
  <c r="AO7" i="1" s="1"/>
  <c r="M7" i="1"/>
  <c r="Y12" i="2"/>
  <c r="Z31" i="101"/>
  <c r="Y31" i="101" s="1"/>
  <c r="AB31" i="101" s="1"/>
  <c r="AA31" i="101"/>
  <c r="U10" i="101"/>
  <c r="AZ39" i="47222"/>
  <c r="L12" i="1"/>
  <c r="T12" i="1"/>
  <c r="AJ12" i="1"/>
  <c r="AA30" i="101"/>
  <c r="Z30" i="101"/>
  <c r="Y30" i="101" s="1"/>
  <c r="AB30" i="101" s="1"/>
  <c r="U9" i="101"/>
  <c r="D11" i="1"/>
  <c r="H10" i="1"/>
  <c r="L36" i="1"/>
  <c r="T68" i="1"/>
  <c r="G91" i="47223"/>
  <c r="G100" i="47223"/>
  <c r="G90" i="47223"/>
  <c r="G89" i="47223"/>
  <c r="C29" i="4"/>
  <c r="T32" i="2"/>
  <c r="V31" i="2"/>
  <c r="A1" i="2"/>
  <c r="AN26" i="1"/>
  <c r="AN58" i="1"/>
  <c r="AR58" i="1"/>
  <c r="F90" i="47223"/>
  <c r="F89" i="47223"/>
  <c r="F91" i="47223"/>
  <c r="F100" i="47223"/>
  <c r="Q54" i="101"/>
  <c r="AA29" i="101"/>
  <c r="Z29" i="101"/>
  <c r="Y29" i="101" s="1"/>
  <c r="AB29" i="101" s="1"/>
  <c r="U8" i="101"/>
  <c r="AR42" i="1"/>
  <c r="AN39" i="47222"/>
  <c r="AV39" i="47222"/>
  <c r="L10" i="1"/>
  <c r="T10" i="1"/>
  <c r="AJ10" i="1"/>
  <c r="AR26" i="1"/>
  <c r="X10" i="1"/>
  <c r="P10" i="1"/>
  <c r="AB10" i="1"/>
  <c r="N46" i="101"/>
  <c r="N59" i="101" s="1"/>
  <c r="U33" i="2"/>
  <c r="V30" i="2"/>
  <c r="K36" i="2"/>
  <c r="AG36" i="2"/>
  <c r="F38" i="4" s="1"/>
  <c r="AM36" i="2"/>
  <c r="W9" i="1"/>
  <c r="I36" i="2"/>
  <c r="F9" i="4" s="1"/>
  <c r="J9" i="4" s="1"/>
  <c r="AF68" i="1"/>
  <c r="P59" i="101"/>
  <c r="P47" i="101"/>
  <c r="Q59" i="101"/>
  <c r="Q47" i="101"/>
  <c r="K62" i="4"/>
  <c r="K59" i="4"/>
  <c r="K61" i="4"/>
  <c r="K58" i="4"/>
  <c r="P41" i="101"/>
  <c r="N41" i="101"/>
  <c r="Y20" i="101"/>
  <c r="AA28" i="101"/>
  <c r="V20" i="101"/>
  <c r="Z28" i="101"/>
  <c r="Y28" i="101" s="1"/>
  <c r="AB28" i="101" s="1"/>
  <c r="J14" i="4"/>
  <c r="C20" i="101"/>
  <c r="U7" i="101"/>
  <c r="T20" i="101"/>
  <c r="AJ68" i="1"/>
  <c r="AJ52" i="1"/>
  <c r="AB68" i="1"/>
  <c r="T52" i="1"/>
  <c r="L52" i="1"/>
  <c r="D8" i="1"/>
  <c r="AN36" i="2"/>
  <c r="AC36" i="2"/>
  <c r="G38" i="4" s="1"/>
  <c r="G39" i="4" s="1"/>
  <c r="AH36" i="2"/>
  <c r="B37" i="47221"/>
  <c r="C59" i="101"/>
  <c r="H59" i="101" s="1"/>
  <c r="G59" i="101"/>
  <c r="B46" i="101"/>
  <c r="B59" i="101" s="1"/>
  <c r="B62" i="101" s="1"/>
  <c r="U30" i="2"/>
  <c r="U31" i="2"/>
  <c r="U32" i="2"/>
  <c r="T33" i="2"/>
  <c r="T34" i="2"/>
  <c r="U34" i="2"/>
  <c r="U29" i="2"/>
  <c r="J36" i="2"/>
  <c r="L36" i="2"/>
  <c r="X36" i="2"/>
  <c r="F21" i="4" s="1"/>
  <c r="T29" i="2"/>
  <c r="AN24" i="1"/>
  <c r="AN56" i="1"/>
  <c r="L8" i="1"/>
  <c r="T8" i="1"/>
  <c r="AJ8" i="1"/>
  <c r="AR24" i="1"/>
  <c r="X8" i="1"/>
  <c r="AR56" i="1"/>
  <c r="AN40" i="1"/>
  <c r="H8" i="1"/>
  <c r="P8" i="1"/>
  <c r="AB8" i="1"/>
  <c r="AF8" i="1"/>
  <c r="F39" i="47221"/>
  <c r="N39" i="47221"/>
  <c r="AA39" i="47221"/>
  <c r="AI39" i="47221"/>
  <c r="AQ39" i="47221"/>
  <c r="J39" i="47221"/>
  <c r="R39" i="47221"/>
  <c r="AE39" i="47221"/>
  <c r="AM39" i="47221"/>
  <c r="W8" i="1"/>
  <c r="U4" i="2"/>
  <c r="W4" i="2"/>
  <c r="W36" i="2" s="1"/>
  <c r="F22" i="4" s="1"/>
  <c r="T4" i="2"/>
  <c r="V4" i="2"/>
  <c r="V36" i="2" s="1"/>
  <c r="F30" i="4" s="1"/>
  <c r="Y4" i="2"/>
  <c r="U5" i="2"/>
  <c r="T6" i="2"/>
  <c r="U7" i="2"/>
  <c r="T8" i="2"/>
  <c r="U9" i="2"/>
  <c r="T10" i="2"/>
  <c r="U11" i="2"/>
  <c r="T12" i="2"/>
  <c r="U13" i="2"/>
  <c r="T14" i="2"/>
  <c r="U15" i="2"/>
  <c r="T16" i="2"/>
  <c r="U17" i="2"/>
  <c r="T18" i="2"/>
  <c r="U19" i="2"/>
  <c r="T20" i="2"/>
  <c r="U21" i="2"/>
  <c r="T22" i="2"/>
  <c r="U23" i="2"/>
  <c r="T24" i="2"/>
  <c r="U25" i="2"/>
  <c r="T26" i="2"/>
  <c r="U27" i="2"/>
  <c r="T28" i="2"/>
  <c r="T5" i="2"/>
  <c r="U6" i="2"/>
  <c r="T7" i="2"/>
  <c r="U8" i="2"/>
  <c r="T9" i="2"/>
  <c r="U10" i="2"/>
  <c r="T11" i="2"/>
  <c r="U12" i="2"/>
  <c r="T13" i="2"/>
  <c r="U14" i="2"/>
  <c r="T15" i="2"/>
  <c r="U16" i="2"/>
  <c r="T17" i="2"/>
  <c r="U18" i="2"/>
  <c r="T19" i="2"/>
  <c r="U20" i="2"/>
  <c r="T21" i="2"/>
  <c r="U22" i="2"/>
  <c r="T23" i="2"/>
  <c r="U24" i="2"/>
  <c r="T25" i="2"/>
  <c r="U26" i="2"/>
  <c r="T27" i="2"/>
  <c r="U28" i="2"/>
  <c r="B6" i="47223"/>
  <c r="A7" i="47221"/>
  <c r="A7" i="47222"/>
  <c r="A6" i="47222"/>
  <c r="A6" i="47221"/>
  <c r="B5" i="47223"/>
  <c r="B55" i="47223"/>
  <c r="Q54" i="47223"/>
  <c r="P54" i="47223"/>
  <c r="I54" i="47223"/>
  <c r="M54" i="47223"/>
  <c r="H54" i="47223"/>
  <c r="L54" i="47223"/>
  <c r="AE3" i="47223"/>
  <c r="E3" i="47223"/>
  <c r="AB4" i="47223"/>
  <c r="BB4" i="47223" s="1"/>
  <c r="C23" i="4"/>
  <c r="C26" i="4" s="1"/>
  <c r="C16" i="4"/>
  <c r="D52" i="1" l="1"/>
  <c r="D17" i="1"/>
  <c r="AN17" i="1" s="1"/>
  <c r="AR17" i="1"/>
  <c r="Y17" i="1"/>
  <c r="D16" i="1"/>
  <c r="X14" i="101"/>
  <c r="O14" i="101" s="1"/>
  <c r="AC14" i="101"/>
  <c r="AR47" i="1"/>
  <c r="D15" i="1"/>
  <c r="AF16" i="1"/>
  <c r="AR16" i="1" s="1"/>
  <c r="AN16" i="1"/>
  <c r="AR48" i="1"/>
  <c r="AR64" i="1"/>
  <c r="AR32" i="1"/>
  <c r="W16" i="1"/>
  <c r="AC13" i="101"/>
  <c r="X13" i="101"/>
  <c r="O13" i="101" s="1"/>
  <c r="AN46" i="1"/>
  <c r="AN31" i="1"/>
  <c r="AN47" i="1"/>
  <c r="AJ15" i="1"/>
  <c r="AB15" i="1"/>
  <c r="T15" i="1"/>
  <c r="P15" i="1"/>
  <c r="AN62" i="1"/>
  <c r="L15" i="1"/>
  <c r="AN63" i="1"/>
  <c r="H15" i="1"/>
  <c r="AR31" i="1"/>
  <c r="X15" i="1"/>
  <c r="Y15" i="1" s="1"/>
  <c r="O55" i="47223"/>
  <c r="K55" i="47223"/>
  <c r="N55" i="47223"/>
  <c r="J55" i="47223"/>
  <c r="AR62" i="1"/>
  <c r="X12" i="101"/>
  <c r="O12" i="101" s="1"/>
  <c r="AC12" i="101"/>
  <c r="AN30" i="1"/>
  <c r="AN14" i="1"/>
  <c r="AR46" i="1"/>
  <c r="AR14" i="1"/>
  <c r="AF13" i="1"/>
  <c r="AR30" i="1"/>
  <c r="AB6" i="47223"/>
  <c r="BB6" i="47223" s="1"/>
  <c r="CB6" i="47223" s="1"/>
  <c r="J38" i="4"/>
  <c r="F39" i="4"/>
  <c r="J39" i="4" s="1"/>
  <c r="Y36" i="2"/>
  <c r="F11" i="4" s="1"/>
  <c r="F42" i="4"/>
  <c r="G42" i="4"/>
  <c r="AN45" i="1"/>
  <c r="AN29" i="1"/>
  <c r="H36" i="1"/>
  <c r="X52" i="1"/>
  <c r="Y52" i="1" s="1"/>
  <c r="G17" i="4"/>
  <c r="K17" i="4" s="1"/>
  <c r="F34" i="4"/>
  <c r="F99" i="47223" s="1"/>
  <c r="F45" i="4"/>
  <c r="J45" i="4" s="1"/>
  <c r="AC11" i="101"/>
  <c r="X11" i="101"/>
  <c r="O11" i="101" s="1"/>
  <c r="AJ13" i="1"/>
  <c r="AB12" i="1"/>
  <c r="AB13" i="1"/>
  <c r="T13" i="1"/>
  <c r="P13" i="1"/>
  <c r="L13" i="1"/>
  <c r="H12" i="1"/>
  <c r="AN61" i="1"/>
  <c r="H13" i="1"/>
  <c r="X13" i="1"/>
  <c r="AR29" i="1"/>
  <c r="AF36" i="1"/>
  <c r="W11" i="1"/>
  <c r="Y11" i="1" s="1"/>
  <c r="AC10" i="101"/>
  <c r="X10" i="101"/>
  <c r="O10" i="101" s="1"/>
  <c r="AF12" i="1"/>
  <c r="D12" i="1"/>
  <c r="F94" i="47223"/>
  <c r="W12" i="1"/>
  <c r="K38" i="4"/>
  <c r="X68" i="1"/>
  <c r="Y68" i="1" s="1"/>
  <c r="G54" i="4"/>
  <c r="G55" i="4"/>
  <c r="J22" i="4"/>
  <c r="AC9" i="101"/>
  <c r="X9" i="101"/>
  <c r="O9" i="101" s="1"/>
  <c r="AR43" i="1"/>
  <c r="D36" i="1"/>
  <c r="AN27" i="1"/>
  <c r="H52" i="1"/>
  <c r="AN42" i="1"/>
  <c r="AF11" i="1"/>
  <c r="AJ11" i="1"/>
  <c r="T11" i="1"/>
  <c r="L11" i="1"/>
  <c r="AN59" i="1"/>
  <c r="AR59" i="1"/>
  <c r="AR27" i="1"/>
  <c r="X11" i="1"/>
  <c r="AB11" i="1"/>
  <c r="P11" i="1"/>
  <c r="H11" i="1"/>
  <c r="AN43" i="1"/>
  <c r="F93" i="47223"/>
  <c r="G10" i="4"/>
  <c r="K10" i="4" s="1"/>
  <c r="C25" i="4"/>
  <c r="C27" i="4"/>
  <c r="G9" i="4"/>
  <c r="H9" i="4" s="1"/>
  <c r="G23" i="4"/>
  <c r="B39" i="2"/>
  <c r="F39" i="2"/>
  <c r="J39" i="2"/>
  <c r="W39" i="2"/>
  <c r="AB39" i="2"/>
  <c r="AH39" i="2"/>
  <c r="U40" i="47221"/>
  <c r="C39" i="2"/>
  <c r="G39" i="2"/>
  <c r="K39" i="2"/>
  <c r="V39" i="2"/>
  <c r="Z39" i="2"/>
  <c r="AG39" i="2"/>
  <c r="T40" i="47221"/>
  <c r="D54" i="47223"/>
  <c r="G22" i="4"/>
  <c r="K22" i="4" s="1"/>
  <c r="G14" i="4"/>
  <c r="H14" i="4" s="1"/>
  <c r="J6" i="4"/>
  <c r="G52" i="4"/>
  <c r="G51" i="4"/>
  <c r="G13" i="4"/>
  <c r="K13" i="4" s="1"/>
  <c r="G12" i="4"/>
  <c r="K12" i="4" s="1"/>
  <c r="G11" i="4"/>
  <c r="D39" i="2"/>
  <c r="H39" i="2"/>
  <c r="L39" i="2"/>
  <c r="Y39" i="2"/>
  <c r="AE39" i="2"/>
  <c r="AK39" i="2"/>
  <c r="D45" i="4" s="1"/>
  <c r="W40" i="47221"/>
  <c r="E39" i="2"/>
  <c r="I39" i="2"/>
  <c r="M39" i="2"/>
  <c r="X39" i="2"/>
  <c r="AC39" i="2"/>
  <c r="AJ39" i="2"/>
  <c r="V40" i="47221"/>
  <c r="G45" i="4"/>
  <c r="K45" i="4" s="1"/>
  <c r="G21" i="4"/>
  <c r="K21" i="4" s="1"/>
  <c r="G30" i="4"/>
  <c r="K30" i="4" s="1"/>
  <c r="F6" i="4"/>
  <c r="K52" i="4"/>
  <c r="K51" i="4"/>
  <c r="D68" i="1"/>
  <c r="S39" i="2"/>
  <c r="D10" i="1"/>
  <c r="AN10" i="1" s="1"/>
  <c r="F92" i="47223"/>
  <c r="J30" i="4"/>
  <c r="AD20" i="101"/>
  <c r="AC8" i="101"/>
  <c r="X8" i="101"/>
  <c r="O8" i="101" s="1"/>
  <c r="AF10" i="1"/>
  <c r="W10" i="1"/>
  <c r="G34" i="4"/>
  <c r="G99" i="47223" s="1"/>
  <c r="AF9" i="1"/>
  <c r="AF52" i="1"/>
  <c r="T39" i="2"/>
  <c r="F23" i="4"/>
  <c r="U39" i="2"/>
  <c r="X7" i="101"/>
  <c r="U20" i="101"/>
  <c r="AC7" i="101"/>
  <c r="AJ9" i="1"/>
  <c r="AR40" i="1"/>
  <c r="AB9" i="1"/>
  <c r="T9" i="1"/>
  <c r="P9" i="1"/>
  <c r="L9" i="1"/>
  <c r="H9" i="1"/>
  <c r="AN57" i="1"/>
  <c r="AN68" i="1" s="1"/>
  <c r="AN25" i="1"/>
  <c r="D9" i="1"/>
  <c r="AN41" i="1"/>
  <c r="Y36" i="1"/>
  <c r="AR57" i="1"/>
  <c r="AR25" i="1"/>
  <c r="X9" i="1"/>
  <c r="X20" i="1" s="1"/>
  <c r="BA21" i="1" s="1"/>
  <c r="AR41" i="1"/>
  <c r="P55" i="47223"/>
  <c r="S36" i="2"/>
  <c r="F12" i="4" s="1"/>
  <c r="J12" i="4" s="1"/>
  <c r="M55" i="47223"/>
  <c r="AR8" i="1"/>
  <c r="AN8" i="1"/>
  <c r="Y8" i="1"/>
  <c r="T36" i="2"/>
  <c r="F10" i="4" s="1"/>
  <c r="U36" i="2"/>
  <c r="AB5" i="47223"/>
  <c r="BB5" i="47223" s="1"/>
  <c r="CB5" i="47223" s="1"/>
  <c r="B7" i="47223"/>
  <c r="A8" i="47222"/>
  <c r="A8" i="47221"/>
  <c r="CB4" i="47223"/>
  <c r="I55" i="47223"/>
  <c r="Q55" i="47223"/>
  <c r="H55" i="47223"/>
  <c r="B56" i="47223"/>
  <c r="L55" i="47223"/>
  <c r="D55" i="47223"/>
  <c r="AF3" i="47223"/>
  <c r="F3" i="47223"/>
  <c r="K8" i="1"/>
  <c r="M8" i="1" s="1"/>
  <c r="AM24" i="1"/>
  <c r="AQ40" i="1"/>
  <c r="S8" i="1"/>
  <c r="O8" i="1"/>
  <c r="AI8" i="1"/>
  <c r="G97" i="47223" l="1"/>
  <c r="G98" i="47223"/>
  <c r="Y16" i="1"/>
  <c r="F97" i="47223"/>
  <c r="F98" i="47223"/>
  <c r="L20" i="1"/>
  <c r="BA10" i="1" s="1"/>
  <c r="AR15" i="1"/>
  <c r="AN15" i="1"/>
  <c r="O56" i="47223"/>
  <c r="K56" i="47223"/>
  <c r="N56" i="47223"/>
  <c r="J56" i="47223"/>
  <c r="Z36" i="2"/>
  <c r="F29" i="4" s="1"/>
  <c r="G95" i="47223"/>
  <c r="G96" i="47223"/>
  <c r="F35" i="4"/>
  <c r="F96" i="47223"/>
  <c r="K23" i="4"/>
  <c r="L12" i="4"/>
  <c r="I45" i="4"/>
  <c r="H42" i="4"/>
  <c r="K42" i="4"/>
  <c r="J42" i="4"/>
  <c r="I42" i="4"/>
  <c r="AR13" i="1"/>
  <c r="J34" i="4"/>
  <c r="F95" i="47223"/>
  <c r="M38" i="4"/>
  <c r="K39" i="4"/>
  <c r="G48" i="4"/>
  <c r="Y13" i="1"/>
  <c r="I38" i="4"/>
  <c r="D20" i="1"/>
  <c r="BA8" i="1" s="1"/>
  <c r="AN12" i="1"/>
  <c r="K14" i="4"/>
  <c r="L14" i="4" s="1"/>
  <c r="AR12" i="1"/>
  <c r="AN13" i="1"/>
  <c r="AN36" i="1"/>
  <c r="G26" i="4"/>
  <c r="H45" i="4"/>
  <c r="K9" i="4"/>
  <c r="L9" i="4" s="1"/>
  <c r="H30" i="4"/>
  <c r="I30" i="4"/>
  <c r="T20" i="1"/>
  <c r="BA14" i="1" s="1"/>
  <c r="AF20" i="1"/>
  <c r="BA24" i="1" s="1"/>
  <c r="L22" i="4"/>
  <c r="G25" i="4"/>
  <c r="G29" i="4"/>
  <c r="AB20" i="1"/>
  <c r="BA23" i="1" s="1"/>
  <c r="W20" i="1"/>
  <c r="AZ21" i="1" s="1"/>
  <c r="BB21" i="1" s="1"/>
  <c r="K11" i="4"/>
  <c r="K29" i="4" s="1"/>
  <c r="G16" i="4"/>
  <c r="H21" i="4"/>
  <c r="H22" i="4"/>
  <c r="G93" i="47223"/>
  <c r="G94" i="47223"/>
  <c r="Y12" i="1"/>
  <c r="AJ20" i="1"/>
  <c r="BA22" i="1" s="1"/>
  <c r="I21" i="4"/>
  <c r="AR11" i="1"/>
  <c r="AN11" i="1"/>
  <c r="L30" i="4"/>
  <c r="G27" i="4"/>
  <c r="H38" i="4"/>
  <c r="M30" i="4"/>
  <c r="K34" i="4"/>
  <c r="G92" i="47223"/>
  <c r="I34" i="4"/>
  <c r="H23" i="4"/>
  <c r="I23" i="4"/>
  <c r="H34" i="4"/>
  <c r="AR10" i="1"/>
  <c r="Y10" i="1"/>
  <c r="G35" i="4"/>
  <c r="G47" i="4" s="1"/>
  <c r="F25" i="4"/>
  <c r="J20" i="101"/>
  <c r="AC20" i="101"/>
  <c r="J21" i="4"/>
  <c r="X20" i="101"/>
  <c r="K20" i="101" s="1"/>
  <c r="O7" i="101"/>
  <c r="O20" i="101" s="1"/>
  <c r="O22" i="101" s="1"/>
  <c r="AR68" i="1"/>
  <c r="P20" i="1"/>
  <c r="BA13" i="1" s="1"/>
  <c r="H20" i="1"/>
  <c r="BA9" i="1" s="1"/>
  <c r="AN9" i="1"/>
  <c r="AN52" i="1"/>
  <c r="AR36" i="1"/>
  <c r="AR9" i="1"/>
  <c r="Y9" i="1"/>
  <c r="AR52" i="1"/>
  <c r="H11" i="4"/>
  <c r="F27" i="4"/>
  <c r="H12" i="4"/>
  <c r="J10" i="4"/>
  <c r="L10" i="4" s="1"/>
  <c r="H10" i="4"/>
  <c r="AB7" i="47223"/>
  <c r="BB7" i="47223" s="1"/>
  <c r="CB7" i="47223" s="1"/>
  <c r="A9" i="47222"/>
  <c r="B8" i="47223"/>
  <c r="A9" i="47221"/>
  <c r="B57" i="47223"/>
  <c r="D56" i="47223"/>
  <c r="L56" i="47223"/>
  <c r="Q56" i="47223"/>
  <c r="I56" i="47223"/>
  <c r="M56" i="47223"/>
  <c r="H56" i="47223"/>
  <c r="P56" i="47223"/>
  <c r="AG3" i="47223"/>
  <c r="G3" i="47223"/>
  <c r="AM40" i="1"/>
  <c r="AQ24" i="1"/>
  <c r="AA8" i="1"/>
  <c r="AM56" i="1"/>
  <c r="AU24" i="1"/>
  <c r="AO24" i="1"/>
  <c r="AK8" i="1"/>
  <c r="AV40" i="1"/>
  <c r="AS40" i="1"/>
  <c r="AE8" i="1"/>
  <c r="G8" i="1"/>
  <c r="C8" i="1"/>
  <c r="Q8" i="1"/>
  <c r="AQ56" i="1"/>
  <c r="U8" i="1"/>
  <c r="O57" i="47223" l="1"/>
  <c r="K57" i="47223"/>
  <c r="N57" i="47223"/>
  <c r="J57" i="47223"/>
  <c r="J35" i="4"/>
  <c r="J47" i="4" s="1"/>
  <c r="F47" i="4"/>
  <c r="H29" i="4"/>
  <c r="K25" i="4"/>
  <c r="I35" i="4"/>
  <c r="K16" i="4"/>
  <c r="M42" i="4"/>
  <c r="L42" i="4"/>
  <c r="K27" i="4"/>
  <c r="L38" i="4"/>
  <c r="J48" i="4"/>
  <c r="F48" i="4"/>
  <c r="I48" i="4" s="1"/>
  <c r="M45" i="4"/>
  <c r="K48" i="4"/>
  <c r="L45" i="4"/>
  <c r="K26" i="4"/>
  <c r="I25" i="4"/>
  <c r="I29" i="4"/>
  <c r="H39" i="4"/>
  <c r="Y20" i="1"/>
  <c r="BA26" i="1"/>
  <c r="I39" i="4"/>
  <c r="H27" i="4"/>
  <c r="L34" i="4"/>
  <c r="M34" i="4"/>
  <c r="H35" i="4"/>
  <c r="K35" i="4"/>
  <c r="K47" i="4" s="1"/>
  <c r="H25" i="4"/>
  <c r="BA16" i="1"/>
  <c r="J23" i="4"/>
  <c r="M21" i="4"/>
  <c r="L21" i="4"/>
  <c r="J11" i="4"/>
  <c r="AR20" i="1"/>
  <c r="AN20" i="1"/>
  <c r="AB8" i="47223"/>
  <c r="BB8" i="47223" s="1"/>
  <c r="CB8" i="47223" s="1"/>
  <c r="B9" i="47223"/>
  <c r="A10" i="47221"/>
  <c r="A10" i="47222"/>
  <c r="B58" i="47223"/>
  <c r="D57" i="47223"/>
  <c r="Q57" i="47223"/>
  <c r="M57" i="47223"/>
  <c r="P57" i="47223"/>
  <c r="H57" i="47223"/>
  <c r="I57" i="47223"/>
  <c r="L57" i="47223"/>
  <c r="H3" i="47223"/>
  <c r="AH3" i="47223"/>
  <c r="AV24" i="1"/>
  <c r="AS24" i="1"/>
  <c r="AM8" i="1"/>
  <c r="E8" i="1"/>
  <c r="I8" i="1"/>
  <c r="AQ8" i="1"/>
  <c r="AC8" i="1"/>
  <c r="AU40" i="1"/>
  <c r="AO40" i="1"/>
  <c r="AS56" i="1"/>
  <c r="AV56" i="1"/>
  <c r="AU56" i="1"/>
  <c r="AO56" i="1"/>
  <c r="AG8" i="1"/>
  <c r="O58" i="47223" l="1"/>
  <c r="K58" i="47223"/>
  <c r="N58" i="47223"/>
  <c r="J58" i="47223"/>
  <c r="H48" i="4"/>
  <c r="BA28" i="1"/>
  <c r="L39" i="4"/>
  <c r="M39" i="4"/>
  <c r="L35" i="4"/>
  <c r="M35" i="4"/>
  <c r="I47" i="4"/>
  <c r="H47" i="4"/>
  <c r="J29" i="4"/>
  <c r="L11" i="4"/>
  <c r="J27" i="4"/>
  <c r="L27" i="4" s="1"/>
  <c r="L23" i="4"/>
  <c r="J25" i="4"/>
  <c r="M23" i="4"/>
  <c r="B10" i="47223"/>
  <c r="A11" i="47221"/>
  <c r="A11" i="47222"/>
  <c r="AB9" i="47223"/>
  <c r="BB9" i="47223" s="1"/>
  <c r="CB9" i="47223" s="1"/>
  <c r="B59" i="47223"/>
  <c r="D58" i="47223"/>
  <c r="M58" i="47223"/>
  <c r="L58" i="47223"/>
  <c r="I58" i="47223"/>
  <c r="Q58" i="47223"/>
  <c r="P58" i="47223"/>
  <c r="H58" i="47223"/>
  <c r="I3" i="47223"/>
  <c r="AI3" i="47223"/>
  <c r="M48" i="4"/>
  <c r="L48" i="4"/>
  <c r="AV8" i="1"/>
  <c r="AS8" i="1"/>
  <c r="AW40" i="1"/>
  <c r="AW24" i="1"/>
  <c r="AW56" i="1"/>
  <c r="AO8" i="1"/>
  <c r="AU8" i="1"/>
  <c r="O59" i="47223" l="1"/>
  <c r="K59" i="47223"/>
  <c r="N59" i="47223"/>
  <c r="J59" i="47223"/>
  <c r="M47" i="4"/>
  <c r="L47" i="4"/>
  <c r="M29" i="4"/>
  <c r="L29" i="4"/>
  <c r="M25" i="4"/>
  <c r="L25" i="4"/>
  <c r="B11" i="47223"/>
  <c r="A12" i="47222"/>
  <c r="A12" i="47221"/>
  <c r="AB10" i="47223"/>
  <c r="BB10" i="47223" s="1"/>
  <c r="CB10" i="47223" s="1"/>
  <c r="B60" i="47223"/>
  <c r="D59" i="47223"/>
  <c r="H59" i="47223"/>
  <c r="Q59" i="47223"/>
  <c r="M59" i="47223"/>
  <c r="L59" i="47223"/>
  <c r="P59" i="47223"/>
  <c r="I59" i="47223"/>
  <c r="AJ3" i="47223"/>
  <c r="J3" i="47223"/>
  <c r="AW8" i="1"/>
  <c r="O60" i="47223" l="1"/>
  <c r="K60" i="47223"/>
  <c r="N60" i="47223"/>
  <c r="J60" i="47223"/>
  <c r="AB11" i="47223"/>
  <c r="BB11" i="47223" s="1"/>
  <c r="CB11" i="47223" s="1"/>
  <c r="B12" i="47223"/>
  <c r="A13" i="47222"/>
  <c r="A13" i="47221"/>
  <c r="B61" i="47223"/>
  <c r="D60" i="47223"/>
  <c r="I60" i="47223"/>
  <c r="P60" i="47223"/>
  <c r="M60" i="47223"/>
  <c r="H60" i="47223"/>
  <c r="L60" i="47223"/>
  <c r="Q60" i="47223"/>
  <c r="AK3" i="47223"/>
  <c r="K3" i="47223"/>
  <c r="O61" i="47223" l="1"/>
  <c r="K61" i="47223"/>
  <c r="N61" i="47223"/>
  <c r="J61" i="47223"/>
  <c r="AB12" i="47223"/>
  <c r="BB12" i="47223" s="1"/>
  <c r="CB12" i="47223" s="1"/>
  <c r="B13" i="47223"/>
  <c r="A14" i="47222"/>
  <c r="A14" i="47221"/>
  <c r="B62" i="47223"/>
  <c r="D61" i="47223"/>
  <c r="L61" i="47223"/>
  <c r="P61" i="47223"/>
  <c r="I61" i="47223"/>
  <c r="Q61" i="47223"/>
  <c r="H61" i="47223"/>
  <c r="M61" i="47223"/>
  <c r="L3" i="47223"/>
  <c r="AL3" i="47223"/>
  <c r="O62" i="47223" l="1"/>
  <c r="K62" i="47223"/>
  <c r="N62" i="47223"/>
  <c r="J62" i="47223"/>
  <c r="A15" i="47222"/>
  <c r="A15" i="47221"/>
  <c r="B14" i="47223"/>
  <c r="AB13" i="47223"/>
  <c r="BB13" i="47223" s="1"/>
  <c r="CB13" i="47223" s="1"/>
  <c r="B63" i="47223"/>
  <c r="D62" i="47223"/>
  <c r="H62" i="47223"/>
  <c r="P62" i="47223"/>
  <c r="L62" i="47223"/>
  <c r="Q62" i="47223"/>
  <c r="M62" i="47223"/>
  <c r="I62" i="47223"/>
  <c r="AM3" i="47223"/>
  <c r="M3" i="47223"/>
  <c r="O63" i="47223" l="1"/>
  <c r="K63" i="47223"/>
  <c r="N63" i="47223"/>
  <c r="J63" i="47223"/>
  <c r="AB14" i="47223"/>
  <c r="BB14" i="47223" s="1"/>
  <c r="CB14" i="47223" s="1"/>
  <c r="B15" i="47223"/>
  <c r="A16" i="47222"/>
  <c r="A16" i="47221"/>
  <c r="B64" i="47223"/>
  <c r="D63" i="47223"/>
  <c r="P63" i="47223"/>
  <c r="I63" i="47223"/>
  <c r="H63" i="47223"/>
  <c r="L63" i="47223"/>
  <c r="Q63" i="47223"/>
  <c r="M63" i="47223"/>
  <c r="AN3" i="47223"/>
  <c r="N3" i="47223"/>
  <c r="O64" i="47223" l="1"/>
  <c r="K64" i="47223"/>
  <c r="N64" i="47223"/>
  <c r="J64" i="47223"/>
  <c r="B16" i="47223"/>
  <c r="A17" i="47222"/>
  <c r="A17" i="47221"/>
  <c r="AB15" i="47223"/>
  <c r="BB15" i="47223" s="1"/>
  <c r="CB15" i="47223" s="1"/>
  <c r="B65" i="47223"/>
  <c r="D64" i="47223"/>
  <c r="L64" i="47223"/>
  <c r="H64" i="47223"/>
  <c r="Q64" i="47223"/>
  <c r="I64" i="47223"/>
  <c r="M64" i="47223"/>
  <c r="P64" i="47223"/>
  <c r="AO3" i="47223"/>
  <c r="O3" i="47223"/>
  <c r="O65" i="47223" l="1"/>
  <c r="K65" i="47223"/>
  <c r="N65" i="47223"/>
  <c r="J65" i="47223"/>
  <c r="B17" i="47223"/>
  <c r="A18" i="47222"/>
  <c r="A18" i="47221"/>
  <c r="AB16" i="47223"/>
  <c r="BB16" i="47223" s="1"/>
  <c r="CB16" i="47223" s="1"/>
  <c r="B66" i="47223"/>
  <c r="D65" i="47223"/>
  <c r="Q65" i="47223"/>
  <c r="I65" i="47223"/>
  <c r="M65" i="47223"/>
  <c r="P65" i="47223"/>
  <c r="H65" i="47223"/>
  <c r="L65" i="47223"/>
  <c r="AP3" i="47223"/>
  <c r="P3" i="47223"/>
  <c r="O66" i="47223" l="1"/>
  <c r="K66" i="47223"/>
  <c r="N66" i="47223"/>
  <c r="J66" i="47223"/>
  <c r="A19" i="47222"/>
  <c r="A19" i="47221"/>
  <c r="B18" i="47223"/>
  <c r="AB17" i="47223"/>
  <c r="BB17" i="47223" s="1"/>
  <c r="CB17" i="47223" s="1"/>
  <c r="B67" i="47223"/>
  <c r="D66" i="47223"/>
  <c r="M66" i="47223"/>
  <c r="L66" i="47223"/>
  <c r="Q66" i="47223"/>
  <c r="H66" i="47223"/>
  <c r="P66" i="47223"/>
  <c r="I66" i="47223"/>
  <c r="AQ3" i="47223"/>
  <c r="Q3" i="47223"/>
  <c r="O67" i="47223" l="1"/>
  <c r="K67" i="47223"/>
  <c r="N67" i="47223"/>
  <c r="J67" i="47223"/>
  <c r="AB18" i="47223"/>
  <c r="BB18" i="47223" s="1"/>
  <c r="CB18" i="47223" s="1"/>
  <c r="B19" i="47223"/>
  <c r="A20" i="47222"/>
  <c r="A20" i="47221"/>
  <c r="B68" i="47223"/>
  <c r="D67" i="47223"/>
  <c r="Q67" i="47223"/>
  <c r="M67" i="47223"/>
  <c r="I67" i="47223"/>
  <c r="L67" i="47223"/>
  <c r="P67" i="47223"/>
  <c r="H67" i="47223"/>
  <c r="AR3" i="47223"/>
  <c r="R3" i="47223"/>
  <c r="O68" i="47223" l="1"/>
  <c r="K68" i="47223"/>
  <c r="N68" i="47223"/>
  <c r="J68" i="47223"/>
  <c r="B20" i="47223"/>
  <c r="A21" i="47222"/>
  <c r="A21" i="47221"/>
  <c r="AB19" i="47223"/>
  <c r="BB19" i="47223" s="1"/>
  <c r="CB19" i="47223" s="1"/>
  <c r="B69" i="47223"/>
  <c r="D68" i="47223"/>
  <c r="P68" i="47223"/>
  <c r="M68" i="47223"/>
  <c r="H68" i="47223"/>
  <c r="L68" i="47223"/>
  <c r="I68" i="47223"/>
  <c r="Q68" i="47223"/>
  <c r="S3" i="47223"/>
  <c r="AS3" i="47223"/>
  <c r="O69" i="47223" l="1"/>
  <c r="K69" i="47223"/>
  <c r="N69" i="47223"/>
  <c r="J69" i="47223"/>
  <c r="B21" i="47223"/>
  <c r="A22" i="47222"/>
  <c r="A22" i="47221"/>
  <c r="AB20" i="47223"/>
  <c r="BB20" i="47223" s="1"/>
  <c r="CB20" i="47223" s="1"/>
  <c r="B70" i="47223"/>
  <c r="D69" i="47223"/>
  <c r="L69" i="47223"/>
  <c r="H69" i="47223"/>
  <c r="I69" i="47223"/>
  <c r="Q69" i="47223"/>
  <c r="M69" i="47223"/>
  <c r="P69" i="47223"/>
  <c r="T3" i="47223"/>
  <c r="AT3" i="47223"/>
  <c r="O70" i="47223" l="1"/>
  <c r="K70" i="47223"/>
  <c r="N70" i="47223"/>
  <c r="J70" i="47223"/>
  <c r="A23" i="47222"/>
  <c r="A23" i="47221"/>
  <c r="B22" i="47223"/>
  <c r="AB21" i="47223"/>
  <c r="BB21" i="47223" s="1"/>
  <c r="CB21" i="47223" s="1"/>
  <c r="B71" i="47223"/>
  <c r="D70" i="47223"/>
  <c r="I70" i="47223"/>
  <c r="P70" i="47223"/>
  <c r="L70" i="47223"/>
  <c r="M70" i="47223"/>
  <c r="H70" i="47223"/>
  <c r="Q70" i="47223"/>
  <c r="AU3" i="47223"/>
  <c r="U3" i="47223"/>
  <c r="O71" i="47223" l="1"/>
  <c r="K71" i="47223"/>
  <c r="N71" i="47223"/>
  <c r="J71" i="47223"/>
  <c r="B23" i="47223"/>
  <c r="A24" i="47222"/>
  <c r="A24" i="47221"/>
  <c r="AB22" i="47223"/>
  <c r="BB22" i="47223" s="1"/>
  <c r="CB22" i="47223" s="1"/>
  <c r="B72" i="47223"/>
  <c r="D71" i="47223"/>
  <c r="P71" i="47223"/>
  <c r="L71" i="47223"/>
  <c r="H71" i="47223"/>
  <c r="Q71" i="47223"/>
  <c r="I71" i="47223"/>
  <c r="M71" i="47223"/>
  <c r="AV3" i="47223"/>
  <c r="V3" i="47223"/>
  <c r="O72" i="47223" l="1"/>
  <c r="K72" i="47223"/>
  <c r="N72" i="47223"/>
  <c r="J72" i="47223"/>
  <c r="A25" i="47222"/>
  <c r="A25" i="47221"/>
  <c r="B24" i="47223"/>
  <c r="AB23" i="47223"/>
  <c r="BB23" i="47223" s="1"/>
  <c r="CB23" i="47223" s="1"/>
  <c r="D72" i="47223"/>
  <c r="L72" i="47223"/>
  <c r="Q72" i="47223"/>
  <c r="I72" i="47223"/>
  <c r="M72" i="47223"/>
  <c r="H72" i="47223"/>
  <c r="P72" i="47223"/>
  <c r="B73" i="47223"/>
  <c r="W3" i="47223"/>
  <c r="AW3" i="47223"/>
  <c r="O73" i="47223" l="1"/>
  <c r="K73" i="47223"/>
  <c r="N73" i="47223"/>
  <c r="J73" i="47223"/>
  <c r="A26" i="47222"/>
  <c r="A26" i="47221"/>
  <c r="B25" i="47223"/>
  <c r="AB24" i="47223"/>
  <c r="BB24" i="47223" s="1"/>
  <c r="CB24" i="47223" s="1"/>
  <c r="D73" i="47223"/>
  <c r="Q73" i="47223"/>
  <c r="M73" i="47223"/>
  <c r="P73" i="47223"/>
  <c r="H73" i="47223"/>
  <c r="I73" i="47223"/>
  <c r="L73" i="47223"/>
  <c r="B74" i="47223"/>
  <c r="AX3" i="47223"/>
  <c r="X3" i="47223"/>
  <c r="O74" i="47223" l="1"/>
  <c r="K74" i="47223"/>
  <c r="N74" i="47223"/>
  <c r="J74" i="47223"/>
  <c r="AB25" i="47223"/>
  <c r="BB25" i="47223" s="1"/>
  <c r="CB25" i="47223" s="1"/>
  <c r="A27" i="47222"/>
  <c r="A27" i="47221"/>
  <c r="B26" i="47223"/>
  <c r="D74" i="47223"/>
  <c r="M74" i="47223"/>
  <c r="L74" i="47223"/>
  <c r="I74" i="47223"/>
  <c r="Q74" i="47223"/>
  <c r="P74" i="47223"/>
  <c r="H74" i="47223"/>
  <c r="B75" i="47223"/>
  <c r="AY3" i="47223"/>
  <c r="Y3" i="47223"/>
  <c r="O75" i="47223" l="1"/>
  <c r="K75" i="47223"/>
  <c r="N75" i="47223"/>
  <c r="J75" i="47223"/>
  <c r="AB26" i="47223"/>
  <c r="BB26" i="47223" s="1"/>
  <c r="CB26" i="47223" s="1"/>
  <c r="B27" i="47223"/>
  <c r="A28" i="47222"/>
  <c r="A28" i="47221"/>
  <c r="D75" i="47223"/>
  <c r="H75" i="47223"/>
  <c r="Q75" i="47223"/>
  <c r="M75" i="47223"/>
  <c r="L75" i="47223"/>
  <c r="P75" i="47223"/>
  <c r="I75" i="47223"/>
  <c r="B76" i="47223"/>
  <c r="AZ3" i="47223"/>
  <c r="Z3" i="47223"/>
  <c r="O76" i="47223" l="1"/>
  <c r="K76" i="47223"/>
  <c r="N76" i="47223"/>
  <c r="J76" i="47223"/>
  <c r="A29" i="47222"/>
  <c r="A29" i="47221"/>
  <c r="B28" i="47223"/>
  <c r="AB27" i="47223"/>
  <c r="BB27" i="47223" s="1"/>
  <c r="CB27" i="47223" s="1"/>
  <c r="D76" i="47223"/>
  <c r="I76" i="47223"/>
  <c r="P76" i="47223"/>
  <c r="M76" i="47223"/>
  <c r="H76" i="47223"/>
  <c r="L76" i="47223"/>
  <c r="Q76" i="47223"/>
  <c r="B77" i="47223"/>
  <c r="O77" i="47223" l="1"/>
  <c r="K77" i="47223"/>
  <c r="N77" i="47223"/>
  <c r="J77" i="47223"/>
  <c r="AB28" i="47223"/>
  <c r="BB28" i="47223" s="1"/>
  <c r="CB28" i="47223" s="1"/>
  <c r="B29" i="47223"/>
  <c r="A30" i="47222"/>
  <c r="A30" i="47221"/>
  <c r="D77" i="47223"/>
  <c r="L77" i="47223"/>
  <c r="I77" i="47223"/>
  <c r="Q77" i="47223"/>
  <c r="H77" i="47223"/>
  <c r="M77" i="47223"/>
  <c r="P77" i="47223"/>
  <c r="B78" i="47223"/>
  <c r="O78" i="47223" l="1"/>
  <c r="K78" i="47223"/>
  <c r="N78" i="47223"/>
  <c r="J78" i="47223"/>
  <c r="A31" i="47222"/>
  <c r="A31" i="47221"/>
  <c r="B30" i="47223"/>
  <c r="AB29" i="47223"/>
  <c r="BB29" i="47223" s="1"/>
  <c r="CB29" i="47223" s="1"/>
  <c r="D78" i="47223"/>
  <c r="H78" i="47223"/>
  <c r="P78" i="47223"/>
  <c r="L78" i="47223"/>
  <c r="M78" i="47223"/>
  <c r="I78" i="47223"/>
  <c r="Q78" i="47223"/>
  <c r="B79" i="47223"/>
  <c r="O79" i="47223" l="1"/>
  <c r="K79" i="47223"/>
  <c r="N79" i="47223"/>
  <c r="J79" i="47223"/>
  <c r="B31" i="47223"/>
  <c r="A32" i="47222"/>
  <c r="A32" i="47221"/>
  <c r="AB30" i="47223"/>
  <c r="BB30" i="47223" s="1"/>
  <c r="CB30" i="47223" s="1"/>
  <c r="D79" i="47223"/>
  <c r="P79" i="47223"/>
  <c r="I79" i="47223"/>
  <c r="H79" i="47223"/>
  <c r="L79" i="47223"/>
  <c r="Q79" i="47223"/>
  <c r="M79" i="47223"/>
  <c r="B80" i="47223"/>
  <c r="O80" i="47223" l="1"/>
  <c r="K80" i="47223"/>
  <c r="N80" i="47223"/>
  <c r="J80" i="47223"/>
  <c r="AB31" i="47223"/>
  <c r="BB31" i="47223" s="1"/>
  <c r="CB31" i="47223" s="1"/>
  <c r="B32" i="47223"/>
  <c r="A33" i="47222"/>
  <c r="A33" i="47221"/>
  <c r="D80" i="47223"/>
  <c r="L80" i="47223"/>
  <c r="H80" i="47223"/>
  <c r="Q80" i="47223"/>
  <c r="I80" i="47223"/>
  <c r="M80" i="47223"/>
  <c r="P80" i="47223"/>
  <c r="B81" i="47223"/>
  <c r="O81" i="47223" l="1"/>
  <c r="K81" i="47223"/>
  <c r="N81" i="47223"/>
  <c r="J81" i="47223"/>
  <c r="AB32" i="47223"/>
  <c r="BB32" i="47223" s="1"/>
  <c r="CB32" i="47223" s="1"/>
  <c r="A34" i="47222"/>
  <c r="A34" i="47221"/>
  <c r="B33" i="47223"/>
  <c r="D81" i="47223"/>
  <c r="Q81" i="47223"/>
  <c r="I81" i="47223"/>
  <c r="M81" i="47223"/>
  <c r="P81" i="47223"/>
  <c r="H81" i="47223"/>
  <c r="L81" i="47223"/>
  <c r="B82" i="47223"/>
  <c r="O82" i="47223" l="1"/>
  <c r="K82" i="47223"/>
  <c r="N82" i="47223"/>
  <c r="J82" i="47223"/>
  <c r="A35" i="47221"/>
  <c r="B34" i="47223"/>
  <c r="AB33" i="47223"/>
  <c r="BB33" i="47223" s="1"/>
  <c r="CB33" i="47223" s="1"/>
  <c r="D82" i="47223"/>
  <c r="M82" i="47223"/>
  <c r="L82" i="47223"/>
  <c r="Q82" i="47223"/>
  <c r="H82" i="47223"/>
  <c r="P82" i="47223"/>
  <c r="I82" i="47223"/>
  <c r="B83" i="47223"/>
  <c r="O83" i="47223" l="1"/>
  <c r="K83" i="47223"/>
  <c r="N83" i="47223"/>
  <c r="J83" i="47223"/>
  <c r="D37" i="47223"/>
  <c r="AB34" i="47223"/>
  <c r="BB34" i="47223" s="1"/>
  <c r="CB34" i="47223" s="1"/>
  <c r="D83" i="47223"/>
  <c r="Q83" i="47223"/>
  <c r="M83" i="47223"/>
  <c r="I83" i="47223"/>
  <c r="L83" i="47223"/>
  <c r="P83" i="47223"/>
  <c r="H83" i="47223"/>
  <c r="B84" i="47223"/>
  <c r="O84" i="47223" l="1"/>
  <c r="K84" i="47223"/>
  <c r="N84" i="47223"/>
  <c r="J84" i="47223"/>
  <c r="E37" i="47223"/>
  <c r="C5" i="4" s="1"/>
  <c r="C6" i="4"/>
  <c r="H37" i="47223"/>
  <c r="D84" i="47223"/>
  <c r="P84" i="47223"/>
  <c r="M84" i="47223"/>
  <c r="H84" i="47223"/>
  <c r="L84" i="47223"/>
  <c r="I84" i="47223"/>
  <c r="Q84" i="47223"/>
  <c r="C38" i="4" l="1"/>
  <c r="C39" i="4" s="1"/>
  <c r="C48" i="4" s="1"/>
  <c r="B38" i="4"/>
  <c r="B39" i="4" s="1"/>
  <c r="K54" i="4"/>
  <c r="K55" i="4"/>
  <c r="C55" i="4"/>
  <c r="C54" i="4"/>
  <c r="C51" i="4"/>
  <c r="C61" i="4"/>
  <c r="C34" i="4"/>
  <c r="C35" i="4" s="1"/>
  <c r="C47" i="4" s="1"/>
  <c r="C62" i="4"/>
  <c r="B30" i="4"/>
  <c r="E30" i="4" s="1"/>
  <c r="B11" i="4"/>
  <c r="D11" i="4" s="1"/>
  <c r="B12" i="4"/>
  <c r="D12" i="4" s="1"/>
  <c r="B9" i="4"/>
  <c r="D9" i="4" s="1"/>
  <c r="B22" i="4"/>
  <c r="D22" i="4" s="1"/>
  <c r="C59" i="4"/>
  <c r="B14" i="4"/>
  <c r="D14" i="4" s="1"/>
  <c r="B53" i="47223"/>
  <c r="B10" i="4"/>
  <c r="D10" i="4" s="1"/>
  <c r="C52" i="4"/>
  <c r="CI39" i="2"/>
  <c r="B21" i="4"/>
  <c r="E21" i="4" s="1"/>
  <c r="C58" i="4"/>
  <c r="B34" i="4"/>
  <c r="B35" i="4" s="1"/>
  <c r="B47" i="4" s="1"/>
  <c r="AF60" i="101"/>
  <c r="AK48" i="101"/>
  <c r="AJ48" i="101"/>
  <c r="AK57" i="101"/>
  <c r="AJ57" i="101"/>
  <c r="AJ49" i="101"/>
  <c r="AK49" i="101"/>
  <c r="AJ51" i="101"/>
  <c r="AK51" i="101"/>
  <c r="AJ56" i="101"/>
  <c r="AK56" i="101"/>
  <c r="AK47" i="101"/>
  <c r="AJ47" i="101"/>
  <c r="AJ55" i="101"/>
  <c r="AK55" i="101"/>
  <c r="AK46" i="101"/>
  <c r="AJ46" i="101"/>
  <c r="AK50" i="101"/>
  <c r="AK61" i="101" s="1"/>
  <c r="AJ50" i="101"/>
  <c r="AJ53" i="101"/>
  <c r="AK53" i="101"/>
  <c r="AK54" i="101"/>
  <c r="AJ54" i="101"/>
  <c r="AK52" i="101"/>
  <c r="AJ52" i="101"/>
  <c r="AJ61" i="101" l="1"/>
  <c r="E38" i="4"/>
  <c r="D34" i="4"/>
  <c r="AI61" i="101"/>
  <c r="AH61" i="101"/>
  <c r="D30" i="4"/>
  <c r="B23" i="4"/>
  <c r="E23" i="4" s="1"/>
  <c r="D21" i="4"/>
  <c r="B29" i="4"/>
  <c r="E29" i="4" s="1"/>
  <c r="E34" i="4"/>
  <c r="AJ60" i="101"/>
  <c r="AH60" i="101"/>
  <c r="AI60" i="101"/>
  <c r="AK60" i="101"/>
  <c r="D38" i="4" l="1"/>
  <c r="E35" i="4"/>
  <c r="D35" i="4"/>
  <c r="B25" i="4"/>
  <c r="E25" i="4" s="1"/>
  <c r="B27" i="4"/>
  <c r="D27" i="4" s="1"/>
  <c r="D23" i="4"/>
  <c r="D29" i="4"/>
  <c r="E47" i="4"/>
  <c r="D39" i="4" l="1"/>
  <c r="B48" i="4"/>
  <c r="D48" i="4" s="1"/>
  <c r="E39" i="4"/>
  <c r="D25" i="4"/>
  <c r="D47" i="4"/>
  <c r="E48" i="4" l="1"/>
  <c r="AQ25" i="1"/>
  <c r="AA9" i="1"/>
  <c r="O9" i="1"/>
  <c r="AE9" i="1"/>
  <c r="AQ41" i="1"/>
  <c r="S9" i="1"/>
  <c r="AQ57" i="1"/>
  <c r="AS57" i="1" l="1"/>
  <c r="AV57" i="1"/>
  <c r="U9" i="1"/>
  <c r="AS41" i="1"/>
  <c r="AV41" i="1"/>
  <c r="AG9" i="1"/>
  <c r="AC9" i="1"/>
  <c r="AI9" i="1"/>
  <c r="Q9" i="1"/>
  <c r="AV25" i="1"/>
  <c r="AS25" i="1"/>
  <c r="AK9" i="1" l="1"/>
  <c r="AQ9" i="1"/>
  <c r="G9" i="1" l="1"/>
  <c r="K9" i="1"/>
  <c r="AM57" i="1"/>
  <c r="AS9" i="1"/>
  <c r="AV9" i="1"/>
  <c r="AM41" i="1"/>
  <c r="AM25" i="1"/>
  <c r="C9" i="1"/>
  <c r="E9" i="1" l="1"/>
  <c r="AM9" i="1"/>
  <c r="AO25" i="1"/>
  <c r="AU25" i="1"/>
  <c r="AU41" i="1"/>
  <c r="AO41" i="1"/>
  <c r="AU57" i="1"/>
  <c r="AO57" i="1"/>
  <c r="I9" i="1"/>
  <c r="M9" i="1"/>
  <c r="AW57" i="1" l="1"/>
  <c r="AW41" i="1"/>
  <c r="AW25" i="1"/>
  <c r="AU9" i="1"/>
  <c r="AO9" i="1"/>
  <c r="AW9" i="1" l="1"/>
  <c r="AI10" i="1" l="1"/>
  <c r="AQ42" i="1"/>
  <c r="S10" i="1"/>
  <c r="AQ58" i="1"/>
  <c r="AK10" i="1"/>
  <c r="O10" i="1"/>
  <c r="AE10" i="1"/>
  <c r="AV42" i="1" l="1"/>
  <c r="AS42" i="1"/>
  <c r="AG10" i="1"/>
  <c r="Q10" i="1"/>
  <c r="AS58" i="1"/>
  <c r="AV58" i="1"/>
  <c r="U10" i="1"/>
  <c r="AQ26" i="1"/>
  <c r="AA10" i="1"/>
  <c r="AC10" i="1" l="1"/>
  <c r="AQ10" i="1"/>
  <c r="AS26" i="1"/>
  <c r="AV26" i="1"/>
  <c r="K10" i="1" l="1"/>
  <c r="AS10" i="1"/>
  <c r="AV10" i="1"/>
  <c r="C10" i="1" l="1"/>
  <c r="AM26" i="1"/>
  <c r="AM42" i="1"/>
  <c r="AM58" i="1"/>
  <c r="G10" i="1"/>
  <c r="M10" i="1"/>
  <c r="AO26" i="1" l="1"/>
  <c r="AU26" i="1"/>
  <c r="I10" i="1"/>
  <c r="E10" i="1"/>
  <c r="AM10" i="1"/>
  <c r="AO42" i="1"/>
  <c r="AU42" i="1"/>
  <c r="AU58" i="1"/>
  <c r="AO58" i="1"/>
  <c r="AW58" i="1" l="1"/>
  <c r="AU10" i="1"/>
  <c r="AO10" i="1"/>
  <c r="AW42" i="1"/>
  <c r="AW26" i="1"/>
  <c r="AW10" i="1" l="1"/>
  <c r="S11" i="1" l="1"/>
  <c r="O11" i="1"/>
  <c r="AE11" i="1"/>
  <c r="AQ59" i="1" l="1"/>
  <c r="AQ27" i="1"/>
  <c r="AA11" i="1"/>
  <c r="AG11" i="1"/>
  <c r="AI11" i="1"/>
  <c r="Q11" i="1"/>
  <c r="U11" i="1"/>
  <c r="AQ43" i="1"/>
  <c r="AV43" i="1" l="1"/>
  <c r="AS43" i="1"/>
  <c r="AK11" i="1"/>
  <c r="AC11" i="1"/>
  <c r="AQ11" i="1"/>
  <c r="AV27" i="1"/>
  <c r="AS27" i="1"/>
  <c r="AV59" i="1"/>
  <c r="AS59" i="1"/>
  <c r="AS11" i="1" l="1"/>
  <c r="AV11" i="1"/>
  <c r="G11" i="1" l="1"/>
  <c r="K11" i="1"/>
  <c r="AM59" i="1"/>
  <c r="AM27" i="1"/>
  <c r="C11" i="1"/>
  <c r="AM43" i="1"/>
  <c r="AO43" i="1" l="1"/>
  <c r="AU43" i="1"/>
  <c r="AU27" i="1"/>
  <c r="AO27" i="1"/>
  <c r="AM11" i="1"/>
  <c r="E11" i="1"/>
  <c r="AU59" i="1"/>
  <c r="AO59" i="1"/>
  <c r="M11" i="1"/>
  <c r="I11" i="1"/>
  <c r="AW59" i="1" l="1"/>
  <c r="AO11" i="1"/>
  <c r="AU11" i="1"/>
  <c r="AW27" i="1"/>
  <c r="AW43" i="1"/>
  <c r="AW11" i="1" l="1"/>
  <c r="AI12" i="1" l="1"/>
  <c r="AK12" i="1" s="1"/>
  <c r="S12" i="1"/>
  <c r="AQ60" i="1"/>
  <c r="O12" i="1"/>
  <c r="Q12" i="1" l="1"/>
  <c r="AS60" i="1"/>
  <c r="AV60" i="1"/>
  <c r="AE12" i="1"/>
  <c r="U12" i="1"/>
  <c r="AA12" i="1"/>
  <c r="AQ12" i="1" l="1"/>
  <c r="AC12" i="1"/>
  <c r="AG12" i="1"/>
  <c r="K12" i="1" l="1"/>
  <c r="AS12" i="1"/>
  <c r="AV12" i="1"/>
  <c r="G12" i="1" l="1"/>
  <c r="M12" i="1"/>
  <c r="C12" i="1"/>
  <c r="E12" i="1" l="1"/>
  <c r="AM12" i="1"/>
  <c r="AU60" i="1"/>
  <c r="I12" i="1"/>
  <c r="AW60" i="1" l="1"/>
  <c r="AO12" i="1"/>
  <c r="AU12" i="1"/>
  <c r="AW12" i="1" l="1"/>
  <c r="S13" i="1" l="1"/>
  <c r="AQ45" i="1"/>
  <c r="AQ61" i="1" l="1"/>
  <c r="O13" i="1"/>
  <c r="AI13" i="1"/>
  <c r="AA13" i="1"/>
  <c r="AQ29" i="1"/>
  <c r="U13" i="1"/>
  <c r="AE13" i="1"/>
  <c r="AV61" i="1"/>
  <c r="AS61" i="1"/>
  <c r="AV45" i="1"/>
  <c r="AS45" i="1"/>
  <c r="Q13" i="1"/>
  <c r="AK13" i="1" l="1"/>
  <c r="AG13" i="1"/>
  <c r="AV29" i="1"/>
  <c r="AS29" i="1"/>
  <c r="AC13" i="1"/>
  <c r="AQ13" i="1"/>
  <c r="AV13" i="1" l="1"/>
  <c r="AS13" i="1"/>
  <c r="K13" i="1" l="1"/>
  <c r="AM61" i="1"/>
  <c r="G13" i="1"/>
  <c r="I13" i="1" s="1"/>
  <c r="AM45" i="1"/>
  <c r="AU45" i="1" s="1"/>
  <c r="C13" i="1"/>
  <c r="AM29" i="1"/>
  <c r="AO29" i="1" s="1"/>
  <c r="AO61" i="1"/>
  <c r="AU61" i="1"/>
  <c r="M13" i="1" l="1"/>
  <c r="E13" i="1"/>
  <c r="AM13" i="1"/>
  <c r="AO13" i="1" s="1"/>
  <c r="AU29" i="1"/>
  <c r="AW29" i="1" s="1"/>
  <c r="AO45" i="1"/>
  <c r="AW61" i="1"/>
  <c r="AW45" i="1"/>
  <c r="AU13" i="1" l="1"/>
  <c r="AW13" i="1"/>
  <c r="BU34" i="47223" l="1"/>
  <c r="CM33" i="47223"/>
  <c r="BU32" i="47223"/>
  <c r="BE31" i="47223"/>
  <c r="CM29" i="47223"/>
  <c r="BU28" i="47223"/>
  <c r="BY27" i="47223"/>
  <c r="CQ26" i="47223"/>
  <c r="BN26" i="47223"/>
  <c r="CQ25" i="47223"/>
  <c r="BS25" i="47223"/>
  <c r="CV24" i="47223"/>
  <c r="BY24" i="47223"/>
  <c r="BH24" i="47223"/>
  <c r="CP23" i="47223"/>
  <c r="BX23" i="47223"/>
  <c r="BH23" i="47223"/>
  <c r="CP22" i="47223"/>
  <c r="BZ22" i="47223"/>
  <c r="BO22" i="47223"/>
  <c r="BD22" i="47223"/>
  <c r="CR21" i="47223"/>
  <c r="CG21" i="47223"/>
  <c r="BT21" i="47223"/>
  <c r="BL21" i="47223"/>
  <c r="BD21" i="47223"/>
  <c r="CT20" i="47223"/>
  <c r="CL20" i="47223"/>
  <c r="CD20" i="47223"/>
  <c r="BT20" i="47223"/>
  <c r="BL20" i="47223"/>
  <c r="BD20" i="47223"/>
  <c r="CT19" i="47223"/>
  <c r="CL19" i="47223"/>
  <c r="CD19" i="47223"/>
  <c r="BT19" i="47223"/>
  <c r="BL19" i="47223"/>
  <c r="BD19" i="47223"/>
  <c r="CT18" i="47223"/>
  <c r="CL18" i="47223"/>
  <c r="CD18" i="47223"/>
  <c r="BT18" i="47223"/>
  <c r="BL18" i="47223"/>
  <c r="BF18" i="47223"/>
  <c r="CX17" i="47223"/>
  <c r="CS17" i="47223"/>
  <c r="CN17" i="47223"/>
  <c r="CH17" i="47223"/>
  <c r="CC17" i="47223"/>
  <c r="BV17" i="47223"/>
  <c r="BP17" i="47223"/>
  <c r="BK17" i="47223"/>
  <c r="BG17" i="47223"/>
  <c r="BC17" i="47223"/>
  <c r="CW16" i="47223"/>
  <c r="CS16" i="47223"/>
  <c r="CO16" i="47223"/>
  <c r="CK16" i="47223"/>
  <c r="CG16" i="47223"/>
  <c r="CC16" i="47223"/>
  <c r="BW16" i="47223"/>
  <c r="BS16" i="47223"/>
  <c r="BO16" i="47223"/>
  <c r="BK16" i="47223"/>
  <c r="BG16" i="47223"/>
  <c r="BC16" i="47223"/>
  <c r="CW15" i="47223"/>
  <c r="CS15" i="47223"/>
  <c r="CO15" i="47223"/>
  <c r="CK15" i="47223"/>
  <c r="CG15" i="47223"/>
  <c r="CC15" i="47223"/>
  <c r="BW15" i="47223"/>
  <c r="BS15" i="47223"/>
  <c r="BO15" i="47223"/>
  <c r="BK15" i="47223"/>
  <c r="BG15" i="47223"/>
  <c r="BC15" i="47223"/>
  <c r="CW14" i="47223"/>
  <c r="CS14" i="47223"/>
  <c r="CO14" i="47223"/>
  <c r="CK14" i="47223"/>
  <c r="CG14" i="47223"/>
  <c r="CC14" i="47223"/>
  <c r="BW14" i="47223"/>
  <c r="BS14" i="47223"/>
  <c r="BO14" i="47223"/>
  <c r="BK14" i="47223"/>
  <c r="BG14" i="47223"/>
  <c r="BC14" i="47223"/>
  <c r="CW13" i="47223"/>
  <c r="CS13" i="47223"/>
  <c r="CO13" i="47223"/>
  <c r="CK13" i="47223"/>
  <c r="CG13" i="47223"/>
  <c r="CC13" i="47223"/>
  <c r="BW13" i="47223"/>
  <c r="BS13" i="47223"/>
  <c r="BO13" i="47223"/>
  <c r="BK13" i="47223"/>
  <c r="BG13" i="47223"/>
  <c r="BC13" i="47223"/>
  <c r="CW12" i="47223"/>
  <c r="CS12" i="47223"/>
  <c r="CO12" i="47223"/>
  <c r="CK12" i="47223"/>
  <c r="CG12" i="47223"/>
  <c r="CC12" i="47223"/>
  <c r="BW12" i="47223"/>
  <c r="BS12" i="47223"/>
  <c r="BO12" i="47223"/>
  <c r="BK12" i="47223"/>
  <c r="BG12" i="47223"/>
  <c r="BC12" i="47223"/>
  <c r="CW11" i="47223"/>
  <c r="CS11" i="47223"/>
  <c r="CO11" i="47223"/>
  <c r="CK11" i="47223"/>
  <c r="CG11" i="47223"/>
  <c r="CC11" i="47223"/>
  <c r="BW11" i="47223"/>
  <c r="BS11" i="47223"/>
  <c r="BO11" i="47223"/>
  <c r="BK11" i="47223"/>
  <c r="BG11" i="47223"/>
  <c r="BC11" i="47223"/>
  <c r="CW10" i="47223"/>
  <c r="CS10" i="47223"/>
  <c r="CO10" i="47223"/>
  <c r="CK10" i="47223"/>
  <c r="CG10" i="47223"/>
  <c r="CC10" i="47223"/>
  <c r="BW10" i="47223"/>
  <c r="BS10" i="47223"/>
  <c r="BO10" i="47223"/>
  <c r="BK10" i="47223"/>
  <c r="BG10" i="47223"/>
  <c r="BC10" i="47223"/>
  <c r="CW9" i="47223"/>
  <c r="CS9" i="47223"/>
  <c r="CO9" i="47223"/>
  <c r="CK9" i="47223"/>
  <c r="CG9" i="47223"/>
  <c r="CE9" i="47223"/>
  <c r="BZ9" i="47223"/>
  <c r="BW9" i="47223"/>
  <c r="BU9" i="47223"/>
  <c r="BR9" i="47223"/>
  <c r="BO9" i="47223"/>
  <c r="BM9" i="47223"/>
  <c r="BJ9" i="47223"/>
  <c r="BG9" i="47223"/>
  <c r="BE9" i="47223"/>
  <c r="CZ8" i="47223"/>
  <c r="CW8" i="47223"/>
  <c r="CU8" i="47223"/>
  <c r="CR8" i="47223"/>
  <c r="CO8" i="47223"/>
  <c r="CM8" i="47223"/>
  <c r="CJ8" i="47223"/>
  <c r="CG8" i="47223"/>
  <c r="CE8" i="47223"/>
  <c r="BZ8" i="47223"/>
  <c r="BW8" i="47223"/>
  <c r="BU8" i="47223"/>
  <c r="BR8" i="47223"/>
  <c r="BO8" i="47223"/>
  <c r="BM8" i="47223"/>
  <c r="BJ8" i="47223"/>
  <c r="BG8" i="47223"/>
  <c r="BE8" i="47223"/>
  <c r="CZ7" i="47223"/>
  <c r="CW7" i="47223"/>
  <c r="CU7" i="47223"/>
  <c r="CR7" i="47223"/>
  <c r="CO7" i="47223"/>
  <c r="CM7" i="47223"/>
  <c r="CJ7" i="47223"/>
  <c r="CG7" i="47223"/>
  <c r="CE7" i="47223"/>
  <c r="BZ7" i="47223"/>
  <c r="BW7" i="47223"/>
  <c r="BU7" i="47223"/>
  <c r="BR7" i="47223"/>
  <c r="BO7" i="47223"/>
  <c r="BM7" i="47223"/>
  <c r="BK7" i="47223"/>
  <c r="BI7" i="47223"/>
  <c r="BG7" i="47223"/>
  <c r="BE7" i="47223"/>
  <c r="BC7" i="47223"/>
  <c r="CY6" i="47223"/>
  <c r="CW6" i="47223"/>
  <c r="CU6" i="47223"/>
  <c r="CS6" i="47223"/>
  <c r="CQ6" i="47223"/>
  <c r="CO6" i="47223"/>
  <c r="CM6" i="47223"/>
  <c r="CK6" i="47223"/>
  <c r="CI6" i="47223"/>
  <c r="CG6" i="47223"/>
  <c r="CE6" i="47223"/>
  <c r="CC6" i="47223"/>
  <c r="BY6" i="47223"/>
  <c r="BW6" i="47223"/>
  <c r="BU6" i="47223"/>
  <c r="BS6" i="47223"/>
  <c r="BQ6" i="47223"/>
  <c r="BO6" i="47223"/>
  <c r="BM6" i="47223"/>
  <c r="BK6" i="47223"/>
  <c r="BI6" i="47223"/>
  <c r="BG6" i="47223"/>
  <c r="BE6" i="47223"/>
  <c r="BC6" i="47223"/>
  <c r="CY5" i="47223"/>
  <c r="CW5" i="47223"/>
  <c r="CU5" i="47223"/>
  <c r="CS5" i="47223"/>
  <c r="CQ5" i="47223"/>
  <c r="CO5" i="47223"/>
  <c r="CM5" i="47223"/>
  <c r="CK5" i="47223"/>
  <c r="CI5" i="47223"/>
  <c r="CG5" i="47223"/>
  <c r="CE5" i="47223"/>
  <c r="CC5" i="47223"/>
  <c r="BY5" i="47223"/>
  <c r="BW5" i="47223"/>
  <c r="BU5" i="47223"/>
  <c r="BS5" i="47223"/>
  <c r="BQ5" i="47223"/>
  <c r="BO5" i="47223"/>
  <c r="BM5" i="47223"/>
  <c r="BK5" i="47223"/>
  <c r="BI5" i="47223"/>
  <c r="BG5" i="47223"/>
  <c r="BE5" i="47223"/>
  <c r="BC5" i="47223"/>
  <c r="CY4" i="47223"/>
  <c r="CW4" i="47223"/>
  <c r="CU4" i="47223"/>
  <c r="CS4" i="47223"/>
  <c r="CQ4" i="47223"/>
  <c r="CO4" i="47223"/>
  <c r="CM4" i="47223"/>
  <c r="CK4" i="47223"/>
  <c r="CI4" i="47223"/>
  <c r="CG4" i="47223"/>
  <c r="CE4" i="47223"/>
  <c r="CC4" i="47223"/>
  <c r="BY4" i="47223"/>
  <c r="BW4" i="47223"/>
  <c r="BU4" i="47223"/>
  <c r="BS4" i="47223"/>
  <c r="BQ4" i="47223"/>
  <c r="BO4" i="47223"/>
  <c r="BM4" i="47223"/>
  <c r="BK4" i="47223"/>
  <c r="BI4" i="47223"/>
  <c r="BG4" i="47223"/>
  <c r="BE4" i="47223"/>
  <c r="BC4" i="47223"/>
  <c r="BF4" i="47223" l="1"/>
  <c r="BJ4" i="47223"/>
  <c r="BN4" i="47223"/>
  <c r="BR4" i="47223"/>
  <c r="BV4" i="47223"/>
  <c r="BZ4" i="47223"/>
  <c r="CF4" i="47223"/>
  <c r="CJ4" i="47223"/>
  <c r="CN4" i="47223"/>
  <c r="CR4" i="47223"/>
  <c r="CV4" i="47223"/>
  <c r="CZ4" i="47223"/>
  <c r="BF5" i="47223"/>
  <c r="BJ5" i="47223"/>
  <c r="BN5" i="47223"/>
  <c r="BR5" i="47223"/>
  <c r="BV5" i="47223"/>
  <c r="BZ5" i="47223"/>
  <c r="CF5" i="47223"/>
  <c r="CJ5" i="47223"/>
  <c r="CN5" i="47223"/>
  <c r="CR5" i="47223"/>
  <c r="CV5" i="47223"/>
  <c r="CZ5" i="47223"/>
  <c r="BF6" i="47223"/>
  <c r="BJ6" i="47223"/>
  <c r="BN6" i="47223"/>
  <c r="BR6" i="47223"/>
  <c r="BV6" i="47223"/>
  <c r="BZ6" i="47223"/>
  <c r="CF6" i="47223"/>
  <c r="CJ6" i="47223"/>
  <c r="CN6" i="47223"/>
  <c r="CR6" i="47223"/>
  <c r="CV6" i="47223"/>
  <c r="CZ6" i="47223"/>
  <c r="BF7" i="47223"/>
  <c r="BJ7" i="47223"/>
  <c r="BN7" i="47223"/>
  <c r="BS7" i="47223"/>
  <c r="BY7" i="47223"/>
  <c r="CF7" i="47223"/>
  <c r="CK7" i="47223"/>
  <c r="CQ7" i="47223"/>
  <c r="CV7" i="47223"/>
  <c r="BC8" i="47223"/>
  <c r="BI8" i="47223"/>
  <c r="BN8" i="47223"/>
  <c r="BS8" i="47223"/>
  <c r="BY8" i="47223"/>
  <c r="CF8" i="47223"/>
  <c r="CK8" i="47223"/>
  <c r="CQ8" i="47223"/>
  <c r="CV8" i="47223"/>
  <c r="BC9" i="47223"/>
  <c r="BI9" i="47223"/>
  <c r="BN9" i="47223"/>
  <c r="BS9" i="47223"/>
  <c r="BY9" i="47223"/>
  <c r="CF9" i="47223"/>
  <c r="CM9" i="47223"/>
  <c r="CU9" i="47223"/>
  <c r="BE10" i="47223"/>
  <c r="BM10" i="47223"/>
  <c r="BU10" i="47223"/>
  <c r="CE10" i="47223"/>
  <c r="CM10" i="47223"/>
  <c r="CU10" i="47223"/>
  <c r="BE11" i="47223"/>
  <c r="BM11" i="47223"/>
  <c r="BU11" i="47223"/>
  <c r="CE11" i="47223"/>
  <c r="CM11" i="47223"/>
  <c r="CU11" i="47223"/>
  <c r="BE12" i="47223"/>
  <c r="BM12" i="47223"/>
  <c r="BU12" i="47223"/>
  <c r="CE12" i="47223"/>
  <c r="CM12" i="47223"/>
  <c r="CU12" i="47223"/>
  <c r="BE13" i="47223"/>
  <c r="BM13" i="47223"/>
  <c r="BU13" i="47223"/>
  <c r="CE13" i="47223"/>
  <c r="CM13" i="47223"/>
  <c r="CU13" i="47223"/>
  <c r="BE14" i="47223"/>
  <c r="BM14" i="47223"/>
  <c r="BU14" i="47223"/>
  <c r="CE14" i="47223"/>
  <c r="CM14" i="47223"/>
  <c r="CU14" i="47223"/>
  <c r="BE15" i="47223"/>
  <c r="BM15" i="47223"/>
  <c r="BU15" i="47223"/>
  <c r="CE15" i="47223"/>
  <c r="CM15" i="47223"/>
  <c r="CU15" i="47223"/>
  <c r="BE16" i="47223"/>
  <c r="BM16" i="47223"/>
  <c r="BU16" i="47223"/>
  <c r="CE16" i="47223"/>
  <c r="CM16" i="47223"/>
  <c r="CU16" i="47223"/>
  <c r="BE17" i="47223"/>
  <c r="BN17" i="47223"/>
  <c r="BX17" i="47223"/>
  <c r="CK17" i="47223"/>
  <c r="CV17" i="47223"/>
  <c r="BH18" i="47223"/>
  <c r="BX18" i="47223"/>
  <c r="CP18" i="47223"/>
  <c r="BH19" i="47223"/>
  <c r="BX19" i="47223"/>
  <c r="CP19" i="47223"/>
  <c r="BH20" i="47223"/>
  <c r="BX20" i="47223"/>
  <c r="CP20" i="47223"/>
  <c r="BH21" i="47223"/>
  <c r="BZ21" i="47223"/>
  <c r="CW21" i="47223"/>
  <c r="BT22" i="47223"/>
  <c r="CX22" i="47223"/>
  <c r="CH23" i="47223"/>
  <c r="BP24" i="47223"/>
  <c r="BI25" i="47223"/>
  <c r="BC26" i="47223"/>
  <c r="BI27" i="47223"/>
  <c r="BE29" i="47223"/>
  <c r="CM31" i="47223"/>
  <c r="CQ34" i="47223"/>
  <c r="BY34" i="47223"/>
  <c r="BI34" i="47223"/>
  <c r="CQ33" i="47223"/>
  <c r="BY33" i="47223"/>
  <c r="BI33" i="47223"/>
  <c r="CQ32" i="47223"/>
  <c r="BY32" i="47223"/>
  <c r="BI32" i="47223"/>
  <c r="CQ31" i="47223"/>
  <c r="BY31" i="47223"/>
  <c r="BI31" i="47223"/>
  <c r="CQ30" i="47223"/>
  <c r="BY30" i="47223"/>
  <c r="BI30" i="47223"/>
  <c r="CQ29" i="47223"/>
  <c r="BY29" i="47223"/>
  <c r="BI29" i="47223"/>
  <c r="CQ28" i="47223"/>
  <c r="BY28" i="47223"/>
  <c r="BI28" i="47223"/>
  <c r="CS27" i="47223"/>
  <c r="CK27" i="47223"/>
  <c r="CC27" i="47223"/>
  <c r="BS27" i="47223"/>
  <c r="BK27" i="47223"/>
  <c r="BC27" i="47223"/>
  <c r="CS26" i="47223"/>
  <c r="CK26" i="47223"/>
  <c r="CC26" i="47223"/>
  <c r="BU26" i="47223"/>
  <c r="BO26" i="47223"/>
  <c r="BJ26" i="47223"/>
  <c r="BE26" i="47223"/>
  <c r="CW25" i="47223"/>
  <c r="CR25" i="47223"/>
  <c r="CM25" i="47223"/>
  <c r="CG25" i="47223"/>
  <c r="BZ25" i="47223"/>
  <c r="BU25" i="47223"/>
  <c r="BO25" i="47223"/>
  <c r="BJ25" i="47223"/>
  <c r="BE25" i="47223"/>
  <c r="CW24" i="47223"/>
  <c r="CR24" i="47223"/>
  <c r="CM24" i="47223"/>
  <c r="CG24" i="47223"/>
  <c r="BZ24" i="47223"/>
  <c r="BU24" i="47223"/>
  <c r="BQ24" i="47223"/>
  <c r="BM24" i="47223"/>
  <c r="BI24" i="47223"/>
  <c r="BE24" i="47223"/>
  <c r="CY23" i="47223"/>
  <c r="CU23" i="47223"/>
  <c r="CQ23" i="47223"/>
  <c r="CM23" i="47223"/>
  <c r="CI23" i="47223"/>
  <c r="CE23" i="47223"/>
  <c r="BY23" i="47223"/>
  <c r="BU23" i="47223"/>
  <c r="BQ23" i="47223"/>
  <c r="BM23" i="47223"/>
  <c r="BI23" i="47223"/>
  <c r="BE23" i="47223"/>
  <c r="CY22" i="47223"/>
  <c r="CU22" i="47223"/>
  <c r="CQ22" i="47223"/>
  <c r="CM22" i="47223"/>
  <c r="CI22" i="47223"/>
  <c r="CE22" i="47223"/>
  <c r="BY22" i="47223"/>
  <c r="BU22" i="47223"/>
  <c r="BQ22" i="47223"/>
  <c r="BM22" i="47223"/>
  <c r="BI22" i="47223"/>
  <c r="BE22" i="47223"/>
  <c r="CY21" i="47223"/>
  <c r="CU21" i="47223"/>
  <c r="CQ21" i="47223"/>
  <c r="CM21" i="47223"/>
  <c r="CI21" i="47223"/>
  <c r="CE21" i="47223"/>
  <c r="BY21" i="47223"/>
  <c r="BU21" i="47223"/>
  <c r="CY34" i="47223"/>
  <c r="CI34" i="47223"/>
  <c r="BQ34" i="47223"/>
  <c r="CY33" i="47223"/>
  <c r="CI33" i="47223"/>
  <c r="BQ33" i="47223"/>
  <c r="CY32" i="47223"/>
  <c r="CI32" i="47223"/>
  <c r="BQ32" i="47223"/>
  <c r="CY31" i="47223"/>
  <c r="CI31" i="47223"/>
  <c r="BQ31" i="47223"/>
  <c r="CY30" i="47223"/>
  <c r="CI30" i="47223"/>
  <c r="BQ30" i="47223"/>
  <c r="CY29" i="47223"/>
  <c r="CI29" i="47223"/>
  <c r="BQ29" i="47223"/>
  <c r="CY28" i="47223"/>
  <c r="CI28" i="47223"/>
  <c r="BQ28" i="47223"/>
  <c r="CY27" i="47223"/>
  <c r="CO27" i="47223"/>
  <c r="CG27" i="47223"/>
  <c r="BW27" i="47223"/>
  <c r="BO27" i="47223"/>
  <c r="BG27" i="47223"/>
  <c r="CW26" i="47223"/>
  <c r="CO26" i="47223"/>
  <c r="CG26" i="47223"/>
  <c r="BW26" i="47223"/>
  <c r="BR26" i="47223"/>
  <c r="BM26" i="47223"/>
  <c r="BG26" i="47223"/>
  <c r="CZ25" i="47223"/>
  <c r="CU25" i="47223"/>
  <c r="CO25" i="47223"/>
  <c r="CJ25" i="47223"/>
  <c r="CE25" i="47223"/>
  <c r="BW25" i="47223"/>
  <c r="BR25" i="47223"/>
  <c r="BM25" i="47223"/>
  <c r="BG25" i="47223"/>
  <c r="CZ24" i="47223"/>
  <c r="CU24" i="47223"/>
  <c r="CO24" i="47223"/>
  <c r="CJ24" i="47223"/>
  <c r="CE24" i="47223"/>
  <c r="BW24" i="47223"/>
  <c r="BS24" i="47223"/>
  <c r="BO24" i="47223"/>
  <c r="BK24" i="47223"/>
  <c r="BG24" i="47223"/>
  <c r="BC24" i="47223"/>
  <c r="CW23" i="47223"/>
  <c r="CS23" i="47223"/>
  <c r="CO23" i="47223"/>
  <c r="CK23" i="47223"/>
  <c r="CG23" i="47223"/>
  <c r="CC23" i="47223"/>
  <c r="BW23" i="47223"/>
  <c r="BS23" i="47223"/>
  <c r="BO23" i="47223"/>
  <c r="BK23" i="47223"/>
  <c r="BG23" i="47223"/>
  <c r="BC23" i="47223"/>
  <c r="CW22" i="47223"/>
  <c r="CS22" i="47223"/>
  <c r="CO22" i="47223"/>
  <c r="CK22" i="47223"/>
  <c r="CG22" i="47223"/>
  <c r="CE34" i="47223"/>
  <c r="CU33" i="47223"/>
  <c r="BM33" i="47223"/>
  <c r="CE32" i="47223"/>
  <c r="CU31" i="47223"/>
  <c r="BM31" i="47223"/>
  <c r="CE30" i="47223"/>
  <c r="CU29" i="47223"/>
  <c r="BM29" i="47223"/>
  <c r="CE28" i="47223"/>
  <c r="CU27" i="47223"/>
  <c r="CE27" i="47223"/>
  <c r="BM27" i="47223"/>
  <c r="CU26" i="47223"/>
  <c r="CE26" i="47223"/>
  <c r="BQ26" i="47223"/>
  <c r="BF26" i="47223"/>
  <c r="CS25" i="47223"/>
  <c r="CI25" i="47223"/>
  <c r="BV25" i="47223"/>
  <c r="BK25" i="47223"/>
  <c r="CY24" i="47223"/>
  <c r="CN24" i="47223"/>
  <c r="CC24" i="47223"/>
  <c r="BR24" i="47223"/>
  <c r="BJ24" i="47223"/>
  <c r="CZ23" i="47223"/>
  <c r="CR23" i="47223"/>
  <c r="CJ23" i="47223"/>
  <c r="BZ23" i="47223"/>
  <c r="BR23" i="47223"/>
  <c r="BJ23" i="47223"/>
  <c r="CZ22" i="47223"/>
  <c r="CR22" i="47223"/>
  <c r="CJ22" i="47223"/>
  <c r="CC22" i="47223"/>
  <c r="BV22" i="47223"/>
  <c r="BP22" i="47223"/>
  <c r="BK22" i="47223"/>
  <c r="BF22" i="47223"/>
  <c r="CX21" i="47223"/>
  <c r="CS21" i="47223"/>
  <c r="CN21" i="47223"/>
  <c r="CH21" i="47223"/>
  <c r="CC21" i="47223"/>
  <c r="BV21" i="47223"/>
  <c r="BQ21" i="47223"/>
  <c r="BM21" i="47223"/>
  <c r="BI21" i="47223"/>
  <c r="BE21" i="47223"/>
  <c r="CY20" i="47223"/>
  <c r="CU20" i="47223"/>
  <c r="CQ20" i="47223"/>
  <c r="CM20" i="47223"/>
  <c r="CI20" i="47223"/>
  <c r="CE20" i="47223"/>
  <c r="BY20" i="47223"/>
  <c r="BU20" i="47223"/>
  <c r="BQ20" i="47223"/>
  <c r="BM20" i="47223"/>
  <c r="BI20" i="47223"/>
  <c r="BE20" i="47223"/>
  <c r="CY19" i="47223"/>
  <c r="CU19" i="47223"/>
  <c r="CQ19" i="47223"/>
  <c r="CM19" i="47223"/>
  <c r="CI19" i="47223"/>
  <c r="CE19" i="47223"/>
  <c r="BY19" i="47223"/>
  <c r="BU19" i="47223"/>
  <c r="BQ19" i="47223"/>
  <c r="BM19" i="47223"/>
  <c r="BI19" i="47223"/>
  <c r="BE19" i="47223"/>
  <c r="CY18" i="47223"/>
  <c r="CU18" i="47223"/>
  <c r="CQ18" i="47223"/>
  <c r="CM18" i="47223"/>
  <c r="CI18" i="47223"/>
  <c r="CE18" i="47223"/>
  <c r="BY18" i="47223"/>
  <c r="BU18" i="47223"/>
  <c r="BQ18" i="47223"/>
  <c r="BM18" i="47223"/>
  <c r="BI18" i="47223"/>
  <c r="BE18" i="47223"/>
  <c r="CY17" i="47223"/>
  <c r="CU17" i="47223"/>
  <c r="CQ17" i="47223"/>
  <c r="CM17" i="47223"/>
  <c r="CI17" i="47223"/>
  <c r="CE17" i="47223"/>
  <c r="BY17" i="47223"/>
  <c r="BU17" i="47223"/>
  <c r="BQ17" i="47223"/>
  <c r="BM17" i="47223"/>
  <c r="CU34" i="47223"/>
  <c r="BM34" i="47223"/>
  <c r="CE33" i="47223"/>
  <c r="CU32" i="47223"/>
  <c r="BM32" i="47223"/>
  <c r="CE31" i="47223"/>
  <c r="CU30" i="47223"/>
  <c r="BM30" i="47223"/>
  <c r="CE29" i="47223"/>
  <c r="CU28" i="47223"/>
  <c r="BM28" i="47223"/>
  <c r="CM27" i="47223"/>
  <c r="BU27" i="47223"/>
  <c r="BE27" i="47223"/>
  <c r="CM26" i="47223"/>
  <c r="BV26" i="47223"/>
  <c r="BK26" i="47223"/>
  <c r="CY25" i="47223"/>
  <c r="CN25" i="47223"/>
  <c r="CC25" i="47223"/>
  <c r="BQ25" i="47223"/>
  <c r="BF25" i="47223"/>
  <c r="CS24" i="47223"/>
  <c r="CI24" i="47223"/>
  <c r="BV24" i="47223"/>
  <c r="BN24" i="47223"/>
  <c r="BF24" i="47223"/>
  <c r="CV23" i="47223"/>
  <c r="CN23" i="47223"/>
  <c r="CF23" i="47223"/>
  <c r="BV23" i="47223"/>
  <c r="BN23" i="47223"/>
  <c r="BF23" i="47223"/>
  <c r="CV22" i="47223"/>
  <c r="CN22" i="47223"/>
  <c r="CF22" i="47223"/>
  <c r="BX22" i="47223"/>
  <c r="BS22" i="47223"/>
  <c r="BN22" i="47223"/>
  <c r="BH22" i="47223"/>
  <c r="BC22" i="47223"/>
  <c r="CV21" i="47223"/>
  <c r="CP21" i="47223"/>
  <c r="CK21" i="47223"/>
  <c r="CF21" i="47223"/>
  <c r="BX21" i="47223"/>
  <c r="BS21" i="47223"/>
  <c r="BO21" i="47223"/>
  <c r="BK21" i="47223"/>
  <c r="BG21" i="47223"/>
  <c r="BC21" i="47223"/>
  <c r="CW20" i="47223"/>
  <c r="CS20" i="47223"/>
  <c r="CO20" i="47223"/>
  <c r="CK20" i="47223"/>
  <c r="CG20" i="47223"/>
  <c r="CC20" i="47223"/>
  <c r="BW20" i="47223"/>
  <c r="BS20" i="47223"/>
  <c r="BO20" i="47223"/>
  <c r="BK20" i="47223"/>
  <c r="BG20" i="47223"/>
  <c r="BC20" i="47223"/>
  <c r="CW19" i="47223"/>
  <c r="CS19" i="47223"/>
  <c r="CO19" i="47223"/>
  <c r="CK19" i="47223"/>
  <c r="CG19" i="47223"/>
  <c r="CC19" i="47223"/>
  <c r="BW19" i="47223"/>
  <c r="BS19" i="47223"/>
  <c r="BO19" i="47223"/>
  <c r="BK19" i="47223"/>
  <c r="BG19" i="47223"/>
  <c r="BC19" i="47223"/>
  <c r="CW18" i="47223"/>
  <c r="CS18" i="47223"/>
  <c r="CO18" i="47223"/>
  <c r="CK18" i="47223"/>
  <c r="CG18" i="47223"/>
  <c r="CC18" i="47223"/>
  <c r="BW18" i="47223"/>
  <c r="BS18" i="47223"/>
  <c r="BO18" i="47223"/>
  <c r="BK18" i="47223"/>
  <c r="BE34" i="47223"/>
  <c r="CM32" i="47223"/>
  <c r="BU31" i="47223"/>
  <c r="BE30" i="47223"/>
  <c r="CM28" i="47223"/>
  <c r="CI27" i="47223"/>
  <c r="CY26" i="47223"/>
  <c r="BS26" i="47223"/>
  <c r="CV25" i="47223"/>
  <c r="BY25" i="47223"/>
  <c r="BC25" i="47223"/>
  <c r="CF24" i="47223"/>
  <c r="BL24" i="47223"/>
  <c r="CT23" i="47223"/>
  <c r="CD23" i="47223"/>
  <c r="BL23" i="47223"/>
  <c r="CT22" i="47223"/>
  <c r="CD22" i="47223"/>
  <c r="BR22" i="47223"/>
  <c r="BG22" i="47223"/>
  <c r="CT21" i="47223"/>
  <c r="CJ21" i="47223"/>
  <c r="BW21" i="47223"/>
  <c r="BN21" i="47223"/>
  <c r="BF21" i="47223"/>
  <c r="CV20" i="47223"/>
  <c r="CN20" i="47223"/>
  <c r="CF20" i="47223"/>
  <c r="BV20" i="47223"/>
  <c r="BN20" i="47223"/>
  <c r="BF20" i="47223"/>
  <c r="CV19" i="47223"/>
  <c r="CN19" i="47223"/>
  <c r="CF19" i="47223"/>
  <c r="BV19" i="47223"/>
  <c r="BN19" i="47223"/>
  <c r="BF19" i="47223"/>
  <c r="CV18" i="47223"/>
  <c r="CN18" i="47223"/>
  <c r="CF18" i="47223"/>
  <c r="BV18" i="47223"/>
  <c r="BN18" i="47223"/>
  <c r="BG18" i="47223"/>
  <c r="CZ17" i="47223"/>
  <c r="CT17" i="47223"/>
  <c r="CO17" i="47223"/>
  <c r="CJ17" i="47223"/>
  <c r="CD17" i="47223"/>
  <c r="BW17" i="47223"/>
  <c r="BR17" i="47223"/>
  <c r="BL17" i="47223"/>
  <c r="BH17" i="47223"/>
  <c r="BD17" i="47223"/>
  <c r="CX16" i="47223"/>
  <c r="CT16" i="47223"/>
  <c r="CP16" i="47223"/>
  <c r="CL16" i="47223"/>
  <c r="CH16" i="47223"/>
  <c r="CD16" i="47223"/>
  <c r="BX16" i="47223"/>
  <c r="BT16" i="47223"/>
  <c r="BP16" i="47223"/>
  <c r="BL16" i="47223"/>
  <c r="BH16" i="47223"/>
  <c r="BD16" i="47223"/>
  <c r="CX15" i="47223"/>
  <c r="CT15" i="47223"/>
  <c r="CP15" i="47223"/>
  <c r="CL15" i="47223"/>
  <c r="CH15" i="47223"/>
  <c r="CD15" i="47223"/>
  <c r="BX15" i="47223"/>
  <c r="BT15" i="47223"/>
  <c r="BP15" i="47223"/>
  <c r="BL15" i="47223"/>
  <c r="BH15" i="47223"/>
  <c r="BD15" i="47223"/>
  <c r="CX14" i="47223"/>
  <c r="CT14" i="47223"/>
  <c r="CP14" i="47223"/>
  <c r="CL14" i="47223"/>
  <c r="CH14" i="47223"/>
  <c r="CD14" i="47223"/>
  <c r="BX14" i="47223"/>
  <c r="BT14" i="47223"/>
  <c r="BP14" i="47223"/>
  <c r="BL14" i="47223"/>
  <c r="BH14" i="47223"/>
  <c r="BD14" i="47223"/>
  <c r="CX13" i="47223"/>
  <c r="CT13" i="47223"/>
  <c r="CP13" i="47223"/>
  <c r="CL13" i="47223"/>
  <c r="CH13" i="47223"/>
  <c r="CD13" i="47223"/>
  <c r="BX13" i="47223"/>
  <c r="BT13" i="47223"/>
  <c r="BP13" i="47223"/>
  <c r="BL13" i="47223"/>
  <c r="BH13" i="47223"/>
  <c r="BD13" i="47223"/>
  <c r="CX12" i="47223"/>
  <c r="CT12" i="47223"/>
  <c r="CP12" i="47223"/>
  <c r="CL12" i="47223"/>
  <c r="CH12" i="47223"/>
  <c r="CD12" i="47223"/>
  <c r="BX12" i="47223"/>
  <c r="BT12" i="47223"/>
  <c r="BP12" i="47223"/>
  <c r="BL12" i="47223"/>
  <c r="BH12" i="47223"/>
  <c r="BD12" i="47223"/>
  <c r="CX11" i="47223"/>
  <c r="CT11" i="47223"/>
  <c r="CP11" i="47223"/>
  <c r="CL11" i="47223"/>
  <c r="CH11" i="47223"/>
  <c r="CD11" i="47223"/>
  <c r="BX11" i="47223"/>
  <c r="BT11" i="47223"/>
  <c r="BP11" i="47223"/>
  <c r="BL11" i="47223"/>
  <c r="BH11" i="47223"/>
  <c r="BD11" i="47223"/>
  <c r="CX10" i="47223"/>
  <c r="CT10" i="47223"/>
  <c r="CP10" i="47223"/>
  <c r="CL10" i="47223"/>
  <c r="CH10" i="47223"/>
  <c r="CD10" i="47223"/>
  <c r="BX10" i="47223"/>
  <c r="BT10" i="47223"/>
  <c r="BP10" i="47223"/>
  <c r="BL10" i="47223"/>
  <c r="BH10" i="47223"/>
  <c r="BD10" i="47223"/>
  <c r="CX9" i="47223"/>
  <c r="CT9" i="47223"/>
  <c r="CP9" i="47223"/>
  <c r="CL9" i="47223"/>
  <c r="CH9" i="47223"/>
  <c r="CD9" i="47223"/>
  <c r="BX9" i="47223"/>
  <c r="BT9" i="47223"/>
  <c r="BP9" i="47223"/>
  <c r="BL9" i="47223"/>
  <c r="BH9" i="47223"/>
  <c r="BD9" i="47223"/>
  <c r="CX8" i="47223"/>
  <c r="CT8" i="47223"/>
  <c r="CP8" i="47223"/>
  <c r="CL8" i="47223"/>
  <c r="CH8" i="47223"/>
  <c r="CD8" i="47223"/>
  <c r="BX8" i="47223"/>
  <c r="BT8" i="47223"/>
  <c r="BP8" i="47223"/>
  <c r="BL8" i="47223"/>
  <c r="BH8" i="47223"/>
  <c r="BD8" i="47223"/>
  <c r="CX7" i="47223"/>
  <c r="CT7" i="47223"/>
  <c r="CP7" i="47223"/>
  <c r="CL7" i="47223"/>
  <c r="CH7" i="47223"/>
  <c r="CD7" i="47223"/>
  <c r="BX7" i="47223"/>
  <c r="BT7" i="47223"/>
  <c r="BP7" i="47223"/>
  <c r="CM34" i="47223"/>
  <c r="BU33" i="47223"/>
  <c r="BE32" i="47223"/>
  <c r="CM30" i="47223"/>
  <c r="BU29" i="47223"/>
  <c r="BE28" i="47223"/>
  <c r="BQ27" i="47223"/>
  <c r="CI26" i="47223"/>
  <c r="BI26" i="47223"/>
  <c r="CK25" i="47223"/>
  <c r="BN25" i="47223"/>
  <c r="CQ24" i="47223"/>
  <c r="BT24" i="47223"/>
  <c r="BD24" i="47223"/>
  <c r="CL23" i="47223"/>
  <c r="BT23" i="47223"/>
  <c r="BD23" i="47223"/>
  <c r="CL22" i="47223"/>
  <c r="BW22" i="47223"/>
  <c r="BL22" i="47223"/>
  <c r="CZ21" i="47223"/>
  <c r="CO21" i="47223"/>
  <c r="CD21" i="47223"/>
  <c r="BR21" i="47223"/>
  <c r="BJ21" i="47223"/>
  <c r="CZ20" i="47223"/>
  <c r="CR20" i="47223"/>
  <c r="CJ20" i="47223"/>
  <c r="BZ20" i="47223"/>
  <c r="BR20" i="47223"/>
  <c r="BJ20" i="47223"/>
  <c r="CZ19" i="47223"/>
  <c r="CR19" i="47223"/>
  <c r="CJ19" i="47223"/>
  <c r="BZ19" i="47223"/>
  <c r="BR19" i="47223"/>
  <c r="BJ19" i="47223"/>
  <c r="CZ18" i="47223"/>
  <c r="CR18" i="47223"/>
  <c r="CJ18" i="47223"/>
  <c r="BZ18" i="47223"/>
  <c r="BR18" i="47223"/>
  <c r="BJ18" i="47223"/>
  <c r="BD18" i="47223"/>
  <c r="CW17" i="47223"/>
  <c r="CR17" i="47223"/>
  <c r="CL17" i="47223"/>
  <c r="CG17" i="47223"/>
  <c r="BZ17" i="47223"/>
  <c r="BT17" i="47223"/>
  <c r="BO17" i="47223"/>
  <c r="BJ17" i="47223"/>
  <c r="BF17" i="47223"/>
  <c r="CZ16" i="47223"/>
  <c r="CV16" i="47223"/>
  <c r="CR16" i="47223"/>
  <c r="CN16" i="47223"/>
  <c r="CJ16" i="47223"/>
  <c r="CF16" i="47223"/>
  <c r="BZ16" i="47223"/>
  <c r="BV16" i="47223"/>
  <c r="BR16" i="47223"/>
  <c r="BN16" i="47223"/>
  <c r="BJ16" i="47223"/>
  <c r="BF16" i="47223"/>
  <c r="CZ15" i="47223"/>
  <c r="CV15" i="47223"/>
  <c r="CR15" i="47223"/>
  <c r="CN15" i="47223"/>
  <c r="CJ15" i="47223"/>
  <c r="CF15" i="47223"/>
  <c r="BZ15" i="47223"/>
  <c r="BV15" i="47223"/>
  <c r="BR15" i="47223"/>
  <c r="BN15" i="47223"/>
  <c r="BJ15" i="47223"/>
  <c r="BF15" i="47223"/>
  <c r="CZ14" i="47223"/>
  <c r="CV14" i="47223"/>
  <c r="CR14" i="47223"/>
  <c r="CN14" i="47223"/>
  <c r="CJ14" i="47223"/>
  <c r="CF14" i="47223"/>
  <c r="BZ14" i="47223"/>
  <c r="BV14" i="47223"/>
  <c r="BR14" i="47223"/>
  <c r="BN14" i="47223"/>
  <c r="BJ14" i="47223"/>
  <c r="BF14" i="47223"/>
  <c r="CZ13" i="47223"/>
  <c r="CV13" i="47223"/>
  <c r="CR13" i="47223"/>
  <c r="CN13" i="47223"/>
  <c r="CJ13" i="47223"/>
  <c r="CF13" i="47223"/>
  <c r="BZ13" i="47223"/>
  <c r="BV13" i="47223"/>
  <c r="BR13" i="47223"/>
  <c r="BN13" i="47223"/>
  <c r="BJ13" i="47223"/>
  <c r="BF13" i="47223"/>
  <c r="CZ12" i="47223"/>
  <c r="CV12" i="47223"/>
  <c r="CR12" i="47223"/>
  <c r="CN12" i="47223"/>
  <c r="CJ12" i="47223"/>
  <c r="CF12" i="47223"/>
  <c r="BZ12" i="47223"/>
  <c r="BV12" i="47223"/>
  <c r="BR12" i="47223"/>
  <c r="BN12" i="47223"/>
  <c r="BJ12" i="47223"/>
  <c r="BF12" i="47223"/>
  <c r="CZ11" i="47223"/>
  <c r="CV11" i="47223"/>
  <c r="CR11" i="47223"/>
  <c r="CN11" i="47223"/>
  <c r="CJ11" i="47223"/>
  <c r="CF11" i="47223"/>
  <c r="BZ11" i="47223"/>
  <c r="BV11" i="47223"/>
  <c r="BR11" i="47223"/>
  <c r="BN11" i="47223"/>
  <c r="BJ11" i="47223"/>
  <c r="BF11" i="47223"/>
  <c r="CZ10" i="47223"/>
  <c r="CV10" i="47223"/>
  <c r="CR10" i="47223"/>
  <c r="CN10" i="47223"/>
  <c r="CJ10" i="47223"/>
  <c r="CF10" i="47223"/>
  <c r="BZ10" i="47223"/>
  <c r="BV10" i="47223"/>
  <c r="BR10" i="47223"/>
  <c r="BN10" i="47223"/>
  <c r="BJ10" i="47223"/>
  <c r="BF10" i="47223"/>
  <c r="CZ9" i="47223"/>
  <c r="CV9" i="47223"/>
  <c r="CR9" i="47223"/>
  <c r="CN9" i="47223"/>
  <c r="CJ9" i="47223"/>
  <c r="BD4" i="47223"/>
  <c r="BH4" i="47223"/>
  <c r="BL4" i="47223"/>
  <c r="BP4" i="47223"/>
  <c r="BT4" i="47223"/>
  <c r="BX4" i="47223"/>
  <c r="CD4" i="47223"/>
  <c r="CH4" i="47223"/>
  <c r="CL4" i="47223"/>
  <c r="CP4" i="47223"/>
  <c r="CT4" i="47223"/>
  <c r="CX4" i="47223"/>
  <c r="BD5" i="47223"/>
  <c r="BH5" i="47223"/>
  <c r="BL5" i="47223"/>
  <c r="BP5" i="47223"/>
  <c r="BT5" i="47223"/>
  <c r="BX5" i="47223"/>
  <c r="CD5" i="47223"/>
  <c r="CH5" i="47223"/>
  <c r="CL5" i="47223"/>
  <c r="CP5" i="47223"/>
  <c r="CT5" i="47223"/>
  <c r="CX5" i="47223"/>
  <c r="BD6" i="47223"/>
  <c r="BH6" i="47223"/>
  <c r="BL6" i="47223"/>
  <c r="BP6" i="47223"/>
  <c r="BT6" i="47223"/>
  <c r="BX6" i="47223"/>
  <c r="CD6" i="47223"/>
  <c r="CH6" i="47223"/>
  <c r="CL6" i="47223"/>
  <c r="CP6" i="47223"/>
  <c r="CT6" i="47223"/>
  <c r="CX6" i="47223"/>
  <c r="BD7" i="47223"/>
  <c r="BH7" i="47223"/>
  <c r="BL7" i="47223"/>
  <c r="BQ7" i="47223"/>
  <c r="BV7" i="47223"/>
  <c r="CC7" i="47223"/>
  <c r="CI7" i="47223"/>
  <c r="CN7" i="47223"/>
  <c r="CS7" i="47223"/>
  <c r="CY7" i="47223"/>
  <c r="BF8" i="47223"/>
  <c r="BK8" i="47223"/>
  <c r="BQ8" i="47223"/>
  <c r="BV8" i="47223"/>
  <c r="CC8" i="47223"/>
  <c r="CI8" i="47223"/>
  <c r="CN8" i="47223"/>
  <c r="CS8" i="47223"/>
  <c r="CY8" i="47223"/>
  <c r="BF9" i="47223"/>
  <c r="BK9" i="47223"/>
  <c r="BQ9" i="47223"/>
  <c r="BV9" i="47223"/>
  <c r="CC9" i="47223"/>
  <c r="CI9" i="47223"/>
  <c r="CQ9" i="47223"/>
  <c r="CY9" i="47223"/>
  <c r="BI10" i="47223"/>
  <c r="BQ10" i="47223"/>
  <c r="BY10" i="47223"/>
  <c r="CI10" i="47223"/>
  <c r="CQ10" i="47223"/>
  <c r="CY10" i="47223"/>
  <c r="BI11" i="47223"/>
  <c r="BQ11" i="47223"/>
  <c r="BY11" i="47223"/>
  <c r="CI11" i="47223"/>
  <c r="CQ11" i="47223"/>
  <c r="CY11" i="47223"/>
  <c r="BI12" i="47223"/>
  <c r="BQ12" i="47223"/>
  <c r="BY12" i="47223"/>
  <c r="CI12" i="47223"/>
  <c r="CQ12" i="47223"/>
  <c r="CY12" i="47223"/>
  <c r="BI13" i="47223"/>
  <c r="BQ13" i="47223"/>
  <c r="BY13" i="47223"/>
  <c r="CI13" i="47223"/>
  <c r="CQ13" i="47223"/>
  <c r="CY13" i="47223"/>
  <c r="BI14" i="47223"/>
  <c r="BQ14" i="47223"/>
  <c r="BY14" i="47223"/>
  <c r="CI14" i="47223"/>
  <c r="CQ14" i="47223"/>
  <c r="CY14" i="47223"/>
  <c r="BI15" i="47223"/>
  <c r="BQ15" i="47223"/>
  <c r="BY15" i="47223"/>
  <c r="CI15" i="47223"/>
  <c r="CQ15" i="47223"/>
  <c r="CY15" i="47223"/>
  <c r="BI16" i="47223"/>
  <c r="BQ16" i="47223"/>
  <c r="BY16" i="47223"/>
  <c r="CI16" i="47223"/>
  <c r="CQ16" i="47223"/>
  <c r="CY16" i="47223"/>
  <c r="BI17" i="47223"/>
  <c r="BS17" i="47223"/>
  <c r="CF17" i="47223"/>
  <c r="CP17" i="47223"/>
  <c r="BC18" i="47223"/>
  <c r="BP18" i="47223"/>
  <c r="CH18" i="47223"/>
  <c r="CX18" i="47223"/>
  <c r="BP19" i="47223"/>
  <c r="CH19" i="47223"/>
  <c r="CX19" i="47223"/>
  <c r="BP20" i="47223"/>
  <c r="CH20" i="47223"/>
  <c r="CX20" i="47223"/>
  <c r="BP21" i="47223"/>
  <c r="CL21" i="47223"/>
  <c r="BJ22" i="47223"/>
  <c r="CH22" i="47223"/>
  <c r="BP23" i="47223"/>
  <c r="CX23" i="47223"/>
  <c r="CK24" i="47223"/>
  <c r="CF25" i="47223"/>
  <c r="BY26" i="47223"/>
  <c r="CQ27" i="47223"/>
  <c r="BU30" i="47223"/>
  <c r="BE33" i="47223"/>
  <c r="CV34" i="47223"/>
  <c r="CN34" i="47223"/>
  <c r="CF34" i="47223"/>
  <c r="BV34" i="47223"/>
  <c r="BN34" i="47223"/>
  <c r="BF34" i="47223"/>
  <c r="CV33" i="47223"/>
  <c r="CN33" i="47223"/>
  <c r="CF33" i="47223"/>
  <c r="BV33" i="47223"/>
  <c r="BN33" i="47223"/>
  <c r="BF33" i="47223"/>
  <c r="CV32" i="47223"/>
  <c r="CN32" i="47223"/>
  <c r="CF32" i="47223"/>
  <c r="BV32" i="47223"/>
  <c r="BN32" i="47223"/>
  <c r="BF32" i="47223"/>
  <c r="CV31" i="47223"/>
  <c r="CN31" i="47223"/>
  <c r="CF31" i="47223"/>
  <c r="BV31" i="47223"/>
  <c r="BN31" i="47223"/>
  <c r="BF31" i="47223"/>
  <c r="CV30" i="47223"/>
  <c r="CN30" i="47223"/>
  <c r="CF30" i="47223"/>
  <c r="BV30" i="47223"/>
  <c r="BN30" i="47223"/>
  <c r="BF30" i="47223"/>
  <c r="CV29" i="47223"/>
  <c r="CN29" i="47223"/>
  <c r="CF29" i="47223"/>
  <c r="BV29" i="47223"/>
  <c r="BN29" i="47223"/>
  <c r="BF29" i="47223"/>
  <c r="CV28" i="47223"/>
  <c r="CN28" i="47223"/>
  <c r="CF28" i="47223"/>
  <c r="BV28" i="47223"/>
  <c r="BN28" i="47223"/>
  <c r="BF28" i="47223"/>
  <c r="CV27" i="47223"/>
  <c r="CR27" i="47223"/>
  <c r="CN27" i="47223"/>
  <c r="CJ27" i="47223"/>
  <c r="CF27" i="47223"/>
  <c r="BZ27" i="47223"/>
  <c r="BV27" i="47223"/>
  <c r="BR27" i="47223"/>
  <c r="BN27" i="47223"/>
  <c r="BJ27" i="47223"/>
  <c r="BF27" i="47223"/>
  <c r="CZ26" i="47223"/>
  <c r="CV26" i="47223"/>
  <c r="CR26" i="47223"/>
  <c r="CN26" i="47223"/>
  <c r="CJ26" i="47223"/>
  <c r="CF26" i="47223"/>
  <c r="BZ26" i="47223"/>
  <c r="CZ34" i="47223"/>
  <c r="CR34" i="47223"/>
  <c r="CJ34" i="47223"/>
  <c r="BZ34" i="47223"/>
  <c r="BR34" i="47223"/>
  <c r="BJ34" i="47223"/>
  <c r="CZ33" i="47223"/>
  <c r="CR33" i="47223"/>
  <c r="CJ33" i="47223"/>
  <c r="BZ33" i="47223"/>
  <c r="BR33" i="47223"/>
  <c r="BJ33" i="47223"/>
  <c r="CZ32" i="47223"/>
  <c r="CR32" i="47223"/>
  <c r="CJ32" i="47223"/>
  <c r="BZ32" i="47223"/>
  <c r="BR32" i="47223"/>
  <c r="BJ32" i="47223"/>
  <c r="CZ31" i="47223"/>
  <c r="CR31" i="47223"/>
  <c r="CJ31" i="47223"/>
  <c r="BZ31" i="47223"/>
  <c r="BR31" i="47223"/>
  <c r="BJ31" i="47223"/>
  <c r="CZ30" i="47223"/>
  <c r="CR30" i="47223"/>
  <c r="CJ30" i="47223"/>
  <c r="BZ30" i="47223"/>
  <c r="BR30" i="47223"/>
  <c r="BJ30" i="47223"/>
  <c r="CZ29" i="47223"/>
  <c r="CR29" i="47223"/>
  <c r="CJ29" i="47223"/>
  <c r="BZ29" i="47223"/>
  <c r="BR29" i="47223"/>
  <c r="BJ29" i="47223"/>
  <c r="CZ28" i="47223"/>
  <c r="CR28" i="47223"/>
  <c r="CJ28" i="47223"/>
  <c r="BZ28" i="47223"/>
  <c r="BR28" i="47223"/>
  <c r="BJ28" i="47223"/>
  <c r="CZ27" i="47223"/>
  <c r="CT27" i="47223"/>
  <c r="CP27" i="47223"/>
  <c r="CL27" i="47223"/>
  <c r="CH27" i="47223"/>
  <c r="CD27" i="47223"/>
  <c r="BX27" i="47223"/>
  <c r="BT27" i="47223"/>
  <c r="BP27" i="47223"/>
  <c r="BL27" i="47223"/>
  <c r="BH27" i="47223"/>
  <c r="BD27" i="47223"/>
  <c r="CX26" i="47223"/>
  <c r="CT26" i="47223"/>
  <c r="CP26" i="47223"/>
  <c r="CL26" i="47223"/>
  <c r="CH26" i="47223"/>
  <c r="CD26" i="47223"/>
  <c r="BX26" i="47223"/>
  <c r="BT26" i="47223"/>
  <c r="BP26" i="47223"/>
  <c r="BL26" i="47223"/>
  <c r="BH26" i="47223"/>
  <c r="BD26" i="47223"/>
  <c r="CX25" i="47223"/>
  <c r="CT25" i="47223"/>
  <c r="CP25" i="47223"/>
  <c r="CL25" i="47223"/>
  <c r="CH25" i="47223"/>
  <c r="CD25" i="47223"/>
  <c r="BX25" i="47223"/>
  <c r="BT25" i="47223"/>
  <c r="BP25" i="47223"/>
  <c r="BL25" i="47223"/>
  <c r="BH25" i="47223"/>
  <c r="BD25" i="47223"/>
  <c r="CX24" i="47223"/>
  <c r="CT24" i="47223"/>
  <c r="CP24" i="47223"/>
  <c r="CL24" i="47223"/>
  <c r="CH24" i="47223"/>
  <c r="CD24" i="47223"/>
  <c r="BX24" i="47223"/>
  <c r="CX34" i="47223"/>
  <c r="CT34" i="47223"/>
  <c r="CP34" i="47223"/>
  <c r="CL34" i="47223"/>
  <c r="CH34" i="47223"/>
  <c r="CD34" i="47223"/>
  <c r="BX34" i="47223"/>
  <c r="BT34" i="47223"/>
  <c r="BP34" i="47223"/>
  <c r="BL34" i="47223"/>
  <c r="BH34" i="47223"/>
  <c r="BD34" i="47223"/>
  <c r="CX33" i="47223"/>
  <c r="CT33" i="47223"/>
  <c r="CP33" i="47223"/>
  <c r="CL33" i="47223"/>
  <c r="CH33" i="47223"/>
  <c r="CD33" i="47223"/>
  <c r="BX33" i="47223"/>
  <c r="BT33" i="47223"/>
  <c r="BP33" i="47223"/>
  <c r="BL33" i="47223"/>
  <c r="BH33" i="47223"/>
  <c r="BD33" i="47223"/>
  <c r="CX32" i="47223"/>
  <c r="CT32" i="47223"/>
  <c r="CP32" i="47223"/>
  <c r="CL32" i="47223"/>
  <c r="CH32" i="47223"/>
  <c r="CD32" i="47223"/>
  <c r="BX32" i="47223"/>
  <c r="BT32" i="47223"/>
  <c r="BP32" i="47223"/>
  <c r="BL32" i="47223"/>
  <c r="BH32" i="47223"/>
  <c r="BD32" i="47223"/>
  <c r="CX31" i="47223"/>
  <c r="CT31" i="47223"/>
  <c r="CP31" i="47223"/>
  <c r="CL31" i="47223"/>
  <c r="CH31" i="47223"/>
  <c r="CD31" i="47223"/>
  <c r="BX31" i="47223"/>
  <c r="BT31" i="47223"/>
  <c r="BP31" i="47223"/>
  <c r="BL31" i="47223"/>
  <c r="BH31" i="47223"/>
  <c r="BD31" i="47223"/>
  <c r="CX30" i="47223"/>
  <c r="CT30" i="47223"/>
  <c r="CP30" i="47223"/>
  <c r="CL30" i="47223"/>
  <c r="CH30" i="47223"/>
  <c r="CD30" i="47223"/>
  <c r="BX30" i="47223"/>
  <c r="BT30" i="47223"/>
  <c r="BP30" i="47223"/>
  <c r="BL30" i="47223"/>
  <c r="BH30" i="47223"/>
  <c r="BD30" i="47223"/>
  <c r="CX29" i="47223"/>
  <c r="CT29" i="47223"/>
  <c r="CP29" i="47223"/>
  <c r="CL29" i="47223"/>
  <c r="CH29" i="47223"/>
  <c r="CD29" i="47223"/>
  <c r="BX29" i="47223"/>
  <c r="BT29" i="47223"/>
  <c r="BP29" i="47223"/>
  <c r="BL29" i="47223"/>
  <c r="BH29" i="47223"/>
  <c r="BD29" i="47223"/>
  <c r="CX28" i="47223"/>
  <c r="CT28" i="47223"/>
  <c r="CP28" i="47223"/>
  <c r="CL28" i="47223"/>
  <c r="CH28" i="47223"/>
  <c r="CD28" i="47223"/>
  <c r="BX28" i="47223"/>
  <c r="BT28" i="47223"/>
  <c r="BP28" i="47223"/>
  <c r="BL28" i="47223"/>
  <c r="BH28" i="47223"/>
  <c r="BD28" i="47223"/>
  <c r="CX27" i="47223"/>
  <c r="CW34" i="47223"/>
  <c r="CS34" i="47223"/>
  <c r="CO34" i="47223"/>
  <c r="CK34" i="47223"/>
  <c r="CG34" i="47223"/>
  <c r="CC34" i="47223"/>
  <c r="BW34" i="47223"/>
  <c r="BS34" i="47223"/>
  <c r="BO34" i="47223"/>
  <c r="BK34" i="47223"/>
  <c r="BG34" i="47223"/>
  <c r="BC34" i="47223"/>
  <c r="CW33" i="47223"/>
  <c r="CS33" i="47223"/>
  <c r="CO33" i="47223"/>
  <c r="CK33" i="47223"/>
  <c r="CG33" i="47223"/>
  <c r="CC33" i="47223"/>
  <c r="BW33" i="47223"/>
  <c r="BS33" i="47223"/>
  <c r="BO33" i="47223"/>
  <c r="BK33" i="47223"/>
  <c r="BG33" i="47223"/>
  <c r="BC33" i="47223"/>
  <c r="CW32" i="47223"/>
  <c r="CS32" i="47223"/>
  <c r="CO32" i="47223"/>
  <c r="CK32" i="47223"/>
  <c r="CG32" i="47223"/>
  <c r="CC32" i="47223"/>
  <c r="BW32" i="47223"/>
  <c r="BS32" i="47223"/>
  <c r="BO32" i="47223"/>
  <c r="BK32" i="47223"/>
  <c r="BG32" i="47223"/>
  <c r="BC32" i="47223"/>
  <c r="CW31" i="47223"/>
  <c r="CS31" i="47223"/>
  <c r="CO31" i="47223"/>
  <c r="CK31" i="47223"/>
  <c r="CG31" i="47223"/>
  <c r="CC31" i="47223"/>
  <c r="BW31" i="47223"/>
  <c r="BS31" i="47223"/>
  <c r="BO31" i="47223"/>
  <c r="BK31" i="47223"/>
  <c r="BG31" i="47223"/>
  <c r="BC31" i="47223"/>
  <c r="CW30" i="47223"/>
  <c r="CS30" i="47223"/>
  <c r="CO30" i="47223"/>
  <c r="CK30" i="47223"/>
  <c r="CG30" i="47223"/>
  <c r="CC30" i="47223"/>
  <c r="BW30" i="47223"/>
  <c r="BS30" i="47223"/>
  <c r="BO30" i="47223"/>
  <c r="BK30" i="47223"/>
  <c r="BG30" i="47223"/>
  <c r="BC30" i="47223"/>
  <c r="CW29" i="47223"/>
  <c r="CS29" i="47223"/>
  <c r="CO29" i="47223"/>
  <c r="CK29" i="47223"/>
  <c r="CG29" i="47223"/>
  <c r="CC29" i="47223"/>
  <c r="BW29" i="47223"/>
  <c r="BS29" i="47223"/>
  <c r="BO29" i="47223"/>
  <c r="BK29" i="47223"/>
  <c r="BG29" i="47223"/>
  <c r="BC29" i="47223"/>
  <c r="CW28" i="47223"/>
  <c r="CS28" i="47223"/>
  <c r="CO28" i="47223"/>
  <c r="CK28" i="47223"/>
  <c r="CG28" i="47223"/>
  <c r="CC28" i="47223"/>
  <c r="BW28" i="47223"/>
  <c r="BS28" i="47223"/>
  <c r="BO28" i="47223"/>
  <c r="BK28" i="47223"/>
  <c r="BG28" i="47223"/>
  <c r="BC28" i="47223"/>
  <c r="CW27" i="47223"/>
  <c r="O40" i="47223" l="1"/>
  <c r="G39" i="47223"/>
  <c r="C39" i="47223"/>
  <c r="K39" i="47223"/>
  <c r="W39" i="47223"/>
  <c r="O39" i="47223"/>
  <c r="G40" i="47223"/>
  <c r="S39" i="47223"/>
  <c r="Y40" i="47223"/>
  <c r="I40" i="47223"/>
  <c r="Q39" i="47223"/>
  <c r="Y39" i="47223"/>
  <c r="I39" i="47223"/>
  <c r="F39" i="47223"/>
  <c r="N39" i="47223"/>
  <c r="V39" i="47223"/>
  <c r="F40" i="47223"/>
  <c r="N40" i="47223"/>
  <c r="V40" i="47223"/>
  <c r="L39" i="47223"/>
  <c r="Q40" i="47223"/>
  <c r="J39" i="47223"/>
  <c r="R39" i="47223"/>
  <c r="Z39" i="47223"/>
  <c r="J40" i="47223"/>
  <c r="R40" i="47223"/>
  <c r="Z40" i="47223"/>
  <c r="H39" i="47223"/>
  <c r="S40" i="47223"/>
  <c r="X39" i="47223"/>
  <c r="P40" i="47223"/>
  <c r="C40" i="47223"/>
  <c r="T40" i="47223"/>
  <c r="K40" i="47223"/>
  <c r="H40" i="47223"/>
  <c r="X40" i="47223"/>
  <c r="W40" i="47223"/>
  <c r="D39" i="47223"/>
  <c r="T39" i="47223"/>
  <c r="P39" i="47223"/>
  <c r="M40" i="47223"/>
  <c r="U39" i="47223"/>
  <c r="E39" i="47223"/>
  <c r="D40" i="47223"/>
  <c r="L40" i="47223"/>
  <c r="U40" i="47223"/>
  <c r="E40" i="47223"/>
  <c r="M39" i="47223"/>
  <c r="AQ46" i="1" l="1"/>
  <c r="AV46" i="1" l="1"/>
  <c r="AS46" i="1"/>
  <c r="AQ30" i="1"/>
  <c r="AQ62" i="1"/>
  <c r="AV62" i="1" l="1"/>
  <c r="AS62" i="1"/>
  <c r="AS30" i="1"/>
  <c r="AV30" i="1"/>
  <c r="AQ14" i="1"/>
  <c r="AV14" i="1" l="1"/>
  <c r="AS14" i="1"/>
  <c r="AM46" i="1" l="1"/>
  <c r="AM30" i="1"/>
  <c r="AM62" i="1"/>
  <c r="AO62" i="1" l="1"/>
  <c r="AU62" i="1"/>
  <c r="AO30" i="1"/>
  <c r="AU30" i="1"/>
  <c r="AM14" i="1"/>
  <c r="AO46" i="1"/>
  <c r="AU46" i="1"/>
  <c r="AW62" i="1" l="1"/>
  <c r="AW30" i="1"/>
  <c r="AU14" i="1"/>
  <c r="AO14" i="1"/>
  <c r="AW46" i="1"/>
  <c r="AW14" i="1" l="1"/>
  <c r="AQ47" i="1" l="1"/>
  <c r="AI15" i="1"/>
  <c r="S15" i="1"/>
  <c r="O15" i="1"/>
  <c r="U15" i="1" l="1"/>
  <c r="AK15" i="1"/>
  <c r="AV47" i="1"/>
  <c r="AS47" i="1"/>
  <c r="Q15" i="1"/>
  <c r="AE15" i="1"/>
  <c r="AQ63" i="1"/>
  <c r="AQ31" i="1"/>
  <c r="AA15" i="1"/>
  <c r="AQ15" i="1" l="1"/>
  <c r="AV15" i="1" s="1"/>
  <c r="AC15" i="1"/>
  <c r="AV63" i="1"/>
  <c r="AS63" i="1"/>
  <c r="AG15" i="1"/>
  <c r="AS31" i="1"/>
  <c r="AV31" i="1"/>
  <c r="K15" i="1" l="1"/>
  <c r="AS15" i="1"/>
  <c r="C15" i="1" l="1"/>
  <c r="AM31" i="1"/>
  <c r="AM47" i="1"/>
  <c r="G15" i="1"/>
  <c r="M15" i="1"/>
  <c r="AM63" i="1"/>
  <c r="AO63" i="1" l="1"/>
  <c r="AU63" i="1"/>
  <c r="AO47" i="1"/>
  <c r="AU47" i="1"/>
  <c r="AO31" i="1"/>
  <c r="AU31" i="1"/>
  <c r="I15" i="1"/>
  <c r="E15" i="1"/>
  <c r="AM15" i="1"/>
  <c r="AW63" i="1" l="1"/>
  <c r="AO15" i="1"/>
  <c r="AU15" i="1"/>
  <c r="AW31" i="1"/>
  <c r="AW47" i="1"/>
  <c r="AW15" i="1" l="1"/>
  <c r="AI16" i="1" l="1"/>
  <c r="O16" i="1" l="1"/>
  <c r="AQ48" i="1"/>
  <c r="S16" i="1"/>
  <c r="AK16" i="1"/>
  <c r="AQ64" i="1"/>
  <c r="AV64" i="1" l="1"/>
  <c r="AS64" i="1"/>
  <c r="U16" i="1"/>
  <c r="AV48" i="1"/>
  <c r="AS48" i="1"/>
  <c r="AE16" i="1"/>
  <c r="AQ32" i="1"/>
  <c r="AA16" i="1"/>
  <c r="Q16" i="1"/>
  <c r="AC16" i="1" l="1"/>
  <c r="AQ16" i="1"/>
  <c r="AG16" i="1"/>
  <c r="AS32" i="1"/>
  <c r="AV32" i="1"/>
  <c r="K16" i="1" l="1"/>
  <c r="AV16" i="1"/>
  <c r="AS16" i="1"/>
  <c r="AM48" i="1" l="1"/>
  <c r="M16" i="1"/>
  <c r="AM64" i="1"/>
  <c r="G16" i="1"/>
  <c r="AM32" i="1"/>
  <c r="C16" i="1"/>
  <c r="AM16" i="1" l="1"/>
  <c r="E16" i="1"/>
  <c r="AU64" i="1"/>
  <c r="AO64" i="1"/>
  <c r="AO32" i="1"/>
  <c r="AU32" i="1"/>
  <c r="I16" i="1"/>
  <c r="AO48" i="1"/>
  <c r="AU48" i="1"/>
  <c r="AW48" i="1" l="1"/>
  <c r="AW64" i="1"/>
  <c r="AW32" i="1"/>
  <c r="AU16" i="1"/>
  <c r="AO16" i="1"/>
  <c r="AW16" i="1" l="1"/>
  <c r="I34" i="47223" l="1"/>
  <c r="K34" i="47223"/>
  <c r="AC34" i="47223"/>
  <c r="D34" i="47223"/>
  <c r="J34" i="47223"/>
  <c r="T34" i="47223"/>
  <c r="X34" i="47223"/>
  <c r="AP34" i="47223"/>
  <c r="V34" i="47223"/>
  <c r="Y34" i="47223"/>
  <c r="AY34" i="47223"/>
  <c r="Z34" i="47223"/>
  <c r="M34" i="47223"/>
  <c r="U34" i="47223"/>
  <c r="AM34" i="47223"/>
  <c r="O34" i="47223"/>
  <c r="AZ34" i="47223"/>
  <c r="H34" i="47223"/>
  <c r="AI34" i="47223"/>
  <c r="C34" i="47223"/>
  <c r="P34" i="47223"/>
  <c r="AE34" i="47223"/>
  <c r="AT34" i="47223"/>
  <c r="S34" i="47223"/>
  <c r="N34" i="47223"/>
  <c r="AR34" i="47223"/>
  <c r="Q34" i="47223"/>
  <c r="AQ34" i="47223"/>
  <c r="AV34" i="47223"/>
  <c r="AL34" i="47223"/>
  <c r="F34" i="47223"/>
  <c r="R34" i="47223"/>
  <c r="AS34" i="47223"/>
  <c r="G34" i="47223"/>
  <c r="AW34" i="47223"/>
  <c r="AK34" i="47223"/>
  <c r="AU34" i="47223"/>
  <c r="AG34" i="47223"/>
  <c r="AX34" i="47223"/>
  <c r="AJ34" i="47223"/>
  <c r="W34" i="47223"/>
  <c r="E34" i="47223"/>
  <c r="L34" i="47223"/>
  <c r="AN34" i="47223"/>
  <c r="AH34" i="47223"/>
  <c r="AF34" i="47223"/>
  <c r="AD34" i="47223"/>
  <c r="AO34" i="47223"/>
  <c r="B55" i="4" l="1"/>
  <c r="D55" i="4" s="1"/>
  <c r="B54" i="4" l="1"/>
  <c r="D54" i="4" s="1"/>
  <c r="F54" i="4" l="1"/>
  <c r="F55" i="4"/>
  <c r="J55" i="4" s="1"/>
  <c r="L55" i="4" s="1"/>
  <c r="J54" i="4"/>
  <c r="L54" i="4" s="1"/>
  <c r="H54" i="4"/>
  <c r="H55" i="4"/>
  <c r="BY4" i="2" l="1"/>
  <c r="BX4" i="2"/>
  <c r="BW4" i="2"/>
  <c r="BV4" i="2"/>
  <c r="N4" i="2"/>
  <c r="O4" i="2"/>
  <c r="BP4" i="2"/>
  <c r="BO4" i="2"/>
  <c r="BR4" i="2"/>
  <c r="CB4" i="2"/>
  <c r="CC4" i="2"/>
  <c r="BS4" i="2"/>
  <c r="CA4" i="2"/>
  <c r="BJ4" i="2"/>
  <c r="BT4" i="2"/>
  <c r="BF4" i="2"/>
  <c r="BH4" i="2"/>
  <c r="BL4" i="2"/>
  <c r="BN4" i="2"/>
  <c r="BK4" i="2"/>
  <c r="BG4" i="2"/>
  <c r="CE4" i="2" l="1"/>
  <c r="CG4" i="2"/>
  <c r="Q4" i="2"/>
  <c r="CF4" i="2"/>
  <c r="P4" i="2"/>
  <c r="BY5" i="2"/>
  <c r="BX5" i="2"/>
  <c r="BW5" i="2"/>
  <c r="BV5" i="2"/>
  <c r="BJ5" i="2"/>
  <c r="O5" i="2"/>
  <c r="P5" i="2" s="1"/>
  <c r="N5" i="2"/>
  <c r="Q5" i="2" s="1"/>
  <c r="BP5" i="2"/>
  <c r="BR5" i="2"/>
  <c r="BS5" i="2"/>
  <c r="CC5" i="2"/>
  <c r="BK5" i="2"/>
  <c r="BF5" i="2"/>
  <c r="BN5" i="2"/>
  <c r="BT5" i="2"/>
  <c r="BL5" i="2"/>
  <c r="BH5" i="2"/>
  <c r="BO5" i="2"/>
  <c r="CA5" i="2"/>
  <c r="CE5" i="2" s="1"/>
  <c r="CB5" i="2"/>
  <c r="CF5" i="2" s="1"/>
  <c r="BG5" i="2"/>
  <c r="CG5" i="2" l="1"/>
  <c r="R5" i="2"/>
  <c r="R4" i="2"/>
  <c r="BY6" i="2"/>
  <c r="BX6" i="2"/>
  <c r="BW6" i="2"/>
  <c r="BV6" i="2"/>
  <c r="O6" i="2"/>
  <c r="P6" i="2" s="1"/>
  <c r="N6" i="2"/>
  <c r="Q6" i="2" s="1"/>
  <c r="BP6" i="2"/>
  <c r="BN6" i="2"/>
  <c r="CB6" i="2"/>
  <c r="CC6" i="2"/>
  <c r="BO6" i="2"/>
  <c r="CA6" i="2"/>
  <c r="BJ6" i="2"/>
  <c r="BL6" i="2"/>
  <c r="BR6" i="2"/>
  <c r="BH6" i="2"/>
  <c r="BF6" i="2"/>
  <c r="BK6" i="2"/>
  <c r="BT6" i="2"/>
  <c r="BS6" i="2"/>
  <c r="BG6" i="2"/>
  <c r="R6" i="2" l="1"/>
  <c r="AA6" i="2" s="1"/>
  <c r="CE6" i="2"/>
  <c r="CG6" i="2"/>
  <c r="AD5" i="2"/>
  <c r="AA5" i="2"/>
  <c r="CF6" i="2"/>
  <c r="AD6" i="2"/>
  <c r="AD4" i="2"/>
  <c r="AA4" i="2"/>
  <c r="BX7" i="2"/>
  <c r="BY7" i="2"/>
  <c r="BW7" i="2"/>
  <c r="BV7" i="2"/>
  <c r="N7" i="2"/>
  <c r="Q7" i="2" s="1"/>
  <c r="O7" i="2"/>
  <c r="P7" i="2" s="1"/>
  <c r="BN7" i="2"/>
  <c r="BO7" i="2"/>
  <c r="BT7" i="2"/>
  <c r="CB7" i="2"/>
  <c r="CA7" i="2"/>
  <c r="BL7" i="2"/>
  <c r="BR7" i="2"/>
  <c r="CC7" i="2"/>
  <c r="CG7" i="2" s="1"/>
  <c r="BG7" i="2"/>
  <c r="BF7" i="2"/>
  <c r="BP7" i="2"/>
  <c r="BK7" i="2"/>
  <c r="BH7" i="2"/>
  <c r="BS7" i="2"/>
  <c r="BJ7" i="2"/>
  <c r="CE7" i="2" l="1"/>
  <c r="CF7" i="2"/>
  <c r="R7" i="2"/>
  <c r="BV8" i="2"/>
  <c r="BY8" i="2"/>
  <c r="BX8" i="2"/>
  <c r="BW8" i="2"/>
  <c r="O8" i="2"/>
  <c r="P8" i="2" s="1"/>
  <c r="N8" i="2"/>
  <c r="Q8" i="2" s="1"/>
  <c r="BT8" i="2"/>
  <c r="BR8" i="2"/>
  <c r="BS8" i="2"/>
  <c r="BP8" i="2"/>
  <c r="CA8" i="2"/>
  <c r="BG8" i="2"/>
  <c r="BF8" i="2"/>
  <c r="BO8" i="2"/>
  <c r="BN8" i="2"/>
  <c r="CB8" i="2"/>
  <c r="BK8" i="2"/>
  <c r="BH8" i="2"/>
  <c r="BJ8" i="2"/>
  <c r="BL8" i="2"/>
  <c r="CC8" i="2"/>
  <c r="CG8" i="2" l="1"/>
  <c r="CE8" i="2"/>
  <c r="AA7" i="2"/>
  <c r="AD7" i="2"/>
  <c r="CF8" i="2"/>
  <c r="R8" i="2"/>
  <c r="BY9" i="2"/>
  <c r="BW9" i="2"/>
  <c r="BV9" i="2"/>
  <c r="BX9" i="2"/>
  <c r="BR9" i="2"/>
  <c r="BJ9" i="2"/>
  <c r="O9" i="2"/>
  <c r="P9" i="2" s="1"/>
  <c r="N9" i="2"/>
  <c r="Q9" i="2" s="1"/>
  <c r="BN9" i="2"/>
  <c r="BH9" i="2"/>
  <c r="BG9" i="2"/>
  <c r="BP9" i="2"/>
  <c r="CA9" i="2"/>
  <c r="BK9" i="2"/>
  <c r="BL9" i="2"/>
  <c r="BF9" i="2"/>
  <c r="CC9" i="2"/>
  <c r="CB9" i="2"/>
  <c r="BT9" i="2"/>
  <c r="BS9" i="2"/>
  <c r="BO9" i="2"/>
  <c r="CF9" i="2" l="1"/>
  <c r="CE9" i="2"/>
  <c r="CG9" i="2"/>
  <c r="R9" i="2"/>
  <c r="AA8" i="2"/>
  <c r="AD8" i="2"/>
  <c r="BY10" i="2"/>
  <c r="BX10" i="2"/>
  <c r="BW10" i="2"/>
  <c r="BV10" i="2"/>
  <c r="CA10" i="2"/>
  <c r="CB10" i="2"/>
  <c r="BJ10" i="2"/>
  <c r="BR10" i="2"/>
  <c r="N10" i="2"/>
  <c r="Q10" i="2" s="1"/>
  <c r="O10" i="2"/>
  <c r="P10" i="2" s="1"/>
  <c r="BK10" i="2"/>
  <c r="BH10" i="2"/>
  <c r="BN10" i="2"/>
  <c r="BT10" i="2"/>
  <c r="BF10" i="2"/>
  <c r="BL10" i="2"/>
  <c r="BG10" i="2"/>
  <c r="BS10" i="2"/>
  <c r="CC10" i="2"/>
  <c r="BP10" i="2"/>
  <c r="BO10" i="2"/>
  <c r="R10" i="2" l="1"/>
  <c r="AD10" i="2" s="1"/>
  <c r="CG10" i="2"/>
  <c r="CF10" i="2"/>
  <c r="CE10" i="2"/>
  <c r="AA9" i="2"/>
  <c r="AD9" i="2"/>
  <c r="BP11" i="2"/>
  <c r="BX11" i="2"/>
  <c r="BW11" i="2"/>
  <c r="BV11" i="2"/>
  <c r="BY11" i="2"/>
  <c r="BS11" i="2"/>
  <c r="BK11" i="2"/>
  <c r="BR11" i="2"/>
  <c r="BF11" i="2"/>
  <c r="CC11" i="2"/>
  <c r="BO11" i="2"/>
  <c r="BH11" i="2"/>
  <c r="BN11" i="2"/>
  <c r="BT11" i="2"/>
  <c r="BJ11" i="2"/>
  <c r="CA11" i="2"/>
  <c r="BG11" i="2"/>
  <c r="CB11" i="2"/>
  <c r="BL11" i="2"/>
  <c r="O11" i="2"/>
  <c r="P11" i="2" s="1"/>
  <c r="N11" i="2"/>
  <c r="Q11" i="2" s="1"/>
  <c r="AA10" i="2" l="1"/>
  <c r="CF11" i="2"/>
  <c r="R11" i="2"/>
  <c r="AA11" i="2" s="1"/>
  <c r="CE11" i="2"/>
  <c r="AD11" i="2"/>
  <c r="CG11" i="2"/>
  <c r="BW12" i="2"/>
  <c r="BY12" i="2"/>
  <c r="BX12" i="2"/>
  <c r="BV12" i="2"/>
  <c r="BS12" i="2"/>
  <c r="CC12" i="2"/>
  <c r="N12" i="2"/>
  <c r="Q12" i="2" s="1"/>
  <c r="BO12" i="2"/>
  <c r="BR12" i="2"/>
  <c r="BG12" i="2"/>
  <c r="BH12" i="2"/>
  <c r="BP12" i="2"/>
  <c r="BN12" i="2"/>
  <c r="BL12" i="2"/>
  <c r="BK12" i="2"/>
  <c r="CB12" i="2"/>
  <c r="O12" i="2"/>
  <c r="P12" i="2" s="1"/>
  <c r="R12" i="2" s="1"/>
  <c r="BT12" i="2"/>
  <c r="BF12" i="2"/>
  <c r="BJ12" i="2"/>
  <c r="CA12" i="2"/>
  <c r="O13" i="2"/>
  <c r="P13" i="2" s="1"/>
  <c r="CE12" i="2" l="1"/>
  <c r="AA12" i="2"/>
  <c r="AD12" i="2"/>
  <c r="CG12" i="2"/>
  <c r="CF12" i="2"/>
  <c r="BY13" i="2"/>
  <c r="BX13" i="2"/>
  <c r="BW13" i="2"/>
  <c r="BV13" i="2"/>
  <c r="BH13" i="2"/>
  <c r="BK13" i="2"/>
  <c r="N13" i="2"/>
  <c r="Q13" i="2" s="1"/>
  <c r="R13" i="2" s="1"/>
  <c r="BF13" i="2"/>
  <c r="BT13" i="2"/>
  <c r="BP14" i="2"/>
  <c r="BG13" i="2"/>
  <c r="CB13" i="2"/>
  <c r="CF13" i="2" s="1"/>
  <c r="CC13" i="2"/>
  <c r="BS13" i="2"/>
  <c r="BL13" i="2"/>
  <c r="CA13" i="2"/>
  <c r="BO13" i="2"/>
  <c r="BR13" i="2"/>
  <c r="BP13" i="2"/>
  <c r="BN13" i="2"/>
  <c r="BJ13" i="2"/>
  <c r="BO14" i="2"/>
  <c r="CA14" i="2"/>
  <c r="BN14" i="2"/>
  <c r="BF14" i="2"/>
  <c r="CG13" i="2" l="1"/>
  <c r="AA13" i="2"/>
  <c r="AD13" i="2"/>
  <c r="CE13" i="2"/>
  <c r="BG14" i="2"/>
  <c r="BT14" i="2"/>
  <c r="CC14" i="2"/>
  <c r="BX15" i="2"/>
  <c r="BW15" i="2"/>
  <c r="BY15" i="2"/>
  <c r="BV15" i="2"/>
  <c r="BY14" i="2"/>
  <c r="BX14" i="2"/>
  <c r="BW14" i="2"/>
  <c r="BV14" i="2"/>
  <c r="O14" i="2"/>
  <c r="P14" i="2" s="1"/>
  <c r="BH14" i="2"/>
  <c r="BJ14" i="2"/>
  <c r="CE14" i="2" s="1"/>
  <c r="CB14" i="2"/>
  <c r="N14" i="2"/>
  <c r="Q14" i="2" s="1"/>
  <c r="BK14" i="2"/>
  <c r="BL14" i="2"/>
  <c r="BS14" i="2"/>
  <c r="BR14" i="2"/>
  <c r="N15" i="2"/>
  <c r="Q15" i="2" s="1"/>
  <c r="O15" i="2"/>
  <c r="P15" i="2" s="1"/>
  <c r="BR15" i="2"/>
  <c r="BS15" i="2"/>
  <c r="BL15" i="2"/>
  <c r="BT15" i="2"/>
  <c r="BJ15" i="2"/>
  <c r="CA15" i="2"/>
  <c r="BK15" i="2"/>
  <c r="BP15" i="2"/>
  <c r="BN15" i="2"/>
  <c r="BG15" i="2"/>
  <c r="BH15" i="2"/>
  <c r="BO15" i="2"/>
  <c r="CC15" i="2"/>
  <c r="CG15" i="2" s="1"/>
  <c r="CB15" i="2"/>
  <c r="BF15" i="2"/>
  <c r="CF15" i="2" l="1"/>
  <c r="CE15" i="2"/>
  <c r="R15" i="2"/>
  <c r="AD15" i="2" s="1"/>
  <c r="R14" i="2"/>
  <c r="CF14" i="2"/>
  <c r="CG14" i="2"/>
  <c r="BW16" i="2"/>
  <c r="BV16" i="2"/>
  <c r="BY16" i="2"/>
  <c r="BX16" i="2"/>
  <c r="O16" i="2"/>
  <c r="P16" i="2" s="1"/>
  <c r="N16" i="2"/>
  <c r="Q16" i="2" s="1"/>
  <c r="BO16" i="2"/>
  <c r="BP16" i="2"/>
  <c r="BR16" i="2"/>
  <c r="CB16" i="2"/>
  <c r="CC16" i="2"/>
  <c r="BL16" i="2"/>
  <c r="BS16" i="2"/>
  <c r="BT16" i="2"/>
  <c r="BK16" i="2"/>
  <c r="BG16" i="2"/>
  <c r="CA16" i="2"/>
  <c r="BJ16" i="2"/>
  <c r="BN16" i="2"/>
  <c r="BF16" i="2"/>
  <c r="BH16" i="2"/>
  <c r="CG16" i="2" l="1"/>
  <c r="R16" i="2"/>
  <c r="AA16" i="2" s="1"/>
  <c r="AA15" i="2"/>
  <c r="CE16" i="2"/>
  <c r="CF16" i="2"/>
  <c r="AD16" i="2"/>
  <c r="AD14" i="2"/>
  <c r="AA14" i="2"/>
  <c r="BY17" i="2"/>
  <c r="BW17" i="2"/>
  <c r="BV17" i="2"/>
  <c r="BX17" i="2"/>
  <c r="N17" i="2"/>
  <c r="Q17" i="2" s="1"/>
  <c r="O17" i="2"/>
  <c r="P17" i="2" s="1"/>
  <c r="BO17" i="2"/>
  <c r="CA17" i="2"/>
  <c r="CB17" i="2"/>
  <c r="BN17" i="2"/>
  <c r="BP17" i="2"/>
  <c r="CC17" i="2"/>
  <c r="BK17" i="2"/>
  <c r="BT17" i="2"/>
  <c r="BJ17" i="2"/>
  <c r="BG17" i="2"/>
  <c r="BS17" i="2"/>
  <c r="BL17" i="2"/>
  <c r="BH17" i="2"/>
  <c r="BF17" i="2"/>
  <c r="BR17" i="2"/>
  <c r="CG17" i="2" l="1"/>
  <c r="CE17" i="2"/>
  <c r="R17" i="2"/>
  <c r="CF17" i="2"/>
  <c r="BY18" i="2"/>
  <c r="BX18" i="2"/>
  <c r="BW18" i="2"/>
  <c r="BV18" i="2"/>
  <c r="N18" i="2"/>
  <c r="Q18" i="2" s="1"/>
  <c r="O18" i="2"/>
  <c r="P18" i="2" s="1"/>
  <c r="BN18" i="2"/>
  <c r="BS18" i="2"/>
  <c r="BT18" i="2"/>
  <c r="CA18" i="2"/>
  <c r="BK18" i="2"/>
  <c r="CB18" i="2"/>
  <c r="CC18" i="2"/>
  <c r="BP18" i="2"/>
  <c r="BG18" i="2"/>
  <c r="BO18" i="2"/>
  <c r="BR18" i="2"/>
  <c r="BF18" i="2"/>
  <c r="BL18" i="2"/>
  <c r="BH18" i="2"/>
  <c r="BJ18" i="2"/>
  <c r="CG18" i="2" l="1"/>
  <c r="CF18" i="2"/>
  <c r="CE18" i="2"/>
  <c r="R18" i="2"/>
  <c r="AA17" i="2"/>
  <c r="AD17" i="2"/>
  <c r="BX19" i="2"/>
  <c r="BV19" i="2"/>
  <c r="BY19" i="2"/>
  <c r="BW19" i="2"/>
  <c r="O19" i="2"/>
  <c r="P19" i="2" s="1"/>
  <c r="N19" i="2"/>
  <c r="Q19" i="2" s="1"/>
  <c r="BP19" i="2"/>
  <c r="BR19" i="2"/>
  <c r="BS19" i="2"/>
  <c r="CC19" i="2"/>
  <c r="BN19" i="2"/>
  <c r="BO19" i="2"/>
  <c r="BT19" i="2"/>
  <c r="BL19" i="2"/>
  <c r="CA19" i="2"/>
  <c r="BG19" i="2"/>
  <c r="BH19" i="2"/>
  <c r="BJ19" i="2"/>
  <c r="CB19" i="2"/>
  <c r="BK19" i="2"/>
  <c r="BF19" i="2"/>
  <c r="CF19" i="2" l="1"/>
  <c r="CE19" i="2"/>
  <c r="R19" i="2"/>
  <c r="AD18" i="2"/>
  <c r="AA18" i="2"/>
  <c r="CG19" i="2"/>
  <c r="BY20" i="2"/>
  <c r="BX20" i="2"/>
  <c r="BW20" i="2"/>
  <c r="BV20" i="2"/>
  <c r="O20" i="2"/>
  <c r="P20" i="2" s="1"/>
  <c r="N20" i="2"/>
  <c r="Q20" i="2" s="1"/>
  <c r="BT20" i="2"/>
  <c r="BK20" i="2"/>
  <c r="BL20" i="2"/>
  <c r="BN20" i="2"/>
  <c r="BS20" i="2"/>
  <c r="CA20" i="2"/>
  <c r="BP20" i="2"/>
  <c r="BR20" i="2"/>
  <c r="CC20" i="2"/>
  <c r="CG20" i="2" s="1"/>
  <c r="BF20" i="2"/>
  <c r="BJ20" i="2"/>
  <c r="BH20" i="2"/>
  <c r="CB20" i="2"/>
  <c r="BG20" i="2"/>
  <c r="BO20" i="2"/>
  <c r="CF20" i="2" l="1"/>
  <c r="R20" i="2"/>
  <c r="CE20" i="2"/>
  <c r="AA19" i="2"/>
  <c r="AD19" i="2"/>
  <c r="BY21" i="2"/>
  <c r="BX21" i="2"/>
  <c r="BW21" i="2"/>
  <c r="BV21" i="2"/>
  <c r="O21" i="2"/>
  <c r="P21" i="2" s="1"/>
  <c r="N21" i="2"/>
  <c r="Q21" i="2" s="1"/>
  <c r="CC21" i="2"/>
  <c r="BJ21" i="2"/>
  <c r="BP21" i="2"/>
  <c r="BR21" i="2"/>
  <c r="BS21" i="2"/>
  <c r="BN21" i="2"/>
  <c r="BL21" i="2"/>
  <c r="BF21" i="2"/>
  <c r="BH21" i="2"/>
  <c r="BT21" i="2"/>
  <c r="CA21" i="2"/>
  <c r="CB21" i="2"/>
  <c r="BG21" i="2"/>
  <c r="BO21" i="2"/>
  <c r="BK21" i="2"/>
  <c r="CE21" i="2" l="1"/>
  <c r="R21" i="2"/>
  <c r="AD21" i="2" s="1"/>
  <c r="CG21" i="2"/>
  <c r="AA21" i="2"/>
  <c r="CF21" i="2"/>
  <c r="AD20" i="2"/>
  <c r="AA20" i="2"/>
  <c r="BY22" i="2"/>
  <c r="BX22" i="2"/>
  <c r="BW22" i="2"/>
  <c r="BV22" i="2"/>
  <c r="O22" i="2"/>
  <c r="N22" i="2"/>
  <c r="BP22" i="2"/>
  <c r="CB22" i="2"/>
  <c r="CC22" i="2"/>
  <c r="CA22" i="2"/>
  <c r="BO22" i="2"/>
  <c r="BN22" i="2"/>
  <c r="BK22" i="2"/>
  <c r="BL22" i="2"/>
  <c r="BH22" i="2"/>
  <c r="BF22" i="2"/>
  <c r="BJ22" i="2"/>
  <c r="BR22" i="2"/>
  <c r="BT22" i="2"/>
  <c r="BG22" i="2"/>
  <c r="BS22" i="2"/>
  <c r="CG22" i="2" l="1"/>
  <c r="P22" i="2"/>
  <c r="CE22" i="2"/>
  <c r="CF22" i="2"/>
  <c r="Q22" i="2"/>
  <c r="BX23" i="2"/>
  <c r="BY23" i="2"/>
  <c r="BW23" i="2"/>
  <c r="BV23" i="2"/>
  <c r="N23" i="2"/>
  <c r="Q23" i="2" s="1"/>
  <c r="O23" i="2"/>
  <c r="P23" i="2" s="1"/>
  <c r="BN23" i="2"/>
  <c r="BT23" i="2"/>
  <c r="CA23" i="2"/>
  <c r="BO23" i="2"/>
  <c r="CB23" i="2"/>
  <c r="BL23" i="2"/>
  <c r="BS23" i="2"/>
  <c r="BJ23" i="2"/>
  <c r="BG23" i="2"/>
  <c r="BP23" i="2"/>
  <c r="CC23" i="2"/>
  <c r="BK23" i="2"/>
  <c r="BF23" i="2"/>
  <c r="BH23" i="2"/>
  <c r="BR23" i="2"/>
  <c r="CG23" i="2" l="1"/>
  <c r="R23" i="2"/>
  <c r="AA23" i="2" s="1"/>
  <c r="R22" i="2"/>
  <c r="CF23" i="2"/>
  <c r="CE23" i="2"/>
  <c r="BV24" i="2"/>
  <c r="BY24" i="2"/>
  <c r="BX24" i="2"/>
  <c r="BW24" i="2"/>
  <c r="O24" i="2"/>
  <c r="P24" i="2" s="1"/>
  <c r="N24" i="2"/>
  <c r="Q24" i="2" s="1"/>
  <c r="BR24" i="2"/>
  <c r="BS24" i="2"/>
  <c r="BT24" i="2"/>
  <c r="BN24" i="2"/>
  <c r="BG24" i="2"/>
  <c r="BH24" i="2"/>
  <c r="BO24" i="2"/>
  <c r="CB24" i="2"/>
  <c r="CA24" i="2"/>
  <c r="CC24" i="2"/>
  <c r="BF24" i="2"/>
  <c r="BP24" i="2"/>
  <c r="BL24" i="2"/>
  <c r="BJ24" i="2"/>
  <c r="BK24" i="2"/>
  <c r="AD23" i="2" l="1"/>
  <c r="CG24" i="2"/>
  <c r="CF24" i="2"/>
  <c r="AA22" i="2"/>
  <c r="AD22" i="2"/>
  <c r="CE24" i="2"/>
  <c r="R24" i="2"/>
  <c r="BY25" i="2"/>
  <c r="BW25" i="2"/>
  <c r="BV25" i="2"/>
  <c r="BX25" i="2"/>
  <c r="O25" i="2"/>
  <c r="P25" i="2" s="1"/>
  <c r="N25" i="2"/>
  <c r="Q25" i="2" s="1"/>
  <c r="BN25" i="2"/>
  <c r="BP25" i="2"/>
  <c r="BT25" i="2"/>
  <c r="BO25" i="2"/>
  <c r="CA25" i="2"/>
  <c r="CC25" i="2"/>
  <c r="CB25" i="2"/>
  <c r="BL25" i="2"/>
  <c r="BR25" i="2"/>
  <c r="BG25" i="2"/>
  <c r="BS25" i="2"/>
  <c r="BK25" i="2"/>
  <c r="BJ25" i="2"/>
  <c r="BF25" i="2"/>
  <c r="BH25" i="2"/>
  <c r="CF25" i="2" l="1"/>
  <c r="R25" i="2"/>
  <c r="AA25" i="2" s="1"/>
  <c r="AD24" i="2"/>
  <c r="AA24" i="2"/>
  <c r="CE25" i="2"/>
  <c r="CG25" i="2"/>
  <c r="BY26" i="2"/>
  <c r="BY39" i="2" s="1"/>
  <c r="BX26" i="2"/>
  <c r="BX39" i="2" s="1"/>
  <c r="BW26" i="2"/>
  <c r="BW39" i="2" s="1"/>
  <c r="BV26" i="2"/>
  <c r="BV39" i="2" s="1"/>
  <c r="N26" i="2"/>
  <c r="O26" i="2"/>
  <c r="BK26" i="2"/>
  <c r="BS26" i="2"/>
  <c r="BR26" i="2"/>
  <c r="BT26" i="2"/>
  <c r="BJ26" i="2"/>
  <c r="BG26" i="2"/>
  <c r="BO26" i="2"/>
  <c r="BL26" i="2"/>
  <c r="BH26" i="2"/>
  <c r="BN26" i="2"/>
  <c r="CA26" i="2"/>
  <c r="CE26" i="2" s="1"/>
  <c r="BF26" i="2"/>
  <c r="CB26" i="2"/>
  <c r="CF26" i="2" s="1"/>
  <c r="CC26" i="2"/>
  <c r="CG26" i="2" s="1"/>
  <c r="BP26" i="2"/>
  <c r="Q26" i="2" l="1"/>
  <c r="N39" i="2"/>
  <c r="P26" i="2"/>
  <c r="P39" i="2" s="1"/>
  <c r="O39" i="2"/>
  <c r="AD25" i="2"/>
  <c r="BX27" i="2"/>
  <c r="BW27" i="2"/>
  <c r="BV27" i="2"/>
  <c r="BY27" i="2"/>
  <c r="O27" i="2"/>
  <c r="P27" i="2" s="1"/>
  <c r="N27" i="2"/>
  <c r="Q27" i="2" s="1"/>
  <c r="BO27" i="2"/>
  <c r="CC27" i="2"/>
  <c r="BP27" i="2"/>
  <c r="CB27" i="2"/>
  <c r="BN27" i="2"/>
  <c r="BS27" i="2"/>
  <c r="BK27" i="2"/>
  <c r="BH27" i="2"/>
  <c r="BR27" i="2"/>
  <c r="CA27" i="2"/>
  <c r="BL27" i="2"/>
  <c r="BJ27" i="2"/>
  <c r="BF27" i="2"/>
  <c r="BG27" i="2"/>
  <c r="BT27" i="2"/>
  <c r="R26" i="2" l="1"/>
  <c r="AD26" i="2" s="1"/>
  <c r="B13" i="4"/>
  <c r="CF27" i="2"/>
  <c r="CG27" i="2"/>
  <c r="CE27" i="2"/>
  <c r="R27" i="2"/>
  <c r="BW28" i="2"/>
  <c r="BY28" i="2"/>
  <c r="BX28" i="2"/>
  <c r="BV28" i="2"/>
  <c r="O28" i="2"/>
  <c r="P28" i="2" s="1"/>
  <c r="N28" i="2"/>
  <c r="Q28" i="2" s="1"/>
  <c r="BN28" i="2"/>
  <c r="BP28" i="2"/>
  <c r="CC28" i="2"/>
  <c r="CA28" i="2"/>
  <c r="BS28" i="2"/>
  <c r="BJ28" i="2"/>
  <c r="BO28" i="2"/>
  <c r="BL28" i="2"/>
  <c r="BG28" i="2"/>
  <c r="BT28" i="2"/>
  <c r="BK28" i="2"/>
  <c r="BF28" i="2"/>
  <c r="BR28" i="2"/>
  <c r="CB28" i="2"/>
  <c r="BH28" i="2"/>
  <c r="AA26" i="2" l="1"/>
  <c r="R39" i="2"/>
  <c r="B26" i="4"/>
  <c r="D26" i="4" s="1"/>
  <c r="D13" i="4"/>
  <c r="B16" i="4"/>
  <c r="CF28" i="2"/>
  <c r="CE28" i="2"/>
  <c r="CG28" i="2"/>
  <c r="R28" i="2"/>
  <c r="AA27" i="2"/>
  <c r="AD27" i="2"/>
  <c r="BY29" i="2"/>
  <c r="BX29" i="2"/>
  <c r="BW29" i="2"/>
  <c r="BV29" i="2"/>
  <c r="O29" i="2"/>
  <c r="P29" i="2" s="1"/>
  <c r="N29" i="2"/>
  <c r="Q29" i="2" s="1"/>
  <c r="BR29" i="2"/>
  <c r="BS29" i="2"/>
  <c r="BP29" i="2"/>
  <c r="BT29" i="2"/>
  <c r="CC29" i="2"/>
  <c r="BJ29" i="2"/>
  <c r="CA29" i="2"/>
  <c r="CB29" i="2"/>
  <c r="BH29" i="2"/>
  <c r="BO29" i="2"/>
  <c r="BF29" i="2"/>
  <c r="BN29" i="2"/>
  <c r="BL29" i="2"/>
  <c r="BG29" i="2"/>
  <c r="BK29" i="2"/>
  <c r="E16" i="4" l="1"/>
  <c r="D16" i="4"/>
  <c r="B17" i="4"/>
  <c r="CF29" i="2"/>
  <c r="CE29" i="2"/>
  <c r="CG29" i="2"/>
  <c r="R29" i="2"/>
  <c r="AA28" i="2"/>
  <c r="AD28" i="2"/>
  <c r="BY30" i="2"/>
  <c r="B62" i="4" s="1"/>
  <c r="D62" i="4" s="1"/>
  <c r="BX30" i="2"/>
  <c r="B59" i="4" s="1"/>
  <c r="D59" i="4" s="1"/>
  <c r="BW30" i="2"/>
  <c r="B61" i="4" s="1"/>
  <c r="D61" i="4" s="1"/>
  <c r="BV30" i="2"/>
  <c r="B58" i="4" s="1"/>
  <c r="D58" i="4" s="1"/>
  <c r="O30" i="2"/>
  <c r="P30" i="2" s="1"/>
  <c r="N30" i="2"/>
  <c r="Q30" i="2" s="1"/>
  <c r="Q39" i="2" s="1"/>
  <c r="BO30" i="2"/>
  <c r="BP30" i="2"/>
  <c r="BR30" i="2"/>
  <c r="CB30" i="2"/>
  <c r="CC30" i="2"/>
  <c r="BN30" i="2"/>
  <c r="BT30" i="2"/>
  <c r="BS30" i="2"/>
  <c r="BL30" i="2"/>
  <c r="BH30" i="2"/>
  <c r="BF30" i="2"/>
  <c r="CA30" i="2"/>
  <c r="BG30" i="2"/>
  <c r="BJ30" i="2"/>
  <c r="BK30" i="2"/>
  <c r="E17" i="4" l="1"/>
  <c r="D17" i="4"/>
  <c r="R30" i="2"/>
  <c r="AD30" i="2" s="1"/>
  <c r="CG30" i="2"/>
  <c r="AA30" i="2"/>
  <c r="AA39" i="2" s="1"/>
  <c r="CE30" i="2"/>
  <c r="CF30" i="2"/>
  <c r="AA29" i="2"/>
  <c r="AD29" i="2"/>
  <c r="BX31" i="2"/>
  <c r="BW31" i="2"/>
  <c r="BY31" i="2"/>
  <c r="BV31" i="2"/>
  <c r="BL32" i="2"/>
  <c r="CB32" i="2"/>
  <c r="BH32" i="2"/>
  <c r="N31" i="2"/>
  <c r="Q31" i="2" s="1"/>
  <c r="O31" i="2"/>
  <c r="P31" i="2" s="1"/>
  <c r="BS31" i="2"/>
  <c r="CA31" i="2"/>
  <c r="BL31" i="2"/>
  <c r="BJ31" i="2"/>
  <c r="BN31" i="2"/>
  <c r="BT31" i="2"/>
  <c r="BP31" i="2"/>
  <c r="BH31" i="2"/>
  <c r="BO31" i="2"/>
  <c r="CB31" i="2"/>
  <c r="BK31" i="2"/>
  <c r="BG31" i="2"/>
  <c r="BF31" i="2"/>
  <c r="BR31" i="2"/>
  <c r="CC31" i="2"/>
  <c r="CG31" i="2" s="1"/>
  <c r="CF31" i="2" l="1"/>
  <c r="R31" i="2"/>
  <c r="AA31" i="2" s="1"/>
  <c r="CE31" i="2"/>
  <c r="AY32" i="2"/>
  <c r="BF32" i="2"/>
  <c r="BC32" i="2"/>
  <c r="CA32" i="2"/>
  <c r="BJ32" i="2"/>
  <c r="AZ32" i="2"/>
  <c r="BO32" i="2"/>
  <c r="BR32" i="2"/>
  <c r="N32" i="2"/>
  <c r="Q32" i="2" s="1"/>
  <c r="BS32" i="2"/>
  <c r="BD32" i="2"/>
  <c r="O32" i="2"/>
  <c r="P32" i="2" s="1"/>
  <c r="BT32" i="2"/>
  <c r="BN32" i="2"/>
  <c r="BK32" i="2"/>
  <c r="CF32" i="2" s="1"/>
  <c r="CC32" i="2"/>
  <c r="CG32" i="2" s="1"/>
  <c r="BB32" i="2"/>
  <c r="BG32" i="2"/>
  <c r="BP32" i="2"/>
  <c r="AX32" i="2"/>
  <c r="BY33" i="2"/>
  <c r="BW33" i="2"/>
  <c r="BV33" i="2"/>
  <c r="BX33" i="2"/>
  <c r="BW32" i="2"/>
  <c r="BV32" i="2"/>
  <c r="BY32" i="2"/>
  <c r="BX32" i="2"/>
  <c r="AY33" i="2"/>
  <c r="BD33" i="2"/>
  <c r="CA33" i="2"/>
  <c r="BS33" i="2"/>
  <c r="BH33" i="2"/>
  <c r="N33" i="2"/>
  <c r="Q33" i="2" s="1"/>
  <c r="AX33" i="2"/>
  <c r="BC33" i="2"/>
  <c r="BP33" i="2"/>
  <c r="BR33" i="2"/>
  <c r="BG33" i="2"/>
  <c r="BL33" i="2"/>
  <c r="BB33" i="2"/>
  <c r="BO33" i="2"/>
  <c r="CC33" i="2"/>
  <c r="BF33" i="2"/>
  <c r="BK33" i="2"/>
  <c r="AZ33" i="2"/>
  <c r="BN33" i="2"/>
  <c r="CB33" i="2"/>
  <c r="BT33" i="2"/>
  <c r="BJ33" i="2"/>
  <c r="O33" i="2"/>
  <c r="P33" i="2" s="1"/>
  <c r="R32" i="2" l="1"/>
  <c r="AD32" i="2" s="1"/>
  <c r="AD31" i="2"/>
  <c r="CF33" i="2"/>
  <c r="R33" i="2"/>
  <c r="CG33" i="2"/>
  <c r="CE33" i="2"/>
  <c r="CE32" i="2"/>
  <c r="BY34" i="2"/>
  <c r="BY36" i="2" s="1"/>
  <c r="F62" i="4" s="1"/>
  <c r="BX34" i="2"/>
  <c r="BX36" i="2" s="1"/>
  <c r="F59" i="4" s="1"/>
  <c r="BW34" i="2"/>
  <c r="BW36" i="2" s="1"/>
  <c r="F61" i="4" s="1"/>
  <c r="BV34" i="2"/>
  <c r="BV36" i="2" s="1"/>
  <c r="F58" i="4" s="1"/>
  <c r="AZ34" i="2"/>
  <c r="BN34" i="2"/>
  <c r="BN36" i="2" s="1"/>
  <c r="CB34" i="2"/>
  <c r="BG34" i="2"/>
  <c r="BG36" i="2" s="1"/>
  <c r="AI49" i="1" s="1"/>
  <c r="AY34" i="2"/>
  <c r="BD34" i="2"/>
  <c r="BS34" i="2"/>
  <c r="BS36" i="2" s="1"/>
  <c r="S49" i="1" s="1"/>
  <c r="AX34" i="2"/>
  <c r="BC34" i="2"/>
  <c r="BP34" i="2"/>
  <c r="BP36" i="2" s="1"/>
  <c r="O65" i="1" s="1"/>
  <c r="BR34" i="2"/>
  <c r="BR36" i="2" s="1"/>
  <c r="BJ34" i="2"/>
  <c r="BJ36" i="2" s="1"/>
  <c r="O34" i="2"/>
  <c r="BB34" i="2"/>
  <c r="BO34" i="2"/>
  <c r="BO36" i="2" s="1"/>
  <c r="O49" i="1" s="1"/>
  <c r="CC34" i="2"/>
  <c r="BF34" i="2"/>
  <c r="BF36" i="2" s="1"/>
  <c r="AI33" i="1" s="1"/>
  <c r="BK34" i="2"/>
  <c r="BK36" i="2" s="1"/>
  <c r="BL34" i="2"/>
  <c r="CA34" i="2"/>
  <c r="BH34" i="2"/>
  <c r="N34" i="2"/>
  <c r="BT34" i="2"/>
  <c r="BT36" i="2" s="1"/>
  <c r="S65" i="1" s="1"/>
  <c r="AA32" i="2" l="1"/>
  <c r="U65" i="1"/>
  <c r="S68" i="1"/>
  <c r="U68" i="1" s="1"/>
  <c r="BL36" i="2"/>
  <c r="BL38" i="2"/>
  <c r="Q49" i="1"/>
  <c r="O52" i="1"/>
  <c r="Q52" i="1" s="1"/>
  <c r="P34" i="2"/>
  <c r="O36" i="2"/>
  <c r="U49" i="1"/>
  <c r="S52" i="1"/>
  <c r="U52" i="1" s="1"/>
  <c r="CF34" i="2"/>
  <c r="CB36" i="2"/>
  <c r="AA49" i="1" s="1"/>
  <c r="H58" i="4"/>
  <c r="J58" i="4"/>
  <c r="I58" i="4"/>
  <c r="J59" i="4"/>
  <c r="H59" i="4"/>
  <c r="I59" i="4"/>
  <c r="BH36" i="2"/>
  <c r="AI65" i="1" s="1"/>
  <c r="BH38" i="2"/>
  <c r="AI36" i="1"/>
  <c r="AK36" i="1" s="1"/>
  <c r="AK33" i="1"/>
  <c r="AI17" i="1"/>
  <c r="S33" i="1"/>
  <c r="BT38" i="2"/>
  <c r="Q34" i="2"/>
  <c r="Q36" i="2" s="1"/>
  <c r="N36" i="2"/>
  <c r="CE34" i="2"/>
  <c r="CA36" i="2"/>
  <c r="CB40" i="2"/>
  <c r="AE49" i="1"/>
  <c r="CG34" i="2"/>
  <c r="CC36" i="2"/>
  <c r="AA65" i="1" s="1"/>
  <c r="CA40" i="2"/>
  <c r="AE33" i="1"/>
  <c r="O68" i="1"/>
  <c r="Q68" i="1" s="1"/>
  <c r="Q65" i="1"/>
  <c r="AI52" i="1"/>
  <c r="AK52" i="1" s="1"/>
  <c r="AK49" i="1"/>
  <c r="BP38" i="2"/>
  <c r="O33" i="1"/>
  <c r="J61" i="4"/>
  <c r="I61" i="4"/>
  <c r="H61" i="4"/>
  <c r="I62" i="4"/>
  <c r="H62" i="4"/>
  <c r="J62" i="4"/>
  <c r="AD33" i="2"/>
  <c r="AA33" i="2"/>
  <c r="M61" i="4" l="1"/>
  <c r="L61" i="4"/>
  <c r="U33" i="1"/>
  <c r="S17" i="1"/>
  <c r="S36" i="1"/>
  <c r="U36" i="1" s="1"/>
  <c r="M59" i="4"/>
  <c r="L59" i="4"/>
  <c r="L58" i="4"/>
  <c r="M58" i="4"/>
  <c r="AC49" i="1"/>
  <c r="AQ49" i="1"/>
  <c r="AA52" i="1"/>
  <c r="AC52" i="1" s="1"/>
  <c r="L62" i="4"/>
  <c r="M62" i="4"/>
  <c r="Q33" i="1"/>
  <c r="O17" i="1"/>
  <c r="O36" i="1"/>
  <c r="Q36" i="1" s="1"/>
  <c r="AE36" i="1"/>
  <c r="AG36" i="1" s="1"/>
  <c r="AG33" i="1"/>
  <c r="AA68" i="1"/>
  <c r="AC68" i="1" s="1"/>
  <c r="AC65" i="1"/>
  <c r="AE52" i="1"/>
  <c r="AG52" i="1" s="1"/>
  <c r="AG49" i="1"/>
  <c r="AA33" i="1"/>
  <c r="CC38" i="2"/>
  <c r="AI20" i="1"/>
  <c r="AK17" i="1"/>
  <c r="AI68" i="1"/>
  <c r="AK68" i="1" s="1"/>
  <c r="AK65" i="1"/>
  <c r="R34" i="2"/>
  <c r="P36" i="2"/>
  <c r="CC40" i="2"/>
  <c r="AE65" i="1"/>
  <c r="AE17" i="1" s="1"/>
  <c r="AY31" i="2"/>
  <c r="AZ31" i="2"/>
  <c r="BC31" i="2"/>
  <c r="AX31" i="2"/>
  <c r="BB31" i="2"/>
  <c r="BD31" i="2"/>
  <c r="AY30" i="2"/>
  <c r="AZ30" i="2"/>
  <c r="AX30" i="2"/>
  <c r="BC30" i="2"/>
  <c r="BD30" i="2"/>
  <c r="BB30" i="2"/>
  <c r="BB29" i="2"/>
  <c r="AZ29" i="2"/>
  <c r="BC29" i="2"/>
  <c r="BD29" i="2"/>
  <c r="AY29" i="2"/>
  <c r="AX29" i="2"/>
  <c r="AX28" i="2"/>
  <c r="BC28" i="2"/>
  <c r="AY28" i="2"/>
  <c r="AZ28" i="2"/>
  <c r="BD28" i="2"/>
  <c r="BB28" i="2"/>
  <c r="BD27" i="2"/>
  <c r="BB27" i="2"/>
  <c r="AX27" i="2"/>
  <c r="AY27" i="2"/>
  <c r="AZ27" i="2"/>
  <c r="BC27" i="2"/>
  <c r="BD26" i="2"/>
  <c r="BC26" i="2"/>
  <c r="AZ26" i="2"/>
  <c r="AX26" i="2"/>
  <c r="BB26" i="2"/>
  <c r="AY26" i="2"/>
  <c r="AZ25" i="2"/>
  <c r="AY25" i="2"/>
  <c r="BB25" i="2"/>
  <c r="BC25" i="2"/>
  <c r="BD25" i="2"/>
  <c r="AX25" i="2"/>
  <c r="BC24" i="2"/>
  <c r="AX24" i="2"/>
  <c r="AY24" i="2"/>
  <c r="AZ24" i="2"/>
  <c r="BB24" i="2"/>
  <c r="BD24" i="2"/>
  <c r="BB23" i="2"/>
  <c r="AZ23" i="2"/>
  <c r="AX23" i="2"/>
  <c r="BD23" i="2"/>
  <c r="AY23" i="2"/>
  <c r="BC23" i="2"/>
  <c r="BC22" i="2"/>
  <c r="AZ22" i="2"/>
  <c r="AX22" i="2"/>
  <c r="BD22" i="2"/>
  <c r="BB22" i="2"/>
  <c r="AY22" i="2"/>
  <c r="BB21" i="2"/>
  <c r="AX21" i="2"/>
  <c r="AY21" i="2"/>
  <c r="BD21" i="2"/>
  <c r="AZ21" i="2"/>
  <c r="BC21" i="2"/>
  <c r="AY20" i="2"/>
  <c r="BC20" i="2"/>
  <c r="BD20" i="2"/>
  <c r="BB20" i="2"/>
  <c r="AZ20" i="2"/>
  <c r="AX20" i="2"/>
  <c r="AY19" i="2"/>
  <c r="AZ19" i="2"/>
  <c r="BB19" i="2"/>
  <c r="AX19" i="2"/>
  <c r="BD19" i="2"/>
  <c r="BC19" i="2"/>
  <c r="BD18" i="2"/>
  <c r="BC18" i="2"/>
  <c r="BB18" i="2"/>
  <c r="AX18" i="2"/>
  <c r="AY18" i="2"/>
  <c r="AZ18" i="2"/>
  <c r="AZ17" i="2"/>
  <c r="BB17" i="2"/>
  <c r="BC17" i="2"/>
  <c r="AX17" i="2"/>
  <c r="BD17" i="2"/>
  <c r="AY17" i="2"/>
  <c r="BD16" i="2"/>
  <c r="AZ16" i="2"/>
  <c r="BB16" i="2"/>
  <c r="BC16" i="2"/>
  <c r="AY16" i="2"/>
  <c r="AX16" i="2"/>
  <c r="AX15" i="2"/>
  <c r="BD15" i="2"/>
  <c r="AZ15" i="2"/>
  <c r="BC15" i="2"/>
  <c r="BB15" i="2"/>
  <c r="AY15" i="2"/>
  <c r="BC14" i="2"/>
  <c r="AY14" i="2"/>
  <c r="AZ14" i="2"/>
  <c r="AX14" i="2"/>
  <c r="BB14" i="2"/>
  <c r="BD14" i="2"/>
  <c r="BC13" i="2"/>
  <c r="AY13" i="2"/>
  <c r="BB13" i="2"/>
  <c r="AZ13" i="2"/>
  <c r="BD13" i="2"/>
  <c r="AX13" i="2"/>
  <c r="AZ12" i="2"/>
  <c r="AX12" i="2"/>
  <c r="BC12" i="2"/>
  <c r="AY12" i="2"/>
  <c r="BD12" i="2"/>
  <c r="BB12" i="2"/>
  <c r="BC11" i="2"/>
  <c r="BB11" i="2"/>
  <c r="BD11" i="2"/>
  <c r="AY11" i="2"/>
  <c r="AZ11" i="2"/>
  <c r="AX11" i="2"/>
  <c r="BB10" i="2"/>
  <c r="BD10" i="2"/>
  <c r="AY10" i="2"/>
  <c r="AZ10" i="2"/>
  <c r="AX10" i="2"/>
  <c r="BC10" i="2"/>
  <c r="AG17" i="1" l="1"/>
  <c r="AE20" i="1"/>
  <c r="AD34" i="2"/>
  <c r="AD39" i="2" s="1"/>
  <c r="AA34" i="2"/>
  <c r="AA36" i="2" s="1"/>
  <c r="R36" i="2"/>
  <c r="AZ22" i="1"/>
  <c r="AK20" i="1"/>
  <c r="AQ33" i="1"/>
  <c r="AA17" i="1"/>
  <c r="AA36" i="1"/>
  <c r="AC36" i="1" s="1"/>
  <c r="AC33" i="1"/>
  <c r="O20" i="1"/>
  <c r="Q17" i="1"/>
  <c r="S20" i="1"/>
  <c r="U17" i="1"/>
  <c r="AG65" i="1"/>
  <c r="AE68" i="1"/>
  <c r="AG68" i="1" s="1"/>
  <c r="AQ65" i="1"/>
  <c r="AS49" i="1"/>
  <c r="AQ52" i="1"/>
  <c r="AS52" i="1" s="1"/>
  <c r="AV49" i="1"/>
  <c r="AV52" i="1" s="1"/>
  <c r="AY4" i="2"/>
  <c r="AX4" i="2"/>
  <c r="AZ4" i="2"/>
  <c r="BC4" i="2"/>
  <c r="BB4" i="2"/>
  <c r="BD4" i="2"/>
  <c r="AY6" i="2"/>
  <c r="AZ6" i="2"/>
  <c r="AX6" i="2"/>
  <c r="BB6" i="2"/>
  <c r="BC6" i="2"/>
  <c r="BD6" i="2"/>
  <c r="AY5" i="2"/>
  <c r="BB5" i="2"/>
  <c r="AZ5" i="2"/>
  <c r="BD5" i="2"/>
  <c r="BC5" i="2"/>
  <c r="AX5" i="2"/>
  <c r="BD9" i="2"/>
  <c r="AX9" i="2"/>
  <c r="AY9" i="2"/>
  <c r="AZ9" i="2"/>
  <c r="BC9" i="2"/>
  <c r="BB9" i="2"/>
  <c r="AZ8" i="2"/>
  <c r="AY8" i="2"/>
  <c r="AX8" i="2"/>
  <c r="BD8" i="2"/>
  <c r="BB8" i="2"/>
  <c r="BC8" i="2"/>
  <c r="AY7" i="2"/>
  <c r="AZ7" i="2"/>
  <c r="AX7" i="2"/>
  <c r="BD7" i="2"/>
  <c r="BC7" i="2"/>
  <c r="BB7" i="2"/>
  <c r="BB36" i="2" l="1"/>
  <c r="K33" i="1" s="1"/>
  <c r="BD38" i="2"/>
  <c r="AZ36" i="2"/>
  <c r="AY36" i="2"/>
  <c r="AS65" i="1"/>
  <c r="AQ68" i="1"/>
  <c r="AS68" i="1" s="1"/>
  <c r="AV65" i="1"/>
  <c r="AV68" i="1" s="1"/>
  <c r="AZ14" i="1"/>
  <c r="BB14" i="1" s="1"/>
  <c r="U20" i="1"/>
  <c r="AZ13" i="1"/>
  <c r="BB13" i="1" s="1"/>
  <c r="Q20" i="1"/>
  <c r="AV33" i="1"/>
  <c r="AV36" i="1" s="1"/>
  <c r="AQ36" i="1"/>
  <c r="AS36" i="1" s="1"/>
  <c r="AS33" i="1"/>
  <c r="BB22" i="1"/>
  <c r="AZ24" i="1"/>
  <c r="BB24" i="1" s="1"/>
  <c r="AG20" i="1"/>
  <c r="BD36" i="2"/>
  <c r="K65" i="1" s="1"/>
  <c r="BC36" i="2"/>
  <c r="K49" i="1" s="1"/>
  <c r="AZ38" i="2"/>
  <c r="AX36" i="2"/>
  <c r="AA20" i="1"/>
  <c r="AC17" i="1"/>
  <c r="AQ17" i="1"/>
  <c r="F13" i="4"/>
  <c r="AD36" i="2"/>
  <c r="AZ23" i="1" l="1"/>
  <c r="AC20" i="1"/>
  <c r="M65" i="1"/>
  <c r="K68" i="1"/>
  <c r="M68" i="1" s="1"/>
  <c r="J13" i="4"/>
  <c r="F26" i="4"/>
  <c r="H26" i="4" s="1"/>
  <c r="H13" i="4"/>
  <c r="F16" i="4"/>
  <c r="C33" i="1"/>
  <c r="G33" i="1"/>
  <c r="K52" i="1"/>
  <c r="M52" i="1" s="1"/>
  <c r="M49" i="1"/>
  <c r="C49" i="1"/>
  <c r="G49" i="1"/>
  <c r="AV17" i="1"/>
  <c r="AV20" i="1" s="1"/>
  <c r="AS17" i="1"/>
  <c r="AQ20" i="1"/>
  <c r="AS20" i="1" s="1"/>
  <c r="C65" i="1"/>
  <c r="G65" i="1"/>
  <c r="K17" i="1"/>
  <c r="M33" i="1"/>
  <c r="K36" i="1"/>
  <c r="M36" i="1" s="1"/>
  <c r="G68" i="1" l="1"/>
  <c r="I68" i="1" s="1"/>
  <c r="I65" i="1"/>
  <c r="E49" i="1"/>
  <c r="C52" i="1"/>
  <c r="E52" i="1" s="1"/>
  <c r="AM49" i="1"/>
  <c r="AM33" i="1"/>
  <c r="E33" i="1"/>
  <c r="C36" i="1"/>
  <c r="E36" i="1" s="1"/>
  <c r="C17" i="1"/>
  <c r="L13" i="4"/>
  <c r="J26" i="4"/>
  <c r="L26" i="4" s="1"/>
  <c r="J16" i="4"/>
  <c r="BB23" i="1"/>
  <c r="AZ26" i="1"/>
  <c r="BB26" i="1" s="1"/>
  <c r="M17" i="1"/>
  <c r="K20" i="1"/>
  <c r="AM65" i="1"/>
  <c r="E65" i="1"/>
  <c r="C68" i="1"/>
  <c r="E68" i="1" s="1"/>
  <c r="I49" i="1"/>
  <c r="G52" i="1"/>
  <c r="I52" i="1" s="1"/>
  <c r="G17" i="1"/>
  <c r="I33" i="1"/>
  <c r="G36" i="1"/>
  <c r="I36" i="1" s="1"/>
  <c r="I16" i="4"/>
  <c r="F17" i="4"/>
  <c r="H16" i="4"/>
  <c r="H17" i="4" l="1"/>
  <c r="I17" i="4"/>
  <c r="G20" i="1"/>
  <c r="I17" i="1"/>
  <c r="AZ10" i="1"/>
  <c r="BB10" i="1" s="1"/>
  <c r="M20" i="1"/>
  <c r="L16" i="4"/>
  <c r="J17" i="4"/>
  <c r="M16" i="4"/>
  <c r="AO33" i="1"/>
  <c r="AM36" i="1"/>
  <c r="AO36" i="1" s="1"/>
  <c r="AU33" i="1"/>
  <c r="AM68" i="1"/>
  <c r="AO68" i="1" s="1"/>
  <c r="AU65" i="1"/>
  <c r="AO65" i="1"/>
  <c r="AM17" i="1"/>
  <c r="E17" i="1"/>
  <c r="C20" i="1"/>
  <c r="AU49" i="1"/>
  <c r="AM52" i="1"/>
  <c r="AO52" i="1" s="1"/>
  <c r="AO49" i="1"/>
  <c r="AW49" i="1" l="1"/>
  <c r="AU52" i="1"/>
  <c r="AW52" i="1" s="1"/>
  <c r="I20" i="1"/>
  <c r="AZ9" i="1"/>
  <c r="BB9" i="1" s="1"/>
  <c r="E20" i="1"/>
  <c r="AZ8" i="1"/>
  <c r="AU17" i="1"/>
  <c r="AM20" i="1"/>
  <c r="AO20" i="1" s="1"/>
  <c r="AO17" i="1"/>
  <c r="AW65" i="1"/>
  <c r="AU68" i="1"/>
  <c r="AW68" i="1" s="1"/>
  <c r="AU36" i="1"/>
  <c r="AW36" i="1" s="1"/>
  <c r="AW33" i="1"/>
  <c r="L17" i="4"/>
  <c r="M17" i="4"/>
  <c r="BB8" i="1" l="1"/>
  <c r="AZ16" i="1"/>
  <c r="AW17" i="1"/>
  <c r="AU20" i="1"/>
  <c r="AW20" i="1" s="1"/>
  <c r="BB16" i="1" l="1"/>
  <c r="AZ28" i="1"/>
  <c r="BB28" i="1" s="1"/>
  <c r="AL26" i="47223" l="1"/>
  <c r="F7" i="47223"/>
  <c r="Z6" i="47223"/>
  <c r="AW7" i="47223"/>
  <c r="J8" i="47223"/>
  <c r="AQ31" i="47223"/>
  <c r="AF21" i="47223"/>
  <c r="AP21" i="47223"/>
  <c r="F4" i="47223"/>
  <c r="AD28" i="47223"/>
  <c r="Z10" i="47223"/>
  <c r="L19" i="47223"/>
  <c r="H9" i="47223"/>
  <c r="AU23" i="47223"/>
  <c r="S33" i="47223"/>
  <c r="F5" i="47223"/>
  <c r="V28" i="47223"/>
  <c r="AC32" i="47223"/>
  <c r="AL14" i="47223"/>
  <c r="AS9" i="47223"/>
  <c r="C31" i="47223"/>
  <c r="AN28" i="47223"/>
  <c r="H14" i="47223"/>
  <c r="AL13" i="47223"/>
  <c r="Q13" i="47223"/>
  <c r="AV33" i="47223"/>
  <c r="Q19" i="47223"/>
  <c r="I27" i="47223"/>
  <c r="AZ4" i="47223"/>
  <c r="T23" i="47223"/>
  <c r="AH21" i="47223"/>
  <c r="V31" i="47223"/>
  <c r="O12" i="47223"/>
  <c r="AV23" i="47223"/>
  <c r="N30" i="47223"/>
  <c r="R8" i="47223"/>
  <c r="P15" i="47223"/>
  <c r="AY28" i="47223"/>
  <c r="AP5" i="47223"/>
  <c r="K9" i="47223"/>
  <c r="P17" i="47223"/>
  <c r="AY27" i="47223"/>
  <c r="AY7" i="47223"/>
  <c r="AQ14" i="47223"/>
  <c r="AC33" i="47223"/>
  <c r="AW24" i="47223"/>
  <c r="K11" i="47223"/>
  <c r="F33" i="47223"/>
  <c r="AF10" i="47223"/>
  <c r="D5" i="47223"/>
  <c r="U15" i="47223"/>
  <c r="AD10" i="47223"/>
  <c r="P7" i="47223"/>
  <c r="V33" i="47223"/>
  <c r="AX32" i="47223"/>
  <c r="T9" i="47223"/>
  <c r="K19" i="47223"/>
  <c r="AC5" i="47223"/>
  <c r="N27" i="47223"/>
  <c r="AX16" i="47223"/>
  <c r="T29" i="47223"/>
  <c r="L27" i="47223"/>
  <c r="E6" i="47223"/>
  <c r="R13" i="47223"/>
  <c r="AW25" i="47223"/>
  <c r="Z18" i="47223"/>
  <c r="S30" i="47223"/>
  <c r="AQ4" i="47223"/>
  <c r="R29" i="47223"/>
  <c r="V26" i="47223"/>
  <c r="AJ24" i="47223"/>
  <c r="O13" i="47223"/>
  <c r="G31" i="47223"/>
  <c r="X9" i="47223"/>
  <c r="L20" i="47223"/>
  <c r="R22" i="47223"/>
  <c r="AR21" i="47223"/>
  <c r="AK17" i="47223"/>
  <c r="J24" i="47223"/>
  <c r="H13" i="47223"/>
  <c r="N15" i="47223"/>
  <c r="W26" i="47223"/>
  <c r="AS5" i="47223"/>
  <c r="Z8" i="47223"/>
  <c r="AY8" i="47223"/>
  <c r="N8" i="47223"/>
  <c r="AK33" i="47223"/>
  <c r="N18" i="47223"/>
  <c r="H19" i="47223"/>
  <c r="F19" i="47223"/>
  <c r="P20" i="47223"/>
  <c r="AI8" i="47223"/>
  <c r="Z33" i="47223"/>
  <c r="AP23" i="47223"/>
  <c r="AS12" i="47223"/>
  <c r="K20" i="47223"/>
  <c r="AM25" i="47223"/>
  <c r="AP16" i="47223"/>
  <c r="AG13" i="47223"/>
  <c r="R7" i="47223"/>
  <c r="Y5" i="47223"/>
  <c r="AM32" i="47223"/>
  <c r="P9" i="47223"/>
  <c r="AY20" i="47223"/>
  <c r="S6" i="47223"/>
  <c r="O14" i="47223"/>
  <c r="C5" i="47223"/>
  <c r="W8" i="47223"/>
  <c r="R15" i="47223"/>
  <c r="T6" i="47223"/>
  <c r="AJ27" i="47223"/>
  <c r="AP6" i="47223"/>
  <c r="AX8" i="47223"/>
  <c r="R9" i="47223"/>
  <c r="R24" i="47223"/>
  <c r="AY29" i="47223"/>
  <c r="AM18" i="47223"/>
  <c r="Y25" i="47223"/>
  <c r="F11" i="47223"/>
  <c r="I29" i="47223"/>
  <c r="C23" i="47223"/>
  <c r="D20" i="47223"/>
  <c r="J5" i="47223"/>
  <c r="Y32" i="47223"/>
  <c r="L4" i="47223"/>
  <c r="E30" i="47223"/>
  <c r="W27" i="47223"/>
  <c r="AL32" i="47223"/>
  <c r="C19" i="47223"/>
  <c r="AP28" i="47223"/>
  <c r="V14" i="47223"/>
  <c r="AM21" i="47223"/>
  <c r="AY12" i="47223"/>
  <c r="AP10" i="47223"/>
  <c r="U33" i="47223"/>
  <c r="AC27" i="47223"/>
  <c r="T24" i="47223"/>
  <c r="V11" i="47223"/>
  <c r="H5" i="47223"/>
  <c r="X6" i="47223"/>
  <c r="F28" i="47223"/>
  <c r="AV27" i="47223"/>
  <c r="G24" i="47223"/>
  <c r="Z13" i="47223"/>
  <c r="AY31" i="47223"/>
  <c r="T31" i="47223"/>
  <c r="AZ24" i="47223"/>
  <c r="AV17" i="47223"/>
  <c r="U13" i="47223"/>
  <c r="U16" i="47223"/>
  <c r="D27" i="47223"/>
  <c r="T17" i="47223"/>
  <c r="AW29" i="47223"/>
  <c r="G22" i="47223"/>
  <c r="M27" i="47223"/>
  <c r="I4" i="47223"/>
  <c r="X26" i="47223"/>
  <c r="I14" i="47223"/>
  <c r="C7" i="47223"/>
  <c r="AY24" i="47223"/>
  <c r="F27" i="47223"/>
  <c r="AY21" i="47223"/>
  <c r="AU15" i="47223"/>
  <c r="Z28" i="47223"/>
  <c r="R20" i="47223"/>
  <c r="AC16" i="47223"/>
  <c r="AL11" i="47223"/>
  <c r="Q17" i="47223"/>
  <c r="AX27" i="47223"/>
  <c r="K32" i="47223"/>
  <c r="S25" i="47223"/>
  <c r="AZ9" i="47223"/>
  <c r="AR24" i="47223"/>
  <c r="F10" i="47223"/>
  <c r="AQ19" i="47223"/>
  <c r="AR9" i="47223"/>
  <c r="J19" i="47223"/>
  <c r="T21" i="47223"/>
  <c r="AV8" i="47223"/>
  <c r="AI15" i="47223"/>
  <c r="Y24" i="47223"/>
  <c r="AN10" i="47223"/>
  <c r="C29" i="47223"/>
  <c r="W18" i="47223"/>
  <c r="L5" i="47223"/>
  <c r="AV16" i="47223"/>
  <c r="AT20" i="47223"/>
  <c r="Q15" i="47223"/>
  <c r="AQ11" i="47223"/>
  <c r="AJ23" i="47223"/>
  <c r="X8" i="47223"/>
  <c r="P32" i="47223"/>
  <c r="AT14" i="47223"/>
  <c r="V7" i="47223"/>
  <c r="AV14" i="47223"/>
  <c r="AG17" i="47223"/>
  <c r="AS31" i="47223"/>
  <c r="AC24" i="47223"/>
  <c r="AY9" i="47223"/>
  <c r="Z24" i="47223"/>
  <c r="C11" i="47223"/>
  <c r="AX25" i="47223"/>
  <c r="N32" i="47223"/>
  <c r="AF7" i="47223"/>
  <c r="O24" i="47223"/>
  <c r="N9" i="47223"/>
  <c r="AL22" i="47223"/>
  <c r="H30" i="47223"/>
  <c r="I5" i="47223"/>
  <c r="K6" i="47223"/>
  <c r="Y33" i="47223"/>
  <c r="AC18" i="47223"/>
  <c r="N23" i="47223"/>
  <c r="AZ10" i="47223"/>
  <c r="P4" i="47223"/>
  <c r="Z11" i="47223"/>
  <c r="C24" i="47223"/>
  <c r="AY17" i="47223"/>
  <c r="R16" i="47223"/>
  <c r="O15" i="47223"/>
  <c r="AN15" i="47223"/>
  <c r="S17" i="47223"/>
  <c r="D18" i="47223"/>
  <c r="C13" i="47223"/>
  <c r="X24" i="47223"/>
  <c r="AK8" i="47223"/>
  <c r="AR23" i="47223"/>
  <c r="AU29" i="47223"/>
  <c r="T26" i="47223"/>
  <c r="M15" i="47223"/>
  <c r="AX17" i="47223"/>
  <c r="AS21" i="47223"/>
  <c r="H25" i="47223"/>
  <c r="N10" i="47223"/>
  <c r="J23" i="47223"/>
  <c r="L23" i="47223"/>
  <c r="G16" i="47223"/>
  <c r="T10" i="47223"/>
  <c r="AX15" i="47223"/>
  <c r="AT19" i="47223"/>
  <c r="J17" i="47223"/>
  <c r="R26" i="47223"/>
  <c r="AV11" i="47223"/>
  <c r="W15" i="47223"/>
  <c r="U22" i="47223"/>
  <c r="AU30" i="47223"/>
  <c r="P5" i="47223"/>
  <c r="F8" i="47223"/>
  <c r="X18" i="47223"/>
  <c r="AU9" i="47223"/>
  <c r="N21" i="47223"/>
  <c r="Q23" i="47223"/>
  <c r="E22" i="47223"/>
  <c r="J22" i="47223"/>
  <c r="AN26" i="47223"/>
  <c r="T5" i="47223"/>
  <c r="AC29" i="47223"/>
  <c r="AQ7" i="47223"/>
  <c r="N5" i="47223"/>
  <c r="AI24" i="47223"/>
  <c r="AM4" i="47223"/>
  <c r="W11" i="47223"/>
  <c r="O11" i="47223"/>
  <c r="AF31" i="47223"/>
  <c r="F13" i="47223"/>
  <c r="N12" i="47223"/>
  <c r="G14" i="47223"/>
  <c r="F29" i="47223"/>
  <c r="AR17" i="47223"/>
  <c r="AP13" i="47223"/>
  <c r="C26" i="47223"/>
  <c r="I26" i="47223"/>
  <c r="AR28" i="47223"/>
  <c r="U7" i="47223"/>
  <c r="AC9" i="47223"/>
  <c r="AR7" i="47223"/>
  <c r="AQ26" i="47223"/>
  <c r="E13" i="47223"/>
  <c r="W30" i="47223"/>
  <c r="AY4" i="47223"/>
  <c r="Q12" i="47223"/>
  <c r="U26" i="47223"/>
  <c r="AW31" i="47223"/>
  <c r="AX23" i="47223"/>
  <c r="AV12" i="47223"/>
  <c r="AG7" i="47223"/>
  <c r="R28" i="47223"/>
  <c r="AQ6" i="47223"/>
  <c r="R14" i="47223"/>
  <c r="AQ28" i="47223"/>
  <c r="C9" i="47223"/>
  <c r="Z26" i="47223"/>
  <c r="O28" i="47223"/>
  <c r="S22" i="47223"/>
  <c r="D11" i="47223"/>
  <c r="K33" i="47223"/>
  <c r="AX7" i="47223"/>
  <c r="AP19" i="47223"/>
  <c r="AP33" i="47223"/>
  <c r="D8" i="47223"/>
  <c r="G18" i="47223"/>
  <c r="K29" i="47223"/>
  <c r="H31" i="47223"/>
  <c r="AJ20" i="47223"/>
  <c r="E16" i="47223"/>
  <c r="S28" i="47223"/>
  <c r="AG18" i="47223"/>
  <c r="L14" i="47223"/>
  <c r="AR15" i="47223"/>
  <c r="R32" i="47223"/>
  <c r="AN20" i="47223"/>
  <c r="M21" i="47223"/>
  <c r="M5" i="47223"/>
  <c r="T33" i="47223"/>
  <c r="AW26" i="47223"/>
  <c r="Z7" i="47223"/>
  <c r="T20" i="47223"/>
  <c r="R30" i="47223"/>
  <c r="I22" i="47223"/>
  <c r="H6" i="47223"/>
  <c r="AT18" i="47223"/>
  <c r="AF20" i="47223"/>
  <c r="X30" i="47223"/>
  <c r="E5" i="47223"/>
  <c r="E23" i="47223"/>
  <c r="M28" i="47223"/>
  <c r="AL21" i="47223"/>
  <c r="O21" i="47223"/>
  <c r="Q31" i="47223"/>
  <c r="N19" i="47223"/>
  <c r="J16" i="47223"/>
  <c r="S13" i="47223"/>
  <c r="O4" i="47223"/>
  <c r="S29" i="47223"/>
  <c r="AT8" i="47223"/>
  <c r="N7" i="47223"/>
  <c r="AU18" i="47223"/>
  <c r="J11" i="47223"/>
  <c r="W22" i="47223"/>
  <c r="O26" i="47223"/>
  <c r="AS28" i="47223"/>
  <c r="AI7" i="47223"/>
  <c r="M16" i="47223"/>
  <c r="AF28" i="47223"/>
  <c r="D12" i="47223"/>
  <c r="S31" i="47223"/>
  <c r="AP29" i="47223"/>
  <c r="M4" i="47223"/>
  <c r="AY10" i="47223"/>
  <c r="AI33" i="47223"/>
  <c r="AY13" i="47223"/>
  <c r="W32" i="47223"/>
  <c r="N31" i="47223"/>
  <c r="S14" i="47223"/>
  <c r="AE14" i="47223"/>
  <c r="AW15" i="47223"/>
  <c r="X15" i="47223"/>
  <c r="AO18" i="47223"/>
  <c r="AL28" i="47223"/>
  <c r="AK27" i="47223"/>
  <c r="M9" i="47223"/>
  <c r="AN12" i="47223"/>
  <c r="F23" i="47223"/>
  <c r="S23" i="47223"/>
  <c r="U9" i="47223"/>
  <c r="I12" i="47223"/>
  <c r="W5" i="47223"/>
  <c r="AM13" i="47223"/>
  <c r="V5" i="47223"/>
  <c r="AV32" i="47223"/>
  <c r="U8" i="47223"/>
  <c r="W33" i="47223"/>
  <c r="AJ28" i="47223"/>
  <c r="J12" i="47223"/>
  <c r="Y22" i="47223"/>
  <c r="Y29" i="47223"/>
  <c r="AY22" i="47223"/>
  <c r="W16" i="47223"/>
  <c r="AW19" i="47223"/>
  <c r="AN13" i="47223"/>
  <c r="P19" i="47223"/>
  <c r="Q26" i="47223"/>
  <c r="AS14" i="47223"/>
  <c r="AO20" i="47223"/>
  <c r="AR25" i="47223"/>
  <c r="AM30" i="47223"/>
  <c r="Q6" i="47223"/>
  <c r="I23" i="47223"/>
  <c r="X5" i="47223"/>
  <c r="AH19" i="47223"/>
  <c r="E17" i="47223"/>
  <c r="AE4" i="47223"/>
  <c r="Z14" i="47223"/>
  <c r="AC14" i="47223"/>
  <c r="L13" i="47223"/>
  <c r="K31" i="47223"/>
  <c r="H16" i="47223"/>
  <c r="E14" i="47223"/>
  <c r="J7" i="47223"/>
  <c r="T7" i="47223"/>
  <c r="AX31" i="47223"/>
  <c r="AS15" i="47223"/>
  <c r="T27" i="47223"/>
  <c r="Z29" i="47223"/>
  <c r="P21" i="47223"/>
  <c r="AV18" i="47223"/>
  <c r="AJ4" i="47223"/>
  <c r="AX29" i="47223"/>
  <c r="P29" i="47223"/>
  <c r="Y26" i="47223"/>
  <c r="U17" i="47223"/>
  <c r="Y27" i="47223"/>
  <c r="AV7" i="47223"/>
  <c r="AC25" i="47223"/>
  <c r="AE11" i="47223"/>
  <c r="AU13" i="47223"/>
  <c r="J31" i="47223"/>
  <c r="H27" i="47223"/>
  <c r="P26" i="47223"/>
  <c r="Y12" i="47223"/>
  <c r="Y6" i="47223"/>
  <c r="M33" i="47223"/>
  <c r="AY23" i="47223"/>
  <c r="AO32" i="47223"/>
  <c r="D32" i="47223"/>
  <c r="S12" i="47223"/>
  <c r="AS10" i="47223"/>
  <c r="M6" i="47223"/>
  <c r="N6" i="47223"/>
  <c r="AM14" i="47223"/>
  <c r="V18" i="47223"/>
  <c r="AX9" i="47223"/>
  <c r="AJ12" i="47223"/>
  <c r="V15" i="47223"/>
  <c r="L22" i="47223"/>
  <c r="W29" i="47223"/>
  <c r="P13" i="47223"/>
  <c r="L33" i="47223"/>
  <c r="AM16" i="47223"/>
  <c r="I6" i="47223"/>
  <c r="R31" i="47223"/>
  <c r="K30" i="47223"/>
  <c r="T22" i="47223"/>
  <c r="G25" i="47223"/>
  <c r="AW16" i="47223"/>
  <c r="V8" i="47223"/>
  <c r="AI29" i="47223"/>
  <c r="AS19" i="47223"/>
  <c r="AM20" i="47223"/>
  <c r="F32" i="47223"/>
  <c r="G9" i="47223"/>
  <c r="O29" i="47223"/>
  <c r="R18" i="47223"/>
  <c r="G26" i="47223"/>
  <c r="M14" i="47223"/>
  <c r="K16" i="47223"/>
  <c r="AP27" i="47223"/>
  <c r="AV31" i="47223"/>
  <c r="AU5" i="47223"/>
  <c r="AG5" i="47223"/>
  <c r="V32" i="47223"/>
  <c r="C27" i="47223"/>
  <c r="S10" i="47223"/>
  <c r="S21" i="47223"/>
  <c r="W28" i="47223"/>
  <c r="AG22" i="47223"/>
  <c r="AL16" i="47223"/>
  <c r="W12" i="47223"/>
  <c r="AR5" i="47223"/>
  <c r="D14" i="47223"/>
  <c r="Q24" i="47223"/>
  <c r="AG9" i="47223"/>
  <c r="Q25" i="47223"/>
  <c r="H33" i="47223"/>
  <c r="I31" i="47223"/>
  <c r="AW30" i="47223"/>
  <c r="P24" i="47223"/>
  <c r="R4" i="47223"/>
  <c r="U29" i="47223"/>
  <c r="E12" i="47223"/>
  <c r="AO24" i="47223"/>
  <c r="K7" i="47223"/>
  <c r="AP4" i="47223"/>
  <c r="H15" i="47223"/>
  <c r="AC7" i="47223"/>
  <c r="X4" i="47223"/>
  <c r="AQ17" i="47223"/>
  <c r="C10" i="47223"/>
  <c r="F24" i="47223"/>
  <c r="AQ27" i="47223"/>
  <c r="T15" i="47223"/>
  <c r="S19" i="47223"/>
  <c r="AQ22" i="47223"/>
  <c r="AI32" i="47223"/>
  <c r="J4" i="47223"/>
  <c r="AX26" i="47223"/>
  <c r="K21" i="47223"/>
  <c r="Y28" i="47223"/>
  <c r="O18" i="47223"/>
  <c r="AS17" i="47223"/>
  <c r="K10" i="47223"/>
  <c r="AI26" i="47223"/>
  <c r="AH7" i="47223"/>
  <c r="AH31" i="47223"/>
  <c r="AC8" i="47223"/>
  <c r="J18" i="47223"/>
  <c r="L16" i="47223"/>
  <c r="M32" i="47223"/>
  <c r="S7" i="47223"/>
  <c r="AU26" i="47223"/>
  <c r="AT27" i="47223"/>
  <c r="AF12" i="47223"/>
  <c r="G19" i="47223"/>
  <c r="S32" i="47223"/>
  <c r="Y31" i="47223"/>
  <c r="E20" i="47223"/>
  <c r="Z4" i="47223"/>
  <c r="AR13" i="47223"/>
  <c r="AC20" i="47223"/>
  <c r="G20" i="47223"/>
  <c r="O19" i="47223"/>
  <c r="AZ7" i="47223"/>
  <c r="AS8" i="47223"/>
  <c r="O5" i="47223"/>
  <c r="M20" i="47223"/>
  <c r="G28" i="47223"/>
  <c r="C22" i="47223"/>
  <c r="U32" i="47223"/>
  <c r="AO30" i="47223"/>
  <c r="AV24" i="47223"/>
  <c r="E29" i="47223"/>
  <c r="G23" i="47223"/>
  <c r="AT9" i="47223"/>
  <c r="M12" i="47223"/>
  <c r="AQ15" i="47223"/>
  <c r="AW6" i="47223"/>
  <c r="AQ12" i="47223"/>
  <c r="L30" i="47223"/>
  <c r="AM24" i="47223"/>
  <c r="AW17" i="47223"/>
  <c r="F22" i="47223"/>
  <c r="U27" i="47223"/>
  <c r="K13" i="47223"/>
  <c r="L11" i="47223"/>
  <c r="AL12" i="47223"/>
  <c r="R17" i="47223"/>
  <c r="AL20" i="47223"/>
  <c r="E9" i="47223"/>
  <c r="AV22" i="47223"/>
  <c r="N25" i="47223"/>
  <c r="C14" i="47223"/>
  <c r="AF18" i="47223"/>
  <c r="R5" i="47223"/>
  <c r="C21" i="47223"/>
  <c r="Z16" i="47223"/>
  <c r="W23" i="47223"/>
  <c r="AJ6" i="47223"/>
  <c r="AI14" i="47223"/>
  <c r="E24" i="47223"/>
  <c r="AP15" i="47223"/>
  <c r="W25" i="47223"/>
  <c r="AC22" i="47223"/>
  <c r="K22" i="47223"/>
  <c r="M25" i="47223"/>
  <c r="AK12" i="47223"/>
  <c r="S16" i="47223"/>
  <c r="Y20" i="47223"/>
  <c r="E10" i="47223"/>
  <c r="AG28" i="47223"/>
  <c r="I30" i="47223"/>
  <c r="AC21" i="47223"/>
  <c r="I16" i="47223"/>
  <c r="AZ29" i="47223"/>
  <c r="T19" i="47223"/>
  <c r="AU32" i="47223"/>
  <c r="Z17" i="47223"/>
  <c r="AX14" i="47223"/>
  <c r="AR32" i="47223"/>
  <c r="AW23" i="47223"/>
  <c r="M17" i="47223"/>
  <c r="D30" i="47223"/>
  <c r="AT15" i="47223"/>
  <c r="K5" i="47223"/>
  <c r="AC23" i="47223"/>
  <c r="AL9" i="47223"/>
  <c r="F17" i="47223"/>
  <c r="AU4" i="47223"/>
  <c r="AR20" i="47223"/>
  <c r="L15" i="47223"/>
  <c r="AO4" i="47223"/>
  <c r="Z9" i="47223"/>
  <c r="G10" i="47223"/>
  <c r="AR22" i="47223"/>
  <c r="U4" i="47223"/>
  <c r="F12" i="47223"/>
  <c r="AO25" i="47223"/>
  <c r="AW13" i="47223"/>
  <c r="AR33" i="47223"/>
  <c r="G21" i="47223"/>
  <c r="F31" i="47223"/>
  <c r="AX18" i="47223"/>
  <c r="AL17" i="47223"/>
  <c r="K17" i="47223"/>
  <c r="X33" i="47223"/>
  <c r="M30" i="47223"/>
  <c r="Z22" i="47223"/>
  <c r="X28" i="47223"/>
  <c r="N33" i="47223"/>
  <c r="AZ16" i="47223"/>
  <c r="R33" i="47223"/>
  <c r="E33" i="47223"/>
  <c r="AM23" i="47223"/>
  <c r="G12" i="47223"/>
  <c r="AF17" i="47223"/>
  <c r="AC30" i="47223"/>
  <c r="AS7" i="47223"/>
  <c r="S15" i="47223"/>
  <c r="AI11" i="47223"/>
  <c r="J13" i="47223"/>
  <c r="M22" i="47223"/>
  <c r="AI17" i="47223"/>
  <c r="AS4" i="47223"/>
  <c r="C15" i="47223"/>
  <c r="AY6" i="47223"/>
  <c r="AG33" i="47223"/>
  <c r="C16" i="47223"/>
  <c r="AQ18" i="47223"/>
  <c r="R25" i="47223"/>
  <c r="P33" i="47223"/>
  <c r="AT22" i="47223"/>
  <c r="V30" i="47223"/>
  <c r="AP9" i="47223"/>
  <c r="AR19" i="47223"/>
  <c r="AU14" i="47223"/>
  <c r="AU31" i="47223"/>
  <c r="W20" i="47223"/>
  <c r="C28" i="47223"/>
  <c r="X27" i="47223"/>
  <c r="V27" i="47223"/>
  <c r="V16" i="47223"/>
  <c r="L12" i="47223"/>
  <c r="AV15" i="47223"/>
  <c r="I25" i="47223"/>
  <c r="P10" i="47223"/>
  <c r="Y10" i="47223"/>
  <c r="AH4" i="47223"/>
  <c r="H20" i="47223"/>
  <c r="AR10" i="47223"/>
  <c r="L8" i="47223"/>
  <c r="N22" i="47223"/>
  <c r="AX30" i="47223"/>
  <c r="H7" i="47223"/>
  <c r="AW32" i="47223"/>
  <c r="AW27" i="47223"/>
  <c r="U5" i="47223"/>
  <c r="Y30" i="47223"/>
  <c r="V4" i="47223"/>
  <c r="V20" i="47223"/>
  <c r="AX12" i="47223"/>
  <c r="AK30" i="47223"/>
  <c r="AZ23" i="47223"/>
  <c r="U25" i="47223"/>
  <c r="S24" i="47223"/>
  <c r="L9" i="47223"/>
  <c r="AC17" i="47223"/>
  <c r="AZ15" i="47223"/>
  <c r="S20" i="47223"/>
  <c r="H23" i="47223"/>
  <c r="AP22" i="47223"/>
  <c r="AT31" i="47223"/>
  <c r="V21" i="47223"/>
  <c r="AJ18" i="47223"/>
  <c r="Y9" i="47223"/>
  <c r="G6" i="47223"/>
  <c r="Q9" i="47223"/>
  <c r="AR11" i="47223"/>
  <c r="W7" i="47223"/>
  <c r="K4" i="47223"/>
  <c r="M18" i="47223"/>
  <c r="D28" i="47223"/>
  <c r="AO33" i="47223"/>
  <c r="O10" i="47223"/>
  <c r="P16" i="47223"/>
  <c r="AP30" i="47223"/>
  <c r="AM17" i="47223"/>
  <c r="P31" i="47223"/>
  <c r="T28" i="47223"/>
  <c r="E28" i="47223"/>
  <c r="U31" i="47223"/>
  <c r="R27" i="47223"/>
  <c r="AQ5" i="47223"/>
  <c r="G13" i="47223"/>
  <c r="X20" i="47223"/>
  <c r="O23" i="47223"/>
  <c r="AY5" i="47223"/>
  <c r="AC13" i="47223"/>
  <c r="D4" i="47223"/>
  <c r="C33" i="47223"/>
  <c r="P23" i="47223"/>
  <c r="AK14" i="47223"/>
  <c r="Z32" i="47223"/>
  <c r="AG32" i="47223"/>
  <c r="AR29" i="47223"/>
  <c r="Q11" i="47223"/>
  <c r="F6" i="47223"/>
  <c r="AS25" i="47223"/>
  <c r="D13" i="47223"/>
  <c r="X25" i="47223"/>
  <c r="W14" i="47223"/>
  <c r="AZ30" i="47223"/>
  <c r="D31" i="47223"/>
  <c r="AU25" i="47223"/>
  <c r="S9" i="47223"/>
  <c r="AQ21" i="47223"/>
  <c r="J6" i="47223"/>
  <c r="I24" i="47223"/>
  <c r="T13" i="47223"/>
  <c r="AS32" i="47223"/>
  <c r="AH14" i="47223"/>
  <c r="AG23" i="47223"/>
  <c r="AT32" i="47223"/>
  <c r="U20" i="47223"/>
  <c r="V9" i="47223"/>
  <c r="AM12" i="47223"/>
  <c r="C4" i="47223"/>
  <c r="C17" i="47223"/>
  <c r="G29" i="47223"/>
  <c r="H17" i="47223"/>
  <c r="X32" i="47223"/>
  <c r="T16" i="47223"/>
  <c r="AO19" i="47223"/>
  <c r="C6" i="47223"/>
  <c r="G33" i="47223"/>
  <c r="Z25" i="47223"/>
  <c r="AK28" i="47223"/>
  <c r="D17" i="47223"/>
  <c r="Y19" i="47223"/>
  <c r="AI28" i="47223"/>
  <c r="AH22" i="47223"/>
  <c r="AY25" i="47223"/>
  <c r="H26" i="47223"/>
  <c r="AD4" i="47223"/>
  <c r="AH16" i="47223"/>
  <c r="AV5" i="47223"/>
  <c r="G17" i="47223"/>
  <c r="H21" i="47223"/>
  <c r="Z20" i="47223"/>
  <c r="AX19" i="47223"/>
  <c r="D9" i="47223"/>
  <c r="AS11" i="47223"/>
  <c r="H10" i="47223"/>
  <c r="AU27" i="47223"/>
  <c r="AC6" i="47223"/>
  <c r="J32" i="47223"/>
  <c r="AM31" i="47223"/>
  <c r="E27" i="47223"/>
  <c r="X16" i="47223"/>
  <c r="AN7" i="47223"/>
  <c r="K27" i="47223"/>
  <c r="P22" i="47223"/>
  <c r="AU28" i="47223"/>
  <c r="D22" i="47223"/>
  <c r="AK4" i="47223"/>
  <c r="AR30" i="47223"/>
  <c r="AL6" i="47223"/>
  <c r="AP7" i="47223"/>
  <c r="Z21" i="47223"/>
  <c r="AG27" i="47223"/>
  <c r="X22" i="47223"/>
  <c r="M8" i="47223"/>
  <c r="X21" i="47223"/>
  <c r="R19" i="47223"/>
  <c r="AF25" i="47223"/>
  <c r="Q10" i="47223"/>
  <c r="AY26" i="47223"/>
  <c r="O33" i="47223"/>
  <c r="AN32" i="47223"/>
  <c r="L18" i="47223"/>
  <c r="O27" i="47223"/>
  <c r="AJ25" i="47223"/>
  <c r="AM5" i="47223"/>
  <c r="AC31" i="47223"/>
  <c r="AC15" i="47223"/>
  <c r="C20" i="47223"/>
  <c r="AW12" i="47223"/>
  <c r="R21" i="47223"/>
  <c r="AI16" i="47223"/>
  <c r="K28" i="47223"/>
  <c r="G4" i="47223"/>
  <c r="O25" i="47223"/>
  <c r="H4" i="47223"/>
  <c r="AO7" i="47223"/>
  <c r="U24" i="47223"/>
  <c r="AH24" i="47223"/>
  <c r="AF26" i="47223"/>
  <c r="P28" i="47223"/>
  <c r="AO5" i="47223"/>
  <c r="AH8" i="47223"/>
  <c r="AJ32" i="47223"/>
  <c r="K24" i="47223"/>
  <c r="AP20" i="47223"/>
  <c r="N16" i="47223"/>
  <c r="U18" i="47223"/>
  <c r="AP8" i="47223"/>
  <c r="U23" i="47223"/>
  <c r="Z19" i="47223"/>
  <c r="J33" i="47223"/>
  <c r="AS6" i="47223"/>
  <c r="X7" i="47223"/>
  <c r="U6" i="47223"/>
  <c r="S5" i="47223"/>
  <c r="AK11" i="47223"/>
  <c r="AN25" i="47223"/>
  <c r="L17" i="47223"/>
  <c r="AQ25" i="47223"/>
  <c r="AC10" i="47223"/>
  <c r="AK26" i="47223"/>
  <c r="AW22" i="47223"/>
  <c r="W19" i="47223"/>
  <c r="AY30" i="47223"/>
  <c r="K8" i="47223"/>
  <c r="Q21" i="47223"/>
  <c r="AN27" i="47223"/>
  <c r="Y15" i="47223"/>
  <c r="AR12" i="47223"/>
  <c r="AX21" i="47223"/>
  <c r="AY16" i="47223"/>
  <c r="K18" i="47223"/>
  <c r="AS26" i="47223"/>
  <c r="Q22" i="47223"/>
  <c r="Q16" i="47223"/>
  <c r="Z30" i="47223"/>
  <c r="AM33" i="47223"/>
  <c r="T8" i="47223"/>
  <c r="T30" i="47223"/>
  <c r="Q28" i="47223"/>
  <c r="AS16" i="47223"/>
  <c r="AL25" i="47223"/>
  <c r="D16" i="47223"/>
  <c r="AV29" i="47223"/>
  <c r="AK13" i="47223"/>
  <c r="S18" i="47223"/>
  <c r="I19" i="47223"/>
  <c r="AZ20" i="47223"/>
  <c r="T4" i="47223"/>
  <c r="AZ22" i="47223"/>
  <c r="L29" i="47223"/>
  <c r="X14" i="47223"/>
  <c r="AV30" i="47223"/>
  <c r="R11" i="47223"/>
  <c r="Y4" i="47223"/>
  <c r="AH12" i="47223"/>
  <c r="AS23" i="47223"/>
  <c r="S8" i="47223"/>
  <c r="F18" i="47223"/>
  <c r="I7" i="47223"/>
  <c r="Z15" i="47223"/>
  <c r="AW28" i="47223"/>
  <c r="O20" i="47223"/>
  <c r="V22" i="47223"/>
  <c r="AM19" i="47223"/>
  <c r="AX6" i="47223"/>
  <c r="AP25" i="47223"/>
  <c r="AS29" i="47223"/>
  <c r="S11" i="47223"/>
  <c r="AO12" i="47223"/>
  <c r="AN5" i="47223"/>
  <c r="U11" i="47223"/>
  <c r="W4" i="47223"/>
  <c r="AG12" i="47223"/>
  <c r="D24" i="47223"/>
  <c r="Q33" i="47223"/>
  <c r="E21" i="47223"/>
  <c r="L25" i="47223"/>
  <c r="I13" i="47223"/>
  <c r="E18" i="47223"/>
  <c r="T25" i="47223"/>
  <c r="AU20" i="47223"/>
  <c r="X31" i="47223"/>
  <c r="H28" i="47223"/>
  <c r="E11" i="47223"/>
  <c r="J26" i="47223"/>
  <c r="AO17" i="47223"/>
  <c r="G7" i="47223"/>
  <c r="I8" i="47223"/>
  <c r="C25" i="47223"/>
  <c r="AO15" i="47223"/>
  <c r="AX24" i="47223"/>
  <c r="F14" i="47223"/>
  <c r="X23" i="47223"/>
  <c r="J15" i="47223"/>
  <c r="AZ26" i="47223"/>
  <c r="AL10" i="47223"/>
  <c r="AF33" i="47223"/>
  <c r="P14" i="47223"/>
  <c r="V6" i="47223"/>
  <c r="AW8" i="47223"/>
  <c r="AP31" i="47223"/>
  <c r="AZ8" i="47223"/>
  <c r="C32" i="47223"/>
  <c r="X12" i="47223"/>
  <c r="AF5" i="47223"/>
  <c r="E7" i="47223"/>
  <c r="J29" i="47223"/>
  <c r="Y18" i="47223"/>
  <c r="F21" i="47223"/>
  <c r="W24" i="47223"/>
  <c r="K14" i="47223"/>
  <c r="C30" i="47223"/>
  <c r="AW11" i="47223"/>
  <c r="R10" i="47223"/>
  <c r="AJ13" i="47223"/>
  <c r="AQ10" i="47223"/>
  <c r="AZ19" i="47223"/>
  <c r="L31" i="47223"/>
  <c r="AF14" i="47223"/>
  <c r="G32" i="47223"/>
  <c r="X29" i="47223"/>
  <c r="K25" i="47223"/>
  <c r="M13" i="47223"/>
  <c r="P8" i="47223"/>
  <c r="AL18" i="47223"/>
  <c r="D25" i="47223"/>
  <c r="AC4" i="47223"/>
  <c r="AS24" i="47223"/>
  <c r="AT21" i="47223"/>
  <c r="AJ26" i="47223"/>
  <c r="AO23" i="47223"/>
  <c r="AK16" i="47223"/>
  <c r="U12" i="47223"/>
  <c r="H32" i="47223"/>
  <c r="AF4" i="47223"/>
  <c r="N28" i="47223"/>
  <c r="W21" i="47223"/>
  <c r="AP17" i="47223"/>
  <c r="M11" i="47223"/>
  <c r="AC11" i="47223"/>
  <c r="AI25" i="47223"/>
  <c r="H24" i="47223"/>
  <c r="AD7" i="47223"/>
  <c r="O16" i="47223"/>
  <c r="K15" i="47223"/>
  <c r="AE8" i="47223"/>
  <c r="AO29" i="47223"/>
  <c r="O30" i="47223"/>
  <c r="V19" i="47223"/>
  <c r="AS20" i="47223"/>
  <c r="M19" i="47223"/>
  <c r="AK23" i="47223"/>
  <c r="Z5" i="47223"/>
  <c r="O17" i="47223"/>
  <c r="P25" i="47223"/>
  <c r="AL4" i="47223"/>
  <c r="AS13" i="47223"/>
  <c r="M24" i="47223"/>
  <c r="T32" i="47223"/>
  <c r="E26" i="47223"/>
  <c r="P6" i="47223"/>
  <c r="AE6" i="47223"/>
  <c r="Y21" i="47223"/>
  <c r="AU7" i="47223"/>
  <c r="J14" i="47223"/>
  <c r="F9" i="47223"/>
  <c r="D10" i="47223"/>
  <c r="M7" i="47223"/>
  <c r="W6" i="47223"/>
  <c r="N17" i="47223"/>
  <c r="J27" i="47223"/>
  <c r="AD26" i="47223"/>
  <c r="I17" i="47223"/>
  <c r="AZ5" i="47223"/>
  <c r="L24" i="47223"/>
  <c r="AQ32" i="47223"/>
  <c r="AE30" i="47223"/>
  <c r="AD23" i="47223"/>
  <c r="AI31" i="47223"/>
  <c r="Y7" i="47223"/>
  <c r="AR26" i="47223"/>
  <c r="AU8" i="47223"/>
  <c r="AP11" i="47223"/>
  <c r="E25" i="47223"/>
  <c r="I9" i="47223"/>
  <c r="AC12" i="47223"/>
  <c r="W13" i="47223"/>
  <c r="G5" i="47223"/>
  <c r="AK29" i="47223"/>
  <c r="D15" i="47223"/>
  <c r="AI6" i="47223"/>
  <c r="T12" i="47223"/>
  <c r="V29" i="47223"/>
  <c r="AN30" i="47223"/>
  <c r="AS22" i="47223"/>
  <c r="AU16" i="47223"/>
  <c r="AN11" i="47223"/>
  <c r="E32" i="47223"/>
  <c r="I20" i="47223"/>
  <c r="AM26" i="47223"/>
  <c r="AQ33" i="47223"/>
  <c r="O22" i="47223"/>
  <c r="O41" i="47223" s="1"/>
  <c r="Z12" i="47223"/>
  <c r="AK32" i="47223"/>
  <c r="L7" i="47223"/>
  <c r="F26" i="47223"/>
  <c r="AZ17" i="47223"/>
  <c r="AL24" i="47223"/>
  <c r="AL27" i="47223"/>
  <c r="P12" i="47223"/>
  <c r="AS33" i="47223"/>
  <c r="K26" i="47223"/>
  <c r="AX33" i="47223"/>
  <c r="AQ20" i="47223"/>
  <c r="AP18" i="47223"/>
  <c r="D23" i="47223"/>
  <c r="AW9" i="47223"/>
  <c r="AT12" i="47223"/>
  <c r="S4" i="47223"/>
  <c r="X19" i="47223"/>
  <c r="AI12" i="47223"/>
  <c r="AT11" i="47223"/>
  <c r="AE18" i="47223"/>
  <c r="Q4" i="47223"/>
  <c r="AG6" i="47223"/>
  <c r="AZ6" i="47223"/>
  <c r="AZ21" i="47223"/>
  <c r="V17" i="47223"/>
  <c r="AR14" i="47223"/>
  <c r="AT16" i="47223"/>
  <c r="J30" i="47223"/>
  <c r="G11" i="47223"/>
  <c r="AV6" i="47223"/>
  <c r="AE26" i="47223"/>
  <c r="D26" i="47223"/>
  <c r="U21" i="47223"/>
  <c r="AV10" i="47223"/>
  <c r="K12" i="47223"/>
  <c r="F25" i="47223"/>
  <c r="M26" i="47223"/>
  <c r="N4" i="47223"/>
  <c r="AQ13" i="47223"/>
  <c r="AF13" i="47223"/>
  <c r="Y14" i="47223"/>
  <c r="AU22" i="47223"/>
  <c r="E15" i="47223"/>
  <c r="AS18" i="47223"/>
  <c r="H11" i="47223"/>
  <c r="AI13" i="47223"/>
  <c r="H18" i="47223"/>
  <c r="N24" i="47223"/>
  <c r="AO6" i="47223"/>
  <c r="AP12" i="47223"/>
  <c r="AN24" i="47223"/>
  <c r="AU24" i="47223"/>
  <c r="Q32" i="47223"/>
  <c r="AH32" i="47223"/>
  <c r="T11" i="47223"/>
  <c r="AE16" i="47223"/>
  <c r="V10" i="47223"/>
  <c r="H8" i="47223"/>
  <c r="AO14" i="47223"/>
  <c r="K23" i="47223"/>
  <c r="U30" i="47223"/>
  <c r="AX4" i="47223"/>
  <c r="N26" i="47223"/>
  <c r="AS30" i="47223"/>
  <c r="I32" i="47223"/>
  <c r="F20" i="47223"/>
  <c r="AQ30" i="47223"/>
  <c r="AR18" i="47223"/>
  <c r="AI20" i="47223"/>
  <c r="AU33" i="47223"/>
  <c r="AD33" i="47223"/>
  <c r="V25" i="47223"/>
  <c r="AN17" i="47223"/>
  <c r="AP26" i="47223"/>
  <c r="Y13" i="47223"/>
  <c r="L6" i="47223"/>
  <c r="Z23" i="47223"/>
  <c r="AY15" i="47223"/>
  <c r="AE10" i="47223"/>
  <c r="AO9" i="47223"/>
  <c r="AJ5" i="47223"/>
  <c r="O8" i="47223"/>
  <c r="AI5" i="47223"/>
  <c r="AK20" i="47223"/>
  <c r="AW10" i="47223"/>
  <c r="AI21" i="47223"/>
  <c r="J20" i="47223"/>
  <c r="V24" i="47223"/>
  <c r="S26" i="47223"/>
  <c r="W31" i="47223"/>
  <c r="AD8" i="47223"/>
  <c r="AY33" i="47223"/>
  <c r="AO31" i="47223"/>
  <c r="AG14" i="47223"/>
  <c r="AT33" i="47223"/>
  <c r="AT13" i="47223"/>
  <c r="Q20" i="47223"/>
  <c r="N14" i="47223"/>
  <c r="X13" i="47223"/>
  <c r="AU21" i="47223"/>
  <c r="I10" i="47223"/>
  <c r="AF29" i="47223"/>
  <c r="E4" i="47223"/>
  <c r="AV13" i="47223"/>
  <c r="AD15" i="47223"/>
  <c r="Q14" i="47223"/>
  <c r="AH10" i="47223"/>
  <c r="Z31" i="47223"/>
  <c r="E31" i="47223"/>
  <c r="AG8" i="47223"/>
  <c r="W9" i="47223"/>
  <c r="AE25" i="47223"/>
  <c r="I18" i="47223"/>
  <c r="Q30" i="47223"/>
  <c r="AZ32" i="47223"/>
  <c r="Q5" i="47223"/>
  <c r="AW33" i="47223"/>
  <c r="AK15" i="47223"/>
  <c r="I28" i="47223"/>
  <c r="AZ14" i="47223"/>
  <c r="X10" i="47223"/>
  <c r="AL29" i="47223"/>
  <c r="H12" i="47223"/>
  <c r="V23" i="47223"/>
  <c r="AK6" i="47223"/>
  <c r="G27" i="47223"/>
  <c r="AZ13" i="47223"/>
  <c r="P27" i="47223"/>
  <c r="AH5" i="47223"/>
  <c r="AM28" i="47223"/>
  <c r="L32" i="47223"/>
  <c r="N20" i="47223"/>
  <c r="AY18" i="47223"/>
  <c r="AG24" i="47223"/>
  <c r="AV28" i="47223"/>
  <c r="D33" i="47223"/>
  <c r="G8" i="47223"/>
  <c r="AL19" i="47223"/>
  <c r="AX28" i="47223"/>
  <c r="AR31" i="47223"/>
  <c r="AV4" i="47223"/>
  <c r="AR8" i="47223"/>
  <c r="AM15" i="47223"/>
  <c r="L26" i="47223"/>
  <c r="I15" i="47223"/>
  <c r="AN9" i="47223"/>
  <c r="AG30" i="47223"/>
  <c r="AH17" i="47223"/>
  <c r="AE13" i="47223"/>
  <c r="AS27" i="47223"/>
  <c r="AU19" i="47223"/>
  <c r="AX13" i="47223"/>
  <c r="AH26" i="47223"/>
  <c r="M23" i="47223"/>
  <c r="AH30" i="47223"/>
  <c r="N13" i="47223"/>
  <c r="AC26" i="47223"/>
  <c r="AO8" i="47223"/>
  <c r="AD31" i="47223"/>
  <c r="AV20" i="47223"/>
  <c r="D7" i="47223"/>
  <c r="T18" i="47223"/>
  <c r="AY14" i="47223"/>
  <c r="U10" i="47223"/>
  <c r="AG11" i="47223"/>
  <c r="AK22" i="47223"/>
  <c r="AD19" i="47223"/>
  <c r="AI22" i="47223"/>
  <c r="AI30" i="47223"/>
  <c r="V12" i="47223"/>
  <c r="AJ14" i="47223"/>
  <c r="AG31" i="47223"/>
  <c r="AO10" i="47223"/>
  <c r="AE32" i="47223"/>
  <c r="AH33" i="47223"/>
  <c r="I33" i="47223"/>
  <c r="AY19" i="47223"/>
  <c r="AM29" i="47223"/>
  <c r="D19" i="47223"/>
  <c r="AL31" i="47223"/>
  <c r="AM8" i="47223"/>
  <c r="AD12" i="47223"/>
  <c r="AT6" i="47223"/>
  <c r="AD11" i="47223"/>
  <c r="Y8" i="47223"/>
  <c r="AT25" i="47223"/>
  <c r="AQ8" i="47223"/>
  <c r="AL33" i="47223"/>
  <c r="AJ31" i="47223"/>
  <c r="C12" i="47223"/>
  <c r="AZ18" i="47223"/>
  <c r="U19" i="47223"/>
  <c r="F16" i="47223"/>
  <c r="AI19" i="47223"/>
  <c r="F15" i="47223"/>
  <c r="AN8" i="47223"/>
  <c r="AE9" i="47223"/>
  <c r="AG19" i="47223"/>
  <c r="AT17" i="47223"/>
  <c r="AD30" i="47223"/>
  <c r="Y23" i="47223"/>
  <c r="AN31" i="47223"/>
  <c r="AX22" i="47223"/>
  <c r="L10" i="47223"/>
  <c r="AD29" i="47223"/>
  <c r="R12" i="47223"/>
  <c r="R6" i="47223"/>
  <c r="AW21" i="47223"/>
  <c r="AT29" i="47223"/>
  <c r="AZ31" i="47223"/>
  <c r="AH18" i="47223"/>
  <c r="H22" i="47223"/>
  <c r="AZ25" i="47223"/>
  <c r="Q8" i="47223"/>
  <c r="AE31" i="47223"/>
  <c r="L28" i="47223"/>
  <c r="AC28" i="47223"/>
  <c r="AO16" i="47223"/>
  <c r="AM9" i="47223"/>
  <c r="AL30" i="47223"/>
  <c r="AL15" i="47223"/>
  <c r="AF32" i="47223"/>
  <c r="AH11" i="47223"/>
  <c r="AF19" i="47223"/>
  <c r="AW14" i="47223"/>
  <c r="AG10" i="47223"/>
  <c r="AQ16" i="47223"/>
  <c r="N29" i="47223"/>
  <c r="AZ11" i="47223"/>
  <c r="AE12" i="47223"/>
  <c r="X17" i="47223"/>
  <c r="AD6" i="47223"/>
  <c r="D21" i="47223"/>
  <c r="O9" i="47223"/>
  <c r="AF15" i="47223"/>
  <c r="AM27" i="47223"/>
  <c r="AH23" i="47223"/>
  <c r="AR4" i="47223"/>
  <c r="V13" i="47223"/>
  <c r="AH15" i="47223"/>
  <c r="AQ23" i="47223"/>
  <c r="AU12" i="47223"/>
  <c r="AJ10" i="47223"/>
  <c r="AT30" i="47223"/>
  <c r="AJ21" i="47223"/>
  <c r="O32" i="47223"/>
  <c r="Y11" i="47223"/>
  <c r="U14" i="47223"/>
  <c r="AU17" i="47223"/>
  <c r="AJ8" i="47223"/>
  <c r="AK24" i="47223"/>
  <c r="AJ9" i="47223"/>
  <c r="P30" i="47223"/>
  <c r="P11" i="47223"/>
  <c r="AR6" i="47223"/>
  <c r="AU11" i="47223"/>
  <c r="E19" i="47223"/>
  <c r="Q29" i="47223"/>
  <c r="J21" i="47223"/>
  <c r="D6" i="47223"/>
  <c r="AF6" i="47223"/>
  <c r="AW4" i="47223"/>
  <c r="AI4" i="47223"/>
  <c r="AI9" i="47223"/>
  <c r="J10" i="47223"/>
  <c r="F30" i="47223"/>
  <c r="AE33" i="47223"/>
  <c r="AH13" i="47223"/>
  <c r="AX5" i="47223"/>
  <c r="AF9" i="47223"/>
  <c r="AU6" i="47223"/>
  <c r="J28" i="47223"/>
  <c r="S27" i="47223"/>
  <c r="AT7" i="47223"/>
  <c r="AT24" i="47223"/>
  <c r="AX20" i="47223"/>
  <c r="C18" i="47223"/>
  <c r="I21" i="47223"/>
  <c r="I41" i="47223" s="1"/>
  <c r="AP24" i="47223"/>
  <c r="AE5" i="47223"/>
  <c r="AL23" i="47223"/>
  <c r="AF30" i="47223"/>
  <c r="AN6" i="47223"/>
  <c r="AT4" i="47223"/>
  <c r="AH20" i="47223"/>
  <c r="H29" i="47223"/>
  <c r="AV25" i="47223"/>
  <c r="I11" i="47223"/>
  <c r="W10" i="47223"/>
  <c r="AO21" i="47223"/>
  <c r="AX11" i="47223"/>
  <c r="AL5" i="47223"/>
  <c r="O7" i="47223"/>
  <c r="AN33" i="47223"/>
  <c r="AJ22" i="47223"/>
  <c r="AT26" i="47223"/>
  <c r="AN14" i="47223"/>
  <c r="AH6" i="47223"/>
  <c r="AY32" i="47223"/>
  <c r="L21" i="47223"/>
  <c r="L41" i="47223" s="1"/>
  <c r="AJ16" i="47223"/>
  <c r="AK10" i="47223"/>
  <c r="AO27" i="47223"/>
  <c r="Q18" i="47223"/>
  <c r="AE28" i="47223"/>
  <c r="AL7" i="47223"/>
  <c r="AV26" i="47223"/>
  <c r="AF22" i="47223"/>
  <c r="AM22" i="47223"/>
  <c r="M42" i="47223" s="1"/>
  <c r="R23" i="47223"/>
  <c r="Y17" i="47223"/>
  <c r="U28" i="47223"/>
  <c r="AE17" i="47223"/>
  <c r="Q27" i="47223"/>
  <c r="AE23" i="47223"/>
  <c r="AC19" i="47223"/>
  <c r="AK21" i="47223"/>
  <c r="AD18" i="47223"/>
  <c r="AP14" i="47223"/>
  <c r="AT5" i="47223"/>
  <c r="Q7" i="47223"/>
  <c r="G30" i="47223"/>
  <c r="AD13" i="47223"/>
  <c r="AD14" i="47223"/>
  <c r="C8" i="47223"/>
  <c r="AW18" i="47223"/>
  <c r="M10" i="47223"/>
  <c r="AZ33" i="47223"/>
  <c r="AW5" i="47223"/>
  <c r="AU10" i="47223"/>
  <c r="M29" i="47223"/>
  <c r="AJ17" i="47223"/>
  <c r="AF23" i="47223"/>
  <c r="AD16" i="47223"/>
  <c r="AN4" i="47223"/>
  <c r="T14" i="47223"/>
  <c r="W17" i="47223"/>
  <c r="AM10" i="47223"/>
  <c r="J9" i="47223"/>
  <c r="AH28" i="47223"/>
  <c r="AG25" i="47223"/>
  <c r="N11" i="47223"/>
  <c r="AF11" i="47223"/>
  <c r="AJ19" i="47223"/>
  <c r="AP32" i="47223"/>
  <c r="O31" i="47223"/>
  <c r="AX10" i="47223"/>
  <c r="AN18" i="47223"/>
  <c r="AE21" i="47223"/>
  <c r="AQ9" i="47223"/>
  <c r="AK5" i="47223"/>
  <c r="AT23" i="47223"/>
  <c r="AO22" i="47223"/>
  <c r="AE27" i="47223"/>
  <c r="AR16" i="47223"/>
  <c r="AZ12" i="47223"/>
  <c r="AW20" i="47223"/>
  <c r="AI27" i="47223"/>
  <c r="AV21" i="47223"/>
  <c r="AH9" i="47223"/>
  <c r="AD17" i="47223"/>
  <c r="AY11" i="47223"/>
  <c r="AI10" i="47223"/>
  <c r="O6" i="47223"/>
  <c r="AF8" i="47223"/>
  <c r="AN19" i="47223"/>
  <c r="AN21" i="47223"/>
  <c r="AR27" i="47223"/>
  <c r="AG20" i="47223"/>
  <c r="Z27" i="47223"/>
  <c r="AG4" i="47223"/>
  <c r="AG29" i="47223"/>
  <c r="AG15" i="47223"/>
  <c r="AT28" i="47223"/>
  <c r="Y16" i="47223"/>
  <c r="M31" i="47223"/>
  <c r="AI18" i="47223"/>
  <c r="AE20" i="47223"/>
  <c r="AJ30" i="47223"/>
  <c r="AF24" i="47223"/>
  <c r="AO13" i="47223"/>
  <c r="AQ24" i="47223"/>
  <c r="AQ29" i="47223"/>
  <c r="AD22" i="47223"/>
  <c r="AJ11" i="47223"/>
  <c r="AD32" i="47223"/>
  <c r="AN29" i="47223"/>
  <c r="AH29" i="47223"/>
  <c r="AE19" i="47223"/>
  <c r="X11" i="47223"/>
  <c r="G15" i="47223"/>
  <c r="AT10" i="47223"/>
  <c r="AO26" i="47223"/>
  <c r="AL8" i="47223"/>
  <c r="AK7" i="47223"/>
  <c r="D29" i="47223"/>
  <c r="AZ27" i="47223"/>
  <c r="AF27" i="47223"/>
  <c r="AV19" i="47223"/>
  <c r="AE29" i="47223"/>
  <c r="AG21" i="47223"/>
  <c r="E8" i="47223"/>
  <c r="AO28" i="47223"/>
  <c r="AE15" i="47223"/>
  <c r="AK9" i="47223"/>
  <c r="AI23" i="47223"/>
  <c r="AN22" i="47223"/>
  <c r="AE24" i="47223"/>
  <c r="AO11" i="47223"/>
  <c r="AK25" i="47223"/>
  <c r="AH27" i="47223"/>
  <c r="AF16" i="47223"/>
  <c r="AM11" i="47223"/>
  <c r="J25" i="47223"/>
  <c r="AD25" i="47223"/>
  <c r="AK19" i="47223"/>
  <c r="AE7" i="47223"/>
  <c r="AN16" i="47223"/>
  <c r="AZ28" i="47223"/>
  <c r="AD9" i="47223"/>
  <c r="AJ15" i="47223"/>
  <c r="AJ7" i="47223"/>
  <c r="P18" i="47223"/>
  <c r="AM7" i="47223"/>
  <c r="AG16" i="47223"/>
  <c r="AD27" i="47223"/>
  <c r="AH25" i="47223"/>
  <c r="AJ29" i="47223"/>
  <c r="AD21" i="47223"/>
  <c r="AV9" i="47223"/>
  <c r="AE22" i="47223"/>
  <c r="J41" i="47223" l="1"/>
  <c r="H41" i="47223"/>
  <c r="O42" i="47223"/>
  <c r="E42" i="47223"/>
  <c r="W41" i="47223"/>
  <c r="G41" i="47223"/>
  <c r="Z42" i="47223"/>
  <c r="S42" i="47223"/>
  <c r="P41" i="47223"/>
  <c r="J42" i="47223"/>
  <c r="U42" i="47223"/>
  <c r="U41" i="47223"/>
  <c r="T41" i="47223"/>
  <c r="V42" i="47223"/>
  <c r="E41" i="47223"/>
  <c r="R42" i="47223"/>
  <c r="X42" i="47223"/>
  <c r="P42" i="47223"/>
  <c r="N41" i="47223"/>
  <c r="W42" i="47223"/>
  <c r="F41" i="47223"/>
  <c r="Q41" i="47223"/>
  <c r="S41" i="47223"/>
  <c r="C41" i="47223"/>
  <c r="CJ12" i="2"/>
  <c r="G62" i="47223" s="1"/>
  <c r="D41" i="47223"/>
  <c r="C42" i="47223"/>
  <c r="F42" i="47223"/>
  <c r="Q42" i="47223"/>
  <c r="I42" i="47223"/>
  <c r="V41" i="47223"/>
  <c r="X41" i="47223"/>
  <c r="Z41" i="47223"/>
  <c r="M41" i="47223"/>
  <c r="K41" i="47223"/>
  <c r="Y41" i="47223"/>
  <c r="T42" i="47223"/>
  <c r="R41" i="47223"/>
  <c r="H42" i="47223"/>
  <c r="L42" i="47223"/>
  <c r="AD5" i="47223"/>
  <c r="AG26" i="47223"/>
  <c r="G42" i="47223" s="1"/>
  <c r="CJ24" i="2"/>
  <c r="G74" i="47223" s="1"/>
  <c r="AD24" i="47223"/>
  <c r="AK18" i="47223"/>
  <c r="K42" i="47223" s="1"/>
  <c r="CJ33" i="2"/>
  <c r="G83" i="47223" s="1"/>
  <c r="AJ33" i="47223"/>
  <c r="AN23" i="47223"/>
  <c r="N42" i="47223" s="1"/>
  <c r="AM6" i="47223"/>
  <c r="AD20" i="47223"/>
  <c r="D42" i="47223" s="1"/>
  <c r="CJ31" i="2"/>
  <c r="G81" i="47223" s="1"/>
  <c r="AK31" i="47223"/>
  <c r="Y42" i="47223"/>
  <c r="CJ29" i="2"/>
  <c r="G79" i="47223" s="1"/>
  <c r="CJ27" i="2"/>
  <c r="G77" i="47223" s="1"/>
  <c r="CJ25" i="2"/>
  <c r="G75" i="47223" s="1"/>
  <c r="CJ32" i="2"/>
  <c r="G82" i="47223" s="1"/>
  <c r="CJ30" i="2"/>
  <c r="G80" i="47223" s="1"/>
  <c r="CJ23" i="2"/>
  <c r="G73" i="47223" s="1"/>
  <c r="CJ28" i="2"/>
  <c r="G78" i="47223" s="1"/>
  <c r="CJ34" i="2"/>
  <c r="G84" i="47223" s="1"/>
  <c r="CJ17" i="2"/>
  <c r="G67" i="47223" s="1"/>
  <c r="CJ20" i="2"/>
  <c r="G70" i="47223" s="1"/>
  <c r="CJ5" i="2"/>
  <c r="G55" i="47223" s="1"/>
  <c r="CJ26" i="2"/>
  <c r="G76" i="47223" s="1"/>
  <c r="CJ10" i="2"/>
  <c r="G60" i="47223" s="1"/>
  <c r="CJ6" i="2"/>
  <c r="G56" i="47223" s="1"/>
  <c r="CJ13" i="2"/>
  <c r="G63" i="47223" s="1"/>
  <c r="CJ18" i="2" l="1"/>
  <c r="G68" i="47223" s="1"/>
  <c r="CJ16" i="2"/>
  <c r="G66" i="47223" s="1"/>
  <c r="CJ19" i="2"/>
  <c r="G69" i="47223" s="1"/>
  <c r="CJ11" i="2"/>
  <c r="G61" i="47223" s="1"/>
  <c r="CJ9" i="2"/>
  <c r="G59" i="47223" s="1"/>
  <c r="CJ7" i="2"/>
  <c r="G57" i="47223" s="1"/>
  <c r="CJ21" i="2"/>
  <c r="G71" i="47223" s="1"/>
  <c r="CJ14" i="2"/>
  <c r="G64" i="47223" s="1"/>
  <c r="CJ22" i="2"/>
  <c r="CJ8" i="2"/>
  <c r="G58" i="47223" s="1"/>
  <c r="CJ15" i="2"/>
  <c r="G65" i="47223" s="1"/>
  <c r="G72" i="47223" l="1"/>
  <c r="B52" i="4"/>
  <c r="D52" i="4" s="1"/>
  <c r="CI27" i="2" l="1"/>
  <c r="F77" i="47223" s="1"/>
  <c r="CI10" i="2"/>
  <c r="F60" i="47223" s="1"/>
  <c r="CI26" i="2"/>
  <c r="F76" i="47223" s="1"/>
  <c r="CI17" i="2"/>
  <c r="F67" i="47223" s="1"/>
  <c r="CI25" i="2"/>
  <c r="F75" i="47223" s="1"/>
  <c r="CI33" i="2"/>
  <c r="F83" i="47223" s="1"/>
  <c r="CI34" i="2"/>
  <c r="F84" i="47223" s="1"/>
  <c r="CI15" i="2"/>
  <c r="F65" i="47223" s="1"/>
  <c r="CI18" i="2"/>
  <c r="F68" i="47223" s="1"/>
  <c r="CI23" i="2"/>
  <c r="F73" i="47223" s="1"/>
  <c r="CI4" i="2"/>
  <c r="F54" i="47223" l="1"/>
  <c r="CI14" i="2"/>
  <c r="F64" i="47223" s="1"/>
  <c r="CI19" i="2"/>
  <c r="F69" i="47223" s="1"/>
  <c r="CI13" i="2"/>
  <c r="F63" i="47223" s="1"/>
  <c r="CI20" i="2"/>
  <c r="F70" i="47223" s="1"/>
  <c r="CI29" i="2"/>
  <c r="F79" i="47223" s="1"/>
  <c r="CI9" i="2"/>
  <c r="F59" i="47223" s="1"/>
  <c r="CI32" i="2"/>
  <c r="F82" i="47223" s="1"/>
  <c r="CI24" i="2"/>
  <c r="F74" i="47223" s="1"/>
  <c r="CI11" i="2"/>
  <c r="F61" i="47223" s="1"/>
  <c r="CI28" i="2"/>
  <c r="F78" i="47223" s="1"/>
  <c r="CI31" i="2"/>
  <c r="F81" i="47223" s="1"/>
  <c r="CI22" i="2"/>
  <c r="CI7" i="2"/>
  <c r="F57" i="47223" s="1"/>
  <c r="CI21" i="2"/>
  <c r="F71" i="47223" s="1"/>
  <c r="CI8" i="2"/>
  <c r="F58" i="47223" s="1"/>
  <c r="CJ4" i="2"/>
  <c r="CI6" i="2"/>
  <c r="F56" i="47223" s="1"/>
  <c r="CI5" i="2"/>
  <c r="F55" i="47223" s="1"/>
  <c r="CI12" i="2"/>
  <c r="F62" i="47223" s="1"/>
  <c r="CI16" i="2"/>
  <c r="F66" i="47223" s="1"/>
  <c r="CI30" i="2"/>
  <c r="F80" i="47223" s="1"/>
  <c r="CJ36" i="2" l="1"/>
  <c r="F52" i="4" s="1"/>
  <c r="G54" i="47223"/>
  <c r="F72" i="47223"/>
  <c r="B51" i="4"/>
  <c r="D51" i="4" s="1"/>
  <c r="CI36" i="2"/>
  <c r="F51" i="4" s="1"/>
  <c r="J51" i="4" l="1"/>
  <c r="L51" i="4" s="1"/>
  <c r="H51" i="4"/>
  <c r="J52" i="4"/>
  <c r="L52" i="4" s="1"/>
  <c r="H52" i="4"/>
</calcChain>
</file>

<file path=xl/comments1.xml><?xml version="1.0" encoding="utf-8"?>
<comments xmlns="http://schemas.openxmlformats.org/spreadsheetml/2006/main">
  <authors>
    <author>e004168</author>
  </authors>
  <commentList>
    <comment ref="I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the fuel cost plus O &amp; M.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broker purchases and purchases for sales.</t>
        </r>
      </text>
    </comment>
  </commentList>
</comments>
</file>

<file path=xl/comments2.xml><?xml version="1.0" encoding="utf-8"?>
<comments xmlns="http://schemas.openxmlformats.org/spreadsheetml/2006/main">
  <authors>
    <author>e004168</author>
  </authors>
  <commentList>
    <comment ref="C33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This number includes fuel only, cost of losses and ECR have been removed the 2014 plan.</t>
        </r>
      </text>
    </comment>
  </commentList>
</comments>
</file>

<file path=xl/comments3.xml><?xml version="1.0" encoding="utf-8"?>
<comments xmlns="http://schemas.openxmlformats.org/spreadsheetml/2006/main">
  <authors>
    <author>Sebourn, Michael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Provided by Greg Lawson
See file:  \\fs2\mav\_ECONOMIC ANALYSIS\Jeff Weather\Historical Daily Weather 1991-2013_0230.xlsx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http://www.wlky.com/weather/bowman-field-weather-station-is-now-working-correctly/26606062</t>
        </r>
      </text>
    </comment>
  </commentList>
</comments>
</file>

<file path=xl/sharedStrings.xml><?xml version="1.0" encoding="utf-8"?>
<sst xmlns="http://schemas.openxmlformats.org/spreadsheetml/2006/main" count="780" uniqueCount="411">
  <si>
    <t>Variance</t>
  </si>
  <si>
    <t>Transmission Expense</t>
  </si>
  <si>
    <t>Date</t>
  </si>
  <si>
    <t>Native Load Expense</t>
  </si>
  <si>
    <t>Purchase Expense to OSS</t>
  </si>
  <si>
    <t>LG&amp;E/KU Combined Utility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</si>
  <si>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</si>
  <si>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</si>
  <si>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</si>
  <si>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</si>
  <si>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</si>
  <si>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</si>
  <si>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</si>
  <si>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</si>
  <si>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</si>
  <si>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</si>
  <si>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</si>
  <si>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</si>
  <si>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</si>
  <si>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Days in Month</t>
  </si>
  <si>
    <t xml:space="preserve">Total Sales </t>
  </si>
  <si>
    <t>Sales Volume, MWh</t>
  </si>
  <si>
    <t>Revenue</t>
  </si>
  <si>
    <t>Average Price, $/MWh</t>
  </si>
  <si>
    <t>Expense</t>
  </si>
  <si>
    <t>Purchase Power, MWh</t>
  </si>
  <si>
    <t>Purchase Power, $/MWh</t>
  </si>
  <si>
    <t>Total Purchase Power Expense, $</t>
  </si>
  <si>
    <t>Total Surcharge Expense, $</t>
  </si>
  <si>
    <t>LG&amp;E Generation</t>
  </si>
  <si>
    <t>Generation Cost, $/MWh</t>
  </si>
  <si>
    <t>Total Generation Expense, $</t>
  </si>
  <si>
    <t>Expense, $/MWh</t>
  </si>
  <si>
    <t>Total Expense, $</t>
  </si>
  <si>
    <t>Contribution</t>
  </si>
  <si>
    <t>Contribution, $/MWh</t>
  </si>
  <si>
    <t>Contribution - Pre-tax, $</t>
  </si>
  <si>
    <t>Breakdown of Purchased Power</t>
  </si>
  <si>
    <t>Web Purchases</t>
  </si>
  <si>
    <t>Average Cost of PP, $/MWh</t>
  </si>
  <si>
    <t>Purchased Power Expense</t>
  </si>
  <si>
    <t>Broker Purchases</t>
  </si>
  <si>
    <t>Total Off-System Sales Purchases</t>
  </si>
  <si>
    <t>Total Mwh's of</t>
  </si>
  <si>
    <t xml:space="preserve">Mwh's Generated </t>
  </si>
  <si>
    <t xml:space="preserve">Gross </t>
  </si>
  <si>
    <t>Enviromental</t>
  </si>
  <si>
    <t>Variable</t>
  </si>
  <si>
    <t xml:space="preserve">Generation </t>
  </si>
  <si>
    <t>Purchase</t>
  </si>
  <si>
    <t>Actual</t>
  </si>
  <si>
    <t xml:space="preserve">Transmission </t>
  </si>
  <si>
    <t>Sales</t>
  </si>
  <si>
    <t>For Sales</t>
  </si>
  <si>
    <t>Surcharge</t>
  </si>
  <si>
    <t>Cost</t>
  </si>
  <si>
    <t>ACTUAL OFF SYSTEM SALES</t>
  </si>
  <si>
    <t xml:space="preserve">Total Profit </t>
  </si>
  <si>
    <t>Total Mwh's</t>
  </si>
  <si>
    <t>Actual Mwh's</t>
  </si>
  <si>
    <t>Actual Purchase</t>
  </si>
  <si>
    <t>From Sales</t>
  </si>
  <si>
    <t>From OSS</t>
  </si>
  <si>
    <t>Sold</t>
  </si>
  <si>
    <t>Generated for Sales</t>
  </si>
  <si>
    <t>Purchased for OSS</t>
  </si>
  <si>
    <t>Mwh's</t>
  </si>
  <si>
    <t>Budget</t>
  </si>
  <si>
    <t xml:space="preserve"> </t>
  </si>
  <si>
    <t>Physical Mwh's</t>
  </si>
  <si>
    <t>DATE</t>
  </si>
  <si>
    <t>5x16</t>
  </si>
  <si>
    <t>2x16</t>
  </si>
  <si>
    <t>5 X 16</t>
  </si>
  <si>
    <t>7 X 8</t>
  </si>
  <si>
    <t>2 X 16</t>
  </si>
  <si>
    <t xml:space="preserve"> 7x8</t>
  </si>
  <si>
    <t xml:space="preserve"> 5x16</t>
  </si>
  <si>
    <t xml:space="preserve"> 2x16</t>
  </si>
  <si>
    <t>7X8</t>
  </si>
  <si>
    <t>5X16</t>
  </si>
  <si>
    <t>2X16</t>
  </si>
  <si>
    <t>COMBINED SYSTEM</t>
  </si>
  <si>
    <t>5 x 16</t>
  </si>
  <si>
    <t xml:space="preserve">7 x 8 </t>
  </si>
  <si>
    <t>2 x 16</t>
  </si>
  <si>
    <t>Gen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</si>
  <si>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</si>
  <si>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</si>
  <si>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</si>
  <si>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</si>
  <si>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</si>
  <si>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</si>
  <si>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</si>
  <si>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</si>
  <si>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</si>
  <si>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</si>
  <si>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</si>
  <si>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7 x 8</t>
  </si>
  <si>
    <t>Y-T-D</t>
  </si>
  <si>
    <t xml:space="preserve">Actual </t>
  </si>
  <si>
    <t>Year to Date Off Ssytem Sales</t>
  </si>
  <si>
    <t>Non MISO Transmission</t>
  </si>
  <si>
    <t xml:space="preserve"> Total Mwh's</t>
  </si>
  <si>
    <t>Fav / (Unfav)</t>
  </si>
  <si>
    <t>Financial Sales</t>
  </si>
  <si>
    <t>Purchase Volume to OSS</t>
  </si>
  <si>
    <t>Volume</t>
  </si>
  <si>
    <t>Purchases for</t>
  </si>
  <si>
    <t>Outage Volume</t>
  </si>
  <si>
    <t>Outage Cost</t>
  </si>
  <si>
    <t>7x8</t>
  </si>
  <si>
    <t>Loss</t>
  </si>
  <si>
    <t>Current</t>
  </si>
  <si>
    <t>Year to Date Off System Purchases</t>
  </si>
  <si>
    <t>Between Web and Broker</t>
  </si>
  <si>
    <t>Effective Sales Price</t>
  </si>
  <si>
    <t>Cost of Supply</t>
  </si>
  <si>
    <t>KPI</t>
  </si>
  <si>
    <t>Effective Price</t>
  </si>
  <si>
    <t>Total Revenue, $</t>
  </si>
  <si>
    <t>Generation Revenue, $</t>
  </si>
  <si>
    <t>KPI Forecast</t>
  </si>
  <si>
    <t>Native Load Volume</t>
  </si>
  <si>
    <t>Actual Year to Date</t>
  </si>
  <si>
    <t>Budget Year to Date</t>
  </si>
  <si>
    <t>Revenue from Generation</t>
  </si>
  <si>
    <t xml:space="preserve">% Fav / </t>
  </si>
  <si>
    <t>(Unfav)</t>
  </si>
  <si>
    <t>Total Tranmission Exp</t>
  </si>
  <si>
    <t>Mwh's Purchased</t>
  </si>
  <si>
    <t>for Outages</t>
  </si>
  <si>
    <t>Generation</t>
  </si>
  <si>
    <t>Cost of Generation (fuel only)</t>
  </si>
  <si>
    <t>Variable Incremental</t>
  </si>
  <si>
    <t>Actual Fuel Only</t>
  </si>
  <si>
    <t>MISO Losses Generated</t>
  </si>
  <si>
    <t>MISO Loss</t>
  </si>
  <si>
    <t>Generation Expense</t>
  </si>
  <si>
    <t>Expense of  Purchases</t>
  </si>
  <si>
    <t>Mwh's Generated for sales</t>
  </si>
  <si>
    <t xml:space="preserve">OSS Contribution </t>
  </si>
  <si>
    <t xml:space="preserve">Cost of Generation </t>
  </si>
  <si>
    <t>Stretch</t>
  </si>
  <si>
    <t>Purchased Power, MWh</t>
  </si>
  <si>
    <t>Environmental Surcharge</t>
  </si>
  <si>
    <t>Native Load</t>
  </si>
  <si>
    <t>Unit Outage</t>
  </si>
  <si>
    <t>Methods</t>
  </si>
  <si>
    <t>Financial Mwh's( Gen B/O's)</t>
  </si>
  <si>
    <t>Budget for Off System Sales</t>
  </si>
  <si>
    <r>
      <t xml:space="preserve">Broker </t>
    </r>
    <r>
      <rPr>
        <sz val="10"/>
        <rFont val="helv"/>
      </rPr>
      <t xml:space="preserve"> Purchase Transactions</t>
    </r>
  </si>
  <si>
    <t>Bilateral Sales</t>
  </si>
  <si>
    <t>Bilateral Purchases</t>
  </si>
  <si>
    <t xml:space="preserve"> Fuel Only</t>
  </si>
  <si>
    <t>Financial Swap Margin</t>
  </si>
  <si>
    <t>RSG Adder</t>
  </si>
  <si>
    <t>Gen Expense for Losses</t>
  </si>
  <si>
    <t>( for effective price )</t>
  </si>
  <si>
    <t>Physical Exp</t>
  </si>
  <si>
    <t>Physical Vol</t>
  </si>
  <si>
    <t>Physical Rev</t>
  </si>
  <si>
    <t>LG&amp;E</t>
  </si>
  <si>
    <t>Forecast</t>
  </si>
  <si>
    <t>Load Forecast</t>
  </si>
  <si>
    <t>Actual Common Purchases</t>
  </si>
  <si>
    <t>MISO</t>
  </si>
  <si>
    <t>RSG Expense</t>
  </si>
  <si>
    <t xml:space="preserve">Actual  </t>
  </si>
  <si>
    <t xml:space="preserve">Cost of </t>
  </si>
  <si>
    <t>OSS Consumables &amp; EA's</t>
  </si>
  <si>
    <t>OSS Pur Exp</t>
  </si>
  <si>
    <t>OSS Pur Vol</t>
  </si>
  <si>
    <t>Physical Power Sales</t>
  </si>
  <si>
    <t>MISO RSG</t>
  </si>
  <si>
    <t>Other MISO Exp</t>
  </si>
  <si>
    <t>Sales Vol to PJM</t>
  </si>
  <si>
    <t>PJM Cost Estimate</t>
  </si>
  <si>
    <t xml:space="preserve">MISO RSG Distribution </t>
  </si>
  <si>
    <t>Sum of MISO/PJM</t>
  </si>
  <si>
    <t>MISO / PJM Charge Methods</t>
  </si>
  <si>
    <t xml:space="preserve"> Transmission</t>
  </si>
  <si>
    <t>RTO Charges</t>
  </si>
  <si>
    <t xml:space="preserve">Net Payment </t>
  </si>
  <si>
    <t>HDD (LEX)</t>
  </si>
  <si>
    <t>CDD (LEX)</t>
  </si>
  <si>
    <t>Budget Weather Data</t>
  </si>
  <si>
    <t>Actual Weather Data</t>
  </si>
  <si>
    <t>KU HHD Actual</t>
  </si>
  <si>
    <t>KU CDD Actual</t>
  </si>
  <si>
    <t>LGE  HHD Actual</t>
  </si>
  <si>
    <t>LGE CDD Actual</t>
  </si>
  <si>
    <t>KU HHD Budget</t>
  </si>
  <si>
    <t>KU CDD Budget</t>
  </si>
  <si>
    <t>LGE  HHD Budget</t>
  </si>
  <si>
    <t>LGE CDD Budget</t>
  </si>
  <si>
    <t>Combustion Turbine Budget</t>
  </si>
  <si>
    <t>Sales Vol to MISO</t>
  </si>
  <si>
    <t>Total RTO Expense, $</t>
  </si>
  <si>
    <t>HDD (LOU)</t>
  </si>
  <si>
    <t>CDD (LOU)</t>
  </si>
  <si>
    <t>Consumable Expense</t>
  </si>
  <si>
    <t>OSS</t>
  </si>
  <si>
    <t>Actual Contribution</t>
  </si>
  <si>
    <t>plus IFIRS</t>
  </si>
  <si>
    <t xml:space="preserve">IFRS Adjsutments </t>
  </si>
  <si>
    <t>to Contribution</t>
  </si>
  <si>
    <t>CT Gen</t>
  </si>
  <si>
    <t>Native Load Energy (S)</t>
  </si>
  <si>
    <t>Actual $</t>
  </si>
  <si>
    <t xml:space="preserve"> Budget $</t>
  </si>
  <si>
    <t xml:space="preserve"> Actual mwh's</t>
  </si>
  <si>
    <t xml:space="preserve"> Budget Mwh's</t>
  </si>
  <si>
    <t>Other Revenues</t>
  </si>
  <si>
    <t>Actual Ovec Purchases</t>
  </si>
  <si>
    <t>Retail Sales (Mwh's)</t>
  </si>
  <si>
    <t>OSS Transmission Expense</t>
  </si>
  <si>
    <t>SO2 Tons</t>
  </si>
  <si>
    <t>NOX Tons</t>
  </si>
  <si>
    <t>OSS Forecast vs. Actual</t>
  </si>
  <si>
    <t>NL Forecast vs. Actual</t>
  </si>
  <si>
    <t xml:space="preserve">Sales Revenue  </t>
  </si>
  <si>
    <t xml:space="preserve">Purchase Expense  </t>
  </si>
  <si>
    <t xml:space="preserve">( fuel only )   Generation Expense  </t>
  </si>
  <si>
    <t xml:space="preserve">MISO / PJM Expense  </t>
  </si>
  <si>
    <t xml:space="preserve">Transmission Expense  </t>
  </si>
  <si>
    <t xml:space="preserve">OSS Contributing Factors  </t>
  </si>
  <si>
    <t xml:space="preserve"> Sales from generation  </t>
  </si>
  <si>
    <t xml:space="preserve">Sales from purchases  </t>
  </si>
  <si>
    <t xml:space="preserve">(MWh)  Total off system sales  </t>
  </si>
  <si>
    <t xml:space="preserve">($ /MWh)    Achieved Price  </t>
  </si>
  <si>
    <t xml:space="preserve">($/ MWh)     Effective Price  </t>
  </si>
  <si>
    <t xml:space="preserve">($/ MWh)    Cost of Supply  </t>
  </si>
  <si>
    <t xml:space="preserve">  ($/MWh)  Generation Expense  </t>
  </si>
  <si>
    <t xml:space="preserve">($)  Purchases to Support Sales  </t>
  </si>
  <si>
    <t xml:space="preserve">KU HDD  </t>
  </si>
  <si>
    <t xml:space="preserve">LG&amp;E HDD  </t>
  </si>
  <si>
    <t xml:space="preserve">KU CDD  </t>
  </si>
  <si>
    <t xml:space="preserve">LG&amp;E CDD  </t>
  </si>
  <si>
    <r>
      <t xml:space="preserve">OSS and Native Load Report  </t>
    </r>
    <r>
      <rPr>
        <vertAlign val="superscript"/>
        <sz val="14"/>
        <color rgb="FFFF0000"/>
        <rFont val="Arial (W1)"/>
      </rPr>
      <t>1</t>
    </r>
  </si>
  <si>
    <r>
      <t xml:space="preserve">(MWh) Native Load Energy  </t>
    </r>
    <r>
      <rPr>
        <vertAlign val="superscript"/>
        <sz val="12"/>
        <color rgb="FFFF0000"/>
        <rFont val="Arial (W1)"/>
      </rPr>
      <t>2</t>
    </r>
  </si>
  <si>
    <r>
      <rPr>
        <sz val="14"/>
        <color rgb="FFFF0000"/>
        <rFont val="Arial"/>
        <family val="2"/>
      </rPr>
      <t xml:space="preserve">1   </t>
    </r>
    <r>
      <rPr>
        <b/>
        <sz val="12"/>
        <color rgb="FFFF0000"/>
        <rFont val="Arial"/>
        <family val="2"/>
      </rPr>
      <t xml:space="preserve">This report should only be distributed to LG&amp;E/KU Energy Marketing personnel, Market Valuation &amp; Analysis staff, LG&amp;E/KU Power Plant personnel, the LG&amp;E/KU shared officer team, </t>
    </r>
  </si>
  <si>
    <t xml:space="preserve">       and shared services personnel, such as accounting, compliance, finance, and legal.  This report should not be distributed to PPL EnergyPlus personnel.</t>
  </si>
  <si>
    <t xml:space="preserve">       Distribution to others may be permissible – please contact the Compliance Department for guidance.  </t>
  </si>
  <si>
    <r>
      <rPr>
        <sz val="14"/>
        <color rgb="FFFF0000"/>
        <rFont val="Arial"/>
        <family val="2"/>
      </rPr>
      <t xml:space="preserve">3   </t>
    </r>
    <r>
      <rPr>
        <sz val="12"/>
        <rFont val="Arial"/>
        <family val="2"/>
      </rPr>
      <t xml:space="preserve">The term "billable estimate" reflects a 6% volume adjustment (lower) that is used in the margin calculation.  </t>
    </r>
  </si>
  <si>
    <t xml:space="preserve">        transmission revenue and miscellaneous charges revenue).</t>
  </si>
  <si>
    <r>
      <t xml:space="preserve">($) Native Load Energy  </t>
    </r>
    <r>
      <rPr>
        <vertAlign val="superscript"/>
        <sz val="12"/>
        <color rgb="FFFF0000"/>
        <rFont val="Arial (W1)"/>
      </rPr>
      <t>3</t>
    </r>
  </si>
  <si>
    <t xml:space="preserve">(Pre Tax $)   OSS Contribution  </t>
  </si>
  <si>
    <t>Hydro Budget</t>
  </si>
  <si>
    <t>Purchases</t>
  </si>
  <si>
    <t>TC Allotment Budget</t>
  </si>
  <si>
    <t>Total Generation</t>
  </si>
  <si>
    <t>CT Generation</t>
  </si>
  <si>
    <t>Ovec Purchases</t>
  </si>
  <si>
    <t>Common Purchases</t>
  </si>
  <si>
    <t xml:space="preserve">  Generation Budget</t>
  </si>
  <si>
    <t>OVEC Purchases</t>
  </si>
  <si>
    <t>Market Purchases for Native</t>
  </si>
  <si>
    <t xml:space="preserve">Load </t>
  </si>
  <si>
    <t xml:space="preserve">Total Generation </t>
  </si>
  <si>
    <t>Retail "Other Revenues"</t>
  </si>
  <si>
    <t>OSS Volume</t>
  </si>
  <si>
    <t>TC Allotment</t>
  </si>
  <si>
    <t xml:space="preserve">Budget  </t>
  </si>
  <si>
    <t>Sources</t>
  </si>
  <si>
    <t>Sinks</t>
  </si>
  <si>
    <t>Hydro Gen</t>
  </si>
  <si>
    <t>Hydro Generation</t>
  </si>
  <si>
    <t>TC 1 Backup Sales</t>
  </si>
  <si>
    <t>TC 1 Backup Sale</t>
  </si>
  <si>
    <t xml:space="preserve"> Expense</t>
  </si>
  <si>
    <t>Sales Total</t>
  </si>
  <si>
    <t>Expense Total</t>
  </si>
  <si>
    <t xml:space="preserve">Consumable Expense  </t>
  </si>
  <si>
    <t>Coal</t>
  </si>
  <si>
    <t>Gas</t>
  </si>
  <si>
    <t>Hydro</t>
  </si>
  <si>
    <t>OVEC</t>
  </si>
  <si>
    <t>Market</t>
  </si>
  <si>
    <t>TC Allot</t>
  </si>
  <si>
    <t>Off System</t>
  </si>
  <si>
    <t>TC1 Backup</t>
  </si>
  <si>
    <t>Total Sinks</t>
  </si>
  <si>
    <t>2013 YTD Variance (GWh)</t>
  </si>
  <si>
    <t xml:space="preserve">Native Load MWh </t>
  </si>
  <si>
    <t>AFB Native Load</t>
  </si>
  <si>
    <t>7x24</t>
  </si>
  <si>
    <t>Weather Shaped Native Load</t>
  </si>
  <si>
    <t>Average Native Load</t>
  </si>
  <si>
    <t xml:space="preserve">  Daily Average Load Budget</t>
  </si>
  <si>
    <t>CT's (MWh)</t>
  </si>
  <si>
    <r>
      <t xml:space="preserve">Budget  </t>
    </r>
    <r>
      <rPr>
        <vertAlign val="superscript"/>
        <sz val="16"/>
        <color rgb="FFFF0000"/>
        <rFont val="Arial"/>
        <family val="2"/>
      </rPr>
      <t>2</t>
    </r>
  </si>
  <si>
    <t>Total Sources</t>
  </si>
  <si>
    <t>Sources less Sinks</t>
  </si>
  <si>
    <r>
      <t>Coal Generation</t>
    </r>
    <r>
      <rPr>
        <vertAlign val="superscript"/>
        <sz val="18"/>
        <color rgb="FFFF0000"/>
        <rFont val="Arial"/>
        <family val="2"/>
      </rPr>
      <t>1</t>
    </r>
  </si>
  <si>
    <t>Market Purchases</t>
  </si>
  <si>
    <t>Off System Sales</t>
  </si>
  <si>
    <t>Trimble County 1&amp; 2 IMEA/IMPA Allotment</t>
  </si>
  <si>
    <t>Trimble County 1 IMEA/IMPA Backup</t>
  </si>
  <si>
    <t>Sources / Sinks</t>
  </si>
  <si>
    <r>
      <rPr>
        <sz val="16"/>
        <color rgb="FFFF0000"/>
        <rFont val="Arial"/>
        <family val="2"/>
      </rPr>
      <t>2.</t>
    </r>
    <r>
      <rPr>
        <sz val="16"/>
        <rFont val="Arial"/>
        <family val="2"/>
      </rPr>
      <t xml:space="preserve">  All budgets on this page are averaged monthly by peak type.  Intra-month totals may differ from other reports due to budget smoothing methodology.  </t>
    </r>
  </si>
  <si>
    <t>Actual Sources vs. Sinks</t>
  </si>
  <si>
    <t>Difference</t>
  </si>
  <si>
    <r>
      <rPr>
        <sz val="16"/>
        <color rgb="FFFF0000"/>
        <rFont val="Arial"/>
        <family val="2"/>
      </rPr>
      <t>1.</t>
    </r>
    <r>
      <rPr>
        <sz val="16"/>
        <rFont val="Arial"/>
        <family val="2"/>
      </rPr>
      <t xml:space="preserve">  Coal generation (actual and budget) reflect 100% of Trimble County 1 and 2.</t>
    </r>
  </si>
  <si>
    <t xml:space="preserve">(MWh)  Forecast Native Load Sales  </t>
  </si>
  <si>
    <t xml:space="preserve">($) Forecast N.L. Energy Sales  </t>
  </si>
  <si>
    <r>
      <t xml:space="preserve">($) Forecast Other Revenues  </t>
    </r>
    <r>
      <rPr>
        <vertAlign val="superscript"/>
        <sz val="12"/>
        <color rgb="FFFF0000"/>
        <rFont val="Arial (W1)"/>
      </rPr>
      <t>4</t>
    </r>
  </si>
  <si>
    <t>Forecast Other Revenues</t>
  </si>
  <si>
    <t xml:space="preserve"> Forecast $</t>
  </si>
  <si>
    <t xml:space="preserve"> Forecast MWh</t>
  </si>
  <si>
    <t>Forecast Native Load</t>
  </si>
  <si>
    <t>NL Energy MWh</t>
  </si>
  <si>
    <t>NL Energy $</t>
  </si>
  <si>
    <t>NL "Other"</t>
  </si>
  <si>
    <r>
      <t>Retail Margin $/MWh   (</t>
    </r>
    <r>
      <rPr>
        <sz val="10"/>
        <color rgb="FFFF0000"/>
        <rFont val="Arial"/>
        <family val="2"/>
      </rPr>
      <t>Forecast</t>
    </r>
    <r>
      <rPr>
        <sz val="10"/>
        <color indexed="8"/>
        <rFont val="Arial"/>
        <family val="2"/>
      </rPr>
      <t>)</t>
    </r>
  </si>
  <si>
    <t>Retail Margin $/MWh   (Budget )</t>
  </si>
  <si>
    <t>Daily Native Load</t>
  </si>
  <si>
    <t>Budget NL Margin $/MWh</t>
  </si>
  <si>
    <t>FC NL Margin $/MWh</t>
  </si>
  <si>
    <t>2014 Sources (MWh)</t>
  </si>
  <si>
    <t>2014 Sinks (MWh)</t>
  </si>
  <si>
    <t>2014 Summary (MWh)</t>
  </si>
  <si>
    <t>2014 Off-System Sales Budget</t>
  </si>
  <si>
    <t>Other Revenue</t>
  </si>
  <si>
    <t xml:space="preserve">Day of </t>
  </si>
  <si>
    <r>
      <t xml:space="preserve">($) Other Revenues  </t>
    </r>
    <r>
      <rPr>
        <vertAlign val="superscript"/>
        <sz val="12"/>
        <color rgb="FFFF0000"/>
        <rFont val="Arial (W1)"/>
      </rPr>
      <t>4</t>
    </r>
  </si>
  <si>
    <r>
      <t xml:space="preserve">PJM BOR Rate </t>
    </r>
    <r>
      <rPr>
        <sz val="9"/>
        <rFont val="Arial"/>
        <family val="2"/>
      </rPr>
      <t>($/MWh)</t>
    </r>
  </si>
  <si>
    <r>
      <rPr>
        <sz val="14"/>
        <color indexed="10"/>
        <rFont val="Arial"/>
        <family val="2"/>
      </rPr>
      <t>2</t>
    </r>
    <r>
      <rPr>
        <sz val="12"/>
        <color indexed="10"/>
        <rFont val="Arial"/>
        <family val="2"/>
      </rPr>
      <t xml:space="preserve">    </t>
    </r>
    <r>
      <rPr>
        <sz val="12"/>
        <rFont val="Arial"/>
        <family val="2"/>
      </rPr>
      <t>Budgeted native load volume and degree day count is the daily value for the current month</t>
    </r>
  </si>
  <si>
    <t>KU</t>
  </si>
  <si>
    <t>LGE</t>
  </si>
  <si>
    <t>Actual Avg. Temp</t>
  </si>
  <si>
    <t>Month</t>
  </si>
  <si>
    <t>Season</t>
  </si>
  <si>
    <t>KU Load</t>
  </si>
  <si>
    <t>KU Load (MWh)</t>
  </si>
  <si>
    <t>LGE Load (MWh)</t>
  </si>
  <si>
    <t>LEX Temp (F)</t>
  </si>
  <si>
    <t>Lou Temps (F)</t>
  </si>
  <si>
    <t>Chart Data</t>
  </si>
  <si>
    <t>LEX Temp</t>
  </si>
  <si>
    <t>LOU Temp</t>
  </si>
  <si>
    <t>LG&amp;E Load</t>
  </si>
  <si>
    <t>Day</t>
  </si>
  <si>
    <t>LEX</t>
  </si>
  <si>
    <t>LOU</t>
  </si>
  <si>
    <t>Daily Average Temps (1991-2013)</t>
  </si>
  <si>
    <t>Cooling/Heating</t>
  </si>
  <si>
    <t>Days in month</t>
  </si>
  <si>
    <t>Heating/Cooling</t>
  </si>
  <si>
    <t>H</t>
  </si>
  <si>
    <t>C</t>
  </si>
  <si>
    <t>Avg Temps</t>
  </si>
  <si>
    <t>Temp x Days</t>
  </si>
  <si>
    <r>
      <rPr>
        <sz val="12"/>
        <rFont val="Arial"/>
        <family val="2"/>
      </rPr>
      <t>(billable estimate)</t>
    </r>
    <r>
      <rPr>
        <b/>
        <sz val="12"/>
        <rFont val="Arial"/>
        <family val="2"/>
      </rPr>
      <t xml:space="preserve">  Native Load Sales</t>
    </r>
  </si>
  <si>
    <t>Weather - Degree Days</t>
  </si>
  <si>
    <t>Temp# (°F) high</t>
  </si>
  <si>
    <t>Temp# (°F) Avg</t>
  </si>
  <si>
    <t>Temp# (°F) Low</t>
  </si>
  <si>
    <r>
      <t xml:space="preserve">Weather - Avg. Hourly Temperature </t>
    </r>
    <r>
      <rPr>
        <b/>
        <vertAlign val="superscript"/>
        <sz val="12"/>
        <color rgb="FFFF0000"/>
        <rFont val="Arial"/>
        <family val="2"/>
      </rPr>
      <t>5</t>
    </r>
  </si>
  <si>
    <r>
      <rPr>
        <sz val="14"/>
        <color rgb="FFFF0000"/>
        <rFont val="Arial"/>
        <family val="2"/>
      </rPr>
      <t xml:space="preserve">4   </t>
    </r>
    <r>
      <rPr>
        <sz val="12"/>
        <rFont val="Arial"/>
        <family val="2"/>
      </rPr>
      <t>Other Revenues includes all other revenue components (including retail customer and demand charges; ECR and DSM mechanism revenue, net of recoverable expenses;</t>
    </r>
  </si>
  <si>
    <t>ACTUAL AVG HOURLY TEMP</t>
  </si>
  <si>
    <t>BUDGET AVG HOURLY TEMP</t>
  </si>
  <si>
    <t>LEX Actual Avg Hourly Temp</t>
  </si>
  <si>
    <t>LOU Actual Avg Hourly Temp</t>
  </si>
  <si>
    <t>LEX Budget Avg Hourly Temp</t>
  </si>
  <si>
    <t>LOU Budget Avg Hourly Temp</t>
  </si>
  <si>
    <t>ACTUAL DAILY HIGH TEMP</t>
  </si>
  <si>
    <t>BUDGET DAILY HIGH TEMP</t>
  </si>
  <si>
    <t>ACTUAL DAILY LOW TEMP</t>
  </si>
  <si>
    <t>BUDGET DAILY LOW TEMP</t>
  </si>
  <si>
    <t>LEX Budget High Temp</t>
  </si>
  <si>
    <t>LOU Budget High Temp</t>
  </si>
  <si>
    <t>LEX Actual High Temp</t>
  </si>
  <si>
    <t>LOU Actual High Temp</t>
  </si>
  <si>
    <t>LEX Actual Low Temp</t>
  </si>
  <si>
    <t>LOU Actual Low Temp</t>
  </si>
  <si>
    <t>LOU Budget Low Temp</t>
  </si>
  <si>
    <t>LEX Budget Low Temp</t>
  </si>
  <si>
    <r>
      <t>5</t>
    </r>
    <r>
      <rPr>
        <sz val="14"/>
        <color rgb="FFFF0000"/>
        <rFont val="Arial"/>
        <family val="2"/>
      </rPr>
      <t xml:space="preserve">   </t>
    </r>
    <r>
      <rPr>
        <sz val="12"/>
        <rFont val="Arial"/>
        <family val="2"/>
      </rPr>
      <t>Heating Season includes January through April and November and December.  Cooling Season includes May through October.</t>
    </r>
  </si>
  <si>
    <t>Heat Season thru Prev Month</t>
  </si>
  <si>
    <t>Cool Season thru Prev Month</t>
  </si>
  <si>
    <t xml:space="preserve">(°F) Lexington Heating Season  </t>
  </si>
  <si>
    <t xml:space="preserve">(°F) Lexington Cooling Season  </t>
  </si>
  <si>
    <t xml:space="preserve">(°F)  Louisville Cooling Season  </t>
  </si>
  <si>
    <t xml:space="preserve">(°F)  Louisville Heating Season  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</si>
  <si>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</si>
  <si>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</si>
  <si>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</si>
  <si>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</si>
  <si>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</si>
  <si>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</si>
  <si>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</si>
  <si>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</si>
  <si>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>Budget - Current MTD</t>
  </si>
  <si>
    <t>Actual - Current MTD</t>
  </si>
  <si>
    <t>NOTE THAT LOUISIVILLE TEMPS FOR JUNE 1-19, 2014 HAVE BEEN REPLACED WITH SDF DATA (INSTEAD OF BOWMAN ("LOU") DATA) DUE TO SENSOR ERROR AT BOWMAN</t>
  </si>
  <si>
    <t xml:space="preserve">     Louisville's actual and budgeted temperature and degree-day data for June 1-19 reflect Standiford Field data due to discrepancies in recent Bowman temperature data.  </t>
  </si>
  <si>
    <t xml:space="preserve">     Louisville's data for January-May and for June 20 forward reflect Bowman Field data.</t>
  </si>
  <si>
    <t xml:space="preserve">     Native load energy sales estimates energy volume impacts (customer and demand charges are excluded)</t>
  </si>
  <si>
    <t>Lex and LOU Weather</t>
  </si>
  <si>
    <t>HDD (BOW)</t>
  </si>
  <si>
    <t>CDD (BOW)</t>
  </si>
  <si>
    <t>Actual vs. Budget:</t>
  </si>
  <si>
    <r>
      <rPr>
        <sz val="12"/>
        <rFont val="Arial"/>
        <family val="2"/>
      </rPr>
      <t>($)</t>
    </r>
    <r>
      <rPr>
        <b/>
        <sz val="12"/>
        <rFont val="Arial"/>
        <family val="2"/>
      </rPr>
      <t xml:space="preserve">  Native Load Contribution (Act vs. Bud)</t>
    </r>
  </si>
  <si>
    <t>Forecast OSS Margin ($)</t>
  </si>
  <si>
    <t>Budget / Fcst</t>
  </si>
  <si>
    <t xml:space="preserve">Actual vs. Q3 Forecast  </t>
  </si>
  <si>
    <t>Actual vs. Q3 Fcst:</t>
  </si>
  <si>
    <t>($)  Native Load Contribution (Act vs. Q3 Fcst)</t>
  </si>
  <si>
    <t>OSS forecast ($)</t>
  </si>
  <si>
    <t xml:space="preserve">        Shaded areas denote Q3 forecast updates.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</si>
</sst>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\ ;\(#,##0\)\ "/>
    <numFmt numFmtId="165" formatCode="#,##0.00\ ;\(#,##0.00\)\ "/>
    <numFmt numFmtId="166" formatCode="#,##0\ ;[Red]\(#,##0\)\ "/>
    <numFmt numFmtId="167" formatCode="#,##0\ ;[Red]\(#,##0\)"/>
    <numFmt numFmtId="168" formatCode="#,##0.00\ ;[Red]\(#,##0.00\)"/>
    <numFmt numFmtId="169" formatCode="m/d"/>
    <numFmt numFmtId="170" formatCode="0.00000_)"/>
    <numFmt numFmtId="171" formatCode="&quot;$&quot;#,##0.00"/>
    <numFmt numFmtId="172" formatCode="&quot;$&quot;#,##0"/>
    <numFmt numFmtId="173" formatCode="mm/dd/yy"/>
    <numFmt numFmtId="174" formatCode="0_)"/>
    <numFmt numFmtId="175" formatCode="00000"/>
    <numFmt numFmtId="176" formatCode="#,##0.0\ ;\(#,##0.0\)\ "/>
    <numFmt numFmtId="177" formatCode="_(* #,##0_);_(* \(#,##0\);_(* &quot;-&quot;??_);_(@_)"/>
    <numFmt numFmtId="178" formatCode="#,##0.0000_);[Red]\(#,##0.0000\)"/>
    <numFmt numFmtId="179" formatCode="0.0000%"/>
    <numFmt numFmtId="180" formatCode="_(* #,##0.0_);_(* \(#,##0.0\);_(* &quot;-&quot;??_);_(@_)"/>
    <numFmt numFmtId="181" formatCode="0.0"/>
    <numFmt numFmtId="182" formatCode="[$-409]mmmm\ d\,\ yyyy;@"/>
    <numFmt numFmtId="183" formatCode="_(* #,##0.00000_);_(* \(#,##0.00000\);_(* &quot;-&quot;??_);_(@_)"/>
    <numFmt numFmtId="184" formatCode="0%;\(#%\)"/>
    <numFmt numFmtId="185" formatCode="0.0%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Helv"/>
    </font>
    <font>
      <b/>
      <sz val="8"/>
      <name val="Helv"/>
    </font>
    <font>
      <sz val="10"/>
      <name val="helv"/>
    </font>
    <font>
      <sz val="9"/>
      <name val="Helv"/>
    </font>
    <font>
      <sz val="9"/>
      <color indexed="8"/>
      <name val="Helv"/>
    </font>
    <font>
      <sz val="9"/>
      <color indexed="12"/>
      <name val="Helv"/>
    </font>
    <font>
      <b/>
      <sz val="12"/>
      <name val="Helv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7"/>
      <name val="Helv"/>
    </font>
    <font>
      <b/>
      <sz val="10"/>
      <color indexed="12"/>
      <name val="Arial"/>
      <family val="2"/>
    </font>
    <font>
      <sz val="10"/>
      <color indexed="8"/>
      <name val="Helv"/>
    </font>
    <font>
      <sz val="10"/>
      <color indexed="12"/>
      <name val="Helv"/>
    </font>
    <font>
      <sz val="10"/>
      <color indexed="50"/>
      <name val="Helv"/>
    </font>
    <font>
      <b/>
      <sz val="10"/>
      <color indexed="8"/>
      <name val="Helv"/>
    </font>
    <font>
      <sz val="10"/>
      <name val="Arial"/>
      <family val="2"/>
    </font>
    <font>
      <sz val="10"/>
      <color indexed="17"/>
      <name val="Helv"/>
    </font>
    <font>
      <sz val="8"/>
      <color indexed="12"/>
      <name val="Helv"/>
    </font>
    <font>
      <b/>
      <sz val="14"/>
      <name val="Helv"/>
    </font>
    <font>
      <sz val="12"/>
      <name val="Helv"/>
    </font>
    <font>
      <u/>
      <sz val="10"/>
      <name val="helv"/>
    </font>
    <font>
      <sz val="11"/>
      <name val="Helv"/>
    </font>
    <font>
      <b/>
      <sz val="11"/>
      <name val="Helv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color indexed="21"/>
      <name val="Helv"/>
    </font>
    <font>
      <b/>
      <sz val="12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2"/>
      <color indexed="81"/>
      <name val="Tahoma"/>
      <family val="2"/>
    </font>
    <font>
      <sz val="12"/>
      <name val="Arial"/>
      <family val="2"/>
    </font>
    <font>
      <sz val="10"/>
      <name val="Univers Cd (W1)"/>
      <family val="2"/>
    </font>
    <font>
      <sz val="10"/>
      <color indexed="48"/>
      <name val="Helv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8"/>
      <name val="Arial (W1)"/>
      <family val="2"/>
    </font>
    <font>
      <vertAlign val="superscript"/>
      <sz val="14"/>
      <color rgb="FFFF0000"/>
      <name val="Arial (W1)"/>
    </font>
    <font>
      <vertAlign val="superscript"/>
      <sz val="12"/>
      <color rgb="FFFF0000"/>
      <name val="Arial (W1)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theme="1"/>
      <name val="Tahoma"/>
      <family val="2"/>
    </font>
    <font>
      <sz val="20"/>
      <color indexed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8"/>
      <color rgb="FFFF0000"/>
      <name val="Arial"/>
      <family val="2"/>
    </font>
    <font>
      <b/>
      <sz val="11"/>
      <name val="Arial"/>
      <family val="2"/>
    </font>
    <font>
      <vertAlign val="superscript"/>
      <sz val="16"/>
      <color rgb="FFFF0000"/>
      <name val="Arial"/>
      <family val="2"/>
    </font>
    <font>
      <b/>
      <sz val="20"/>
      <name val="Arial"/>
      <family val="2"/>
    </font>
    <font>
      <b/>
      <sz val="20"/>
      <color indexed="22"/>
      <name val="Arial"/>
      <family val="2"/>
    </font>
    <font>
      <b/>
      <sz val="10"/>
      <color indexed="22"/>
      <name val="Arial"/>
      <family val="2"/>
    </font>
    <font>
      <b/>
      <sz val="2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1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7" fontId="0" fillId="0" borderId="0" xfId="0" applyNumberFormat="1"/>
    <xf numFmtId="0" fontId="11" fillId="0" borderId="0" xfId="0" applyFont="1"/>
    <xf numFmtId="0" fontId="13" fillId="0" borderId="0" xfId="3" applyFont="1"/>
    <xf numFmtId="0" fontId="14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5" fillId="0" borderId="0" xfId="3" applyFont="1"/>
    <xf numFmtId="1" fontId="15" fillId="0" borderId="0" xfId="3" applyNumberFormat="1" applyFont="1" applyAlignment="1">
      <alignment horizontal="right"/>
    </xf>
    <xf numFmtId="17" fontId="15" fillId="0" borderId="0" xfId="3" applyNumberFormat="1" applyFont="1" applyAlignment="1">
      <alignment horizontal="right"/>
    </xf>
    <xf numFmtId="0" fontId="13" fillId="0" borderId="0" xfId="3" applyFont="1" applyAlignment="1">
      <alignment horizontal="right"/>
    </xf>
    <xf numFmtId="0" fontId="16" fillId="0" borderId="0" xfId="3" quotePrefix="1" applyFont="1" applyAlignment="1">
      <alignment horizontal="left"/>
    </xf>
    <xf numFmtId="0" fontId="16" fillId="0" borderId="0" xfId="3" applyFont="1"/>
    <xf numFmtId="0" fontId="13" fillId="0" borderId="0" xfId="3" quotePrefix="1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quotePrefix="1" applyFont="1" applyAlignment="1">
      <alignment horizontal="left"/>
    </xf>
    <xf numFmtId="166" fontId="13" fillId="0" borderId="0" xfId="3" applyNumberFormat="1" applyFont="1"/>
    <xf numFmtId="166" fontId="13" fillId="0" borderId="0" xfId="3" quotePrefix="1" applyNumberFormat="1" applyFont="1" applyAlignment="1">
      <alignment horizontal="left"/>
    </xf>
    <xf numFmtId="0" fontId="16" fillId="0" borderId="0" xfId="3" applyFont="1" applyAlignment="1">
      <alignment horizontal="left"/>
    </xf>
    <xf numFmtId="14" fontId="13" fillId="0" borderId="0" xfId="3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2" fillId="0" borderId="0" xfId="0" applyFont="1"/>
    <xf numFmtId="0" fontId="12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170" fontId="29" fillId="0" borderId="0" xfId="0" applyNumberFormat="1" applyFont="1" applyAlignment="1">
      <alignment horizontal="centerContinuous"/>
    </xf>
    <xf numFmtId="3" fontId="29" fillId="0" borderId="0" xfId="0" applyNumberFormat="1" applyFont="1" applyAlignment="1">
      <alignment horizontal="centerContinuous"/>
    </xf>
    <xf numFmtId="171" fontId="21" fillId="0" borderId="0" xfId="0" applyNumberFormat="1" applyFont="1"/>
    <xf numFmtId="0" fontId="29" fillId="0" borderId="0" xfId="0" applyFont="1"/>
    <xf numFmtId="0" fontId="30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Alignme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5" fontId="26" fillId="0" borderId="0" xfId="0" applyNumberFormat="1" applyFont="1" applyAlignment="1">
      <alignment horizontal="center"/>
    </xf>
    <xf numFmtId="172" fontId="33" fillId="0" borderId="0" xfId="0" applyNumberFormat="1" applyFont="1" applyAlignment="1">
      <alignment horizontal="center"/>
    </xf>
    <xf numFmtId="171" fontId="2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37" fontId="3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7" fontId="21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3" fontId="33" fillId="0" borderId="0" xfId="0" applyNumberFormat="1" applyFont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72" fontId="35" fillId="0" borderId="0" xfId="0" applyNumberFormat="1" applyFont="1" applyAlignment="1">
      <alignment horizontal="center"/>
    </xf>
    <xf numFmtId="0" fontId="36" fillId="0" borderId="0" xfId="0" applyFont="1"/>
    <xf numFmtId="1" fontId="37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172" fontId="37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37" fontId="21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Alignment="1"/>
    <xf numFmtId="0" fontId="38" fillId="0" borderId="0" xfId="0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" fontId="43" fillId="0" borderId="0" xfId="0" applyNumberFormat="1" applyFont="1" applyFill="1" applyAlignment="1"/>
    <xf numFmtId="171" fontId="20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21" fillId="0" borderId="0" xfId="0" applyNumberFormat="1" applyFont="1" applyFill="1" applyAlignment="1">
      <alignment horizontal="center"/>
    </xf>
    <xf numFmtId="0" fontId="0" fillId="0" borderId="0" xfId="0" applyFill="1"/>
    <xf numFmtId="14" fontId="42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9" fontId="42" fillId="0" borderId="0" xfId="0" applyNumberFormat="1" applyFont="1" applyAlignment="1">
      <alignment horizontal="center"/>
    </xf>
    <xf numFmtId="173" fontId="0" fillId="0" borderId="0" xfId="0" applyNumberFormat="1"/>
    <xf numFmtId="0" fontId="0" fillId="0" borderId="0" xfId="0" applyBorder="1"/>
    <xf numFmtId="0" fontId="42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9" fontId="42" fillId="0" borderId="0" xfId="0" applyNumberFormat="1" applyFont="1" applyFill="1" applyAlignment="1">
      <alignment horizontal="center"/>
    </xf>
    <xf numFmtId="3" fontId="42" fillId="2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2" fillId="2" borderId="4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4" fontId="44" fillId="0" borderId="0" xfId="0" applyNumberFormat="1" applyFont="1" applyFill="1" applyBorder="1" applyAlignment="1">
      <alignment horizontal="center" wrapText="1"/>
    </xf>
    <xf numFmtId="174" fontId="44" fillId="0" borderId="0" xfId="0" applyNumberFormat="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9" fontId="39" fillId="0" borderId="0" xfId="0" applyNumberFormat="1" applyFont="1" applyAlignment="1">
      <alignment horizontal="center"/>
    </xf>
    <xf numFmtId="3" fontId="46" fillId="0" borderId="0" xfId="0" applyNumberFormat="1" applyFont="1" applyFill="1"/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74" fontId="47" fillId="0" borderId="0" xfId="0" applyNumberFormat="1" applyFont="1" applyFill="1" applyBorder="1" applyAlignment="1">
      <alignment horizontal="center" wrapText="1"/>
    </xf>
    <xf numFmtId="0" fontId="46" fillId="0" borderId="0" xfId="0" applyFont="1" applyFill="1"/>
    <xf numFmtId="3" fontId="42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4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7" fontId="48" fillId="0" borderId="0" xfId="0" applyNumberFormat="1" applyFont="1" applyBorder="1" applyAlignment="1">
      <alignment horizontal="center"/>
    </xf>
    <xf numFmtId="3" fontId="42" fillId="0" borderId="8" xfId="0" applyNumberFormat="1" applyFont="1" applyFill="1" applyBorder="1" applyAlignment="1">
      <alignment horizontal="center"/>
    </xf>
    <xf numFmtId="0" fontId="0" fillId="0" borderId="8" xfId="0" applyBorder="1"/>
    <xf numFmtId="3" fontId="4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42" fillId="0" borderId="8" xfId="0" applyNumberFormat="1" applyFont="1" applyBorder="1" applyAlignment="1">
      <alignment horizontal="center"/>
    </xf>
    <xf numFmtId="0" fontId="12" fillId="0" borderId="8" xfId="0" applyFont="1" applyBorder="1"/>
    <xf numFmtId="174" fontId="44" fillId="0" borderId="8" xfId="0" applyNumberFormat="1" applyFont="1" applyFill="1" applyBorder="1" applyAlignment="1">
      <alignment horizontal="center" wrapText="1"/>
    </xf>
    <xf numFmtId="3" fontId="21" fillId="0" borderId="0" xfId="0" applyNumberFormat="1" applyFont="1" applyBorder="1" applyAlignment="1">
      <alignment horizontal="center"/>
    </xf>
    <xf numFmtId="172" fontId="32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/>
    <xf numFmtId="37" fontId="12" fillId="0" borderId="0" xfId="0" applyNumberFormat="1" applyFont="1" applyFill="1" applyAlignment="1">
      <alignment horizontal="center"/>
    </xf>
    <xf numFmtId="3" fontId="32" fillId="0" borderId="0" xfId="0" applyNumberFormat="1" applyFont="1" applyBorder="1" applyAlignment="1">
      <alignment horizontal="center"/>
    </xf>
    <xf numFmtId="172" fontId="33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48" fillId="0" borderId="0" xfId="0" applyNumberFormat="1" applyFont="1" applyFill="1" applyBorder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36" fillId="0" borderId="0" xfId="0" applyFont="1" applyFill="1"/>
    <xf numFmtId="3" fontId="30" fillId="0" borderId="0" xfId="0" applyNumberFormat="1" applyFont="1" applyFill="1" applyBorder="1" applyAlignment="1">
      <alignment horizontal="centerContinuous"/>
    </xf>
    <xf numFmtId="171" fontId="30" fillId="0" borderId="0" xfId="0" applyNumberFormat="1" applyFont="1" applyFill="1" applyAlignment="1">
      <alignment horizontal="centerContinuous"/>
    </xf>
    <xf numFmtId="49" fontId="36" fillId="0" borderId="0" xfId="2" applyNumberFormat="1" applyFont="1" applyFill="1" applyAlignment="1">
      <alignment horizontal="center"/>
    </xf>
    <xf numFmtId="0" fontId="50" fillId="0" borderId="0" xfId="0" applyFont="1"/>
    <xf numFmtId="3" fontId="12" fillId="0" borderId="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37" fontId="12" fillId="0" borderId="0" xfId="0" applyNumberFormat="1" applyFont="1" applyBorder="1" applyAlignment="1">
      <alignment horizontal="center"/>
    </xf>
    <xf numFmtId="0" fontId="31" fillId="0" borderId="0" xfId="0" applyFont="1"/>
    <xf numFmtId="0" fontId="54" fillId="0" borderId="0" xfId="0" applyFont="1"/>
    <xf numFmtId="37" fontId="48" fillId="0" borderId="0" xfId="0" applyNumberFormat="1" applyFont="1"/>
    <xf numFmtId="0" fontId="48" fillId="0" borderId="0" xfId="0" applyFont="1"/>
    <xf numFmtId="39" fontId="48" fillId="0" borderId="0" xfId="0" applyNumberFormat="1" applyFont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2" fontId="12" fillId="0" borderId="0" xfId="0" applyNumberFormat="1" applyFont="1"/>
    <xf numFmtId="0" fontId="29" fillId="0" borderId="0" xfId="0" applyFont="1" applyFill="1"/>
    <xf numFmtId="37" fontId="48" fillId="2" borderId="0" xfId="0" applyNumberFormat="1" applyFont="1" applyFill="1" applyBorder="1" applyAlignment="1">
      <alignment horizontal="center"/>
    </xf>
    <xf numFmtId="37" fontId="12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Alignment="1">
      <alignment horizontal="center"/>
    </xf>
    <xf numFmtId="7" fontId="33" fillId="2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8" fillId="0" borderId="0" xfId="0" applyNumberFormat="1" applyFont="1" applyAlignment="1">
      <alignment horizontal="center"/>
    </xf>
    <xf numFmtId="4" fontId="48" fillId="0" borderId="0" xfId="0" applyNumberFormat="1" applyFont="1"/>
    <xf numFmtId="3" fontId="26" fillId="4" borderId="0" xfId="0" applyNumberFormat="1" applyFont="1" applyFill="1" applyAlignment="1">
      <alignment horizontal="center"/>
    </xf>
    <xf numFmtId="3" fontId="21" fillId="4" borderId="8" xfId="0" applyNumberFormat="1" applyFont="1" applyFill="1" applyBorder="1" applyAlignment="1">
      <alignment horizontal="center"/>
    </xf>
    <xf numFmtId="39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4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38" fontId="17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/>
    </xf>
    <xf numFmtId="38" fontId="17" fillId="0" borderId="10" xfId="0" applyNumberFormat="1" applyFont="1" applyFill="1" applyBorder="1" applyAlignment="1">
      <alignment horizontal="right"/>
    </xf>
    <xf numFmtId="38" fontId="17" fillId="0" borderId="11" xfId="0" applyNumberFormat="1" applyFont="1" applyFill="1" applyBorder="1" applyAlignment="1">
      <alignment horizontal="right"/>
    </xf>
    <xf numFmtId="38" fontId="17" fillId="0" borderId="12" xfId="0" applyNumberFormat="1" applyFont="1" applyFill="1" applyBorder="1" applyAlignment="1">
      <alignment horizontal="right"/>
    </xf>
    <xf numFmtId="38" fontId="17" fillId="0" borderId="1" xfId="0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right"/>
    </xf>
    <xf numFmtId="38" fontId="17" fillId="0" borderId="4" xfId="0" applyNumberFormat="1" applyFont="1" applyFill="1" applyBorder="1" applyAlignment="1">
      <alignment horizontal="right"/>
    </xf>
    <xf numFmtId="175" fontId="17" fillId="0" borderId="4" xfId="0" applyNumberFormat="1" applyFont="1" applyFill="1" applyBorder="1" applyAlignment="1">
      <alignment horizontal="right"/>
    </xf>
    <xf numFmtId="38" fontId="17" fillId="0" borderId="13" xfId="0" applyNumberFormat="1" applyFont="1" applyFill="1" applyBorder="1" applyAlignment="1">
      <alignment horizontal="right"/>
    </xf>
    <xf numFmtId="38" fontId="17" fillId="0" borderId="8" xfId="0" applyNumberFormat="1" applyFont="1" applyFill="1" applyBorder="1" applyAlignment="1">
      <alignment horizontal="right"/>
    </xf>
    <xf numFmtId="175" fontId="17" fillId="0" borderId="1" xfId="0" applyNumberFormat="1" applyFont="1" applyFill="1" applyBorder="1" applyAlignment="1">
      <alignment horizontal="right"/>
    </xf>
    <xf numFmtId="175" fontId="1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17" fillId="0" borderId="4" xfId="0" applyNumberFormat="1" applyFont="1" applyFill="1" applyBorder="1" applyAlignment="1">
      <alignment horizontal="right"/>
    </xf>
    <xf numFmtId="9" fontId="17" fillId="0" borderId="4" xfId="4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9" fontId="17" fillId="0" borderId="14" xfId="4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center"/>
    </xf>
    <xf numFmtId="38" fontId="17" fillId="0" borderId="0" xfId="0" applyNumberFormat="1" applyFont="1" applyFill="1" applyBorder="1"/>
    <xf numFmtId="38" fontId="17" fillId="0" borderId="0" xfId="4" applyNumberFormat="1" applyFont="1" applyFill="1" applyBorder="1" applyAlignment="1">
      <alignment horizontal="right"/>
    </xf>
    <xf numFmtId="40" fontId="17" fillId="0" borderId="0" xfId="0" applyNumberFormat="1" applyFont="1" applyFill="1" applyBorder="1" applyAlignment="1">
      <alignment horizontal="right"/>
    </xf>
    <xf numFmtId="40" fontId="17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38" fontId="0" fillId="0" borderId="0" xfId="0" applyNumberFormat="1"/>
    <xf numFmtId="172" fontId="33" fillId="2" borderId="0" xfId="0" applyNumberFormat="1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172" fontId="21" fillId="2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" fontId="51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72" fontId="23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40" fillId="0" borderId="0" xfId="0" applyFont="1" applyFill="1"/>
    <xf numFmtId="9" fontId="17" fillId="0" borderId="12" xfId="4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center"/>
    </xf>
    <xf numFmtId="9" fontId="42" fillId="0" borderId="8" xfId="0" applyNumberFormat="1" applyFont="1" applyFill="1" applyBorder="1" applyAlignment="1">
      <alignment horizontal="center"/>
    </xf>
    <xf numFmtId="3" fontId="32" fillId="0" borderId="10" xfId="0" applyNumberFormat="1" applyFont="1" applyBorder="1" applyAlignment="1"/>
    <xf numFmtId="3" fontId="32" fillId="0" borderId="11" xfId="0" applyNumberFormat="1" applyFont="1" applyBorder="1" applyAlignment="1"/>
    <xf numFmtId="172" fontId="32" fillId="0" borderId="11" xfId="0" applyNumberFormat="1" applyFont="1" applyBorder="1" applyAlignment="1"/>
    <xf numFmtId="3" fontId="32" fillId="0" borderId="1" xfId="0" applyNumberFormat="1" applyFont="1" applyBorder="1" applyAlignment="1"/>
    <xf numFmtId="3" fontId="32" fillId="0" borderId="0" xfId="0" applyNumberFormat="1" applyFont="1" applyBorder="1" applyAlignment="1"/>
    <xf numFmtId="172" fontId="32" fillId="0" borderId="0" xfId="0" applyNumberFormat="1" applyFont="1" applyBorder="1" applyAlignment="1"/>
    <xf numFmtId="3" fontId="32" fillId="0" borderId="13" xfId="0" applyNumberFormat="1" applyFont="1" applyBorder="1" applyAlignment="1"/>
    <xf numFmtId="3" fontId="32" fillId="0" borderId="8" xfId="0" applyNumberFormat="1" applyFont="1" applyBorder="1" applyAlignment="1"/>
    <xf numFmtId="172" fontId="32" fillId="0" borderId="8" xfId="0" applyNumberFormat="1" applyFont="1" applyBorder="1" applyAlignment="1"/>
    <xf numFmtId="3" fontId="21" fillId="0" borderId="8" xfId="0" applyNumberFormat="1" applyFont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71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72" fontId="59" fillId="0" borderId="11" xfId="0" applyNumberFormat="1" applyFont="1" applyFill="1" applyBorder="1" applyAlignment="1"/>
    <xf numFmtId="172" fontId="59" fillId="0" borderId="0" xfId="0" applyNumberFormat="1" applyFont="1" applyFill="1" applyBorder="1" applyAlignment="1"/>
    <xf numFmtId="172" fontId="59" fillId="0" borderId="8" xfId="0" applyNumberFormat="1" applyFont="1" applyFill="1" applyBorder="1" applyAlignment="1"/>
    <xf numFmtId="164" fontId="0" fillId="0" borderId="0" xfId="0" applyNumberFormat="1"/>
    <xf numFmtId="3" fontId="48" fillId="0" borderId="1" xfId="0" applyNumberFormat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39" fontId="18" fillId="0" borderId="0" xfId="0" applyNumberFormat="1" applyFont="1" applyAlignment="1">
      <alignment horizontal="center"/>
    </xf>
    <xf numFmtId="3" fontId="33" fillId="0" borderId="3" xfId="0" applyNumberFormat="1" applyFont="1" applyBorder="1" applyAlignment="1"/>
    <xf numFmtId="3" fontId="33" fillId="0" borderId="5" xfId="0" applyNumberFormat="1" applyFont="1" applyBorder="1" applyAlignment="1"/>
    <xf numFmtId="3" fontId="33" fillId="0" borderId="15" xfId="0" applyNumberFormat="1" applyFont="1" applyBorder="1" applyAlignment="1"/>
    <xf numFmtId="0" fontId="10" fillId="4" borderId="9" xfId="0" applyFont="1" applyFill="1" applyBorder="1" applyAlignment="1">
      <alignment horizontal="center"/>
    </xf>
    <xf numFmtId="39" fontId="60" fillId="0" borderId="0" xfId="0" applyNumberFormat="1" applyFont="1" applyAlignment="1">
      <alignment horizontal="center"/>
    </xf>
    <xf numFmtId="5" fontId="29" fillId="0" borderId="0" xfId="0" applyNumberFormat="1" applyFont="1" applyFill="1" applyAlignment="1">
      <alignment horizontal="center"/>
    </xf>
    <xf numFmtId="172" fontId="33" fillId="4" borderId="0" xfId="0" applyNumberFormat="1" applyFont="1" applyFill="1" applyBorder="1" applyAlignment="1">
      <alignment horizontal="center"/>
    </xf>
    <xf numFmtId="9" fontId="17" fillId="0" borderId="0" xfId="4" applyNumberFormat="1" applyFont="1" applyFill="1" applyBorder="1" applyAlignment="1">
      <alignment horizontal="right"/>
    </xf>
    <xf numFmtId="3" fontId="33" fillId="0" borderId="3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3" fontId="33" fillId="0" borderId="15" xfId="0" applyNumberFormat="1" applyFont="1" applyBorder="1" applyAlignment="1">
      <alignment horizontal="center"/>
    </xf>
    <xf numFmtId="3" fontId="0" fillId="0" borderId="0" xfId="0" applyNumberFormat="1"/>
    <xf numFmtId="2" fontId="48" fillId="0" borderId="0" xfId="0" applyNumberFormat="1" applyFont="1"/>
    <xf numFmtId="0" fontId="42" fillId="0" borderId="0" xfId="0" applyFont="1" applyFill="1" applyBorder="1"/>
    <xf numFmtId="0" fontId="10" fillId="4" borderId="7" xfId="0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7" fontId="48" fillId="0" borderId="3" xfId="0" applyNumberFormat="1" applyFont="1" applyBorder="1" applyAlignment="1">
      <alignment horizontal="center"/>
    </xf>
    <xf numFmtId="3" fontId="59" fillId="0" borderId="0" xfId="0" applyNumberFormat="1" applyFont="1" applyBorder="1" applyAlignment="1"/>
    <xf numFmtId="3" fontId="59" fillId="0" borderId="8" xfId="0" applyNumberFormat="1" applyFont="1" applyBorder="1" applyAlignment="1"/>
    <xf numFmtId="173" fontId="0" fillId="0" borderId="0" xfId="0" applyNumberForma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3" fontId="21" fillId="4" borderId="0" xfId="0" applyNumberFormat="1" applyFont="1" applyFill="1" applyAlignment="1">
      <alignment horizontal="center"/>
    </xf>
    <xf numFmtId="171" fontId="21" fillId="0" borderId="0" xfId="0" applyNumberFormat="1" applyFont="1" applyFill="1"/>
    <xf numFmtId="3" fontId="29" fillId="0" borderId="0" xfId="0" applyNumberFormat="1" applyFont="1" applyFill="1" applyAlignment="1">
      <alignment horizontal="center"/>
    </xf>
    <xf numFmtId="3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4" fontId="53" fillId="5" borderId="1" xfId="0" applyNumberFormat="1" applyFont="1" applyFill="1" applyBorder="1" applyAlignment="1">
      <alignment horizontal="right"/>
    </xf>
    <xf numFmtId="0" fontId="53" fillId="5" borderId="0" xfId="0" applyFont="1" applyFill="1" applyBorder="1" applyAlignment="1">
      <alignment horizontal="right"/>
    </xf>
    <xf numFmtId="14" fontId="53" fillId="6" borderId="1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14" fontId="53" fillId="3" borderId="1" xfId="0" applyNumberFormat="1" applyFont="1" applyFill="1" applyBorder="1" applyAlignment="1">
      <alignment horizontal="right"/>
    </xf>
    <xf numFmtId="0" fontId="53" fillId="3" borderId="0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57" fillId="0" borderId="0" xfId="0" applyFont="1"/>
    <xf numFmtId="3" fontId="18" fillId="0" borderId="0" xfId="0" applyNumberFormat="1" applyFont="1" applyFill="1" applyAlignment="1">
      <alignment horizontal="center"/>
    </xf>
    <xf numFmtId="0" fontId="11" fillId="0" borderId="0" xfId="0" applyFont="1" applyFill="1"/>
    <xf numFmtId="0" fontId="49" fillId="0" borderId="0" xfId="0" applyFont="1" applyFill="1" applyBorder="1"/>
    <xf numFmtId="3" fontId="44" fillId="0" borderId="16" xfId="0" applyNumberFormat="1" applyFont="1" applyFill="1" applyBorder="1" applyAlignment="1">
      <alignment horizontal="center" wrapText="1"/>
    </xf>
    <xf numFmtId="3" fontId="44" fillId="0" borderId="17" xfId="0" applyNumberFormat="1" applyFont="1" applyFill="1" applyBorder="1" applyAlignment="1">
      <alignment horizontal="center" wrapText="1"/>
    </xf>
    <xf numFmtId="3" fontId="44" fillId="0" borderId="18" xfId="0" applyNumberFormat="1" applyFont="1" applyFill="1" applyBorder="1" applyAlignment="1">
      <alignment horizontal="center" wrapText="1"/>
    </xf>
    <xf numFmtId="3" fontId="44" fillId="0" borderId="19" xfId="0" applyNumberFormat="1" applyFont="1" applyFill="1" applyBorder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0" borderId="0" xfId="1" applyNumberFormat="1" applyFont="1" applyFill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6" fontId="42" fillId="0" borderId="0" xfId="0" applyNumberFormat="1" applyFont="1" applyFill="1" applyBorder="1"/>
    <xf numFmtId="0" fontId="12" fillId="0" borderId="0" xfId="0" applyFont="1" applyBorder="1"/>
    <xf numFmtId="0" fontId="55" fillId="0" borderId="0" xfId="0" applyFont="1" applyFill="1" applyBorder="1"/>
    <xf numFmtId="0" fontId="46" fillId="0" borderId="0" xfId="0" applyFont="1" applyFill="1" applyBorder="1"/>
    <xf numFmtId="40" fontId="0" fillId="0" borderId="0" xfId="0" applyNumberFormat="1"/>
    <xf numFmtId="0" fontId="0" fillId="0" borderId="10" xfId="0" applyBorder="1"/>
    <xf numFmtId="0" fontId="0" fillId="0" borderId="11" xfId="0" applyBorder="1"/>
    <xf numFmtId="3" fontId="48" fillId="0" borderId="5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Alignment="1"/>
    <xf numFmtId="37" fontId="48" fillId="0" borderId="1" xfId="0" applyNumberFormat="1" applyFont="1" applyFill="1" applyBorder="1" applyAlignment="1">
      <alignment horizontal="center"/>
    </xf>
    <xf numFmtId="37" fontId="12" fillId="0" borderId="8" xfId="0" applyNumberFormat="1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 applyProtection="1">
      <alignment horizontal="center"/>
    </xf>
    <xf numFmtId="1" fontId="42" fillId="0" borderId="8" xfId="0" applyNumberFormat="1" applyFont="1" applyFill="1" applyBorder="1" applyAlignment="1">
      <alignment horizontal="center"/>
    </xf>
    <xf numFmtId="0" fontId="29" fillId="0" borderId="8" xfId="0" applyFont="1" applyFill="1" applyBorder="1"/>
    <xf numFmtId="37" fontId="0" fillId="0" borderId="0" xfId="0" applyNumberForma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6" fillId="0" borderId="8" xfId="0" applyFont="1" applyFill="1" applyBorder="1"/>
    <xf numFmtId="37" fontId="60" fillId="0" borderId="8" xfId="0" applyNumberFormat="1" applyFont="1" applyBorder="1" applyAlignment="1">
      <alignment horizontal="center"/>
    </xf>
    <xf numFmtId="3" fontId="42" fillId="2" borderId="8" xfId="0" applyNumberFormat="1" applyFont="1" applyFill="1" applyBorder="1" applyAlignment="1">
      <alignment horizontal="center"/>
    </xf>
    <xf numFmtId="37" fontId="60" fillId="0" borderId="1" xfId="0" applyNumberFormat="1" applyFont="1" applyBorder="1" applyAlignment="1">
      <alignment horizontal="center"/>
    </xf>
    <xf numFmtId="37" fontId="60" fillId="0" borderId="13" xfId="0" applyNumberFormat="1" applyFont="1" applyBorder="1" applyAlignment="1">
      <alignment horizontal="center"/>
    </xf>
    <xf numFmtId="37" fontId="60" fillId="0" borderId="0" xfId="0" applyNumberFormat="1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44" fillId="0" borderId="20" xfId="0" applyNumberFormat="1" applyFont="1" applyFill="1" applyBorder="1" applyAlignment="1">
      <alignment horizontal="center" wrapText="1"/>
    </xf>
    <xf numFmtId="3" fontId="44" fillId="0" borderId="21" xfId="0" applyNumberFormat="1" applyFont="1" applyFill="1" applyBorder="1" applyAlignment="1">
      <alignment horizontal="center" wrapText="1"/>
    </xf>
    <xf numFmtId="3" fontId="44" fillId="0" borderId="22" xfId="0" applyNumberFormat="1" applyFont="1" applyFill="1" applyBorder="1" applyAlignment="1">
      <alignment horizontal="center" wrapText="1"/>
    </xf>
    <xf numFmtId="2" fontId="12" fillId="0" borderId="8" xfId="0" applyNumberFormat="1" applyFont="1" applyBorder="1"/>
    <xf numFmtId="37" fontId="12" fillId="0" borderId="15" xfId="0" applyNumberFormat="1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42" fillId="0" borderId="8" xfId="0" applyNumberFormat="1" applyFont="1" applyBorder="1" applyAlignment="1">
      <alignment horizontal="center"/>
    </xf>
    <xf numFmtId="3" fontId="42" fillId="0" borderId="2" xfId="0" applyNumberFormat="1" applyFont="1" applyBorder="1" applyAlignment="1">
      <alignment horizontal="center"/>
    </xf>
    <xf numFmtId="3" fontId="42" fillId="0" borderId="10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37" fontId="60" fillId="0" borderId="4" xfId="0" applyNumberFormat="1" applyFont="1" applyBorder="1" applyAlignment="1">
      <alignment horizontal="center"/>
    </xf>
    <xf numFmtId="37" fontId="60" fillId="0" borderId="14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0" fontId="0" fillId="0" borderId="12" xfId="0" applyBorder="1"/>
    <xf numFmtId="0" fontId="21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9" fillId="0" borderId="0" xfId="0" applyFont="1"/>
    <xf numFmtId="3" fontId="12" fillId="0" borderId="0" xfId="0" applyNumberFormat="1" applyFont="1" applyFill="1" applyBorder="1" applyAlignment="1">
      <alignment horizontal="center"/>
    </xf>
    <xf numFmtId="3" fontId="33" fillId="0" borderId="5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44" fillId="0" borderId="23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9" fontId="60" fillId="0" borderId="8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3" fontId="12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44" fillId="0" borderId="0" xfId="0" applyNumberFormat="1" applyFont="1" applyFill="1" applyBorder="1" applyAlignment="1">
      <alignment horizontal="center" wrapText="1"/>
    </xf>
    <xf numFmtId="3" fontId="44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9" fillId="0" borderId="0" xfId="0" applyFont="1" applyFill="1" applyAlignment="1">
      <alignment horizontal="center"/>
    </xf>
    <xf numFmtId="37" fontId="60" fillId="0" borderId="10" xfId="0" applyNumberFormat="1" applyFont="1" applyBorder="1" applyAlignment="1">
      <alignment horizontal="center"/>
    </xf>
    <xf numFmtId="37" fontId="60" fillId="0" borderId="11" xfId="0" applyNumberFormat="1" applyFont="1" applyBorder="1" applyAlignment="1">
      <alignment horizontal="center"/>
    </xf>
    <xf numFmtId="3" fontId="18" fillId="8" borderId="6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7" fontId="29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69" fillId="0" borderId="0" xfId="0" applyFont="1" applyFill="1"/>
    <xf numFmtId="0" fontId="69" fillId="0" borderId="0" xfId="0" applyFont="1" applyFill="1" applyAlignment="1">
      <alignment horizontal="right"/>
    </xf>
    <xf numFmtId="177" fontId="69" fillId="0" borderId="0" xfId="0" applyNumberFormat="1" applyFont="1" applyFill="1"/>
    <xf numFmtId="38" fontId="69" fillId="0" borderId="0" xfId="0" applyNumberFormat="1" applyFont="1" applyFill="1" applyAlignment="1">
      <alignment horizontal="right"/>
    </xf>
    <xf numFmtId="177" fontId="69" fillId="0" borderId="0" xfId="1" applyNumberFormat="1" applyFont="1" applyFill="1" applyAlignment="1">
      <alignment horizontal="right"/>
    </xf>
    <xf numFmtId="177" fontId="69" fillId="0" borderId="8" xfId="1" applyNumberFormat="1" applyFont="1" applyFill="1" applyBorder="1" applyAlignment="1">
      <alignment horizontal="right"/>
    </xf>
    <xf numFmtId="177" fontId="69" fillId="0" borderId="8" xfId="0" applyNumberFormat="1" applyFont="1" applyFill="1" applyBorder="1"/>
    <xf numFmtId="177" fontId="69" fillId="0" borderId="4" xfId="1" applyNumberFormat="1" applyFont="1" applyFill="1" applyBorder="1" applyAlignment="1">
      <alignment horizontal="right"/>
    </xf>
    <xf numFmtId="0" fontId="69" fillId="0" borderId="4" xfId="0" applyFont="1" applyFill="1" applyBorder="1" applyAlignment="1">
      <alignment horizontal="right"/>
    </xf>
    <xf numFmtId="177" fontId="69" fillId="0" borderId="14" xfId="1" applyNumberFormat="1" applyFont="1" applyFill="1" applyBorder="1" applyAlignment="1">
      <alignment horizontal="right"/>
    </xf>
    <xf numFmtId="3" fontId="46" fillId="0" borderId="0" xfId="0" applyNumberFormat="1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49" fillId="9" borderId="0" xfId="0" applyFont="1" applyFill="1"/>
    <xf numFmtId="37" fontId="60" fillId="0" borderId="24" xfId="0" applyNumberFormat="1" applyFont="1" applyBorder="1" applyAlignment="1">
      <alignment horizontal="center"/>
    </xf>
    <xf numFmtId="37" fontId="60" fillId="0" borderId="25" xfId="0" applyNumberFormat="1" applyFont="1" applyBorder="1" applyAlignment="1">
      <alignment horizontal="center"/>
    </xf>
    <xf numFmtId="4" fontId="0" fillId="0" borderId="0" xfId="0" applyNumberFormat="1" applyBorder="1"/>
    <xf numFmtId="0" fontId="9" fillId="0" borderId="6" xfId="0" applyFont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3" fontId="42" fillId="0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3" fontId="18" fillId="0" borderId="0" xfId="0" applyNumberFormat="1" applyFon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80" fontId="69" fillId="0" borderId="8" xfId="1" applyNumberFormat="1" applyFont="1" applyFill="1" applyBorder="1" applyAlignment="1">
      <alignment horizontal="right"/>
    </xf>
    <xf numFmtId="0" fontId="72" fillId="0" borderId="0" xfId="0" applyFont="1" applyFill="1"/>
    <xf numFmtId="0" fontId="73" fillId="0" borderId="0" xfId="0" applyFont="1" applyFill="1"/>
    <xf numFmtId="0" fontId="73" fillId="0" borderId="0" xfId="0" applyFont="1"/>
    <xf numFmtId="0" fontId="17" fillId="0" borderId="0" xfId="0" applyFont="1" applyFill="1"/>
    <xf numFmtId="10" fontId="69" fillId="0" borderId="0" xfId="4" applyNumberFormat="1" applyFont="1" applyFill="1"/>
    <xf numFmtId="38" fontId="9" fillId="0" borderId="0" xfId="0" applyNumberFormat="1" applyFont="1" applyFill="1" applyBorder="1"/>
    <xf numFmtId="0" fontId="7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77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79" fillId="0" borderId="0" xfId="0" applyFont="1" applyFill="1"/>
    <xf numFmtId="0" fontId="17" fillId="0" borderId="0" xfId="0" applyFont="1" applyFill="1" applyAlignment="1">
      <alignment horizontal="center"/>
    </xf>
    <xf numFmtId="38" fontId="17" fillId="0" borderId="10" xfId="0" applyNumberFormat="1" applyFont="1" applyFill="1" applyBorder="1" applyAlignment="1">
      <alignment horizontal="center"/>
    </xf>
    <xf numFmtId="38" fontId="17" fillId="0" borderId="11" xfId="0" applyNumberFormat="1" applyFont="1" applyFill="1" applyBorder="1" applyAlignment="1">
      <alignment horizontal="center"/>
    </xf>
    <xf numFmtId="38" fontId="17" fillId="0" borderId="4" xfId="0" applyNumberFormat="1" applyFont="1" applyFill="1" applyBorder="1" applyAlignment="1">
      <alignment horizontal="center"/>
    </xf>
    <xf numFmtId="38" fontId="18" fillId="0" borderId="0" xfId="0" applyNumberFormat="1" applyFont="1" applyFill="1" applyBorder="1" applyAlignment="1">
      <alignment horizontal="center"/>
    </xf>
    <xf numFmtId="38" fontId="17" fillId="9" borderId="0" xfId="0" applyNumberFormat="1" applyFont="1" applyFill="1" applyBorder="1" applyAlignment="1">
      <alignment horizontal="center"/>
    </xf>
    <xf numFmtId="38" fontId="17" fillId="0" borderId="1" xfId="0" applyNumberFormat="1" applyFont="1" applyFill="1" applyBorder="1" applyAlignment="1">
      <alignment horizontal="center"/>
    </xf>
    <xf numFmtId="38" fontId="17" fillId="0" borderId="13" xfId="0" applyNumberFormat="1" applyFont="1" applyFill="1" applyBorder="1" applyAlignment="1">
      <alignment horizontal="center"/>
    </xf>
    <xf numFmtId="38" fontId="17" fillId="0" borderId="8" xfId="0" applyNumberFormat="1" applyFont="1" applyFill="1" applyBorder="1" applyAlignment="1">
      <alignment horizontal="center"/>
    </xf>
    <xf numFmtId="38" fontId="17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38" fontId="18" fillId="9" borderId="0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38" fontId="18" fillId="0" borderId="10" xfId="0" applyNumberFormat="1" applyFont="1" applyFill="1" applyBorder="1" applyAlignment="1">
      <alignment horizontal="center"/>
    </xf>
    <xf numFmtId="38" fontId="18" fillId="0" borderId="11" xfId="0" applyNumberFormat="1" applyFont="1" applyFill="1" applyBorder="1" applyAlignment="1">
      <alignment horizontal="center"/>
    </xf>
    <xf numFmtId="38" fontId="18" fillId="0" borderId="1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2" borderId="0" xfId="0" applyFont="1" applyFill="1"/>
    <xf numFmtId="38" fontId="18" fillId="0" borderId="0" xfId="0" applyNumberFormat="1" applyFont="1" applyFill="1" applyBorder="1"/>
    <xf numFmtId="38" fontId="18" fillId="0" borderId="0" xfId="0" applyNumberFormat="1" applyFont="1" applyFill="1"/>
    <xf numFmtId="38" fontId="18" fillId="9" borderId="0" xfId="0" applyNumberFormat="1" applyFont="1" applyFill="1"/>
    <xf numFmtId="38" fontId="9" fillId="0" borderId="0" xfId="0" applyNumberFormat="1" applyFont="1" applyFill="1"/>
    <xf numFmtId="178" fontId="9" fillId="0" borderId="0" xfId="0" applyNumberFormat="1" applyFont="1" applyFill="1" applyBorder="1"/>
    <xf numFmtId="177" fontId="18" fillId="0" borderId="0" xfId="1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/>
    <xf numFmtId="177" fontId="9" fillId="0" borderId="0" xfId="0" applyNumberFormat="1" applyFont="1" applyFill="1" applyBorder="1"/>
    <xf numFmtId="179" fontId="17" fillId="0" borderId="0" xfId="0" applyNumberFormat="1" applyFont="1" applyFill="1" applyBorder="1" applyAlignment="1">
      <alignment horizontal="center"/>
    </xf>
    <xf numFmtId="9" fontId="45" fillId="0" borderId="0" xfId="1" applyNumberFormat="1" applyFont="1" applyFill="1"/>
    <xf numFmtId="38" fontId="17" fillId="0" borderId="0" xfId="0" applyNumberFormat="1" applyFont="1" applyFill="1"/>
    <xf numFmtId="9" fontId="17" fillId="0" borderId="0" xfId="0" applyNumberFormat="1" applyFont="1" applyFill="1" applyBorder="1" applyAlignment="1">
      <alignment horizontal="center"/>
    </xf>
    <xf numFmtId="177" fontId="18" fillId="0" borderId="0" xfId="1" applyNumberFormat="1" applyFont="1" applyFill="1"/>
    <xf numFmtId="177" fontId="17" fillId="0" borderId="0" xfId="0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8" fontId="52" fillId="0" borderId="0" xfId="0" applyNumberFormat="1" applyFont="1" applyFill="1" applyBorder="1" applyAlignment="1">
      <alignment horizontal="center"/>
    </xf>
    <xf numFmtId="5" fontId="52" fillId="0" borderId="0" xfId="0" applyNumberFormat="1" applyFont="1" applyFill="1" applyBorder="1"/>
    <xf numFmtId="38" fontId="52" fillId="9" borderId="0" xfId="0" applyNumberFormat="1" applyFont="1" applyFill="1" applyBorder="1" applyAlignment="1">
      <alignment horizontal="center"/>
    </xf>
    <xf numFmtId="0" fontId="75" fillId="0" borderId="0" xfId="0" applyFont="1" applyFill="1" applyAlignment="1">
      <alignment horizontal="right"/>
    </xf>
    <xf numFmtId="177" fontId="75" fillId="0" borderId="0" xfId="1" applyNumberFormat="1" applyFont="1" applyFill="1" applyAlignment="1">
      <alignment horizontal="right"/>
    </xf>
    <xf numFmtId="177" fontId="75" fillId="0" borderId="4" xfId="1" applyNumberFormat="1" applyFont="1" applyFill="1" applyBorder="1" applyAlignment="1">
      <alignment horizontal="right"/>
    </xf>
    <xf numFmtId="177" fontId="75" fillId="0" borderId="0" xfId="0" applyNumberFormat="1" applyFont="1" applyFill="1"/>
    <xf numFmtId="10" fontId="75" fillId="0" borderId="0" xfId="4" applyNumberFormat="1" applyFont="1" applyFill="1"/>
    <xf numFmtId="0" fontId="69" fillId="0" borderId="0" xfId="0" applyFont="1" applyFill="1" applyAlignment="1">
      <alignment horizontal="left"/>
    </xf>
    <xf numFmtId="0" fontId="69" fillId="0" borderId="0" xfId="0" applyFont="1" applyFill="1" applyAlignment="1">
      <alignment horizontal="left" indent="1"/>
    </xf>
    <xf numFmtId="0" fontId="75" fillId="0" borderId="0" xfId="0" applyFont="1" applyFill="1" applyAlignment="1">
      <alignment horizontal="left"/>
    </xf>
    <xf numFmtId="0" fontId="75" fillId="0" borderId="4" xfId="0" applyFont="1" applyFill="1" applyBorder="1" applyAlignment="1">
      <alignment horizontal="right"/>
    </xf>
    <xf numFmtId="0" fontId="75" fillId="0" borderId="0" xfId="0" applyFont="1" applyFill="1"/>
    <xf numFmtId="177" fontId="75" fillId="0" borderId="0" xfId="0" applyNumberFormat="1" applyFont="1" applyFill="1" applyAlignment="1">
      <alignment horizontal="right"/>
    </xf>
    <xf numFmtId="177" fontId="75" fillId="0" borderId="4" xfId="0" applyNumberFormat="1" applyFont="1" applyFill="1" applyBorder="1" applyAlignment="1">
      <alignment horizontal="right"/>
    </xf>
    <xf numFmtId="0" fontId="83" fillId="0" borderId="0" xfId="0" applyFont="1" applyFill="1" applyAlignment="1">
      <alignment horizontal="right"/>
    </xf>
    <xf numFmtId="0" fontId="9" fillId="0" borderId="26" xfId="0" applyFont="1" applyFill="1" applyBorder="1"/>
    <xf numFmtId="0" fontId="9" fillId="0" borderId="27" xfId="0" applyFont="1" applyFill="1" applyBorder="1"/>
    <xf numFmtId="0" fontId="73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9" fillId="0" borderId="0" xfId="0" applyFont="1" applyFill="1" applyBorder="1"/>
    <xf numFmtId="0" fontId="9" fillId="0" borderId="0" xfId="0" applyFont="1" applyBorder="1"/>
    <xf numFmtId="38" fontId="17" fillId="0" borderId="12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7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7" fontId="9" fillId="0" borderId="10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center"/>
    </xf>
    <xf numFmtId="37" fontId="9" fillId="0" borderId="12" xfId="0" applyNumberFormat="1" applyFont="1" applyBorder="1" applyAlignment="1">
      <alignment horizontal="center"/>
    </xf>
    <xf numFmtId="37" fontId="9" fillId="0" borderId="1" xfId="0" applyNumberFormat="1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13" xfId="0" applyNumberFormat="1" applyFont="1" applyBorder="1" applyAlignment="1">
      <alignment horizontal="center"/>
    </xf>
    <xf numFmtId="37" fontId="9" fillId="0" borderId="8" xfId="0" applyNumberFormat="1" applyFont="1" applyBorder="1" applyAlignment="1">
      <alignment horizontal="center"/>
    </xf>
    <xf numFmtId="37" fontId="9" fillId="0" borderId="14" xfId="0" applyNumberFormat="1" applyFont="1" applyBorder="1" applyAlignment="1">
      <alignment horizontal="center"/>
    </xf>
    <xf numFmtId="37" fontId="9" fillId="0" borderId="0" xfId="0" applyNumberFormat="1" applyFont="1"/>
    <xf numFmtId="39" fontId="9" fillId="0" borderId="0" xfId="0" applyNumberFormat="1" applyFont="1" applyBorder="1" applyAlignment="1">
      <alignment horizontal="center"/>
    </xf>
    <xf numFmtId="2" fontId="0" fillId="0" borderId="0" xfId="0" applyNumberFormat="1"/>
    <xf numFmtId="7" fontId="0" fillId="0" borderId="0" xfId="0" applyNumberForma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0" borderId="5" xfId="0" applyFont="1" applyFill="1" applyBorder="1" applyAlignment="1">
      <alignment horizontal="right"/>
    </xf>
    <xf numFmtId="38" fontId="17" fillId="10" borderId="1" xfId="0" applyNumberFormat="1" applyFont="1" applyFill="1" applyBorder="1" applyAlignment="1">
      <alignment horizontal="right"/>
    </xf>
    <xf numFmtId="38" fontId="17" fillId="10" borderId="0" xfId="0" applyNumberFormat="1" applyFont="1" applyFill="1" applyBorder="1" applyAlignment="1">
      <alignment horizontal="right"/>
    </xf>
    <xf numFmtId="9" fontId="17" fillId="10" borderId="4" xfId="4" applyNumberFormat="1" applyFont="1" applyFill="1" applyBorder="1" applyAlignment="1">
      <alignment horizontal="right"/>
    </xf>
    <xf numFmtId="9" fontId="17" fillId="10" borderId="0" xfId="4" applyNumberFormat="1" applyFont="1" applyFill="1" applyBorder="1" applyAlignment="1">
      <alignment horizontal="right"/>
    </xf>
    <xf numFmtId="9" fontId="17" fillId="10" borderId="0" xfId="0" applyNumberFormat="1" applyFont="1" applyFill="1" applyBorder="1" applyAlignment="1">
      <alignment horizontal="right"/>
    </xf>
    <xf numFmtId="9" fontId="17" fillId="10" borderId="4" xfId="0" applyNumberFormat="1" applyFont="1" applyFill="1" applyBorder="1" applyAlignment="1">
      <alignment horizontal="right"/>
    </xf>
    <xf numFmtId="38" fontId="17" fillId="10" borderId="13" xfId="0" applyNumberFormat="1" applyFont="1" applyFill="1" applyBorder="1" applyAlignment="1">
      <alignment horizontal="right"/>
    </xf>
    <xf numFmtId="38" fontId="17" fillId="10" borderId="8" xfId="0" applyNumberFormat="1" applyFont="1" applyFill="1" applyBorder="1" applyAlignment="1">
      <alignment horizontal="right"/>
    </xf>
    <xf numFmtId="9" fontId="17" fillId="10" borderId="14" xfId="4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37" fontId="0" fillId="0" borderId="8" xfId="0" applyNumberFormat="1" applyBorder="1"/>
    <xf numFmtId="166" fontId="13" fillId="0" borderId="0" xfId="3" applyNumberFormat="1" applyFont="1" applyAlignment="1">
      <alignment horizontal="right"/>
    </xf>
    <xf numFmtId="166" fontId="13" fillId="11" borderId="0" xfId="3" applyNumberFormat="1" applyFont="1" applyFill="1" applyAlignment="1">
      <alignment horizontal="right"/>
    </xf>
    <xf numFmtId="166" fontId="13" fillId="12" borderId="0" xfId="3" applyNumberFormat="1" applyFont="1" applyFill="1" applyAlignment="1">
      <alignment horizontal="right"/>
    </xf>
    <xf numFmtId="0" fontId="13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0" fontId="16" fillId="0" borderId="0" xfId="3" applyFont="1" applyAlignment="1">
      <alignment horizontal="right"/>
    </xf>
    <xf numFmtId="2" fontId="10" fillId="7" borderId="31" xfId="0" applyNumberFormat="1" applyFont="1" applyFill="1" applyBorder="1" applyAlignment="1">
      <alignment horizontal="center"/>
    </xf>
    <xf numFmtId="2" fontId="10" fillId="12" borderId="34" xfId="0" applyNumberFormat="1" applyFont="1" applyFill="1" applyBorder="1" applyAlignment="1">
      <alignment horizontal="center"/>
    </xf>
    <xf numFmtId="39" fontId="9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174" fontId="13" fillId="0" borderId="8" xfId="0" applyNumberFormat="1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1" fontId="13" fillId="0" borderId="0" xfId="3" applyNumberFormat="1" applyFont="1" applyAlignment="1">
      <alignment horizontal="right"/>
    </xf>
    <xf numFmtId="17" fontId="13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164" fontId="13" fillId="5" borderId="0" xfId="3" applyNumberFormat="1" applyFont="1" applyFill="1" applyAlignment="1">
      <alignment horizontal="right"/>
    </xf>
    <xf numFmtId="165" fontId="13" fillId="0" borderId="0" xfId="3" applyNumberFormat="1" applyFont="1" applyAlignment="1">
      <alignment horizontal="right"/>
    </xf>
    <xf numFmtId="43" fontId="13" fillId="0" borderId="0" xfId="3" applyNumberFormat="1" applyFont="1" applyAlignment="1">
      <alignment horizontal="right"/>
    </xf>
    <xf numFmtId="2" fontId="13" fillId="0" borderId="0" xfId="3" applyNumberFormat="1" applyFont="1" applyAlignment="1">
      <alignment horizontal="right"/>
    </xf>
    <xf numFmtId="164" fontId="13" fillId="0" borderId="0" xfId="3" applyNumberFormat="1" applyFont="1" applyFill="1" applyAlignment="1">
      <alignment horizontal="right"/>
    </xf>
    <xf numFmtId="167" fontId="13" fillId="0" borderId="0" xfId="3" applyNumberFormat="1" applyFont="1" applyAlignment="1">
      <alignment horizontal="right"/>
    </xf>
    <xf numFmtId="1" fontId="13" fillId="0" borderId="0" xfId="3" applyNumberFormat="1" applyFont="1" applyBorder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8" fontId="13" fillId="0" borderId="0" xfId="3" applyNumberFormat="1" applyFont="1" applyAlignment="1">
      <alignment horizontal="right"/>
    </xf>
    <xf numFmtId="2" fontId="13" fillId="0" borderId="0" xfId="3" applyNumberFormat="1" applyFont="1" applyBorder="1" applyAlignment="1">
      <alignment horizontal="right"/>
    </xf>
    <xf numFmtId="165" fontId="85" fillId="0" borderId="0" xfId="3" applyNumberFormat="1" applyFont="1" applyAlignment="1">
      <alignment horizontal="right"/>
    </xf>
    <xf numFmtId="181" fontId="13" fillId="0" borderId="0" xfId="3" applyNumberFormat="1" applyFont="1" applyAlignment="1">
      <alignment horizontal="right"/>
    </xf>
    <xf numFmtId="4" fontId="13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10" xfId="0" applyFont="1" applyFill="1" applyBorder="1" applyAlignment="1">
      <alignment horizontal="right"/>
    </xf>
    <xf numFmtId="0" fontId="53" fillId="5" borderId="12" xfId="0" applyFont="1" applyFill="1" applyBorder="1" applyAlignment="1">
      <alignment horizontal="right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right"/>
    </xf>
    <xf numFmtId="14" fontId="52" fillId="5" borderId="10" xfId="0" applyNumberFormat="1" applyFont="1" applyFill="1" applyBorder="1" applyAlignment="1">
      <alignment horizontal="right"/>
    </xf>
    <xf numFmtId="39" fontId="60" fillId="0" borderId="5" xfId="0" applyNumberFormat="1" applyFont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8" fillId="0" borderId="0" xfId="0" applyFont="1"/>
    <xf numFmtId="14" fontId="88" fillId="0" borderId="0" xfId="0" applyNumberFormat="1" applyFont="1"/>
    <xf numFmtId="177" fontId="88" fillId="0" borderId="0" xfId="1" applyNumberFormat="1" applyFont="1"/>
    <xf numFmtId="0" fontId="90" fillId="0" borderId="0" xfId="0" applyFont="1"/>
    <xf numFmtId="0" fontId="89" fillId="0" borderId="0" xfId="0" applyFont="1" applyBorder="1" applyAlignment="1">
      <alignment horizontal="center"/>
    </xf>
    <xf numFmtId="177" fontId="91" fillId="0" borderId="0" xfId="1" applyNumberFormat="1" applyFont="1"/>
    <xf numFmtId="180" fontId="88" fillId="0" borderId="0" xfId="1" applyNumberFormat="1" applyFont="1"/>
    <xf numFmtId="14" fontId="9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95" fillId="0" borderId="0" xfId="0" applyFont="1"/>
    <xf numFmtId="0" fontId="96" fillId="0" borderId="0" xfId="0" applyFont="1"/>
    <xf numFmtId="0" fontId="98" fillId="0" borderId="0" xfId="0" applyFont="1" applyAlignment="1">
      <alignment horizontal="right"/>
    </xf>
    <xf numFmtId="14" fontId="95" fillId="0" borderId="0" xfId="0" applyNumberFormat="1" applyFont="1"/>
    <xf numFmtId="0" fontId="97" fillId="0" borderId="0" xfId="0" applyFont="1" applyAlignment="1">
      <alignment horizontal="right"/>
    </xf>
    <xf numFmtId="180" fontId="97" fillId="0" borderId="0" xfId="1" applyNumberFormat="1" applyFont="1" applyAlignment="1">
      <alignment horizontal="right"/>
    </xf>
    <xf numFmtId="0" fontId="95" fillId="0" borderId="0" xfId="0" applyFont="1" applyAlignment="1">
      <alignment horizontal="right"/>
    </xf>
    <xf numFmtId="177" fontId="0" fillId="0" borderId="0" xfId="1" applyNumberFormat="1" applyFont="1"/>
    <xf numFmtId="177" fontId="0" fillId="0" borderId="0" xfId="0" applyNumberFormat="1"/>
    <xf numFmtId="3" fontId="21" fillId="4" borderId="0" xfId="0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3" fontId="0" fillId="0" borderId="0" xfId="0" applyNumberFormat="1"/>
    <xf numFmtId="180" fontId="0" fillId="0" borderId="0" xfId="0" applyNumberFormat="1"/>
    <xf numFmtId="184" fontId="17" fillId="0" borderId="4" xfId="4" applyNumberFormat="1" applyFont="1" applyFill="1" applyBorder="1" applyAlignment="1">
      <alignment horizontal="right"/>
    </xf>
    <xf numFmtId="0" fontId="90" fillId="0" borderId="0" xfId="0" applyFont="1" applyAlignment="1">
      <alignment horizontal="right"/>
    </xf>
    <xf numFmtId="177" fontId="91" fillId="0" borderId="0" xfId="1" applyNumberFormat="1" applyFont="1" applyAlignment="1">
      <alignment horizontal="right"/>
    </xf>
    <xf numFmtId="0" fontId="88" fillId="0" borderId="0" xfId="0" applyFont="1" applyAlignment="1">
      <alignment horizontal="right"/>
    </xf>
    <xf numFmtId="177" fontId="88" fillId="0" borderId="0" xfId="1" applyNumberFormat="1" applyFont="1" applyAlignment="1">
      <alignment horizontal="right"/>
    </xf>
    <xf numFmtId="180" fontId="88" fillId="0" borderId="0" xfId="1" applyNumberFormat="1" applyFont="1" applyAlignment="1">
      <alignment horizontal="right"/>
    </xf>
    <xf numFmtId="177" fontId="88" fillId="0" borderId="0" xfId="0" applyNumberFormat="1" applyFont="1" applyAlignment="1">
      <alignment horizontal="right"/>
    </xf>
    <xf numFmtId="3" fontId="88" fillId="0" borderId="0" xfId="0" applyNumberFormat="1" applyFont="1"/>
    <xf numFmtId="0" fontId="17" fillId="0" borderId="5" xfId="0" applyFont="1" applyBorder="1" applyAlignment="1">
      <alignment horizontal="right" vertical="center"/>
    </xf>
    <xf numFmtId="0" fontId="99" fillId="0" borderId="0" xfId="0" applyFont="1" applyAlignment="1">
      <alignment horizontal="right"/>
    </xf>
    <xf numFmtId="0" fontId="99" fillId="0" borderId="0" xfId="0" applyFont="1" applyBorder="1" applyAlignment="1">
      <alignment horizontal="right"/>
    </xf>
    <xf numFmtId="14" fontId="97" fillId="0" borderId="0" xfId="0" applyNumberFormat="1" applyFont="1"/>
    <xf numFmtId="180" fontId="95" fillId="0" borderId="0" xfId="1" applyNumberFormat="1" applyFont="1" applyBorder="1" applyAlignment="1">
      <alignment horizontal="right"/>
    </xf>
    <xf numFmtId="0" fontId="89" fillId="0" borderId="0" xfId="0" applyFont="1" applyAlignment="1">
      <alignment horizontal="left"/>
    </xf>
    <xf numFmtId="177" fontId="88" fillId="0" borderId="35" xfId="0" applyNumberFormat="1" applyFont="1" applyBorder="1" applyAlignment="1">
      <alignment horizontal="right"/>
    </xf>
    <xf numFmtId="177" fontId="88" fillId="0" borderId="36" xfId="0" applyNumberFormat="1" applyFont="1" applyBorder="1" applyAlignment="1">
      <alignment horizontal="right"/>
    </xf>
    <xf numFmtId="177" fontId="88" fillId="0" borderId="32" xfId="0" applyNumberFormat="1" applyFont="1" applyBorder="1" applyAlignment="1">
      <alignment horizontal="right"/>
    </xf>
    <xf numFmtId="177" fontId="88" fillId="0" borderId="34" xfId="0" applyNumberFormat="1" applyFont="1" applyBorder="1" applyAlignment="1">
      <alignment horizontal="right"/>
    </xf>
    <xf numFmtId="177" fontId="88" fillId="0" borderId="0" xfId="0" applyNumberFormat="1" applyFont="1" applyBorder="1" applyAlignment="1">
      <alignment horizontal="right"/>
    </xf>
    <xf numFmtId="177" fontId="88" fillId="0" borderId="33" xfId="0" applyNumberFormat="1" applyFont="1" applyBorder="1" applyAlignment="1">
      <alignment horizontal="right"/>
    </xf>
    <xf numFmtId="169" fontId="48" fillId="0" borderId="1" xfId="0" applyNumberFormat="1" applyFont="1" applyFill="1" applyBorder="1" applyAlignment="1">
      <alignment horizontal="center"/>
    </xf>
    <xf numFmtId="0" fontId="88" fillId="0" borderId="0" xfId="0" applyFont="1" applyAlignment="1">
      <alignment wrapText="1"/>
    </xf>
    <xf numFmtId="0" fontId="89" fillId="0" borderId="0" xfId="0" applyFont="1" applyAlignment="1">
      <alignment horizontal="left" wrapText="1"/>
    </xf>
    <xf numFmtId="0" fontId="90" fillId="0" borderId="0" xfId="0" applyFont="1" applyAlignment="1">
      <alignment horizontal="right" wrapText="1"/>
    </xf>
    <xf numFmtId="3" fontId="21" fillId="0" borderId="0" xfId="0" applyNumberFormat="1" applyFont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13" xfId="0" applyNumberFormat="1" applyBorder="1"/>
    <xf numFmtId="37" fontId="0" fillId="0" borderId="14" xfId="0" applyNumberFormat="1" applyBorder="1"/>
    <xf numFmtId="3" fontId="21" fillId="0" borderId="0" xfId="0" applyNumberFormat="1" applyFont="1" applyAlignment="1">
      <alignment horizontal="center"/>
    </xf>
    <xf numFmtId="43" fontId="88" fillId="0" borderId="0" xfId="1" applyFont="1" applyAlignment="1">
      <alignment horizontal="right"/>
    </xf>
    <xf numFmtId="0" fontId="90" fillId="0" borderId="32" xfId="0" applyFont="1" applyBorder="1" applyAlignment="1">
      <alignment horizontal="right" wrapText="1"/>
    </xf>
    <xf numFmtId="0" fontId="90" fillId="0" borderId="34" xfId="0" applyFont="1" applyBorder="1" applyAlignment="1">
      <alignment horizontal="right" wrapText="1"/>
    </xf>
    <xf numFmtId="0" fontId="90" fillId="0" borderId="33" xfId="0" applyFont="1" applyBorder="1" applyAlignment="1">
      <alignment horizontal="right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7" fontId="9" fillId="0" borderId="15" xfId="0" applyNumberFormat="1" applyFont="1" applyBorder="1" applyAlignment="1">
      <alignment horizontal="center"/>
    </xf>
    <xf numFmtId="0" fontId="103" fillId="0" borderId="0" xfId="0" applyFont="1"/>
    <xf numFmtId="180" fontId="102" fillId="13" borderId="0" xfId="1" applyNumberFormat="1" applyFon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43" fontId="0" fillId="0" borderId="0" xfId="0" applyNumberFormat="1"/>
    <xf numFmtId="0" fontId="104" fillId="0" borderId="0" xfId="0" quotePrefix="1" applyFont="1" applyAlignment="1">
      <alignment horizontal="right"/>
    </xf>
    <xf numFmtId="0" fontId="104" fillId="0" borderId="5" xfId="0" quotePrefix="1" applyFont="1" applyFill="1" applyBorder="1" applyAlignment="1">
      <alignment horizontal="right"/>
    </xf>
    <xf numFmtId="0" fontId="52" fillId="0" borderId="4" xfId="0" quotePrefix="1" applyFont="1" applyFill="1" applyBorder="1" applyAlignment="1">
      <alignment horizontal="right"/>
    </xf>
    <xf numFmtId="0" fontId="17" fillId="10" borderId="15" xfId="0" quotePrefix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9" fillId="10" borderId="0" xfId="0" applyFont="1" applyFill="1"/>
    <xf numFmtId="9" fontId="17" fillId="0" borderId="0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7" fontId="48" fillId="0" borderId="13" xfId="0" applyNumberFormat="1" applyFont="1" applyFill="1" applyBorder="1" applyAlignment="1">
      <alignment horizontal="center"/>
    </xf>
    <xf numFmtId="3" fontId="48" fillId="0" borderId="13" xfId="0" applyNumberFormat="1" applyFont="1" applyFill="1" applyBorder="1" applyAlignment="1" applyProtection="1">
      <alignment horizontal="center"/>
    </xf>
    <xf numFmtId="3" fontId="48" fillId="0" borderId="15" xfId="0" applyNumberFormat="1" applyFont="1" applyFill="1" applyBorder="1" applyAlignment="1" applyProtection="1">
      <alignment horizontal="center"/>
    </xf>
    <xf numFmtId="39" fontId="60" fillId="0" borderId="15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3" fillId="0" borderId="6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3" fontId="29" fillId="0" borderId="0" xfId="0" applyNumberFormat="1" applyFont="1" applyFill="1"/>
    <xf numFmtId="3" fontId="40" fillId="0" borderId="0" xfId="0" applyNumberFormat="1" applyFont="1" applyFill="1"/>
    <xf numFmtId="3" fontId="29" fillId="0" borderId="0" xfId="0" applyNumberFormat="1" applyFont="1"/>
    <xf numFmtId="185" fontId="17" fillId="0" borderId="4" xfId="4" applyNumberFormat="1" applyFont="1" applyFill="1" applyBorder="1" applyAlignment="1">
      <alignment horizontal="right"/>
    </xf>
    <xf numFmtId="185" fontId="17" fillId="10" borderId="4" xfId="4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1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13" fillId="0" borderId="0" xfId="3" applyFont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12" borderId="32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64" fillId="0" borderId="0" xfId="0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2" fillId="6" borderId="10" xfId="0" applyFont="1" applyFill="1" applyBorder="1" applyAlignment="1">
      <alignment horizontal="center"/>
    </xf>
    <xf numFmtId="0" fontId="52" fillId="6" borderId="11" xfId="0" applyFont="1" applyFill="1" applyBorder="1" applyAlignment="1">
      <alignment horizontal="center"/>
    </xf>
    <xf numFmtId="0" fontId="52" fillId="6" borderId="12" xfId="0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52" fillId="3" borderId="10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/>
    </xf>
    <xf numFmtId="0" fontId="52" fillId="3" borderId="12" xfId="0" applyFont="1" applyFill="1" applyBorder="1" applyAlignment="1">
      <alignment horizontal="center"/>
    </xf>
    <xf numFmtId="182" fontId="86" fillId="5" borderId="11" xfId="0" applyNumberFormat="1" applyFont="1" applyFill="1" applyBorder="1" applyAlignment="1">
      <alignment horizontal="center"/>
    </xf>
    <xf numFmtId="0" fontId="101" fillId="0" borderId="8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17" fillId="10" borderId="0" xfId="0" quotePrefix="1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4" fillId="0" borderId="8" xfId="0" applyFont="1" applyFill="1" applyBorder="1" applyAlignment="1">
      <alignment horizontal="center"/>
    </xf>
    <xf numFmtId="0" fontId="69" fillId="0" borderId="0" xfId="0" applyFont="1" applyAlignment="1"/>
    <xf numFmtId="0" fontId="74" fillId="3" borderId="10" xfId="0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0" fontId="82" fillId="0" borderId="28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3" fontId="42" fillId="3" borderId="10" xfId="0" applyNumberFormat="1" applyFont="1" applyFill="1" applyBorder="1" applyAlignment="1">
      <alignment horizontal="center"/>
    </xf>
    <xf numFmtId="3" fontId="42" fillId="3" borderId="11" xfId="0" applyNumberFormat="1" applyFont="1" applyFill="1" applyBorder="1" applyAlignment="1">
      <alignment horizontal="center"/>
    </xf>
    <xf numFmtId="3" fontId="42" fillId="3" borderId="1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89" fillId="0" borderId="8" xfId="0" applyFont="1" applyBorder="1" applyAlignment="1">
      <alignment horizontal="center"/>
    </xf>
    <xf numFmtId="0" fontId="90" fillId="0" borderId="29" xfId="0" applyFont="1" applyBorder="1" applyAlignment="1">
      <alignment horizontal="center"/>
    </xf>
    <xf numFmtId="0" fontId="90" fillId="0" borderId="31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8" fillId="0" borderId="0" xfId="0" applyNumberFormat="1" applyFont="1" applyAlignment="1">
      <alignment horizontal="center"/>
    </xf>
  </cellXfs>
  <cellStyles count="31">
    <cellStyle name="Comma" xfId="1" builtinId="3"/>
    <cellStyle name="Comma 2" xfId="8"/>
    <cellStyle name="Comma 2 2" xfId="10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24"/>
    <cellStyle name="Comma 4" xfId="26"/>
    <cellStyle name="Comma 5" xfId="28"/>
    <cellStyle name="Comma 6" xfId="30"/>
    <cellStyle name="Normal" xfId="0" builtinId="0"/>
    <cellStyle name="Normal 2" xfId="5"/>
    <cellStyle name="Normal 3" xfId="6"/>
    <cellStyle name="Normal 4" xfId="7"/>
    <cellStyle name="Normal 4 2" xfId="9"/>
    <cellStyle name="Normal 4 2 2" xfId="13"/>
    <cellStyle name="Normal 4 2 2 2" xfId="21"/>
    <cellStyle name="Normal 4 2 3" xfId="17"/>
    <cellStyle name="Normal 4 3" xfId="11"/>
    <cellStyle name="Normal 4 3 2" xfId="19"/>
    <cellStyle name="Normal 4 4" xfId="15"/>
    <cellStyle name="Normal 5" xfId="23"/>
    <cellStyle name="Normal 6" xfId="25"/>
    <cellStyle name="Normal 7" xfId="27"/>
    <cellStyle name="Normal 8" xfId="29"/>
    <cellStyle name="Normal_KU98R895" xfId="2"/>
    <cellStyle name="Normal_OSSFINAL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5598107116117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Data'!$D$53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Data'!$D$54:$D$84</c:f>
              <c:numCache>
                <c:formatCode>_(* #,##0_);_(* \(#,##0\);_(* "-"??_);_(@_)</c:formatCode>
                <c:ptCount val="31"/>
                <c:pt idx="0">
                  <c:v>90667</c:v>
                </c:pt>
                <c:pt idx="1">
                  <c:v>86719</c:v>
                </c:pt>
                <c:pt idx="2">
                  <c:v>91338</c:v>
                </c:pt>
                <c:pt idx="3">
                  <c:v>87415</c:v>
                </c:pt>
                <c:pt idx="4">
                  <c:v>87514</c:v>
                </c:pt>
                <c:pt idx="5">
                  <c:v>89603</c:v>
                </c:pt>
                <c:pt idx="6">
                  <c:v>92454</c:v>
                </c:pt>
                <c:pt idx="7">
                  <c:v>86277</c:v>
                </c:pt>
                <c:pt idx="8">
                  <c:v>79269</c:v>
                </c:pt>
                <c:pt idx="9">
                  <c:v>89373</c:v>
                </c:pt>
                <c:pt idx="10">
                  <c:v>87201</c:v>
                </c:pt>
                <c:pt idx="11">
                  <c:v>98239</c:v>
                </c:pt>
                <c:pt idx="12">
                  <c:v>107925</c:v>
                </c:pt>
                <c:pt idx="13">
                  <c:v>110898</c:v>
                </c:pt>
                <c:pt idx="14">
                  <c:v>101830</c:v>
                </c:pt>
                <c:pt idx="15">
                  <c:v>90890</c:v>
                </c:pt>
                <c:pt idx="16">
                  <c:v>111760</c:v>
                </c:pt>
                <c:pt idx="17">
                  <c:v>125288</c:v>
                </c:pt>
                <c:pt idx="18">
                  <c:v>116523</c:v>
                </c:pt>
                <c:pt idx="19">
                  <c:v>108200</c:v>
                </c:pt>
                <c:pt idx="20">
                  <c:v>111127</c:v>
                </c:pt>
                <c:pt idx="21">
                  <c:v>90863</c:v>
                </c:pt>
                <c:pt idx="22">
                  <c:v>81106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23908864"/>
        <c:axId val="435376128"/>
      </c:barChart>
      <c:lineChart>
        <c:grouping val="standard"/>
        <c:varyColors val="0"/>
        <c:ser>
          <c:idx val="4"/>
          <c:order val="1"/>
          <c:tx>
            <c:strRef>
              <c:f>'Chart Data'!$E$53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Data'!$E$54:$E$84</c:f>
              <c:numCache>
                <c:formatCode>#,##0</c:formatCode>
                <c:ptCount val="31"/>
                <c:pt idx="0">
                  <c:v>77742.633369188014</c:v>
                </c:pt>
                <c:pt idx="1">
                  <c:v>76294.615678592934</c:v>
                </c:pt>
                <c:pt idx="2">
                  <c:v>87853.704973689746</c:v>
                </c:pt>
                <c:pt idx="3">
                  <c:v>90013.197680882906</c:v>
                </c:pt>
                <c:pt idx="4">
                  <c:v>90527.382637702263</c:v>
                </c:pt>
                <c:pt idx="5">
                  <c:v>90958.297824827125</c:v>
                </c:pt>
                <c:pt idx="6">
                  <c:v>89360.802877482085</c:v>
                </c:pt>
                <c:pt idx="7">
                  <c:v>81011.618279048853</c:v>
                </c:pt>
                <c:pt idx="8">
                  <c:v>79470.655571441021</c:v>
                </c:pt>
                <c:pt idx="9">
                  <c:v>91014.453079502418</c:v>
                </c:pt>
                <c:pt idx="10">
                  <c:v>93210.212862650355</c:v>
                </c:pt>
                <c:pt idx="11">
                  <c:v>93640.70759138705</c:v>
                </c:pt>
                <c:pt idx="12">
                  <c:v>94087.321901102085</c:v>
                </c:pt>
                <c:pt idx="13">
                  <c:v>92372.942166222172</c:v>
                </c:pt>
                <c:pt idx="14">
                  <c:v>83627.378561375619</c:v>
                </c:pt>
                <c:pt idx="15">
                  <c:v>82092.581502078145</c:v>
                </c:pt>
                <c:pt idx="16">
                  <c:v>93952.074754699468</c:v>
                </c:pt>
                <c:pt idx="17">
                  <c:v>96399.870874105953</c:v>
                </c:pt>
                <c:pt idx="18">
                  <c:v>97057.918756245257</c:v>
                </c:pt>
                <c:pt idx="19">
                  <c:v>97640.587458247988</c:v>
                </c:pt>
                <c:pt idx="20">
                  <c:v>95902.164039585768</c:v>
                </c:pt>
                <c:pt idx="21">
                  <c:v>87044.532396252311</c:v>
                </c:pt>
                <c:pt idx="22">
                  <c:v>85606.636287763366</c:v>
                </c:pt>
                <c:pt idx="23">
                  <c:v>97784.947576284045</c:v>
                </c:pt>
                <c:pt idx="24">
                  <c:v>100043.14269111304</c:v>
                </c:pt>
                <c:pt idx="25">
                  <c:v>100495.38335352983</c:v>
                </c:pt>
                <c:pt idx="26">
                  <c:v>80729.742889161673</c:v>
                </c:pt>
                <c:pt idx="27">
                  <c:v>88152.233245465701</c:v>
                </c:pt>
                <c:pt idx="28">
                  <c:v>90129.084981541135</c:v>
                </c:pt>
                <c:pt idx="29">
                  <c:v>88445.218994218347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08864"/>
        <c:axId val="435376128"/>
      </c:lineChart>
      <c:catAx>
        <c:axId val="4239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35376128"/>
        <c:crosses val="autoZero"/>
        <c:auto val="1"/>
        <c:lblAlgn val="ctr"/>
        <c:lblOffset val="100"/>
        <c:noMultiLvlLbl val="0"/>
      </c:catAx>
      <c:valAx>
        <c:axId val="4353761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Load (MWh)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2390886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Data'!$H$37</c:f>
          <c:strCache>
            <c:ptCount val="1"/>
            <c:pt idx="0">
              <c:v>Hourly Load and Temperature - 11/23/2014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0675303545113"/>
          <c:y val="0.10377861690464028"/>
          <c:w val="0.74261489460195862"/>
          <c:h val="0.7112640846807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Data'!$B$39</c:f>
              <c:strCache>
                <c:ptCount val="1"/>
                <c:pt idx="0">
                  <c:v>KU Load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Data'!$C$39:$Z$39</c:f>
              <c:numCache>
                <c:formatCode>_(* #,##0_);_(* \(#,##0\);_(* "-"??_);_(@_)</c:formatCode>
                <c:ptCount val="24"/>
                <c:pt idx="0">
                  <c:v>2169</c:v>
                </c:pt>
                <c:pt idx="1">
                  <c:v>2139</c:v>
                </c:pt>
                <c:pt idx="2">
                  <c:v>2080</c:v>
                </c:pt>
                <c:pt idx="3">
                  <c:v>2057</c:v>
                </c:pt>
                <c:pt idx="4">
                  <c:v>2029</c:v>
                </c:pt>
                <c:pt idx="5">
                  <c:v>2086</c:v>
                </c:pt>
                <c:pt idx="6">
                  <c:v>2160</c:v>
                </c:pt>
                <c:pt idx="7">
                  <c:v>2156</c:v>
                </c:pt>
                <c:pt idx="8">
                  <c:v>2286</c:v>
                </c:pt>
                <c:pt idx="9">
                  <c:v>2269</c:v>
                </c:pt>
                <c:pt idx="10">
                  <c:v>2287</c:v>
                </c:pt>
                <c:pt idx="11">
                  <c:v>2197</c:v>
                </c:pt>
                <c:pt idx="12">
                  <c:v>2274</c:v>
                </c:pt>
                <c:pt idx="13">
                  <c:v>2263</c:v>
                </c:pt>
                <c:pt idx="14">
                  <c:v>2256</c:v>
                </c:pt>
                <c:pt idx="15">
                  <c:v>2249</c:v>
                </c:pt>
                <c:pt idx="16">
                  <c:v>2314</c:v>
                </c:pt>
                <c:pt idx="17">
                  <c:v>2412</c:v>
                </c:pt>
                <c:pt idx="18">
                  <c:v>2432</c:v>
                </c:pt>
                <c:pt idx="19">
                  <c:v>2399</c:v>
                </c:pt>
                <c:pt idx="20">
                  <c:v>2318</c:v>
                </c:pt>
                <c:pt idx="21">
                  <c:v>2201</c:v>
                </c:pt>
                <c:pt idx="22">
                  <c:v>2114</c:v>
                </c:pt>
                <c:pt idx="23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'Chart Data'!$B$40</c:f>
              <c:strCache>
                <c:ptCount val="1"/>
                <c:pt idx="0">
                  <c:v>LG&amp;E Load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Data'!$C$40:$Z$40</c:f>
              <c:numCache>
                <c:formatCode>_(* #,##0_);_(* \(#,##0\);_(* "-"??_);_(@_)</c:formatCode>
                <c:ptCount val="24"/>
                <c:pt idx="0">
                  <c:v>1062.760986328125</c:v>
                </c:pt>
                <c:pt idx="1">
                  <c:v>1028.1590576171875</c:v>
                </c:pt>
                <c:pt idx="2">
                  <c:v>973.0579833984375</c:v>
                </c:pt>
                <c:pt idx="3">
                  <c:v>964.45697021484375</c:v>
                </c:pt>
                <c:pt idx="4">
                  <c:v>976.0570068359375</c:v>
                </c:pt>
                <c:pt idx="5">
                  <c:v>995.655029296875</c:v>
                </c:pt>
                <c:pt idx="6">
                  <c:v>1041.54296875</c:v>
                </c:pt>
                <c:pt idx="7">
                  <c:v>1103.5589599609375</c:v>
                </c:pt>
                <c:pt idx="8">
                  <c:v>1126.8609619140625</c:v>
                </c:pt>
                <c:pt idx="9">
                  <c:v>1175.3609619140625</c:v>
                </c:pt>
                <c:pt idx="10">
                  <c:v>1189.261962890625</c:v>
                </c:pt>
                <c:pt idx="11">
                  <c:v>1205.458984375</c:v>
                </c:pt>
                <c:pt idx="12">
                  <c:v>1218.657958984375</c:v>
                </c:pt>
                <c:pt idx="13">
                  <c:v>1225.759033203125</c:v>
                </c:pt>
                <c:pt idx="14">
                  <c:v>1223.759033203125</c:v>
                </c:pt>
                <c:pt idx="15">
                  <c:v>1236.15087890625</c:v>
                </c:pt>
                <c:pt idx="16">
                  <c:v>1270.3509521484375</c:v>
                </c:pt>
                <c:pt idx="17">
                  <c:v>1349.6600341796875</c:v>
                </c:pt>
                <c:pt idx="18">
                  <c:v>1362.6590576171875</c:v>
                </c:pt>
                <c:pt idx="19">
                  <c:v>1350.4530029296875</c:v>
                </c:pt>
                <c:pt idx="20">
                  <c:v>1304.7430419921875</c:v>
                </c:pt>
                <c:pt idx="21">
                  <c:v>1258.7569580078125</c:v>
                </c:pt>
                <c:pt idx="22">
                  <c:v>1193.95703125</c:v>
                </c:pt>
                <c:pt idx="23">
                  <c:v>1121.2490234375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35417088"/>
        <c:axId val="435419392"/>
      </c:barChart>
      <c:lineChart>
        <c:grouping val="standard"/>
        <c:varyColors val="0"/>
        <c:ser>
          <c:idx val="2"/>
          <c:order val="2"/>
          <c:tx>
            <c:strRef>
              <c:f>'Chart Data'!$B$41</c:f>
              <c:strCache>
                <c:ptCount val="1"/>
                <c:pt idx="0">
                  <c:v>LEX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Data'!$C$41:$Z$41</c:f>
              <c:numCache>
                <c:formatCode>_(* #,##0.0_);_(* \(#,##0.0\);_(* "-"??_);_(@_)</c:formatCode>
                <c:ptCount val="24"/>
                <c:pt idx="0">
                  <c:v>48.9</c:v>
                </c:pt>
                <c:pt idx="1">
                  <c:v>50</c:v>
                </c:pt>
                <c:pt idx="2">
                  <c:v>48.9</c:v>
                </c:pt>
                <c:pt idx="3">
                  <c:v>52</c:v>
                </c:pt>
                <c:pt idx="4">
                  <c:v>52</c:v>
                </c:pt>
                <c:pt idx="5">
                  <c:v>51.1</c:v>
                </c:pt>
                <c:pt idx="6">
                  <c:v>48.9</c:v>
                </c:pt>
                <c:pt idx="7">
                  <c:v>48</c:v>
                </c:pt>
                <c:pt idx="8">
                  <c:v>52</c:v>
                </c:pt>
                <c:pt idx="9">
                  <c:v>54</c:v>
                </c:pt>
                <c:pt idx="10">
                  <c:v>55.9</c:v>
                </c:pt>
                <c:pt idx="11">
                  <c:v>54</c:v>
                </c:pt>
                <c:pt idx="12">
                  <c:v>53.1</c:v>
                </c:pt>
                <c:pt idx="13">
                  <c:v>53.1</c:v>
                </c:pt>
                <c:pt idx="14">
                  <c:v>52</c:v>
                </c:pt>
                <c:pt idx="15">
                  <c:v>52.366666666666667</c:v>
                </c:pt>
                <c:pt idx="16">
                  <c:v>53.1</c:v>
                </c:pt>
                <c:pt idx="17">
                  <c:v>54</c:v>
                </c:pt>
                <c:pt idx="18">
                  <c:v>55</c:v>
                </c:pt>
                <c:pt idx="19">
                  <c:v>55</c:v>
                </c:pt>
                <c:pt idx="20">
                  <c:v>55.9</c:v>
                </c:pt>
                <c:pt idx="21">
                  <c:v>57.6</c:v>
                </c:pt>
                <c:pt idx="22">
                  <c:v>57.45</c:v>
                </c:pt>
                <c:pt idx="23">
                  <c:v>57.274999999999999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Data'!$B$42</c:f>
              <c:strCache>
                <c:ptCount val="1"/>
                <c:pt idx="0">
                  <c:v>LOU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Data'!$C$42:$Z$42</c:f>
              <c:numCache>
                <c:formatCode>_(* #,##0.0_);_(* \(#,##0.0\);_(* "-"??_);_(@_)</c:formatCode>
                <c:ptCount val="24"/>
                <c:pt idx="0">
                  <c:v>48</c:v>
                </c:pt>
                <c:pt idx="1">
                  <c:v>48.9</c:v>
                </c:pt>
                <c:pt idx="2">
                  <c:v>52</c:v>
                </c:pt>
                <c:pt idx="3">
                  <c:v>53.1</c:v>
                </c:pt>
                <c:pt idx="4">
                  <c:v>55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55</c:v>
                </c:pt>
                <c:pt idx="9">
                  <c:v>57</c:v>
                </c:pt>
                <c:pt idx="10">
                  <c:v>57.9</c:v>
                </c:pt>
                <c:pt idx="11">
                  <c:v>57</c:v>
                </c:pt>
                <c:pt idx="12">
                  <c:v>55.9</c:v>
                </c:pt>
                <c:pt idx="13">
                  <c:v>54.666666666666664</c:v>
                </c:pt>
                <c:pt idx="14">
                  <c:v>54.25</c:v>
                </c:pt>
                <c:pt idx="15">
                  <c:v>54</c:v>
                </c:pt>
                <c:pt idx="16">
                  <c:v>54</c:v>
                </c:pt>
                <c:pt idx="17">
                  <c:v>54.333333333333336</c:v>
                </c:pt>
                <c:pt idx="18">
                  <c:v>55.45</c:v>
                </c:pt>
                <c:pt idx="19">
                  <c:v>55.9</c:v>
                </c:pt>
                <c:pt idx="20">
                  <c:v>57.45</c:v>
                </c:pt>
                <c:pt idx="21">
                  <c:v>59</c:v>
                </c:pt>
                <c:pt idx="22">
                  <c:v>59</c:v>
                </c:pt>
                <c:pt idx="23">
                  <c:v>60.1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09504"/>
        <c:axId val="435507584"/>
      </c:lineChart>
      <c:catAx>
        <c:axId val="43541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35419392"/>
        <c:crosses val="autoZero"/>
        <c:auto val="1"/>
        <c:lblAlgn val="ctr"/>
        <c:lblOffset val="100"/>
        <c:noMultiLvlLbl val="0"/>
      </c:catAx>
      <c:valAx>
        <c:axId val="435419392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Load (MW)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5417088"/>
        <c:crosses val="autoZero"/>
        <c:crossBetween val="between"/>
      </c:valAx>
      <c:valAx>
        <c:axId val="4355075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435509504"/>
        <c:crosses val="max"/>
        <c:crossBetween val="between"/>
        <c:majorUnit val="10"/>
        <c:minorUnit val="5"/>
      </c:valAx>
      <c:catAx>
        <c:axId val="435509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3550758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70862667589586"/>
          <c:y val="0.88732398624510889"/>
          <c:w val="0.67365333822932771"/>
          <c:h val="5.609064479632609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398978274400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Data'!$D$88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Data'!$D$89:$D$100</c:f>
              <c:numCache>
                <c:formatCode>_(* #,##0.00_);_(* \(#,##0.00\);_(* "-"??_);_(@_)</c:formatCode>
                <c:ptCount val="12"/>
                <c:pt idx="0">
                  <c:v>3.6316752310791016</c:v>
                </c:pt>
                <c:pt idx="1">
                  <c:v>3.0236581121826172</c:v>
                </c:pt>
                <c:pt idx="2">
                  <c:v>2.9356230000000001</c:v>
                </c:pt>
                <c:pt idx="3">
                  <c:v>2.4681143041381834</c:v>
                </c:pt>
                <c:pt idx="4">
                  <c:v>2.7832269130859375</c:v>
                </c:pt>
                <c:pt idx="5">
                  <c:v>3.108632946533203</c:v>
                </c:pt>
                <c:pt idx="6">
                  <c:v>3.1182979225463869</c:v>
                </c:pt>
                <c:pt idx="7">
                  <c:v>3.2590089999999998</c:v>
                </c:pt>
                <c:pt idx="8">
                  <c:v>2.7978678876342773</c:v>
                </c:pt>
                <c:pt idx="9">
                  <c:v>2.5592095591430666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'Chart Data'!$F$88</c:f>
              <c:strCache>
                <c:ptCount val="1"/>
                <c:pt idx="0">
                  <c:v>Actual - Current MTD</c:v>
                </c:pt>
              </c:strCache>
            </c:strRef>
          </c:tx>
          <c:spPr>
            <a:pattFill prst="wdUp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>
              <a:solidFill>
                <a:schemeClr val="tx2"/>
              </a:solidFill>
            </a:ln>
          </c:spPr>
          <c:invertIfNegative val="0"/>
          <c:val>
            <c:numRef>
              <c:f>'Chart Data'!$F$89:$F$100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2.2224789999999999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36525696"/>
        <c:axId val="436536448"/>
      </c:barChart>
      <c:lineChart>
        <c:grouping val="standard"/>
        <c:varyColors val="0"/>
        <c:ser>
          <c:idx val="4"/>
          <c:order val="1"/>
          <c:tx>
            <c:strRef>
              <c:f>'Chart Data'!$E$88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2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Data'!$E$89:$E$100</c:f>
              <c:numCache>
                <c:formatCode>_(* #,##0.00_);_(* \(#,##0.00\);_(* "-"??_);_(@_)</c:formatCode>
                <c:ptCount val="12"/>
                <c:pt idx="0">
                  <c:v>3.2040540259429999</c:v>
                </c:pt>
                <c:pt idx="1">
                  <c:v>2.8593655968515184</c:v>
                </c:pt>
                <c:pt idx="2">
                  <c:v>2.8114698371906104</c:v>
                </c:pt>
                <c:pt idx="3">
                  <c:v>2.5172543277377075</c:v>
                </c:pt>
                <c:pt idx="4">
                  <c:v>2.7018435086360864</c:v>
                </c:pt>
                <c:pt idx="5">
                  <c:v>3.1536199342092037</c:v>
                </c:pt>
                <c:pt idx="6">
                  <c:v>3.5428093258800963</c:v>
                </c:pt>
                <c:pt idx="7">
                  <c:v>3.5690942982098637</c:v>
                </c:pt>
                <c:pt idx="8">
                  <c:v>2.9072251343285096</c:v>
                </c:pt>
                <c:pt idx="9">
                  <c:v>2.6590848179377424</c:v>
                </c:pt>
                <c:pt idx="10">
                  <c:v>2.692662044855386</c:v>
                </c:pt>
                <c:pt idx="11">
                  <c:v>3.0977893819807409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25696"/>
        <c:axId val="436536448"/>
      </c:lineChart>
      <c:catAx>
        <c:axId val="43652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36536448"/>
        <c:crosses val="autoZero"/>
        <c:auto val="1"/>
        <c:lblAlgn val="ctr"/>
        <c:lblOffset val="100"/>
        <c:noMultiLvlLbl val="0"/>
      </c:catAx>
      <c:valAx>
        <c:axId val="4365364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Load (TWh)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436525696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27606479096655"/>
          <c:y val="0.15105162810160486"/>
          <c:w val="0.83987866002730971"/>
          <c:h val="0.6898934111646172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Data'!$F$53</c:f>
              <c:strCache>
                <c:ptCount val="1"/>
                <c:pt idx="0">
                  <c:v>LEX Actual Avg Hourly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Data'!$F$54:$F$84</c:f>
              <c:numCache>
                <c:formatCode>_(* #,##0_);_(* \(#,##0\);_(* "-"??_);_(@_)</c:formatCode>
                <c:ptCount val="31"/>
                <c:pt idx="0">
                  <c:v>37.015277777777776</c:v>
                </c:pt>
                <c:pt idx="1">
                  <c:v>38.352173913043487</c:v>
                </c:pt>
                <c:pt idx="2">
                  <c:v>51.404166666666661</c:v>
                </c:pt>
                <c:pt idx="3">
                  <c:v>56.804166666666674</c:v>
                </c:pt>
                <c:pt idx="4">
                  <c:v>52.924652777777794</c:v>
                </c:pt>
                <c:pt idx="5">
                  <c:v>47.726041666666667</c:v>
                </c:pt>
                <c:pt idx="6">
                  <c:v>40.158333333333339</c:v>
                </c:pt>
                <c:pt idx="7">
                  <c:v>44.154166666666669</c:v>
                </c:pt>
                <c:pt idx="8">
                  <c:v>43.800000000000004</c:v>
                </c:pt>
                <c:pt idx="9">
                  <c:v>50.412499999999987</c:v>
                </c:pt>
                <c:pt idx="10">
                  <c:v>53.927083333333343</c:v>
                </c:pt>
                <c:pt idx="11">
                  <c:v>35.220833333333346</c:v>
                </c:pt>
                <c:pt idx="12">
                  <c:v>28.747916666666669</c:v>
                </c:pt>
                <c:pt idx="13">
                  <c:v>24.140277777777772</c:v>
                </c:pt>
                <c:pt idx="14">
                  <c:v>28.507291666666671</c:v>
                </c:pt>
                <c:pt idx="15">
                  <c:v>37.36805555555555</c:v>
                </c:pt>
                <c:pt idx="16">
                  <c:v>27.179811507936503</c:v>
                </c:pt>
                <c:pt idx="17">
                  <c:v>16.782638888888886</c:v>
                </c:pt>
                <c:pt idx="18">
                  <c:v>31.166666666666671</c:v>
                </c:pt>
                <c:pt idx="19">
                  <c:v>28.311111111111114</c:v>
                </c:pt>
                <c:pt idx="20">
                  <c:v>28.191666666666663</c:v>
                </c:pt>
                <c:pt idx="21">
                  <c:v>48.270833333333343</c:v>
                </c:pt>
                <c:pt idx="22">
                  <c:v>52.982986111111124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Data'!$H$53</c:f>
              <c:strCache>
                <c:ptCount val="1"/>
                <c:pt idx="0">
                  <c:v>LEX Budget Avg Hourly Temp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Data'!$H$54:$H$84</c:f>
              <c:numCache>
                <c:formatCode>_(* #,##0_);_(* \(#,##0\);_(* "-"??_);_(@_)</c:formatCode>
                <c:ptCount val="31"/>
                <c:pt idx="0">
                  <c:v>51.8</c:v>
                </c:pt>
                <c:pt idx="1">
                  <c:v>50</c:v>
                </c:pt>
                <c:pt idx="2">
                  <c:v>46.7</c:v>
                </c:pt>
                <c:pt idx="3">
                  <c:v>48.3</c:v>
                </c:pt>
                <c:pt idx="4">
                  <c:v>48.15</c:v>
                </c:pt>
                <c:pt idx="5">
                  <c:v>46.85</c:v>
                </c:pt>
                <c:pt idx="6">
                  <c:v>47.5</c:v>
                </c:pt>
                <c:pt idx="7">
                  <c:v>47.95</c:v>
                </c:pt>
                <c:pt idx="8">
                  <c:v>48.7</c:v>
                </c:pt>
                <c:pt idx="9">
                  <c:v>50.1</c:v>
                </c:pt>
                <c:pt idx="10">
                  <c:v>47.1</c:v>
                </c:pt>
                <c:pt idx="11">
                  <c:v>46.55</c:v>
                </c:pt>
                <c:pt idx="12">
                  <c:v>47.35</c:v>
                </c:pt>
                <c:pt idx="13">
                  <c:v>47.05</c:v>
                </c:pt>
                <c:pt idx="14">
                  <c:v>44.75</c:v>
                </c:pt>
                <c:pt idx="15">
                  <c:v>43.75</c:v>
                </c:pt>
                <c:pt idx="16">
                  <c:v>43.75</c:v>
                </c:pt>
                <c:pt idx="17">
                  <c:v>45.35</c:v>
                </c:pt>
                <c:pt idx="18">
                  <c:v>47.45</c:v>
                </c:pt>
                <c:pt idx="19">
                  <c:v>46.9</c:v>
                </c:pt>
                <c:pt idx="20">
                  <c:v>47.2</c:v>
                </c:pt>
                <c:pt idx="21">
                  <c:v>46</c:v>
                </c:pt>
                <c:pt idx="22">
                  <c:v>44.8</c:v>
                </c:pt>
                <c:pt idx="23">
                  <c:v>43.85</c:v>
                </c:pt>
                <c:pt idx="24">
                  <c:v>43.6</c:v>
                </c:pt>
                <c:pt idx="25">
                  <c:v>44.5</c:v>
                </c:pt>
                <c:pt idx="26">
                  <c:v>43.5</c:v>
                </c:pt>
                <c:pt idx="27">
                  <c:v>42.2</c:v>
                </c:pt>
                <c:pt idx="28">
                  <c:v>42.65</c:v>
                </c:pt>
                <c:pt idx="29">
                  <c:v>42.7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53600"/>
        <c:axId val="435859840"/>
      </c:lineChart>
      <c:catAx>
        <c:axId val="43655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5859840"/>
        <c:crosses val="autoZero"/>
        <c:auto val="1"/>
        <c:lblAlgn val="ctr"/>
        <c:lblOffset val="100"/>
        <c:noMultiLvlLbl val="0"/>
      </c:catAx>
      <c:valAx>
        <c:axId val="435859840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6553600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</a:t>
            </a:r>
            <a:r>
              <a:rPr lang="en-US"/>
              <a:t>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57806836058081"/>
          <c:y val="0.14655943007124109"/>
          <c:w val="0.8371935605035884"/>
          <c:h val="0.6941016122984625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Data'!$G$53</c:f>
              <c:strCache>
                <c:ptCount val="1"/>
                <c:pt idx="0">
                  <c:v>LOU Actual Avg Hourly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Data'!$G$54:$G$84</c:f>
              <c:numCache>
                <c:formatCode>_(* #,##0_);_(* \(#,##0\);_(* "-"??_);_(@_)</c:formatCode>
                <c:ptCount val="31"/>
                <c:pt idx="0">
                  <c:v>38.114583333333336</c:v>
                </c:pt>
                <c:pt idx="1">
                  <c:v>38.639130434782608</c:v>
                </c:pt>
                <c:pt idx="2">
                  <c:v>51.8125</c:v>
                </c:pt>
                <c:pt idx="3">
                  <c:v>57.245833333333358</c:v>
                </c:pt>
                <c:pt idx="4">
                  <c:v>54.572222222222223</c:v>
                </c:pt>
                <c:pt idx="5">
                  <c:v>48.691666666666663</c:v>
                </c:pt>
                <c:pt idx="6">
                  <c:v>43.497222222222227</c:v>
                </c:pt>
                <c:pt idx="7">
                  <c:v>45.504166666666663</c:v>
                </c:pt>
                <c:pt idx="8">
                  <c:v>44.55833333333333</c:v>
                </c:pt>
                <c:pt idx="9">
                  <c:v>52.116666666666674</c:v>
                </c:pt>
                <c:pt idx="10">
                  <c:v>53.391458333333325</c:v>
                </c:pt>
                <c:pt idx="11">
                  <c:v>36.991666666666667</c:v>
                </c:pt>
                <c:pt idx="12">
                  <c:v>29.927083333333329</c:v>
                </c:pt>
                <c:pt idx="13">
                  <c:v>28.033333333333335</c:v>
                </c:pt>
                <c:pt idx="14">
                  <c:v>31.237499999999997</c:v>
                </c:pt>
                <c:pt idx="15">
                  <c:v>37.280208333333327</c:v>
                </c:pt>
                <c:pt idx="16">
                  <c:v>26.898680555555558</c:v>
                </c:pt>
                <c:pt idx="17">
                  <c:v>19.191666666666666</c:v>
                </c:pt>
                <c:pt idx="18">
                  <c:v>32.87916666666667</c:v>
                </c:pt>
                <c:pt idx="19">
                  <c:v>28.783333333333335</c:v>
                </c:pt>
                <c:pt idx="20">
                  <c:v>30.25</c:v>
                </c:pt>
                <c:pt idx="21">
                  <c:v>50.479166666666657</c:v>
                </c:pt>
                <c:pt idx="22">
                  <c:v>54.997916666666669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Data'!$I$53</c:f>
              <c:strCache>
                <c:ptCount val="1"/>
                <c:pt idx="0">
                  <c:v>LOU Budget Avg Hourly Temp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Data'!$I$54:$I$84</c:f>
              <c:numCache>
                <c:formatCode>_(* #,##0_);_(* \(#,##0\);_(* "-"??_);_(@_)</c:formatCode>
                <c:ptCount val="31"/>
                <c:pt idx="0">
                  <c:v>53.7</c:v>
                </c:pt>
                <c:pt idx="1">
                  <c:v>51.35</c:v>
                </c:pt>
                <c:pt idx="2">
                  <c:v>48.3</c:v>
                </c:pt>
                <c:pt idx="3">
                  <c:v>50.2</c:v>
                </c:pt>
                <c:pt idx="4">
                  <c:v>50.1</c:v>
                </c:pt>
                <c:pt idx="5">
                  <c:v>49.05</c:v>
                </c:pt>
                <c:pt idx="6">
                  <c:v>49.25</c:v>
                </c:pt>
                <c:pt idx="7">
                  <c:v>50.15</c:v>
                </c:pt>
                <c:pt idx="8">
                  <c:v>51.1</c:v>
                </c:pt>
                <c:pt idx="9">
                  <c:v>51.8</c:v>
                </c:pt>
                <c:pt idx="10">
                  <c:v>49.85</c:v>
                </c:pt>
                <c:pt idx="11">
                  <c:v>48.55</c:v>
                </c:pt>
                <c:pt idx="12">
                  <c:v>49.25</c:v>
                </c:pt>
                <c:pt idx="13">
                  <c:v>49.8</c:v>
                </c:pt>
                <c:pt idx="14">
                  <c:v>46.2</c:v>
                </c:pt>
                <c:pt idx="15">
                  <c:v>45.35</c:v>
                </c:pt>
                <c:pt idx="16">
                  <c:v>45.6</c:v>
                </c:pt>
                <c:pt idx="17">
                  <c:v>46.8</c:v>
                </c:pt>
                <c:pt idx="18">
                  <c:v>48.9</c:v>
                </c:pt>
                <c:pt idx="19">
                  <c:v>48.95</c:v>
                </c:pt>
                <c:pt idx="20">
                  <c:v>48.9</c:v>
                </c:pt>
                <c:pt idx="21">
                  <c:v>47.65</c:v>
                </c:pt>
                <c:pt idx="22">
                  <c:v>46.6</c:v>
                </c:pt>
                <c:pt idx="23">
                  <c:v>45.1</c:v>
                </c:pt>
                <c:pt idx="24">
                  <c:v>44.15</c:v>
                </c:pt>
                <c:pt idx="25">
                  <c:v>45.05</c:v>
                </c:pt>
                <c:pt idx="26">
                  <c:v>44.85</c:v>
                </c:pt>
                <c:pt idx="27">
                  <c:v>43.65</c:v>
                </c:pt>
                <c:pt idx="28">
                  <c:v>44.8</c:v>
                </c:pt>
                <c:pt idx="29">
                  <c:v>44.5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62368"/>
        <c:axId val="435580928"/>
      </c:lineChart>
      <c:catAx>
        <c:axId val="4355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5580928"/>
        <c:crosses val="autoZero"/>
        <c:auto val="1"/>
        <c:lblAlgn val="ctr"/>
        <c:lblOffset val="100"/>
        <c:noMultiLvlLbl val="0"/>
      </c:catAx>
      <c:valAx>
        <c:axId val="435580928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5562368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4388238521667"/>
          <c:y val="0.15922351103961468"/>
          <c:w val="0.82460017770789573"/>
          <c:h val="0.6149397454350464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Data'!$J$53</c:f>
              <c:strCache>
                <c:ptCount val="1"/>
                <c:pt idx="0">
                  <c:v>LEX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Data'!$J$54:$J$84</c:f>
              <c:numCache>
                <c:formatCode>_(* #,##0_);_(* \(#,##0\);_(* "-"??_);_(@_)</c:formatCode>
                <c:ptCount val="31"/>
                <c:pt idx="0">
                  <c:v>41</c:v>
                </c:pt>
                <c:pt idx="1">
                  <c:v>52</c:v>
                </c:pt>
                <c:pt idx="2">
                  <c:v>69</c:v>
                </c:pt>
                <c:pt idx="3">
                  <c:v>65</c:v>
                </c:pt>
                <c:pt idx="4">
                  <c:v>54</c:v>
                </c:pt>
                <c:pt idx="5">
                  <c:v>53</c:v>
                </c:pt>
                <c:pt idx="6">
                  <c:v>46</c:v>
                </c:pt>
                <c:pt idx="7">
                  <c:v>55</c:v>
                </c:pt>
                <c:pt idx="8">
                  <c:v>53</c:v>
                </c:pt>
                <c:pt idx="9">
                  <c:v>65</c:v>
                </c:pt>
                <c:pt idx="10">
                  <c:v>67</c:v>
                </c:pt>
                <c:pt idx="11">
                  <c:v>37</c:v>
                </c:pt>
                <c:pt idx="12">
                  <c:v>34</c:v>
                </c:pt>
                <c:pt idx="13">
                  <c:v>33</c:v>
                </c:pt>
                <c:pt idx="14">
                  <c:v>38</c:v>
                </c:pt>
                <c:pt idx="15">
                  <c:v>42</c:v>
                </c:pt>
                <c:pt idx="16">
                  <c:v>38</c:v>
                </c:pt>
                <c:pt idx="17">
                  <c:v>22</c:v>
                </c:pt>
                <c:pt idx="18">
                  <c:v>47</c:v>
                </c:pt>
                <c:pt idx="19">
                  <c:v>34</c:v>
                </c:pt>
                <c:pt idx="20">
                  <c:v>39</c:v>
                </c:pt>
                <c:pt idx="21">
                  <c:v>63</c:v>
                </c:pt>
                <c:pt idx="22">
                  <c:v>58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Data'!$L$53</c:f>
              <c:strCache>
                <c:ptCount val="1"/>
                <c:pt idx="0">
                  <c:v>LEX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Data'!$L$54:$L$84</c:f>
              <c:numCache>
                <c:formatCode>_(* #,##0_);_(* \(#,##0\);_(* "-"??_);_(@_)</c:formatCode>
                <c:ptCount val="31"/>
                <c:pt idx="0">
                  <c:v>60.55</c:v>
                </c:pt>
                <c:pt idx="1">
                  <c:v>59.9</c:v>
                </c:pt>
                <c:pt idx="2">
                  <c:v>55.5</c:v>
                </c:pt>
                <c:pt idx="3">
                  <c:v>57.95</c:v>
                </c:pt>
                <c:pt idx="4">
                  <c:v>57.65</c:v>
                </c:pt>
                <c:pt idx="5">
                  <c:v>55.35</c:v>
                </c:pt>
                <c:pt idx="6">
                  <c:v>56.55</c:v>
                </c:pt>
                <c:pt idx="7">
                  <c:v>57.25</c:v>
                </c:pt>
                <c:pt idx="8">
                  <c:v>58.75</c:v>
                </c:pt>
                <c:pt idx="9">
                  <c:v>59.6</c:v>
                </c:pt>
                <c:pt idx="10">
                  <c:v>56</c:v>
                </c:pt>
                <c:pt idx="11">
                  <c:v>55.9</c:v>
                </c:pt>
                <c:pt idx="12">
                  <c:v>55.4</c:v>
                </c:pt>
                <c:pt idx="13">
                  <c:v>55.2</c:v>
                </c:pt>
                <c:pt idx="14">
                  <c:v>52.5</c:v>
                </c:pt>
                <c:pt idx="15">
                  <c:v>52.3</c:v>
                </c:pt>
                <c:pt idx="16">
                  <c:v>51.6</c:v>
                </c:pt>
                <c:pt idx="17">
                  <c:v>54.3</c:v>
                </c:pt>
                <c:pt idx="18">
                  <c:v>55.9</c:v>
                </c:pt>
                <c:pt idx="19">
                  <c:v>55.4</c:v>
                </c:pt>
                <c:pt idx="20">
                  <c:v>55.3</c:v>
                </c:pt>
                <c:pt idx="21">
                  <c:v>54.2</c:v>
                </c:pt>
                <c:pt idx="22">
                  <c:v>54.3</c:v>
                </c:pt>
                <c:pt idx="23">
                  <c:v>52.8</c:v>
                </c:pt>
                <c:pt idx="24">
                  <c:v>52.45</c:v>
                </c:pt>
                <c:pt idx="25">
                  <c:v>53.4</c:v>
                </c:pt>
                <c:pt idx="26">
                  <c:v>50.9</c:v>
                </c:pt>
                <c:pt idx="27">
                  <c:v>50.65</c:v>
                </c:pt>
                <c:pt idx="28">
                  <c:v>50.4</c:v>
                </c:pt>
                <c:pt idx="29">
                  <c:v>50.95</c:v>
                </c:pt>
                <c:pt idx="30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Data'!$N$53</c:f>
              <c:strCache>
                <c:ptCount val="1"/>
                <c:pt idx="0">
                  <c:v>LEX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Data'!$N$54:$N$84</c:f>
              <c:numCache>
                <c:formatCode>_(* #,##0_);_(* \(#,##0\);_(* "-"??_);_(@_)</c:formatCode>
                <c:ptCount val="31"/>
                <c:pt idx="0">
                  <c:v>30</c:v>
                </c:pt>
                <c:pt idx="1">
                  <c:v>27</c:v>
                </c:pt>
                <c:pt idx="2">
                  <c:v>33</c:v>
                </c:pt>
                <c:pt idx="3">
                  <c:v>50</c:v>
                </c:pt>
                <c:pt idx="4">
                  <c:v>52</c:v>
                </c:pt>
                <c:pt idx="5">
                  <c:v>41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37</c:v>
                </c:pt>
                <c:pt idx="10">
                  <c:v>37</c:v>
                </c:pt>
                <c:pt idx="11">
                  <c:v>34</c:v>
                </c:pt>
                <c:pt idx="12">
                  <c:v>25</c:v>
                </c:pt>
                <c:pt idx="13">
                  <c:v>16</c:v>
                </c:pt>
                <c:pt idx="14">
                  <c:v>14</c:v>
                </c:pt>
                <c:pt idx="15">
                  <c:v>31</c:v>
                </c:pt>
                <c:pt idx="16">
                  <c:v>18</c:v>
                </c:pt>
                <c:pt idx="17">
                  <c:v>12</c:v>
                </c:pt>
                <c:pt idx="18">
                  <c:v>11</c:v>
                </c:pt>
                <c:pt idx="19">
                  <c:v>22</c:v>
                </c:pt>
                <c:pt idx="20">
                  <c:v>14</c:v>
                </c:pt>
                <c:pt idx="21">
                  <c:v>32</c:v>
                </c:pt>
                <c:pt idx="22">
                  <c:v>48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Data'!$P$53</c:f>
              <c:strCache>
                <c:ptCount val="1"/>
                <c:pt idx="0">
                  <c:v>LEX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Data'!$P$54:$P$84</c:f>
              <c:numCache>
                <c:formatCode>_(* #,##0_);_(* \(#,##0\);_(* "-"??_);_(@_)</c:formatCode>
                <c:ptCount val="31"/>
                <c:pt idx="0">
                  <c:v>42.25</c:v>
                </c:pt>
                <c:pt idx="1">
                  <c:v>39.450000000000003</c:v>
                </c:pt>
                <c:pt idx="2">
                  <c:v>37.6</c:v>
                </c:pt>
                <c:pt idx="3">
                  <c:v>38.35</c:v>
                </c:pt>
                <c:pt idx="4">
                  <c:v>38.549999999999997</c:v>
                </c:pt>
                <c:pt idx="5">
                  <c:v>38.15</c:v>
                </c:pt>
                <c:pt idx="6">
                  <c:v>38.1</c:v>
                </c:pt>
                <c:pt idx="7">
                  <c:v>38.549999999999997</c:v>
                </c:pt>
                <c:pt idx="8">
                  <c:v>38.6</c:v>
                </c:pt>
                <c:pt idx="9">
                  <c:v>39.950000000000003</c:v>
                </c:pt>
                <c:pt idx="10">
                  <c:v>37.9</c:v>
                </c:pt>
                <c:pt idx="11">
                  <c:v>36.549999999999997</c:v>
                </c:pt>
                <c:pt idx="12">
                  <c:v>39</c:v>
                </c:pt>
                <c:pt idx="13">
                  <c:v>38.700000000000003</c:v>
                </c:pt>
                <c:pt idx="14">
                  <c:v>36.65</c:v>
                </c:pt>
                <c:pt idx="15">
                  <c:v>34.9</c:v>
                </c:pt>
                <c:pt idx="16">
                  <c:v>35.549999999999997</c:v>
                </c:pt>
                <c:pt idx="17">
                  <c:v>36</c:v>
                </c:pt>
                <c:pt idx="18">
                  <c:v>38.549999999999997</c:v>
                </c:pt>
                <c:pt idx="19">
                  <c:v>38.6</c:v>
                </c:pt>
                <c:pt idx="20">
                  <c:v>38.85</c:v>
                </c:pt>
                <c:pt idx="21">
                  <c:v>37.1</c:v>
                </c:pt>
                <c:pt idx="22">
                  <c:v>35</c:v>
                </c:pt>
                <c:pt idx="23">
                  <c:v>34.35</c:v>
                </c:pt>
                <c:pt idx="24">
                  <c:v>34.4</c:v>
                </c:pt>
                <c:pt idx="25">
                  <c:v>35.049999999999997</c:v>
                </c:pt>
                <c:pt idx="26">
                  <c:v>35.65</c:v>
                </c:pt>
                <c:pt idx="27">
                  <c:v>33.450000000000003</c:v>
                </c:pt>
                <c:pt idx="28">
                  <c:v>34.5</c:v>
                </c:pt>
                <c:pt idx="29">
                  <c:v>34.25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30208"/>
        <c:axId val="436832128"/>
      </c:lineChart>
      <c:catAx>
        <c:axId val="4368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6832128"/>
        <c:crosses val="autoZero"/>
        <c:auto val="1"/>
        <c:lblAlgn val="ctr"/>
        <c:lblOffset val="100"/>
        <c:noMultiLvlLbl val="0"/>
      </c:catAx>
      <c:valAx>
        <c:axId val="436832128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6830208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93600542404465"/>
          <c:y val="0.16847955309763932"/>
          <c:w val="0.82182046578567536"/>
          <c:h val="0.6037024502326426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Data'!$K$53</c:f>
              <c:strCache>
                <c:ptCount val="1"/>
                <c:pt idx="0">
                  <c:v>LOU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Data'!$K$54:$K$84</c:f>
              <c:numCache>
                <c:formatCode>_(* #,##0_);_(* \(#,##0\);_(* "-"??_);_(@_)</c:formatCode>
                <c:ptCount val="31"/>
                <c:pt idx="0">
                  <c:v>45</c:v>
                </c:pt>
                <c:pt idx="1">
                  <c:v>51</c:v>
                </c:pt>
                <c:pt idx="2">
                  <c:v>67</c:v>
                </c:pt>
                <c:pt idx="3">
                  <c:v>65</c:v>
                </c:pt>
                <c:pt idx="4">
                  <c:v>57</c:v>
                </c:pt>
                <c:pt idx="5">
                  <c:v>55</c:v>
                </c:pt>
                <c:pt idx="6">
                  <c:v>50</c:v>
                </c:pt>
                <c:pt idx="7">
                  <c:v>57</c:v>
                </c:pt>
                <c:pt idx="8">
                  <c:v>55</c:v>
                </c:pt>
                <c:pt idx="9">
                  <c:v>65</c:v>
                </c:pt>
                <c:pt idx="10">
                  <c:v>64</c:v>
                </c:pt>
                <c:pt idx="11">
                  <c:v>40</c:v>
                </c:pt>
                <c:pt idx="12">
                  <c:v>33</c:v>
                </c:pt>
                <c:pt idx="13">
                  <c:v>36</c:v>
                </c:pt>
                <c:pt idx="14">
                  <c:v>40</c:v>
                </c:pt>
                <c:pt idx="15">
                  <c:v>41</c:v>
                </c:pt>
                <c:pt idx="16">
                  <c:v>33</c:v>
                </c:pt>
                <c:pt idx="17">
                  <c:v>24</c:v>
                </c:pt>
                <c:pt idx="18">
                  <c:v>47</c:v>
                </c:pt>
                <c:pt idx="19">
                  <c:v>36</c:v>
                </c:pt>
                <c:pt idx="20">
                  <c:v>41</c:v>
                </c:pt>
                <c:pt idx="21">
                  <c:v>64</c:v>
                </c:pt>
                <c:pt idx="22">
                  <c:v>60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Data'!$M$53</c:f>
              <c:strCache>
                <c:ptCount val="1"/>
                <c:pt idx="0">
                  <c:v>LOU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'Chart Data'!$B$54:$B$84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'Chart Data'!$M$54:$M$84</c:f>
              <c:numCache>
                <c:formatCode>_(* #,##0_);_(* \(#,##0\);_(* "-"??_);_(@_)</c:formatCode>
                <c:ptCount val="31"/>
                <c:pt idx="0">
                  <c:v>62.85</c:v>
                </c:pt>
                <c:pt idx="1">
                  <c:v>62</c:v>
                </c:pt>
                <c:pt idx="2">
                  <c:v>56.95</c:v>
                </c:pt>
                <c:pt idx="3">
                  <c:v>59.8</c:v>
                </c:pt>
                <c:pt idx="4">
                  <c:v>59.4</c:v>
                </c:pt>
                <c:pt idx="5">
                  <c:v>57.4</c:v>
                </c:pt>
                <c:pt idx="6">
                  <c:v>58.75</c:v>
                </c:pt>
                <c:pt idx="7">
                  <c:v>60.4</c:v>
                </c:pt>
                <c:pt idx="8">
                  <c:v>60.85</c:v>
                </c:pt>
                <c:pt idx="9">
                  <c:v>61.8</c:v>
                </c:pt>
                <c:pt idx="10">
                  <c:v>58.55</c:v>
                </c:pt>
                <c:pt idx="11">
                  <c:v>58.35</c:v>
                </c:pt>
                <c:pt idx="12">
                  <c:v>58.05</c:v>
                </c:pt>
                <c:pt idx="13">
                  <c:v>58.3</c:v>
                </c:pt>
                <c:pt idx="14">
                  <c:v>54.35</c:v>
                </c:pt>
                <c:pt idx="15">
                  <c:v>53.5</c:v>
                </c:pt>
                <c:pt idx="16">
                  <c:v>53.75</c:v>
                </c:pt>
                <c:pt idx="17">
                  <c:v>56.2</c:v>
                </c:pt>
                <c:pt idx="18">
                  <c:v>57.2</c:v>
                </c:pt>
                <c:pt idx="19">
                  <c:v>57.6</c:v>
                </c:pt>
                <c:pt idx="20">
                  <c:v>56.75</c:v>
                </c:pt>
                <c:pt idx="21">
                  <c:v>56.6</c:v>
                </c:pt>
                <c:pt idx="22">
                  <c:v>56.1</c:v>
                </c:pt>
                <c:pt idx="23">
                  <c:v>54.3</c:v>
                </c:pt>
                <c:pt idx="24">
                  <c:v>53.8</c:v>
                </c:pt>
                <c:pt idx="25">
                  <c:v>54.25</c:v>
                </c:pt>
                <c:pt idx="26">
                  <c:v>52.95</c:v>
                </c:pt>
                <c:pt idx="27">
                  <c:v>52.1</c:v>
                </c:pt>
                <c:pt idx="28">
                  <c:v>52.75</c:v>
                </c:pt>
                <c:pt idx="29">
                  <c:v>52.2</c:v>
                </c:pt>
                <c:pt idx="30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Data'!$O$53</c:f>
              <c:strCache>
                <c:ptCount val="1"/>
                <c:pt idx="0">
                  <c:v>LOU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Data'!$O$54:$O$84</c:f>
              <c:numCache>
                <c:formatCode>_(* #,##0_);_(* \(#,##0\);_(* "-"??_);_(@_)</c:formatCode>
                <c:ptCount val="31"/>
                <c:pt idx="0">
                  <c:v>29</c:v>
                </c:pt>
                <c:pt idx="1">
                  <c:v>25</c:v>
                </c:pt>
                <c:pt idx="2">
                  <c:v>39</c:v>
                </c:pt>
                <c:pt idx="3">
                  <c:v>50</c:v>
                </c:pt>
                <c:pt idx="4">
                  <c:v>52</c:v>
                </c:pt>
                <c:pt idx="5">
                  <c:v>43</c:v>
                </c:pt>
                <c:pt idx="6">
                  <c:v>37</c:v>
                </c:pt>
                <c:pt idx="7">
                  <c:v>35</c:v>
                </c:pt>
                <c:pt idx="8">
                  <c:v>32</c:v>
                </c:pt>
                <c:pt idx="9">
                  <c:v>36</c:v>
                </c:pt>
                <c:pt idx="10">
                  <c:v>37</c:v>
                </c:pt>
                <c:pt idx="11">
                  <c:v>33</c:v>
                </c:pt>
                <c:pt idx="12">
                  <c:v>26</c:v>
                </c:pt>
                <c:pt idx="13">
                  <c:v>22</c:v>
                </c:pt>
                <c:pt idx="14">
                  <c:v>19</c:v>
                </c:pt>
                <c:pt idx="15">
                  <c:v>33</c:v>
                </c:pt>
                <c:pt idx="16">
                  <c:v>19</c:v>
                </c:pt>
                <c:pt idx="17">
                  <c:v>15</c:v>
                </c:pt>
                <c:pt idx="18">
                  <c:v>16</c:v>
                </c:pt>
                <c:pt idx="19">
                  <c:v>23</c:v>
                </c:pt>
                <c:pt idx="20">
                  <c:v>17</c:v>
                </c:pt>
                <c:pt idx="21">
                  <c:v>35</c:v>
                </c:pt>
                <c:pt idx="22">
                  <c:v>47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Data'!$Q$53</c:f>
              <c:strCache>
                <c:ptCount val="1"/>
                <c:pt idx="0">
                  <c:v>LOU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Data'!$Q$54:$Q$84</c:f>
              <c:numCache>
                <c:formatCode>_(* #,##0_);_(* \(#,##0\);_(* "-"??_);_(@_)</c:formatCode>
                <c:ptCount val="31"/>
                <c:pt idx="0">
                  <c:v>43.65</c:v>
                </c:pt>
                <c:pt idx="1">
                  <c:v>40.35</c:v>
                </c:pt>
                <c:pt idx="2">
                  <c:v>39.950000000000003</c:v>
                </c:pt>
                <c:pt idx="3">
                  <c:v>40.450000000000003</c:v>
                </c:pt>
                <c:pt idx="4">
                  <c:v>40.65</c:v>
                </c:pt>
                <c:pt idx="5">
                  <c:v>40.15</c:v>
                </c:pt>
                <c:pt idx="6">
                  <c:v>39.200000000000003</c:v>
                </c:pt>
                <c:pt idx="7">
                  <c:v>40</c:v>
                </c:pt>
                <c:pt idx="8">
                  <c:v>40.9</c:v>
                </c:pt>
                <c:pt idx="9">
                  <c:v>41.9</c:v>
                </c:pt>
                <c:pt idx="10">
                  <c:v>40.65</c:v>
                </c:pt>
                <c:pt idx="11">
                  <c:v>37.9</c:v>
                </c:pt>
                <c:pt idx="12">
                  <c:v>40.200000000000003</c:v>
                </c:pt>
                <c:pt idx="13">
                  <c:v>40.950000000000003</c:v>
                </c:pt>
                <c:pt idx="14">
                  <c:v>37.549999999999997</c:v>
                </c:pt>
                <c:pt idx="15">
                  <c:v>37.049999999999997</c:v>
                </c:pt>
                <c:pt idx="16">
                  <c:v>37.35</c:v>
                </c:pt>
                <c:pt idx="17">
                  <c:v>37.15</c:v>
                </c:pt>
                <c:pt idx="18">
                  <c:v>39.950000000000003</c:v>
                </c:pt>
                <c:pt idx="19">
                  <c:v>39.950000000000003</c:v>
                </c:pt>
                <c:pt idx="20">
                  <c:v>40.75</c:v>
                </c:pt>
                <c:pt idx="21">
                  <c:v>38.700000000000003</c:v>
                </c:pt>
                <c:pt idx="22">
                  <c:v>36.85</c:v>
                </c:pt>
                <c:pt idx="23">
                  <c:v>35.35</c:v>
                </c:pt>
                <c:pt idx="24">
                  <c:v>34.4</c:v>
                </c:pt>
                <c:pt idx="25">
                  <c:v>35.9</c:v>
                </c:pt>
                <c:pt idx="26">
                  <c:v>36.450000000000003</c:v>
                </c:pt>
                <c:pt idx="27">
                  <c:v>35.25</c:v>
                </c:pt>
                <c:pt idx="28">
                  <c:v>36.65</c:v>
                </c:pt>
                <c:pt idx="29">
                  <c:v>36.299999999999997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51552"/>
        <c:axId val="437353472"/>
      </c:lineChart>
      <c:catAx>
        <c:axId val="4373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7353472"/>
        <c:crosses val="autoZero"/>
        <c:auto val="1"/>
        <c:lblAlgn val="ctr"/>
        <c:lblOffset val="100"/>
        <c:noMultiLvlLbl val="0"/>
      </c:catAx>
      <c:valAx>
        <c:axId val="437353472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7351552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16" fmlaLink="'Chart Data'!$C$37" max="31" min="1" page="10" val="23"/>
</file>

<file path=xl/ctrlProps/ctrlProp2.xml><?xml version="1.0" encoding="utf-8"?>
<formControlPr xmlns="http://schemas.microsoft.com/office/spreadsheetml/2009/9/main" objectType="Spin" dx="16" fmlaLink="'Chart Data'!$C$37" max="31" min="1" page="10" val="23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0</xdr:row>
      <xdr:rowOff>79377</xdr:rowOff>
    </xdr:from>
    <xdr:to>
      <xdr:col>3</xdr:col>
      <xdr:colOff>1071564</xdr:colOff>
      <xdr:row>2</xdr:row>
      <xdr:rowOff>218977</xdr:rowOff>
    </xdr:to>
    <xdr:pic>
      <xdr:nvPicPr>
        <xdr:cNvPr id="4" name="Picture 3" descr="LGE_RGB_PPL_tag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0" y="79377"/>
          <a:ext cx="2222500" cy="701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39688</xdr:colOff>
      <xdr:row>0</xdr:row>
      <xdr:rowOff>105834</xdr:rowOff>
    </xdr:from>
    <xdr:to>
      <xdr:col>11</xdr:col>
      <xdr:colOff>873127</xdr:colOff>
      <xdr:row>2</xdr:row>
      <xdr:rowOff>246414</xdr:rowOff>
    </xdr:to>
    <xdr:pic>
      <xdr:nvPicPr>
        <xdr:cNvPr id="5" name="Picture 4" descr="KU_RGB_PPLtag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6563" y="105834"/>
          <a:ext cx="2037292" cy="701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4</xdr:row>
          <xdr:rowOff>180975</xdr:rowOff>
        </xdr:from>
        <xdr:to>
          <xdr:col>3</xdr:col>
          <xdr:colOff>1200150</xdr:colOff>
          <xdr:row>6</xdr:row>
          <xdr:rowOff>28575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09600" y="14963775"/>
          <a:ext cx="14582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20</xdr:col>
      <xdr:colOff>0</xdr:colOff>
      <xdr:row>83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8516600" y="14963775"/>
          <a:ext cx="1753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911121" y="43792"/>
    <xdr:ext cx="7348715" cy="63171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794" y="43793"/>
    <xdr:ext cx="7776882" cy="631715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0</xdr:row>
          <xdr:rowOff>133350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absoluteAnchor>
    <xdr:pos x="15335251" y="47625"/>
    <xdr:ext cx="7348715" cy="631715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7A6B96C-3FA9-45D8-B750-2230949AB196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Nov-2014</a:t>
          </a:fld>
          <a:endParaRPr 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0.01433</cdr:x>
      <cdr:y>0.95059</cdr:y>
    </cdr:from>
    <cdr:to>
      <cdr:x>0.95998</cdr:x>
      <cdr:y>0.99178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239" y="5973832"/>
          <a:ext cx="8199783" cy="25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Note:</a:t>
          </a:r>
          <a:r>
            <a:rPr lang="en-US" sz="1100" i="1" baseline="0"/>
            <a:t> Hourly temperature data may not be immediately available for all hours on this daily report.</a:t>
          </a:r>
          <a:endParaRPr lang="en-US" sz="1100" i="1"/>
        </a:p>
      </cdr:txBody>
    </cdr:sp>
  </cdr:relSizeAnchor>
  <cdr:relSizeAnchor xmlns:cdr="http://schemas.openxmlformats.org/drawingml/2006/chartDrawing">
    <cdr:from>
      <cdr:x>0.8763</cdr:x>
      <cdr:y>0</cdr:y>
    </cdr:from>
    <cdr:to>
      <cdr:x>1</cdr:x>
      <cdr:y>0.06936</cdr:y>
    </cdr:to>
    <cdr:sp macro="" textlink="'Chart Data'!$E$37">
      <cdr:nvSpPr>
        <cdr:cNvPr id="3" name="TextBox 1"/>
        <cdr:cNvSpPr txBox="1"/>
      </cdr:nvSpPr>
      <cdr:spPr>
        <a:xfrm xmlns:a="http://schemas.openxmlformats.org/drawingml/2006/main">
          <a:off x="6814861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CC51E4-8998-41A6-A4EF-C722FB9E5747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Sunday</a:t>
          </a:fld>
          <a:endParaRPr lang="en-US" sz="1100" b="1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87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6FE31A9-D754-45A3-BA64-5D5A13952243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2014</a:t>
          </a:fld>
          <a:endParaRPr lang="en-US" sz="1100" b="1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75" y="36635"/>
    <xdr:ext cx="6115050" cy="5343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8536" y="36634"/>
    <xdr:ext cx="6014197" cy="533949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0.84268</cdr:x>
      <cdr:y>0</cdr:y>
    </cdr:from>
    <cdr:to>
      <cdr:x>1</cdr:x>
      <cdr:y>0.082</cdr:y>
    </cdr:to>
    <cdr:sp macro="" textlink="'Chart Data'!$B$53">
      <cdr:nvSpPr>
        <cdr:cNvPr id="2" name="TextBox 1"/>
        <cdr:cNvSpPr txBox="1"/>
      </cdr:nvSpPr>
      <cdr:spPr>
        <a:xfrm xmlns:a="http://schemas.openxmlformats.org/drawingml/2006/main">
          <a:off x="5153025" y="0"/>
          <a:ext cx="962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C4488A5-6A17-494F-86C1-FB6549B719D8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Nov-2014</a:t>
          </a:fld>
          <a:endParaRPr 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0.84004</cdr:x>
      <cdr:y>0</cdr:y>
    </cdr:from>
    <cdr:to>
      <cdr:x>1</cdr:x>
      <cdr:y>0.08206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52166" y="0"/>
          <a:ext cx="962031" cy="4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8A37C-239F-4D78-ABB3-7A8789E0DFCA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Nov-2014</a:t>
          </a:fld>
          <a:endParaRPr lang="en-US" sz="1100" i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7476" y="28209"/>
    <xdr:ext cx="6105525" cy="5314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2567" y="27476"/>
    <xdr:ext cx="6010275" cy="532447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0.84244</cdr:x>
      <cdr:y>0</cdr:y>
    </cdr:from>
    <cdr:to>
      <cdr:x>1</cdr:x>
      <cdr:y>0.08244</cdr:y>
    </cdr:to>
    <cdr:sp macro="" textlink="'Chart Data'!$B$53">
      <cdr:nvSpPr>
        <cdr:cNvPr id="4" name="TextBox 1"/>
        <cdr:cNvSpPr txBox="1"/>
      </cdr:nvSpPr>
      <cdr:spPr>
        <a:xfrm xmlns:a="http://schemas.openxmlformats.org/drawingml/2006/main">
          <a:off x="5143539" y="0"/>
          <a:ext cx="961986" cy="43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432D4B0-1347-4B82-9012-36EEBF077CF2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Nov-2014</a:t>
          </a:fld>
          <a:endParaRPr lang="en-US" sz="11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0.83994</cdr:x>
      <cdr:y>0</cdr:y>
    </cdr:from>
    <cdr:to>
      <cdr:x>1</cdr:x>
      <cdr:y>0.08229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48270" y="0"/>
          <a:ext cx="962005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B1FFB6B-91D0-4E5D-8B0B-5C4D2C9CDFA9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Nov-2014</a:t>
          </a:fld>
          <a:endParaRPr lang="en-US" sz="11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Volume%20Input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S Phydetail"/>
      <sheetName val="CTS ActGen"/>
      <sheetName val="LexWeather"/>
      <sheetName val="LouWeather"/>
      <sheetName val="Temps1"/>
      <sheetName val="Temps"/>
      <sheetName val="Peak Types"/>
      <sheetName val="Hourly Load"/>
      <sheetName val="Load"/>
    </sheetNames>
    <sheetDataSet>
      <sheetData sheetId="0">
        <row r="9">
          <cell r="B9">
            <v>0</v>
          </cell>
          <cell r="C9">
            <v>374</v>
          </cell>
          <cell r="D9">
            <v>2501</v>
          </cell>
          <cell r="F9">
            <v>0</v>
          </cell>
          <cell r="G9">
            <v>393</v>
          </cell>
          <cell r="H9">
            <v>779</v>
          </cell>
          <cell r="J9">
            <v>0</v>
          </cell>
          <cell r="K9">
            <v>264</v>
          </cell>
          <cell r="L9">
            <v>857</v>
          </cell>
          <cell r="N9">
            <v>0</v>
          </cell>
          <cell r="O9">
            <v>0</v>
          </cell>
          <cell r="P9">
            <v>3</v>
          </cell>
          <cell r="R9">
            <v>0</v>
          </cell>
          <cell r="S9">
            <v>25</v>
          </cell>
          <cell r="T9">
            <v>466</v>
          </cell>
          <cell r="V9">
            <v>0</v>
          </cell>
          <cell r="W9">
            <v>2109</v>
          </cell>
          <cell r="X9">
            <v>4082</v>
          </cell>
          <cell r="Z9">
            <v>0</v>
          </cell>
          <cell r="AA9">
            <v>201</v>
          </cell>
          <cell r="AB9">
            <v>279</v>
          </cell>
          <cell r="AD9">
            <v>29</v>
          </cell>
          <cell r="AE9">
            <v>0</v>
          </cell>
          <cell r="AF9">
            <v>28</v>
          </cell>
          <cell r="AG9">
            <v>0</v>
          </cell>
          <cell r="AI9">
            <v>0</v>
          </cell>
          <cell r="AJ9">
            <v>0</v>
          </cell>
          <cell r="AL9">
            <v>37.015277777777776</v>
          </cell>
          <cell r="AM9">
            <v>38.114583333333336</v>
          </cell>
        </row>
        <row r="10">
          <cell r="B10">
            <v>0</v>
          </cell>
          <cell r="C10">
            <v>739</v>
          </cell>
          <cell r="D10">
            <v>2199</v>
          </cell>
          <cell r="F10">
            <v>0</v>
          </cell>
          <cell r="G10">
            <v>387</v>
          </cell>
          <cell r="H10">
            <v>766</v>
          </cell>
          <cell r="J10">
            <v>0</v>
          </cell>
          <cell r="K10">
            <v>480</v>
          </cell>
          <cell r="L10">
            <v>960</v>
          </cell>
          <cell r="N10">
            <v>0</v>
          </cell>
          <cell r="O10">
            <v>0</v>
          </cell>
          <cell r="P10">
            <v>1399</v>
          </cell>
          <cell r="R10">
            <v>0</v>
          </cell>
          <cell r="S10">
            <v>100</v>
          </cell>
          <cell r="T10">
            <v>6</v>
          </cell>
          <cell r="V10">
            <v>0</v>
          </cell>
          <cell r="W10">
            <v>1639</v>
          </cell>
          <cell r="X10">
            <v>3323</v>
          </cell>
          <cell r="Z10">
            <v>0</v>
          </cell>
          <cell r="AA10">
            <v>8</v>
          </cell>
          <cell r="AB10">
            <v>19</v>
          </cell>
          <cell r="AD10">
            <v>25</v>
          </cell>
          <cell r="AE10">
            <v>0</v>
          </cell>
          <cell r="AF10">
            <v>27</v>
          </cell>
          <cell r="AG10">
            <v>0</v>
          </cell>
          <cell r="AI10">
            <v>125</v>
          </cell>
          <cell r="AJ10">
            <v>622</v>
          </cell>
          <cell r="AL10">
            <v>38.352173913043487</v>
          </cell>
          <cell r="AM10">
            <v>38.639130434782608</v>
          </cell>
        </row>
        <row r="11">
          <cell r="B11">
            <v>967</v>
          </cell>
          <cell r="C11">
            <v>261</v>
          </cell>
          <cell r="D11">
            <v>0</v>
          </cell>
          <cell r="F11">
            <v>726</v>
          </cell>
          <cell r="G11">
            <v>379</v>
          </cell>
          <cell r="H11">
            <v>0</v>
          </cell>
          <cell r="J11">
            <v>1000</v>
          </cell>
          <cell r="K11">
            <v>488</v>
          </cell>
          <cell r="L11">
            <v>0</v>
          </cell>
          <cell r="N11">
            <v>896</v>
          </cell>
          <cell r="O11">
            <v>487</v>
          </cell>
          <cell r="P11">
            <v>0</v>
          </cell>
          <cell r="R11">
            <v>5</v>
          </cell>
          <cell r="S11">
            <v>0</v>
          </cell>
          <cell r="T11">
            <v>0</v>
          </cell>
          <cell r="V11">
            <v>4927</v>
          </cell>
          <cell r="W11">
            <v>2472</v>
          </cell>
          <cell r="X11">
            <v>0</v>
          </cell>
          <cell r="Z11">
            <v>32</v>
          </cell>
          <cell r="AA11">
            <v>36</v>
          </cell>
          <cell r="AB11">
            <v>0</v>
          </cell>
          <cell r="AD11">
            <v>14</v>
          </cell>
          <cell r="AE11">
            <v>0</v>
          </cell>
          <cell r="AF11">
            <v>12</v>
          </cell>
          <cell r="AG11">
            <v>0</v>
          </cell>
          <cell r="AI11">
            <v>434</v>
          </cell>
          <cell r="AJ11">
            <v>412</v>
          </cell>
          <cell r="AL11">
            <v>51.404166666666661</v>
          </cell>
          <cell r="AM11">
            <v>51.8125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684</v>
          </cell>
          <cell r="G12">
            <v>319</v>
          </cell>
          <cell r="H12">
            <v>0</v>
          </cell>
          <cell r="J12">
            <v>875</v>
          </cell>
          <cell r="K12">
            <v>466</v>
          </cell>
          <cell r="L12">
            <v>0</v>
          </cell>
          <cell r="N12">
            <v>948</v>
          </cell>
          <cell r="O12">
            <v>131</v>
          </cell>
          <cell r="P12">
            <v>0</v>
          </cell>
          <cell r="R12">
            <v>6</v>
          </cell>
          <cell r="S12">
            <v>0</v>
          </cell>
          <cell r="T12">
            <v>0</v>
          </cell>
          <cell r="V12">
            <v>5088</v>
          </cell>
          <cell r="W12">
            <v>2472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7</v>
          </cell>
          <cell r="AE12">
            <v>0</v>
          </cell>
          <cell r="AF12">
            <v>7</v>
          </cell>
          <cell r="AG12">
            <v>0</v>
          </cell>
          <cell r="AI12">
            <v>725</v>
          </cell>
          <cell r="AJ12">
            <v>354</v>
          </cell>
          <cell r="AL12">
            <v>56.804166666666674</v>
          </cell>
          <cell r="AM12">
            <v>57.245833333333358</v>
          </cell>
        </row>
        <row r="13">
          <cell r="B13">
            <v>9</v>
          </cell>
          <cell r="C13">
            <v>0</v>
          </cell>
          <cell r="D13">
            <v>0</v>
          </cell>
          <cell r="F13">
            <v>750</v>
          </cell>
          <cell r="G13">
            <v>380</v>
          </cell>
          <cell r="H13">
            <v>0</v>
          </cell>
          <cell r="J13">
            <v>895</v>
          </cell>
          <cell r="K13">
            <v>427</v>
          </cell>
          <cell r="L13">
            <v>0</v>
          </cell>
          <cell r="N13">
            <v>1209</v>
          </cell>
          <cell r="O13">
            <v>300</v>
          </cell>
          <cell r="P13">
            <v>0</v>
          </cell>
          <cell r="R13">
            <v>9</v>
          </cell>
          <cell r="S13">
            <v>0</v>
          </cell>
          <cell r="T13">
            <v>0</v>
          </cell>
          <cell r="V13">
            <v>5088</v>
          </cell>
          <cell r="W13">
            <v>2484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12</v>
          </cell>
          <cell r="AE13">
            <v>0</v>
          </cell>
          <cell r="AF13">
            <v>10</v>
          </cell>
          <cell r="AG13">
            <v>0</v>
          </cell>
          <cell r="AI13">
            <v>662</v>
          </cell>
          <cell r="AJ13">
            <v>847</v>
          </cell>
          <cell r="AL13">
            <v>52.924652777777794</v>
          </cell>
          <cell r="AM13">
            <v>54.572222222222223</v>
          </cell>
        </row>
        <row r="14">
          <cell r="B14">
            <v>1</v>
          </cell>
          <cell r="C14">
            <v>0</v>
          </cell>
          <cell r="D14">
            <v>0</v>
          </cell>
          <cell r="F14">
            <v>752</v>
          </cell>
          <cell r="G14">
            <v>373</v>
          </cell>
          <cell r="H14">
            <v>0</v>
          </cell>
          <cell r="J14">
            <v>915</v>
          </cell>
          <cell r="K14">
            <v>472</v>
          </cell>
          <cell r="L14">
            <v>0</v>
          </cell>
          <cell r="N14">
            <v>1611</v>
          </cell>
          <cell r="O14">
            <v>350</v>
          </cell>
          <cell r="P14">
            <v>0</v>
          </cell>
          <cell r="R14">
            <v>14</v>
          </cell>
          <cell r="S14">
            <v>0</v>
          </cell>
          <cell r="T14">
            <v>0</v>
          </cell>
          <cell r="V14">
            <v>5088</v>
          </cell>
          <cell r="W14">
            <v>2496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D14">
            <v>18</v>
          </cell>
          <cell r="AE14">
            <v>0</v>
          </cell>
          <cell r="AF14">
            <v>16</v>
          </cell>
          <cell r="AG14">
            <v>0</v>
          </cell>
          <cell r="AI14">
            <v>559</v>
          </cell>
          <cell r="AJ14">
            <v>747</v>
          </cell>
          <cell r="AL14">
            <v>47.726041666666667</v>
          </cell>
          <cell r="AM14">
            <v>48.691666666666663</v>
          </cell>
        </row>
        <row r="15">
          <cell r="B15">
            <v>351</v>
          </cell>
          <cell r="C15">
            <v>65</v>
          </cell>
          <cell r="D15">
            <v>0</v>
          </cell>
          <cell r="F15">
            <v>771</v>
          </cell>
          <cell r="G15">
            <v>386</v>
          </cell>
          <cell r="H15">
            <v>0</v>
          </cell>
          <cell r="J15">
            <v>1061</v>
          </cell>
          <cell r="K15">
            <v>478</v>
          </cell>
          <cell r="L15">
            <v>0</v>
          </cell>
          <cell r="N15">
            <v>2206</v>
          </cell>
          <cell r="O15">
            <v>150</v>
          </cell>
          <cell r="P15">
            <v>0</v>
          </cell>
          <cell r="R15">
            <v>28</v>
          </cell>
          <cell r="S15">
            <v>2</v>
          </cell>
          <cell r="T15">
            <v>0</v>
          </cell>
          <cell r="V15">
            <v>5055</v>
          </cell>
          <cell r="W15">
            <v>2484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26</v>
          </cell>
          <cell r="AE15">
            <v>0</v>
          </cell>
          <cell r="AF15">
            <v>21</v>
          </cell>
          <cell r="AG15">
            <v>0</v>
          </cell>
          <cell r="AI15">
            <v>675</v>
          </cell>
          <cell r="AJ15">
            <v>749</v>
          </cell>
          <cell r="AL15">
            <v>40.158333333333339</v>
          </cell>
          <cell r="AM15">
            <v>43.497222222222227</v>
          </cell>
        </row>
        <row r="16">
          <cell r="B16">
            <v>0</v>
          </cell>
          <cell r="C16">
            <v>1048</v>
          </cell>
          <cell r="D16">
            <v>1071</v>
          </cell>
          <cell r="F16">
            <v>0</v>
          </cell>
          <cell r="G16">
            <v>374</v>
          </cell>
          <cell r="H16">
            <v>753</v>
          </cell>
          <cell r="J16">
            <v>0</v>
          </cell>
          <cell r="K16">
            <v>618</v>
          </cell>
          <cell r="L16">
            <v>1191</v>
          </cell>
          <cell r="N16">
            <v>0</v>
          </cell>
          <cell r="O16">
            <v>50</v>
          </cell>
          <cell r="P16">
            <v>474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1942</v>
          </cell>
          <cell r="X16">
            <v>4937</v>
          </cell>
          <cell r="Z16">
            <v>0</v>
          </cell>
          <cell r="AA16">
            <v>354</v>
          </cell>
          <cell r="AB16">
            <v>33</v>
          </cell>
          <cell r="AD16">
            <v>21</v>
          </cell>
          <cell r="AE16">
            <v>0</v>
          </cell>
          <cell r="AF16">
            <v>19</v>
          </cell>
          <cell r="AG16">
            <v>0</v>
          </cell>
          <cell r="AI16">
            <v>100</v>
          </cell>
          <cell r="AJ16">
            <v>124</v>
          </cell>
          <cell r="AL16">
            <v>44.154166666666669</v>
          </cell>
          <cell r="AM16">
            <v>45.504166666666663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G17">
            <v>360</v>
          </cell>
          <cell r="H17">
            <v>686</v>
          </cell>
          <cell r="J17">
            <v>0</v>
          </cell>
          <cell r="K17">
            <v>536</v>
          </cell>
          <cell r="L17">
            <v>1152</v>
          </cell>
          <cell r="N17">
            <v>0</v>
          </cell>
          <cell r="O17">
            <v>3</v>
          </cell>
          <cell r="P17">
            <v>802</v>
          </cell>
          <cell r="R17">
            <v>0</v>
          </cell>
          <cell r="S17">
            <v>8</v>
          </cell>
          <cell r="T17">
            <v>0</v>
          </cell>
          <cell r="V17">
            <v>0</v>
          </cell>
          <cell r="W17">
            <v>1986</v>
          </cell>
          <cell r="X17">
            <v>5006</v>
          </cell>
          <cell r="Z17">
            <v>0</v>
          </cell>
          <cell r="AA17">
            <v>0</v>
          </cell>
          <cell r="AB17">
            <v>0</v>
          </cell>
          <cell r="AD17">
            <v>22</v>
          </cell>
          <cell r="AE17">
            <v>0</v>
          </cell>
          <cell r="AF17">
            <v>21</v>
          </cell>
          <cell r="AG17">
            <v>0</v>
          </cell>
          <cell r="AI17">
            <v>250</v>
          </cell>
          <cell r="AJ17">
            <v>223</v>
          </cell>
          <cell r="AL17">
            <v>43.800000000000004</v>
          </cell>
          <cell r="AM17">
            <v>44.55833333333333</v>
          </cell>
        </row>
        <row r="18">
          <cell r="B18">
            <v>151</v>
          </cell>
          <cell r="C18">
            <v>0</v>
          </cell>
          <cell r="D18">
            <v>0</v>
          </cell>
          <cell r="F18">
            <v>703</v>
          </cell>
          <cell r="G18">
            <v>339</v>
          </cell>
          <cell r="H18">
            <v>0</v>
          </cell>
          <cell r="J18">
            <v>1311</v>
          </cell>
          <cell r="K18">
            <v>402</v>
          </cell>
          <cell r="L18">
            <v>0</v>
          </cell>
          <cell r="N18">
            <v>950</v>
          </cell>
          <cell r="O18">
            <v>99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V18">
            <v>5082</v>
          </cell>
          <cell r="W18">
            <v>2472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14</v>
          </cell>
          <cell r="AE18">
            <v>0</v>
          </cell>
          <cell r="AF18">
            <v>14</v>
          </cell>
          <cell r="AG18">
            <v>0</v>
          </cell>
          <cell r="AI18">
            <v>100</v>
          </cell>
          <cell r="AJ18">
            <v>749</v>
          </cell>
          <cell r="AL18">
            <v>50.412499999999987</v>
          </cell>
          <cell r="AM18">
            <v>52.116666666666674</v>
          </cell>
        </row>
        <row r="19">
          <cell r="B19">
            <v>20</v>
          </cell>
          <cell r="C19">
            <v>0</v>
          </cell>
          <cell r="D19">
            <v>0</v>
          </cell>
          <cell r="F19">
            <v>666</v>
          </cell>
          <cell r="G19">
            <v>353</v>
          </cell>
          <cell r="H19">
            <v>0</v>
          </cell>
          <cell r="J19">
            <v>1449</v>
          </cell>
          <cell r="K19">
            <v>661</v>
          </cell>
          <cell r="L19">
            <v>0</v>
          </cell>
          <cell r="N19">
            <v>374</v>
          </cell>
          <cell r="O19">
            <v>201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V19">
            <v>5088</v>
          </cell>
          <cell r="W19">
            <v>2446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13</v>
          </cell>
          <cell r="AE19">
            <v>0</v>
          </cell>
          <cell r="AF19">
            <v>14</v>
          </cell>
          <cell r="AG19">
            <v>0</v>
          </cell>
          <cell r="AI19">
            <v>200</v>
          </cell>
          <cell r="AJ19">
            <v>174</v>
          </cell>
          <cell r="AL19">
            <v>53.927083333333343</v>
          </cell>
          <cell r="AM19">
            <v>53.391458333333325</v>
          </cell>
        </row>
        <row r="20">
          <cell r="B20">
            <v>5612</v>
          </cell>
          <cell r="C20">
            <v>474</v>
          </cell>
          <cell r="D20">
            <v>0</v>
          </cell>
          <cell r="F20">
            <v>808</v>
          </cell>
          <cell r="G20">
            <v>358</v>
          </cell>
          <cell r="H20">
            <v>0</v>
          </cell>
          <cell r="J20">
            <v>1239</v>
          </cell>
          <cell r="K20">
            <v>679</v>
          </cell>
          <cell r="L20">
            <v>0</v>
          </cell>
          <cell r="N20">
            <v>1</v>
          </cell>
          <cell r="O20">
            <v>4</v>
          </cell>
          <cell r="P20">
            <v>0</v>
          </cell>
          <cell r="R20">
            <v>0</v>
          </cell>
          <cell r="S20">
            <v>5</v>
          </cell>
          <cell r="T20">
            <v>0</v>
          </cell>
          <cell r="V20">
            <v>5064</v>
          </cell>
          <cell r="W20">
            <v>2167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29</v>
          </cell>
          <cell r="AE20">
            <v>0</v>
          </cell>
          <cell r="AF20">
            <v>28</v>
          </cell>
          <cell r="AG20">
            <v>0</v>
          </cell>
          <cell r="AI20">
            <v>0</v>
          </cell>
          <cell r="AJ20">
            <v>0</v>
          </cell>
          <cell r="AL20">
            <v>35.220833333333346</v>
          </cell>
          <cell r="AM20">
            <v>36.991666666666667</v>
          </cell>
        </row>
        <row r="21">
          <cell r="B21">
            <v>12459</v>
          </cell>
          <cell r="C21">
            <v>2782</v>
          </cell>
          <cell r="D21">
            <v>0</v>
          </cell>
          <cell r="F21">
            <v>843</v>
          </cell>
          <cell r="G21">
            <v>440</v>
          </cell>
          <cell r="H21">
            <v>0</v>
          </cell>
          <cell r="J21">
            <v>1643</v>
          </cell>
          <cell r="K21">
            <v>713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V21">
            <v>5077</v>
          </cell>
          <cell r="W21">
            <v>2544</v>
          </cell>
          <cell r="X21">
            <v>0</v>
          </cell>
          <cell r="Z21">
            <v>7</v>
          </cell>
          <cell r="AA21">
            <v>0</v>
          </cell>
          <cell r="AB21">
            <v>0</v>
          </cell>
          <cell r="AD21">
            <v>35</v>
          </cell>
          <cell r="AE21">
            <v>0</v>
          </cell>
          <cell r="AF21">
            <v>35</v>
          </cell>
          <cell r="AG21">
            <v>0</v>
          </cell>
          <cell r="AI21">
            <v>0</v>
          </cell>
          <cell r="AJ21">
            <v>0</v>
          </cell>
          <cell r="AL21">
            <v>28.747916666666669</v>
          </cell>
          <cell r="AM21">
            <v>29.927083333333329</v>
          </cell>
        </row>
        <row r="22">
          <cell r="B22">
            <v>8958</v>
          </cell>
          <cell r="C22">
            <v>4205</v>
          </cell>
          <cell r="D22">
            <v>0</v>
          </cell>
          <cell r="F22">
            <v>878</v>
          </cell>
          <cell r="G22">
            <v>393</v>
          </cell>
          <cell r="H22">
            <v>0</v>
          </cell>
          <cell r="J22">
            <v>2200</v>
          </cell>
          <cell r="K22">
            <v>1057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V22">
            <v>5088</v>
          </cell>
          <cell r="W22">
            <v>2544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D22">
            <v>40</v>
          </cell>
          <cell r="AE22">
            <v>0</v>
          </cell>
          <cell r="AF22">
            <v>36</v>
          </cell>
          <cell r="AG22">
            <v>0</v>
          </cell>
          <cell r="AI22">
            <v>0</v>
          </cell>
          <cell r="AJ22">
            <v>0</v>
          </cell>
          <cell r="AL22">
            <v>24.140277777777772</v>
          </cell>
          <cell r="AM22">
            <v>28.033333333333335</v>
          </cell>
        </row>
        <row r="23">
          <cell r="B23">
            <v>0</v>
          </cell>
          <cell r="C23">
            <v>2662</v>
          </cell>
          <cell r="D23">
            <v>4343</v>
          </cell>
          <cell r="F23">
            <v>0</v>
          </cell>
          <cell r="G23">
            <v>479</v>
          </cell>
          <cell r="H23">
            <v>966</v>
          </cell>
          <cell r="J23">
            <v>0</v>
          </cell>
          <cell r="K23">
            <v>1096</v>
          </cell>
          <cell r="L23">
            <v>2192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2544</v>
          </cell>
          <cell r="X23">
            <v>5088</v>
          </cell>
          <cell r="Z23">
            <v>0</v>
          </cell>
          <cell r="AA23">
            <v>0</v>
          </cell>
          <cell r="AB23">
            <v>0</v>
          </cell>
          <cell r="AD23">
            <v>39</v>
          </cell>
          <cell r="AE23">
            <v>0</v>
          </cell>
          <cell r="AF23">
            <v>35</v>
          </cell>
          <cell r="AG23">
            <v>0</v>
          </cell>
          <cell r="AI23">
            <v>0</v>
          </cell>
          <cell r="AJ23">
            <v>0</v>
          </cell>
          <cell r="AL23">
            <v>28.507291666666671</v>
          </cell>
          <cell r="AM23">
            <v>31.237499999999997</v>
          </cell>
        </row>
        <row r="24">
          <cell r="B24">
            <v>0</v>
          </cell>
          <cell r="C24">
            <v>593</v>
          </cell>
          <cell r="D24">
            <v>2282</v>
          </cell>
          <cell r="F24">
            <v>0</v>
          </cell>
          <cell r="G24">
            <v>494</v>
          </cell>
          <cell r="H24">
            <v>989</v>
          </cell>
          <cell r="J24">
            <v>0</v>
          </cell>
          <cell r="K24">
            <v>1099</v>
          </cell>
          <cell r="L24">
            <v>2238</v>
          </cell>
          <cell r="N24">
            <v>0</v>
          </cell>
          <cell r="O24">
            <v>8</v>
          </cell>
          <cell r="P24">
            <v>0</v>
          </cell>
          <cell r="R24">
            <v>0</v>
          </cell>
          <cell r="S24">
            <v>2</v>
          </cell>
          <cell r="T24">
            <v>0</v>
          </cell>
          <cell r="V24">
            <v>0</v>
          </cell>
          <cell r="W24">
            <v>2201</v>
          </cell>
          <cell r="X24">
            <v>4992</v>
          </cell>
          <cell r="Z24">
            <v>0</v>
          </cell>
          <cell r="AA24">
            <v>2</v>
          </cell>
          <cell r="AB24">
            <v>48</v>
          </cell>
          <cell r="AD24">
            <v>28</v>
          </cell>
          <cell r="AE24">
            <v>0</v>
          </cell>
          <cell r="AF24">
            <v>28</v>
          </cell>
          <cell r="AG24">
            <v>0</v>
          </cell>
          <cell r="AI24">
            <v>0</v>
          </cell>
          <cell r="AJ24">
            <v>0</v>
          </cell>
          <cell r="AL24">
            <v>37.36805555555555</v>
          </cell>
          <cell r="AM24">
            <v>37.280208333333327</v>
          </cell>
        </row>
        <row r="25">
          <cell r="B25">
            <v>14467</v>
          </cell>
          <cell r="C25">
            <v>2964</v>
          </cell>
          <cell r="D25">
            <v>0</v>
          </cell>
          <cell r="F25">
            <v>1487</v>
          </cell>
          <cell r="G25">
            <v>571</v>
          </cell>
          <cell r="H25">
            <v>0</v>
          </cell>
          <cell r="J25">
            <v>2158</v>
          </cell>
          <cell r="K25">
            <v>1020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V25">
            <v>3322</v>
          </cell>
          <cell r="W25">
            <v>1840</v>
          </cell>
          <cell r="X25">
            <v>0</v>
          </cell>
          <cell r="Z25">
            <v>0</v>
          </cell>
          <cell r="AA25">
            <v>64</v>
          </cell>
          <cell r="AB25">
            <v>0</v>
          </cell>
          <cell r="AD25">
            <v>37</v>
          </cell>
          <cell r="AE25">
            <v>0</v>
          </cell>
          <cell r="AF25">
            <v>39</v>
          </cell>
          <cell r="AG25">
            <v>0</v>
          </cell>
          <cell r="AI25">
            <v>0</v>
          </cell>
          <cell r="AJ25">
            <v>0</v>
          </cell>
          <cell r="AL25">
            <v>27.179811507936503</v>
          </cell>
          <cell r="AM25">
            <v>26.898680555555558</v>
          </cell>
        </row>
        <row r="26">
          <cell r="B26">
            <v>19353</v>
          </cell>
          <cell r="C26">
            <v>9841</v>
          </cell>
          <cell r="D26">
            <v>0</v>
          </cell>
          <cell r="F26">
            <v>1466</v>
          </cell>
          <cell r="G26">
            <v>726</v>
          </cell>
          <cell r="H26">
            <v>0</v>
          </cell>
          <cell r="J26">
            <v>2224</v>
          </cell>
          <cell r="K26">
            <v>707</v>
          </cell>
          <cell r="L26">
            <v>0</v>
          </cell>
          <cell r="N26">
            <v>483</v>
          </cell>
          <cell r="O26">
            <v>2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V26">
            <v>5070</v>
          </cell>
          <cell r="W26">
            <v>2000</v>
          </cell>
          <cell r="X26">
            <v>0</v>
          </cell>
          <cell r="Z26">
            <v>0</v>
          </cell>
          <cell r="AA26">
            <v>172</v>
          </cell>
          <cell r="AB26">
            <v>0</v>
          </cell>
          <cell r="AD26">
            <v>48</v>
          </cell>
          <cell r="AE26">
            <v>0</v>
          </cell>
          <cell r="AF26">
            <v>45</v>
          </cell>
          <cell r="AG26">
            <v>0</v>
          </cell>
          <cell r="AI26">
            <v>0</v>
          </cell>
          <cell r="AJ26">
            <v>358</v>
          </cell>
          <cell r="AL26">
            <v>16.782638888888886</v>
          </cell>
          <cell r="AM26">
            <v>19.191666666666666</v>
          </cell>
        </row>
        <row r="27">
          <cell r="B27">
            <v>10129</v>
          </cell>
          <cell r="C27">
            <v>8625</v>
          </cell>
          <cell r="D27">
            <v>0</v>
          </cell>
          <cell r="F27">
            <v>1099</v>
          </cell>
          <cell r="G27">
            <v>685</v>
          </cell>
          <cell r="H27">
            <v>0</v>
          </cell>
          <cell r="J27">
            <v>1933</v>
          </cell>
          <cell r="K27">
            <v>1050</v>
          </cell>
          <cell r="L27">
            <v>0</v>
          </cell>
          <cell r="N27">
            <v>1450</v>
          </cell>
          <cell r="O27">
            <v>349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V27">
            <v>5087</v>
          </cell>
          <cell r="W27">
            <v>2544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D27">
            <v>36</v>
          </cell>
          <cell r="AE27">
            <v>0</v>
          </cell>
          <cell r="AF27">
            <v>33</v>
          </cell>
          <cell r="AG27">
            <v>0</v>
          </cell>
          <cell r="AI27">
            <v>621</v>
          </cell>
          <cell r="AJ27">
            <v>823</v>
          </cell>
          <cell r="AL27">
            <v>31.166666666666671</v>
          </cell>
          <cell r="AM27">
            <v>32.87916666666667</v>
          </cell>
        </row>
        <row r="28">
          <cell r="B28">
            <v>4918</v>
          </cell>
          <cell r="C28">
            <v>3004</v>
          </cell>
          <cell r="D28">
            <v>0</v>
          </cell>
          <cell r="F28">
            <v>773</v>
          </cell>
          <cell r="G28">
            <v>396</v>
          </cell>
          <cell r="H28">
            <v>0</v>
          </cell>
          <cell r="J28">
            <v>2224</v>
          </cell>
          <cell r="K28">
            <v>1032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V28">
            <v>5079</v>
          </cell>
          <cell r="W28">
            <v>2544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D28">
            <v>37</v>
          </cell>
          <cell r="AE28">
            <v>0</v>
          </cell>
          <cell r="AF28">
            <v>35</v>
          </cell>
          <cell r="AG28">
            <v>0</v>
          </cell>
          <cell r="AI28">
            <v>0</v>
          </cell>
          <cell r="AJ28">
            <v>0</v>
          </cell>
          <cell r="AL28">
            <v>28.311111111111114</v>
          </cell>
          <cell r="AM28">
            <v>28.783333333333335</v>
          </cell>
        </row>
        <row r="29">
          <cell r="B29">
            <v>4417</v>
          </cell>
          <cell r="C29">
            <v>3661</v>
          </cell>
          <cell r="D29">
            <v>0</v>
          </cell>
          <cell r="F29">
            <v>842</v>
          </cell>
          <cell r="G29">
            <v>398</v>
          </cell>
          <cell r="H29">
            <v>0</v>
          </cell>
          <cell r="J29">
            <v>2228</v>
          </cell>
          <cell r="K29">
            <v>1039</v>
          </cell>
          <cell r="L29">
            <v>0</v>
          </cell>
          <cell r="N29">
            <v>535</v>
          </cell>
          <cell r="O29">
            <v>100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V29">
            <v>5087</v>
          </cell>
          <cell r="W29">
            <v>2543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D29">
            <v>38</v>
          </cell>
          <cell r="AE29">
            <v>0</v>
          </cell>
          <cell r="AF29">
            <v>36</v>
          </cell>
          <cell r="AG29">
            <v>0</v>
          </cell>
          <cell r="AI29">
            <v>313</v>
          </cell>
          <cell r="AJ29">
            <v>224</v>
          </cell>
          <cell r="AL29">
            <v>28.191666666666663</v>
          </cell>
          <cell r="AM29">
            <v>30.25</v>
          </cell>
        </row>
        <row r="30">
          <cell r="B30">
            <v>0</v>
          </cell>
          <cell r="C30">
            <v>971</v>
          </cell>
          <cell r="D30">
            <v>1928</v>
          </cell>
          <cell r="F30">
            <v>0</v>
          </cell>
          <cell r="G30">
            <v>431</v>
          </cell>
          <cell r="H30">
            <v>869</v>
          </cell>
          <cell r="J30">
            <v>0</v>
          </cell>
          <cell r="K30">
            <v>1129</v>
          </cell>
          <cell r="L30">
            <v>2272</v>
          </cell>
          <cell r="N30">
            <v>0</v>
          </cell>
          <cell r="O30">
            <v>34</v>
          </cell>
          <cell r="P30">
            <v>529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2215</v>
          </cell>
          <cell r="X30">
            <v>3050</v>
          </cell>
          <cell r="Z30">
            <v>0</v>
          </cell>
          <cell r="AA30">
            <v>158</v>
          </cell>
          <cell r="AB30">
            <v>520</v>
          </cell>
          <cell r="AD30">
            <v>17</v>
          </cell>
          <cell r="AE30">
            <v>0</v>
          </cell>
          <cell r="AF30">
            <v>15</v>
          </cell>
          <cell r="AG30">
            <v>0</v>
          </cell>
          <cell r="AI30">
            <v>229</v>
          </cell>
          <cell r="AJ30">
            <v>334</v>
          </cell>
          <cell r="AL30">
            <v>48.270833333333343</v>
          </cell>
          <cell r="AM30">
            <v>50.479166666666657</v>
          </cell>
        </row>
        <row r="31">
          <cell r="B31">
            <v>0</v>
          </cell>
          <cell r="C31">
            <v>627</v>
          </cell>
          <cell r="D31">
            <v>359</v>
          </cell>
          <cell r="F31">
            <v>0</v>
          </cell>
          <cell r="G31">
            <v>466</v>
          </cell>
          <cell r="H31">
            <v>940</v>
          </cell>
          <cell r="J31">
            <v>0</v>
          </cell>
          <cell r="K31">
            <v>999</v>
          </cell>
          <cell r="L31">
            <v>1879</v>
          </cell>
          <cell r="N31">
            <v>0</v>
          </cell>
          <cell r="O31">
            <v>2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1573</v>
          </cell>
          <cell r="X31">
            <v>3041</v>
          </cell>
          <cell r="Z31">
            <v>0</v>
          </cell>
          <cell r="AA31">
            <v>271</v>
          </cell>
          <cell r="AB31">
            <v>66</v>
          </cell>
          <cell r="AD31">
            <v>12</v>
          </cell>
          <cell r="AE31">
            <v>0</v>
          </cell>
          <cell r="AF31">
            <v>12</v>
          </cell>
          <cell r="AG31">
            <v>0</v>
          </cell>
          <cell r="AI31">
            <v>0</v>
          </cell>
          <cell r="AJ31">
            <v>0</v>
          </cell>
          <cell r="AL31">
            <v>52.982986111111124</v>
          </cell>
          <cell r="AM31">
            <v>54.997916666666669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I32">
            <v>0</v>
          </cell>
          <cell r="AJ32">
            <v>0</v>
          </cell>
          <cell r="AL32" t="str">
            <v/>
          </cell>
          <cell r="AM32" t="str">
            <v/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I33">
            <v>0</v>
          </cell>
          <cell r="AJ33">
            <v>0</v>
          </cell>
          <cell r="AL33" t="str">
            <v/>
          </cell>
          <cell r="AM33" t="str">
            <v/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I34">
            <v>0</v>
          </cell>
          <cell r="AJ34">
            <v>0</v>
          </cell>
          <cell r="AL34" t="str">
            <v/>
          </cell>
          <cell r="AM34" t="str">
            <v/>
          </cell>
        </row>
        <row r="35">
          <cell r="B35">
            <v>0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I35">
            <v>0</v>
          </cell>
          <cell r="AJ35">
            <v>0</v>
          </cell>
          <cell r="AL35" t="str">
            <v/>
          </cell>
          <cell r="AM35" t="str">
            <v/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I36">
            <v>0</v>
          </cell>
          <cell r="AJ36">
            <v>0</v>
          </cell>
          <cell r="AL36" t="str">
            <v/>
          </cell>
          <cell r="AM36" t="str">
            <v/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I37">
            <v>0</v>
          </cell>
          <cell r="AJ37">
            <v>0</v>
          </cell>
          <cell r="AL37" t="str">
            <v/>
          </cell>
          <cell r="AM37" t="str">
            <v/>
          </cell>
        </row>
        <row r="38">
          <cell r="B38">
            <v>0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I38">
            <v>0</v>
          </cell>
          <cell r="AJ38">
            <v>0</v>
          </cell>
          <cell r="AL38" t="str">
            <v/>
          </cell>
          <cell r="AM38" t="str">
            <v/>
          </cell>
        </row>
        <row r="39">
          <cell r="B39">
            <v>0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I39">
            <v>0</v>
          </cell>
          <cell r="AJ39">
            <v>0</v>
          </cell>
          <cell r="AL39" t="str">
            <v/>
          </cell>
          <cell r="AM3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D7">
            <v>37</v>
          </cell>
          <cell r="E7">
            <v>30</v>
          </cell>
          <cell r="F7">
            <v>36</v>
          </cell>
          <cell r="G7">
            <v>52</v>
          </cell>
          <cell r="H7">
            <v>54</v>
          </cell>
          <cell r="I7">
            <v>51.933333333333337</v>
          </cell>
          <cell r="J7">
            <v>41</v>
          </cell>
          <cell r="K7">
            <v>35.1</v>
          </cell>
          <cell r="L7">
            <v>43</v>
          </cell>
          <cell r="M7">
            <v>39.9</v>
          </cell>
          <cell r="N7">
            <v>51.1</v>
          </cell>
          <cell r="O7">
            <v>36.5</v>
          </cell>
          <cell r="P7">
            <v>34</v>
          </cell>
          <cell r="Q7">
            <v>23</v>
          </cell>
          <cell r="R7">
            <v>19</v>
          </cell>
          <cell r="S7">
            <v>32</v>
          </cell>
          <cell r="T7">
            <v>37.9</v>
          </cell>
          <cell r="U7">
            <v>18.033333333333335</v>
          </cell>
          <cell r="V7">
            <v>12.9</v>
          </cell>
          <cell r="W7">
            <v>33.1</v>
          </cell>
          <cell r="X7">
            <v>21.9</v>
          </cell>
          <cell r="Y7">
            <v>32</v>
          </cell>
          <cell r="Z7">
            <v>48.9</v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D8">
            <v>37</v>
          </cell>
          <cell r="E8">
            <v>30.9</v>
          </cell>
          <cell r="F8">
            <v>35.1</v>
          </cell>
          <cell r="G8">
            <v>51.1</v>
          </cell>
          <cell r="H8">
            <v>53.1</v>
          </cell>
          <cell r="I8">
            <v>52.733333333333327</v>
          </cell>
          <cell r="J8">
            <v>39.9</v>
          </cell>
          <cell r="K8">
            <v>34</v>
          </cell>
          <cell r="L8">
            <v>42.1</v>
          </cell>
          <cell r="M8">
            <v>39.9</v>
          </cell>
          <cell r="N8">
            <v>51.1</v>
          </cell>
          <cell r="O8">
            <v>35.549999999999997</v>
          </cell>
          <cell r="P8">
            <v>32</v>
          </cell>
          <cell r="Q8">
            <v>21</v>
          </cell>
          <cell r="R8">
            <v>19</v>
          </cell>
          <cell r="S8">
            <v>33.1</v>
          </cell>
          <cell r="T8">
            <v>37</v>
          </cell>
          <cell r="U8">
            <v>17.100000000000001</v>
          </cell>
          <cell r="V8">
            <v>12.9</v>
          </cell>
          <cell r="W8">
            <v>33.1</v>
          </cell>
          <cell r="X8">
            <v>21.9</v>
          </cell>
          <cell r="Y8">
            <v>35.1</v>
          </cell>
          <cell r="Z8">
            <v>50</v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D9">
            <v>37</v>
          </cell>
          <cell r="E9">
            <v>30</v>
          </cell>
          <cell r="F9">
            <v>37</v>
          </cell>
          <cell r="G9">
            <v>51.1</v>
          </cell>
          <cell r="H9">
            <v>53.1</v>
          </cell>
          <cell r="I9">
            <v>53.1</v>
          </cell>
          <cell r="J9">
            <v>39.9</v>
          </cell>
          <cell r="K9">
            <v>34</v>
          </cell>
          <cell r="L9">
            <v>41</v>
          </cell>
          <cell r="M9">
            <v>37.9</v>
          </cell>
          <cell r="N9">
            <v>48</v>
          </cell>
          <cell r="O9">
            <v>35.1</v>
          </cell>
          <cell r="P9">
            <v>30.9</v>
          </cell>
          <cell r="Q9">
            <v>19.899999999999999</v>
          </cell>
          <cell r="R9">
            <v>17.100000000000001</v>
          </cell>
          <cell r="S9">
            <v>34</v>
          </cell>
          <cell r="T9">
            <v>36.5</v>
          </cell>
          <cell r="U9">
            <v>17.100000000000001</v>
          </cell>
          <cell r="V9">
            <v>14</v>
          </cell>
          <cell r="W9">
            <v>33.1</v>
          </cell>
          <cell r="X9">
            <v>19.899999999999999</v>
          </cell>
          <cell r="Y9">
            <v>37</v>
          </cell>
          <cell r="Z9">
            <v>48.9</v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D10">
            <v>37</v>
          </cell>
          <cell r="E10">
            <v>28.9</v>
          </cell>
          <cell r="F10">
            <v>37.9</v>
          </cell>
          <cell r="G10">
            <v>52</v>
          </cell>
          <cell r="H10">
            <v>53.1</v>
          </cell>
          <cell r="I10">
            <v>53.1</v>
          </cell>
          <cell r="J10">
            <v>39.9</v>
          </cell>
          <cell r="K10">
            <v>33.1</v>
          </cell>
          <cell r="L10">
            <v>41</v>
          </cell>
          <cell r="M10">
            <v>39</v>
          </cell>
          <cell r="N10">
            <v>48</v>
          </cell>
          <cell r="O10">
            <v>35.1</v>
          </cell>
          <cell r="P10">
            <v>30.9</v>
          </cell>
          <cell r="Q10">
            <v>21</v>
          </cell>
          <cell r="R10">
            <v>18</v>
          </cell>
          <cell r="S10">
            <v>34</v>
          </cell>
          <cell r="T10">
            <v>33.799999999999997</v>
          </cell>
          <cell r="U10">
            <v>15.1</v>
          </cell>
          <cell r="V10">
            <v>14</v>
          </cell>
          <cell r="W10">
            <v>32</v>
          </cell>
          <cell r="X10">
            <v>21</v>
          </cell>
          <cell r="Y10">
            <v>37</v>
          </cell>
          <cell r="Z10">
            <v>52</v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D11">
            <v>37</v>
          </cell>
          <cell r="E11">
            <v>28.9</v>
          </cell>
          <cell r="F11">
            <v>39.9</v>
          </cell>
          <cell r="G11">
            <v>50</v>
          </cell>
          <cell r="H11">
            <v>53.1</v>
          </cell>
          <cell r="I11">
            <v>51.933333333333337</v>
          </cell>
          <cell r="J11">
            <v>39.9</v>
          </cell>
          <cell r="K11">
            <v>33.1</v>
          </cell>
          <cell r="L11">
            <v>39</v>
          </cell>
          <cell r="M11">
            <v>37</v>
          </cell>
          <cell r="N11">
            <v>52</v>
          </cell>
          <cell r="O11">
            <v>34.549999999999997</v>
          </cell>
          <cell r="P11">
            <v>30.9</v>
          </cell>
          <cell r="Q11">
            <v>19.899999999999999</v>
          </cell>
          <cell r="R11">
            <v>18</v>
          </cell>
          <cell r="S11">
            <v>34</v>
          </cell>
          <cell r="T11">
            <v>33.1</v>
          </cell>
          <cell r="U11">
            <v>15.1</v>
          </cell>
          <cell r="V11">
            <v>16</v>
          </cell>
          <cell r="W11">
            <v>30</v>
          </cell>
          <cell r="X11">
            <v>19</v>
          </cell>
          <cell r="Y11">
            <v>37.9</v>
          </cell>
          <cell r="Z11">
            <v>52</v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D12">
            <v>36.666666666666664</v>
          </cell>
          <cell r="E12">
            <v>28.9</v>
          </cell>
          <cell r="F12">
            <v>39.9</v>
          </cell>
          <cell r="G12">
            <v>51.1</v>
          </cell>
          <cell r="H12">
            <v>53.225000000000001</v>
          </cell>
          <cell r="I12">
            <v>50.54999999999999</v>
          </cell>
          <cell r="J12">
            <v>39</v>
          </cell>
          <cell r="K12">
            <v>33.1</v>
          </cell>
          <cell r="L12">
            <v>37.9</v>
          </cell>
          <cell r="M12">
            <v>37</v>
          </cell>
          <cell r="N12">
            <v>53.1</v>
          </cell>
          <cell r="O12">
            <v>34</v>
          </cell>
          <cell r="P12">
            <v>30</v>
          </cell>
          <cell r="Q12">
            <v>18</v>
          </cell>
          <cell r="R12">
            <v>16</v>
          </cell>
          <cell r="S12">
            <v>34</v>
          </cell>
          <cell r="T12">
            <v>32</v>
          </cell>
          <cell r="U12">
            <v>14</v>
          </cell>
          <cell r="V12">
            <v>17.100000000000001</v>
          </cell>
          <cell r="W12">
            <v>27</v>
          </cell>
          <cell r="X12">
            <v>19</v>
          </cell>
          <cell r="Y12">
            <v>41</v>
          </cell>
          <cell r="Z12">
            <v>51.1</v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D13">
            <v>35.449999999999996</v>
          </cell>
          <cell r="E13">
            <v>28.9</v>
          </cell>
          <cell r="F13">
            <v>41</v>
          </cell>
          <cell r="G13">
            <v>50</v>
          </cell>
          <cell r="H13">
            <v>53.1</v>
          </cell>
          <cell r="I13">
            <v>48.9</v>
          </cell>
          <cell r="J13">
            <v>39</v>
          </cell>
          <cell r="K13">
            <v>35.1</v>
          </cell>
          <cell r="L13">
            <v>35.1</v>
          </cell>
          <cell r="M13">
            <v>37.9</v>
          </cell>
          <cell r="N13">
            <v>50</v>
          </cell>
          <cell r="O13">
            <v>34</v>
          </cell>
          <cell r="P13">
            <v>28.9</v>
          </cell>
          <cell r="Q13">
            <v>18</v>
          </cell>
          <cell r="R13">
            <v>17.100000000000001</v>
          </cell>
          <cell r="S13">
            <v>34</v>
          </cell>
          <cell r="T13">
            <v>32</v>
          </cell>
          <cell r="U13">
            <v>12</v>
          </cell>
          <cell r="V13">
            <v>19.899999999999999</v>
          </cell>
          <cell r="W13">
            <v>23</v>
          </cell>
          <cell r="X13">
            <v>17.100000000000001</v>
          </cell>
          <cell r="Y13">
            <v>41</v>
          </cell>
          <cell r="Z13">
            <v>48.9</v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D14">
            <v>35.549999999999997</v>
          </cell>
          <cell r="E14">
            <v>30.9</v>
          </cell>
          <cell r="F14">
            <v>41</v>
          </cell>
          <cell r="G14">
            <v>53.1</v>
          </cell>
          <cell r="H14">
            <v>53.2</v>
          </cell>
          <cell r="I14">
            <v>48.9</v>
          </cell>
          <cell r="J14">
            <v>39</v>
          </cell>
          <cell r="K14">
            <v>37</v>
          </cell>
          <cell r="L14">
            <v>35.1</v>
          </cell>
          <cell r="M14">
            <v>39</v>
          </cell>
          <cell r="N14">
            <v>52</v>
          </cell>
          <cell r="O14">
            <v>34</v>
          </cell>
          <cell r="P14">
            <v>28.9</v>
          </cell>
          <cell r="Q14">
            <v>19</v>
          </cell>
          <cell r="R14">
            <v>17.100000000000001</v>
          </cell>
          <cell r="S14">
            <v>35.1</v>
          </cell>
          <cell r="T14">
            <v>30.45</v>
          </cell>
          <cell r="U14">
            <v>12</v>
          </cell>
          <cell r="V14">
            <v>19.899999999999999</v>
          </cell>
          <cell r="W14">
            <v>23</v>
          </cell>
          <cell r="X14">
            <v>17.100000000000001</v>
          </cell>
          <cell r="Y14">
            <v>44.1</v>
          </cell>
          <cell r="Z14">
            <v>48</v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D15">
            <v>36</v>
          </cell>
          <cell r="E15">
            <v>35.1</v>
          </cell>
          <cell r="F15">
            <v>46</v>
          </cell>
          <cell r="G15">
            <v>55.9</v>
          </cell>
          <cell r="H15">
            <v>53.1</v>
          </cell>
          <cell r="I15">
            <v>50.55</v>
          </cell>
          <cell r="J15">
            <v>39</v>
          </cell>
          <cell r="K15">
            <v>41</v>
          </cell>
          <cell r="L15">
            <v>39.9</v>
          </cell>
          <cell r="M15">
            <v>44.1</v>
          </cell>
          <cell r="N15">
            <v>55</v>
          </cell>
          <cell r="O15">
            <v>35.1</v>
          </cell>
          <cell r="P15">
            <v>28.9</v>
          </cell>
          <cell r="Q15">
            <v>23</v>
          </cell>
          <cell r="R15">
            <v>24.1</v>
          </cell>
          <cell r="S15">
            <v>37</v>
          </cell>
          <cell r="T15">
            <v>30.04</v>
          </cell>
          <cell r="U15">
            <v>15.1</v>
          </cell>
          <cell r="V15">
            <v>25</v>
          </cell>
          <cell r="W15">
            <v>25</v>
          </cell>
          <cell r="X15">
            <v>23</v>
          </cell>
          <cell r="Y15">
            <v>44.1</v>
          </cell>
          <cell r="Z15">
            <v>52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D16">
            <v>37</v>
          </cell>
          <cell r="E16">
            <v>39.9</v>
          </cell>
          <cell r="F16">
            <v>53.1</v>
          </cell>
          <cell r="G16">
            <v>57.9</v>
          </cell>
          <cell r="H16">
            <v>53.266666666666673</v>
          </cell>
          <cell r="I16">
            <v>51.1</v>
          </cell>
          <cell r="J16">
            <v>39.9</v>
          </cell>
          <cell r="K16">
            <v>43</v>
          </cell>
          <cell r="L16">
            <v>44.1</v>
          </cell>
          <cell r="M16">
            <v>51.1</v>
          </cell>
          <cell r="N16">
            <v>57.9</v>
          </cell>
          <cell r="O16">
            <v>35.1</v>
          </cell>
          <cell r="P16">
            <v>28.9</v>
          </cell>
          <cell r="Q16">
            <v>26.1</v>
          </cell>
          <cell r="R16">
            <v>30</v>
          </cell>
          <cell r="S16">
            <v>39</v>
          </cell>
          <cell r="T16">
            <v>29.560000000000002</v>
          </cell>
          <cell r="U16">
            <v>16</v>
          </cell>
          <cell r="V16">
            <v>28.9</v>
          </cell>
          <cell r="W16">
            <v>28</v>
          </cell>
          <cell r="X16">
            <v>28</v>
          </cell>
          <cell r="Y16">
            <v>51.1</v>
          </cell>
          <cell r="Z16">
            <v>54</v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D17">
            <v>37.9</v>
          </cell>
          <cell r="E17">
            <v>44.1</v>
          </cell>
          <cell r="F17">
            <v>55.9</v>
          </cell>
          <cell r="G17">
            <v>62.1</v>
          </cell>
          <cell r="H17">
            <v>53.1</v>
          </cell>
          <cell r="I17">
            <v>50</v>
          </cell>
          <cell r="J17">
            <v>39.9</v>
          </cell>
          <cell r="K17">
            <v>51.1</v>
          </cell>
          <cell r="L17">
            <v>46</v>
          </cell>
          <cell r="M17">
            <v>55</v>
          </cell>
          <cell r="N17">
            <v>61</v>
          </cell>
          <cell r="O17">
            <v>35.6</v>
          </cell>
          <cell r="P17">
            <v>28.9</v>
          </cell>
          <cell r="Q17">
            <v>27</v>
          </cell>
          <cell r="R17">
            <v>33.1</v>
          </cell>
          <cell r="S17">
            <v>41</v>
          </cell>
          <cell r="T17">
            <v>30.028571428571428</v>
          </cell>
          <cell r="U17">
            <v>17.100000000000001</v>
          </cell>
          <cell r="V17">
            <v>33.1</v>
          </cell>
          <cell r="W17">
            <v>27.5</v>
          </cell>
          <cell r="X17">
            <v>30.9</v>
          </cell>
          <cell r="Y17">
            <v>51.1</v>
          </cell>
          <cell r="Z17">
            <v>55.9</v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D18">
            <v>37.9</v>
          </cell>
          <cell r="E18">
            <v>46</v>
          </cell>
          <cell r="F18">
            <v>60.1</v>
          </cell>
          <cell r="G18">
            <v>61</v>
          </cell>
          <cell r="H18">
            <v>53.1</v>
          </cell>
          <cell r="I18">
            <v>50</v>
          </cell>
          <cell r="J18">
            <v>42.1</v>
          </cell>
          <cell r="K18">
            <v>52</v>
          </cell>
          <cell r="L18">
            <v>48</v>
          </cell>
          <cell r="M18">
            <v>59</v>
          </cell>
          <cell r="N18">
            <v>62.55</v>
          </cell>
          <cell r="O18">
            <v>36</v>
          </cell>
          <cell r="P18">
            <v>30</v>
          </cell>
          <cell r="Q18">
            <v>27.966666666666669</v>
          </cell>
          <cell r="R18">
            <v>34</v>
          </cell>
          <cell r="S18">
            <v>42.1</v>
          </cell>
          <cell r="T18">
            <v>29.725000000000001</v>
          </cell>
          <cell r="U18">
            <v>18</v>
          </cell>
          <cell r="V18">
            <v>39</v>
          </cell>
          <cell r="W18">
            <v>29.566666666666663</v>
          </cell>
          <cell r="X18">
            <v>33.1</v>
          </cell>
          <cell r="Y18">
            <v>55.9</v>
          </cell>
          <cell r="Z18">
            <v>54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D19">
            <v>39</v>
          </cell>
          <cell r="E19">
            <v>48</v>
          </cell>
          <cell r="F19">
            <v>64</v>
          </cell>
          <cell r="G19">
            <v>64</v>
          </cell>
          <cell r="H19">
            <v>53.1</v>
          </cell>
          <cell r="I19">
            <v>48.55</v>
          </cell>
          <cell r="J19">
            <v>44.1</v>
          </cell>
          <cell r="K19">
            <v>55</v>
          </cell>
          <cell r="L19">
            <v>50</v>
          </cell>
          <cell r="M19">
            <v>62.1</v>
          </cell>
          <cell r="N19">
            <v>64.900000000000006</v>
          </cell>
          <cell r="O19">
            <v>37</v>
          </cell>
          <cell r="P19">
            <v>30</v>
          </cell>
          <cell r="Q19">
            <v>28.9</v>
          </cell>
          <cell r="R19">
            <v>35.1</v>
          </cell>
          <cell r="S19">
            <v>42.1</v>
          </cell>
          <cell r="T19">
            <v>28.133333333333336</v>
          </cell>
          <cell r="U19">
            <v>19.45</v>
          </cell>
          <cell r="V19">
            <v>43</v>
          </cell>
          <cell r="W19">
            <v>30</v>
          </cell>
          <cell r="X19">
            <v>35.1</v>
          </cell>
          <cell r="Y19">
            <v>60.1</v>
          </cell>
          <cell r="Z19">
            <v>53.1</v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D20">
            <v>41</v>
          </cell>
          <cell r="E20">
            <v>48.9</v>
          </cell>
          <cell r="F20">
            <v>64.900000000000006</v>
          </cell>
          <cell r="G20">
            <v>64</v>
          </cell>
          <cell r="H20">
            <v>53.1</v>
          </cell>
          <cell r="I20">
            <v>48.9</v>
          </cell>
          <cell r="J20">
            <v>45</v>
          </cell>
          <cell r="K20">
            <v>53.1</v>
          </cell>
          <cell r="L20">
            <v>51.1</v>
          </cell>
          <cell r="M20">
            <v>63</v>
          </cell>
          <cell r="N20">
            <v>64.900000000000006</v>
          </cell>
          <cell r="O20">
            <v>36</v>
          </cell>
          <cell r="P20">
            <v>29.45</v>
          </cell>
          <cell r="Q20">
            <v>30.9</v>
          </cell>
          <cell r="R20">
            <v>36</v>
          </cell>
          <cell r="S20">
            <v>42.1</v>
          </cell>
          <cell r="T20">
            <v>27.05</v>
          </cell>
          <cell r="U20">
            <v>21</v>
          </cell>
          <cell r="V20">
            <v>45</v>
          </cell>
          <cell r="W20">
            <v>34</v>
          </cell>
          <cell r="X20">
            <v>37</v>
          </cell>
          <cell r="Y20">
            <v>62.1</v>
          </cell>
          <cell r="Z20">
            <v>53.1</v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D21">
            <v>39.9</v>
          </cell>
          <cell r="E21">
            <v>50</v>
          </cell>
          <cell r="F21">
            <v>68</v>
          </cell>
          <cell r="G21">
            <v>64.900000000000006</v>
          </cell>
          <cell r="H21">
            <v>53.1</v>
          </cell>
          <cell r="I21">
            <v>46</v>
          </cell>
          <cell r="J21">
            <v>45</v>
          </cell>
          <cell r="K21">
            <v>54</v>
          </cell>
          <cell r="L21">
            <v>52</v>
          </cell>
          <cell r="M21">
            <v>64.900000000000006</v>
          </cell>
          <cell r="N21">
            <v>66</v>
          </cell>
          <cell r="O21">
            <v>36</v>
          </cell>
          <cell r="P21">
            <v>30</v>
          </cell>
          <cell r="Q21">
            <v>30.9</v>
          </cell>
          <cell r="R21">
            <v>37.9</v>
          </cell>
          <cell r="S21">
            <v>41.55</v>
          </cell>
          <cell r="T21">
            <v>25</v>
          </cell>
          <cell r="U21">
            <v>21</v>
          </cell>
          <cell r="V21">
            <v>46</v>
          </cell>
          <cell r="W21">
            <v>33.1</v>
          </cell>
          <cell r="X21">
            <v>37.9</v>
          </cell>
          <cell r="Y21">
            <v>62.1</v>
          </cell>
          <cell r="Z21">
            <v>52</v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D22">
            <v>39.9</v>
          </cell>
          <cell r="E22">
            <v>51.1</v>
          </cell>
          <cell r="F22">
            <v>66.900000000000006</v>
          </cell>
          <cell r="G22">
            <v>63</v>
          </cell>
          <cell r="H22">
            <v>53.1</v>
          </cell>
          <cell r="I22">
            <v>46.424999999999997</v>
          </cell>
          <cell r="J22">
            <v>45</v>
          </cell>
          <cell r="K22">
            <v>53.1</v>
          </cell>
          <cell r="L22">
            <v>53.1</v>
          </cell>
          <cell r="M22">
            <v>63</v>
          </cell>
          <cell r="N22">
            <v>64</v>
          </cell>
          <cell r="O22">
            <v>36</v>
          </cell>
          <cell r="P22">
            <v>28.9</v>
          </cell>
          <cell r="Q22">
            <v>30</v>
          </cell>
          <cell r="R22">
            <v>36</v>
          </cell>
          <cell r="S22">
            <v>39</v>
          </cell>
          <cell r="T22">
            <v>21.9</v>
          </cell>
          <cell r="U22">
            <v>21.9</v>
          </cell>
          <cell r="V22">
            <v>46</v>
          </cell>
          <cell r="W22">
            <v>33.1</v>
          </cell>
          <cell r="X22">
            <v>39</v>
          </cell>
          <cell r="Y22">
            <v>60.1</v>
          </cell>
          <cell r="Z22">
            <v>52.366666666666667</v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D23">
            <v>39</v>
          </cell>
          <cell r="E23">
            <v>48.9</v>
          </cell>
          <cell r="F23">
            <v>64</v>
          </cell>
          <cell r="G23">
            <v>62.1</v>
          </cell>
          <cell r="H23">
            <v>53.1</v>
          </cell>
          <cell r="I23">
            <v>45</v>
          </cell>
          <cell r="J23">
            <v>44.1</v>
          </cell>
          <cell r="K23">
            <v>51.1</v>
          </cell>
          <cell r="L23">
            <v>50</v>
          </cell>
          <cell r="M23">
            <v>61</v>
          </cell>
          <cell r="N23">
            <v>63</v>
          </cell>
          <cell r="O23">
            <v>35.1</v>
          </cell>
          <cell r="P23">
            <v>27</v>
          </cell>
          <cell r="Q23">
            <v>30.9</v>
          </cell>
          <cell r="R23">
            <v>36</v>
          </cell>
          <cell r="S23">
            <v>37.65</v>
          </cell>
          <cell r="T23">
            <v>21.3</v>
          </cell>
          <cell r="U23">
            <v>21</v>
          </cell>
          <cell r="V23">
            <v>45</v>
          </cell>
          <cell r="W23">
            <v>30.9</v>
          </cell>
          <cell r="X23">
            <v>37</v>
          </cell>
          <cell r="Y23">
            <v>57</v>
          </cell>
          <cell r="Z23">
            <v>53.1</v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D24">
            <v>39.9</v>
          </cell>
          <cell r="E24">
            <v>44.6</v>
          </cell>
          <cell r="F24">
            <v>59</v>
          </cell>
          <cell r="G24">
            <v>60.1</v>
          </cell>
          <cell r="H24">
            <v>53.1</v>
          </cell>
          <cell r="I24">
            <v>44.1</v>
          </cell>
          <cell r="J24">
            <v>42.1</v>
          </cell>
          <cell r="K24">
            <v>50</v>
          </cell>
          <cell r="L24">
            <v>50</v>
          </cell>
          <cell r="M24">
            <v>55.9</v>
          </cell>
          <cell r="N24">
            <v>60.55</v>
          </cell>
          <cell r="O24">
            <v>35.1</v>
          </cell>
          <cell r="P24">
            <v>27</v>
          </cell>
          <cell r="Q24">
            <v>28</v>
          </cell>
          <cell r="R24">
            <v>35.1</v>
          </cell>
          <cell r="S24">
            <v>37.9</v>
          </cell>
          <cell r="T24">
            <v>21</v>
          </cell>
          <cell r="U24">
            <v>19.899999999999999</v>
          </cell>
          <cell r="V24">
            <v>42.1</v>
          </cell>
          <cell r="W24">
            <v>28</v>
          </cell>
          <cell r="X24">
            <v>36</v>
          </cell>
          <cell r="Y24">
            <v>52</v>
          </cell>
          <cell r="Z24">
            <v>54</v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D25">
            <v>38.9</v>
          </cell>
          <cell r="E25">
            <v>42.1</v>
          </cell>
          <cell r="F25">
            <v>55.9</v>
          </cell>
          <cell r="G25">
            <v>57.9</v>
          </cell>
          <cell r="H25">
            <v>53.1</v>
          </cell>
          <cell r="I25">
            <v>44.1</v>
          </cell>
          <cell r="J25">
            <v>39.9</v>
          </cell>
          <cell r="K25">
            <v>48.9</v>
          </cell>
          <cell r="L25">
            <v>46.9</v>
          </cell>
          <cell r="M25">
            <v>57</v>
          </cell>
          <cell r="N25">
            <v>58.45</v>
          </cell>
          <cell r="O25">
            <v>35.1</v>
          </cell>
          <cell r="P25">
            <v>26.1</v>
          </cell>
          <cell r="Q25">
            <v>28</v>
          </cell>
          <cell r="R25">
            <v>35.1</v>
          </cell>
          <cell r="S25">
            <v>37.9</v>
          </cell>
          <cell r="T25">
            <v>19.899999999999999</v>
          </cell>
          <cell r="U25">
            <v>19</v>
          </cell>
          <cell r="V25">
            <v>39</v>
          </cell>
          <cell r="W25">
            <v>27</v>
          </cell>
          <cell r="X25">
            <v>30.9</v>
          </cell>
          <cell r="Y25">
            <v>48.9</v>
          </cell>
          <cell r="Z25">
            <v>55</v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D26">
            <v>36</v>
          </cell>
          <cell r="E26">
            <v>37</v>
          </cell>
          <cell r="F26">
            <v>54</v>
          </cell>
          <cell r="G26">
            <v>57</v>
          </cell>
          <cell r="H26">
            <v>52</v>
          </cell>
          <cell r="I26">
            <v>43</v>
          </cell>
          <cell r="J26">
            <v>37</v>
          </cell>
          <cell r="K26">
            <v>48.9</v>
          </cell>
          <cell r="L26">
            <v>42.1</v>
          </cell>
          <cell r="M26">
            <v>57</v>
          </cell>
          <cell r="N26">
            <v>48.9</v>
          </cell>
          <cell r="O26">
            <v>35.1</v>
          </cell>
          <cell r="P26">
            <v>26.1</v>
          </cell>
          <cell r="Q26">
            <v>25</v>
          </cell>
          <cell r="R26">
            <v>35.1</v>
          </cell>
          <cell r="S26">
            <v>37.9</v>
          </cell>
          <cell r="T26">
            <v>19.899999999999999</v>
          </cell>
          <cell r="U26">
            <v>16</v>
          </cell>
          <cell r="V26">
            <v>41</v>
          </cell>
          <cell r="W26">
            <v>26.1</v>
          </cell>
          <cell r="X26">
            <v>30.9</v>
          </cell>
          <cell r="Y26">
            <v>52</v>
          </cell>
          <cell r="Z26">
            <v>55</v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D27">
            <v>35.1</v>
          </cell>
          <cell r="E27">
            <v>36</v>
          </cell>
          <cell r="F27">
            <v>55</v>
          </cell>
          <cell r="G27">
            <v>57</v>
          </cell>
          <cell r="H27">
            <v>52</v>
          </cell>
          <cell r="I27">
            <v>42.45</v>
          </cell>
          <cell r="J27">
            <v>36</v>
          </cell>
          <cell r="K27">
            <v>48</v>
          </cell>
          <cell r="L27">
            <v>43</v>
          </cell>
          <cell r="M27">
            <v>55</v>
          </cell>
          <cell r="N27">
            <v>43</v>
          </cell>
          <cell r="O27">
            <v>35.1</v>
          </cell>
          <cell r="P27">
            <v>26.1</v>
          </cell>
          <cell r="Q27">
            <v>21.9</v>
          </cell>
          <cell r="R27">
            <v>36</v>
          </cell>
          <cell r="S27">
            <v>37.733333333333327</v>
          </cell>
          <cell r="T27">
            <v>19</v>
          </cell>
          <cell r="U27">
            <v>16</v>
          </cell>
          <cell r="V27">
            <v>41</v>
          </cell>
          <cell r="W27">
            <v>25</v>
          </cell>
          <cell r="X27">
            <v>30.9</v>
          </cell>
          <cell r="Y27">
            <v>51.1</v>
          </cell>
          <cell r="Z27">
            <v>55.9</v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D28">
            <v>33.1</v>
          </cell>
          <cell r="E28">
            <v>37</v>
          </cell>
          <cell r="F28">
            <v>54</v>
          </cell>
          <cell r="G28">
            <v>57</v>
          </cell>
          <cell r="H28">
            <v>52</v>
          </cell>
          <cell r="I28">
            <v>42.1</v>
          </cell>
          <cell r="J28">
            <v>35.1</v>
          </cell>
          <cell r="K28">
            <v>46.9</v>
          </cell>
          <cell r="L28">
            <v>37.9</v>
          </cell>
          <cell r="M28">
            <v>53.1</v>
          </cell>
          <cell r="N28">
            <v>41</v>
          </cell>
          <cell r="O28">
            <v>35.1</v>
          </cell>
          <cell r="P28">
            <v>26.1</v>
          </cell>
          <cell r="Q28">
            <v>21</v>
          </cell>
          <cell r="R28">
            <v>35.1</v>
          </cell>
          <cell r="S28">
            <v>37.9</v>
          </cell>
          <cell r="T28">
            <v>18</v>
          </cell>
          <cell r="U28">
            <v>14</v>
          </cell>
          <cell r="V28">
            <v>39</v>
          </cell>
          <cell r="W28">
            <v>23</v>
          </cell>
          <cell r="X28">
            <v>28</v>
          </cell>
          <cell r="Y28">
            <v>48.9</v>
          </cell>
          <cell r="Z28">
            <v>57.6</v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D29">
            <v>33.1</v>
          </cell>
          <cell r="E29">
            <v>36</v>
          </cell>
          <cell r="F29">
            <v>53.1</v>
          </cell>
          <cell r="G29">
            <v>55</v>
          </cell>
          <cell r="H29">
            <v>52</v>
          </cell>
          <cell r="I29">
            <v>41</v>
          </cell>
          <cell r="J29">
            <v>36</v>
          </cell>
          <cell r="K29">
            <v>45</v>
          </cell>
          <cell r="L29">
            <v>43</v>
          </cell>
          <cell r="M29">
            <v>51.1</v>
          </cell>
          <cell r="N29">
            <v>39.9</v>
          </cell>
          <cell r="O29">
            <v>35.1</v>
          </cell>
          <cell r="P29">
            <v>25</v>
          </cell>
          <cell r="Q29">
            <v>21</v>
          </cell>
          <cell r="R29">
            <v>33.1</v>
          </cell>
          <cell r="S29">
            <v>37.9</v>
          </cell>
          <cell r="T29">
            <v>19.899999999999999</v>
          </cell>
          <cell r="U29">
            <v>14</v>
          </cell>
          <cell r="V29">
            <v>35.1</v>
          </cell>
          <cell r="W29">
            <v>23</v>
          </cell>
          <cell r="X29">
            <v>30</v>
          </cell>
          <cell r="Y29">
            <v>48</v>
          </cell>
          <cell r="Z29">
            <v>57.45</v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D30">
            <v>32</v>
          </cell>
          <cell r="E30" t="str">
            <v/>
          </cell>
          <cell r="F30">
            <v>52</v>
          </cell>
          <cell r="G30">
            <v>54</v>
          </cell>
          <cell r="H30">
            <v>52</v>
          </cell>
          <cell r="I30">
            <v>41</v>
          </cell>
          <cell r="J30">
            <v>36</v>
          </cell>
          <cell r="K30">
            <v>44.1</v>
          </cell>
          <cell r="L30">
            <v>39.9</v>
          </cell>
          <cell r="M30">
            <v>50</v>
          </cell>
          <cell r="N30">
            <v>37.9</v>
          </cell>
          <cell r="O30">
            <v>34</v>
          </cell>
          <cell r="P30">
            <v>25</v>
          </cell>
          <cell r="Q30">
            <v>19</v>
          </cell>
          <cell r="R30">
            <v>31.174999999999997</v>
          </cell>
          <cell r="S30">
            <v>37.9</v>
          </cell>
          <cell r="T30">
            <v>19.12857142857143</v>
          </cell>
          <cell r="U30">
            <v>12.9</v>
          </cell>
          <cell r="V30">
            <v>33.1</v>
          </cell>
          <cell r="W30">
            <v>21.9</v>
          </cell>
          <cell r="X30">
            <v>32</v>
          </cell>
          <cell r="Y30">
            <v>48.9</v>
          </cell>
          <cell r="Z30">
            <v>57.274999999999999</v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43">
          <cell r="D43">
            <v>36</v>
          </cell>
          <cell r="E43">
            <v>28.9</v>
          </cell>
          <cell r="F43">
            <v>39.9</v>
          </cell>
          <cell r="G43">
            <v>57</v>
          </cell>
          <cell r="H43">
            <v>55</v>
          </cell>
          <cell r="I43">
            <v>54.666666666666664</v>
          </cell>
          <cell r="J43">
            <v>43</v>
          </cell>
          <cell r="K43">
            <v>37.9</v>
          </cell>
          <cell r="L43">
            <v>42.1</v>
          </cell>
          <cell r="M43">
            <v>42.1</v>
          </cell>
          <cell r="N43">
            <v>57</v>
          </cell>
          <cell r="O43">
            <v>37</v>
          </cell>
          <cell r="P43">
            <v>32</v>
          </cell>
          <cell r="Q43">
            <v>27</v>
          </cell>
          <cell r="R43">
            <v>24.1</v>
          </cell>
          <cell r="S43">
            <v>36</v>
          </cell>
          <cell r="T43">
            <v>33.333333333333336</v>
          </cell>
          <cell r="U43">
            <v>19</v>
          </cell>
          <cell r="V43">
            <v>16</v>
          </cell>
          <cell r="W43">
            <v>35.1</v>
          </cell>
          <cell r="X43">
            <v>23</v>
          </cell>
          <cell r="Y43">
            <v>37</v>
          </cell>
          <cell r="Z43">
            <v>48</v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4">
          <cell r="D44">
            <v>36</v>
          </cell>
          <cell r="E44">
            <v>30</v>
          </cell>
          <cell r="F44">
            <v>42.1</v>
          </cell>
          <cell r="G44">
            <v>55</v>
          </cell>
          <cell r="H44">
            <v>55</v>
          </cell>
          <cell r="I44">
            <v>54.666666666666664</v>
          </cell>
          <cell r="J44">
            <v>42.1</v>
          </cell>
          <cell r="K44">
            <v>37.9</v>
          </cell>
          <cell r="L44">
            <v>39</v>
          </cell>
          <cell r="M44">
            <v>42.1</v>
          </cell>
          <cell r="N44">
            <v>55.9</v>
          </cell>
          <cell r="O44">
            <v>37</v>
          </cell>
          <cell r="P44">
            <v>32</v>
          </cell>
          <cell r="Q44">
            <v>26.1</v>
          </cell>
          <cell r="R44">
            <v>24.1</v>
          </cell>
          <cell r="S44">
            <v>36</v>
          </cell>
          <cell r="T44">
            <v>33.1</v>
          </cell>
          <cell r="U44">
            <v>19</v>
          </cell>
          <cell r="V44">
            <v>16</v>
          </cell>
          <cell r="W44">
            <v>32</v>
          </cell>
          <cell r="X44">
            <v>23</v>
          </cell>
          <cell r="Y44">
            <v>37.9</v>
          </cell>
          <cell r="Z44">
            <v>48.9</v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5">
          <cell r="D45">
            <v>37</v>
          </cell>
          <cell r="E45">
            <v>30</v>
          </cell>
          <cell r="F45">
            <v>42.1</v>
          </cell>
          <cell r="G45">
            <v>53.1</v>
          </cell>
          <cell r="H45">
            <v>55</v>
          </cell>
          <cell r="I45">
            <v>54</v>
          </cell>
          <cell r="J45">
            <v>42.1</v>
          </cell>
          <cell r="K45">
            <v>36</v>
          </cell>
          <cell r="L45">
            <v>39</v>
          </cell>
          <cell r="M45">
            <v>37.9</v>
          </cell>
          <cell r="N45">
            <v>55.9</v>
          </cell>
          <cell r="O45">
            <v>37</v>
          </cell>
          <cell r="P45">
            <v>32</v>
          </cell>
          <cell r="Q45">
            <v>26.1</v>
          </cell>
          <cell r="R45">
            <v>21</v>
          </cell>
          <cell r="S45">
            <v>34</v>
          </cell>
          <cell r="T45">
            <v>33.1</v>
          </cell>
          <cell r="U45">
            <v>18</v>
          </cell>
          <cell r="V45">
            <v>16</v>
          </cell>
          <cell r="W45">
            <v>30</v>
          </cell>
          <cell r="X45">
            <v>21</v>
          </cell>
          <cell r="Y45">
            <v>39</v>
          </cell>
          <cell r="Z45">
            <v>52</v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6">
          <cell r="D46">
            <v>37</v>
          </cell>
          <cell r="E46">
            <v>28.9</v>
          </cell>
          <cell r="F46">
            <v>42.1</v>
          </cell>
          <cell r="G46">
            <v>53.1</v>
          </cell>
          <cell r="H46">
            <v>54</v>
          </cell>
          <cell r="I46">
            <v>52</v>
          </cell>
          <cell r="J46">
            <v>42.1</v>
          </cell>
          <cell r="K46">
            <v>36</v>
          </cell>
          <cell r="L46">
            <v>36</v>
          </cell>
          <cell r="M46">
            <v>39</v>
          </cell>
          <cell r="N46">
            <v>57</v>
          </cell>
          <cell r="O46">
            <v>37</v>
          </cell>
          <cell r="P46">
            <v>31.45</v>
          </cell>
          <cell r="Q46">
            <v>25</v>
          </cell>
          <cell r="R46">
            <v>23</v>
          </cell>
          <cell r="S46">
            <v>34</v>
          </cell>
          <cell r="T46">
            <v>32.825000000000003</v>
          </cell>
          <cell r="U46">
            <v>17.100000000000001</v>
          </cell>
          <cell r="V46">
            <v>17.100000000000001</v>
          </cell>
          <cell r="W46">
            <v>27</v>
          </cell>
          <cell r="X46">
            <v>19.399999999999999</v>
          </cell>
          <cell r="Y46">
            <v>39</v>
          </cell>
          <cell r="Z46">
            <v>53.1</v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</row>
        <row r="47">
          <cell r="D47">
            <v>36</v>
          </cell>
          <cell r="E47">
            <v>27</v>
          </cell>
          <cell r="F47">
            <v>42.1</v>
          </cell>
          <cell r="G47">
            <v>52</v>
          </cell>
          <cell r="H47">
            <v>54</v>
          </cell>
          <cell r="I47">
            <v>51.55</v>
          </cell>
          <cell r="J47">
            <v>42.1</v>
          </cell>
          <cell r="K47">
            <v>36</v>
          </cell>
          <cell r="L47">
            <v>35.1</v>
          </cell>
          <cell r="M47">
            <v>39</v>
          </cell>
          <cell r="N47">
            <v>57</v>
          </cell>
          <cell r="O47">
            <v>37</v>
          </cell>
          <cell r="P47">
            <v>30.9</v>
          </cell>
          <cell r="Q47">
            <v>24.8</v>
          </cell>
          <cell r="R47">
            <v>21</v>
          </cell>
          <cell r="S47">
            <v>35.1</v>
          </cell>
          <cell r="T47">
            <v>32</v>
          </cell>
          <cell r="U47">
            <v>17.100000000000001</v>
          </cell>
          <cell r="V47">
            <v>18</v>
          </cell>
          <cell r="W47">
            <v>26.1</v>
          </cell>
          <cell r="X47">
            <v>19.899999999999999</v>
          </cell>
          <cell r="Y47">
            <v>39</v>
          </cell>
          <cell r="Z47">
            <v>55</v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D48">
            <v>35.1</v>
          </cell>
          <cell r="E48">
            <v>27</v>
          </cell>
          <cell r="F48">
            <v>42.1</v>
          </cell>
          <cell r="G48">
            <v>52</v>
          </cell>
          <cell r="H48">
            <v>54</v>
          </cell>
          <cell r="I48">
            <v>51.1</v>
          </cell>
          <cell r="J48">
            <v>41.733333333333334</v>
          </cell>
          <cell r="K48">
            <v>36</v>
          </cell>
          <cell r="L48">
            <v>34</v>
          </cell>
          <cell r="M48">
            <v>37</v>
          </cell>
          <cell r="N48">
            <v>55.9</v>
          </cell>
          <cell r="O48">
            <v>37</v>
          </cell>
          <cell r="P48">
            <v>30.3</v>
          </cell>
          <cell r="Q48">
            <v>24.1</v>
          </cell>
          <cell r="R48">
            <v>21</v>
          </cell>
          <cell r="S48">
            <v>36</v>
          </cell>
          <cell r="T48">
            <v>30.900000000000002</v>
          </cell>
          <cell r="U48">
            <v>16</v>
          </cell>
          <cell r="V48">
            <v>21</v>
          </cell>
          <cell r="W48">
            <v>25</v>
          </cell>
          <cell r="X48">
            <v>19.899999999999999</v>
          </cell>
          <cell r="Y48">
            <v>41</v>
          </cell>
          <cell r="Z48">
            <v>54</v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9">
          <cell r="D49">
            <v>35.1</v>
          </cell>
          <cell r="E49">
            <v>26.1</v>
          </cell>
          <cell r="F49">
            <v>41</v>
          </cell>
          <cell r="G49">
            <v>52</v>
          </cell>
          <cell r="H49">
            <v>52.55</v>
          </cell>
          <cell r="I49">
            <v>50</v>
          </cell>
          <cell r="J49">
            <v>41</v>
          </cell>
          <cell r="K49">
            <v>37.9</v>
          </cell>
          <cell r="L49">
            <v>33.1</v>
          </cell>
          <cell r="M49">
            <v>37.9</v>
          </cell>
          <cell r="N49">
            <v>55.9</v>
          </cell>
          <cell r="O49">
            <v>37</v>
          </cell>
          <cell r="P49">
            <v>30</v>
          </cell>
          <cell r="Q49">
            <v>23</v>
          </cell>
          <cell r="R49">
            <v>21</v>
          </cell>
          <cell r="S49">
            <v>35.1</v>
          </cell>
          <cell r="T49">
            <v>30.899999999999995</v>
          </cell>
          <cell r="U49">
            <v>15.1</v>
          </cell>
          <cell r="V49">
            <v>23</v>
          </cell>
          <cell r="W49">
            <v>23</v>
          </cell>
          <cell r="X49">
            <v>17.100000000000001</v>
          </cell>
          <cell r="Y49">
            <v>42.1</v>
          </cell>
          <cell r="Z49">
            <v>54</v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D50">
            <v>35.1</v>
          </cell>
          <cell r="E50">
            <v>28</v>
          </cell>
          <cell r="F50">
            <v>42.1</v>
          </cell>
          <cell r="G50">
            <v>50</v>
          </cell>
          <cell r="H50">
            <v>52</v>
          </cell>
          <cell r="I50">
            <v>50</v>
          </cell>
          <cell r="J50">
            <v>41</v>
          </cell>
          <cell r="K50">
            <v>39</v>
          </cell>
          <cell r="L50">
            <v>34</v>
          </cell>
          <cell r="M50">
            <v>39.9</v>
          </cell>
          <cell r="N50">
            <v>55.9</v>
          </cell>
          <cell r="O50">
            <v>37</v>
          </cell>
          <cell r="P50">
            <v>30</v>
          </cell>
          <cell r="Q50">
            <v>23</v>
          </cell>
          <cell r="R50">
            <v>19.899999999999999</v>
          </cell>
          <cell r="S50">
            <v>36</v>
          </cell>
          <cell r="T50">
            <v>30.9</v>
          </cell>
          <cell r="U50">
            <v>15.1</v>
          </cell>
          <cell r="V50">
            <v>25</v>
          </cell>
          <cell r="W50">
            <v>25.55</v>
          </cell>
          <cell r="X50">
            <v>19.899999999999999</v>
          </cell>
          <cell r="Y50">
            <v>44.1</v>
          </cell>
          <cell r="Z50">
            <v>54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D51">
            <v>35.1</v>
          </cell>
          <cell r="E51">
            <v>33.1</v>
          </cell>
          <cell r="F51">
            <v>44.1</v>
          </cell>
          <cell r="G51">
            <v>54</v>
          </cell>
          <cell r="H51">
            <v>52</v>
          </cell>
          <cell r="I51">
            <v>50</v>
          </cell>
          <cell r="J51">
            <v>41</v>
          </cell>
          <cell r="K51">
            <v>41</v>
          </cell>
          <cell r="L51">
            <v>41</v>
          </cell>
          <cell r="M51">
            <v>45</v>
          </cell>
          <cell r="N51">
            <v>57.9</v>
          </cell>
          <cell r="O51">
            <v>37</v>
          </cell>
          <cell r="P51">
            <v>30</v>
          </cell>
          <cell r="Q51">
            <v>25</v>
          </cell>
          <cell r="R51">
            <v>25</v>
          </cell>
          <cell r="S51">
            <v>36</v>
          </cell>
          <cell r="T51">
            <v>30.9</v>
          </cell>
          <cell r="U51">
            <v>16</v>
          </cell>
          <cell r="V51">
            <v>27</v>
          </cell>
          <cell r="W51">
            <v>26.55</v>
          </cell>
          <cell r="X51">
            <v>26.1</v>
          </cell>
          <cell r="Y51">
            <v>46</v>
          </cell>
          <cell r="Z51">
            <v>55</v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D52">
            <v>35.549999999999997</v>
          </cell>
          <cell r="E52">
            <v>39.9</v>
          </cell>
          <cell r="F52">
            <v>46.9</v>
          </cell>
          <cell r="G52">
            <v>57.9</v>
          </cell>
          <cell r="H52">
            <v>53.1</v>
          </cell>
          <cell r="I52">
            <v>50.55</v>
          </cell>
          <cell r="J52">
            <v>42.1</v>
          </cell>
          <cell r="K52">
            <v>46</v>
          </cell>
          <cell r="L52">
            <v>45</v>
          </cell>
          <cell r="M52">
            <v>50</v>
          </cell>
          <cell r="N52">
            <v>60.1</v>
          </cell>
          <cell r="O52">
            <v>37</v>
          </cell>
          <cell r="P52">
            <v>30</v>
          </cell>
          <cell r="Q52">
            <v>26.6</v>
          </cell>
          <cell r="R52">
            <v>30.9</v>
          </cell>
          <cell r="S52">
            <v>37.9</v>
          </cell>
          <cell r="T52">
            <v>29.46</v>
          </cell>
          <cell r="U52">
            <v>18</v>
          </cell>
          <cell r="V52">
            <v>30.9</v>
          </cell>
          <cell r="W52">
            <v>28.9</v>
          </cell>
          <cell r="X52">
            <v>28.9</v>
          </cell>
          <cell r="Y52">
            <v>48.9</v>
          </cell>
          <cell r="Z52">
            <v>57</v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D53">
            <v>37</v>
          </cell>
          <cell r="E53">
            <v>43</v>
          </cell>
          <cell r="F53">
            <v>53.1</v>
          </cell>
          <cell r="G53">
            <v>61</v>
          </cell>
          <cell r="H53">
            <v>55.2</v>
          </cell>
          <cell r="I53">
            <v>52</v>
          </cell>
          <cell r="J53">
            <v>44.1</v>
          </cell>
          <cell r="K53">
            <v>48.9</v>
          </cell>
          <cell r="L53">
            <v>46.9</v>
          </cell>
          <cell r="M53">
            <v>54</v>
          </cell>
          <cell r="N53">
            <v>63</v>
          </cell>
          <cell r="O53">
            <v>37.9</v>
          </cell>
          <cell r="P53">
            <v>30</v>
          </cell>
          <cell r="Q53">
            <v>30</v>
          </cell>
          <cell r="R53">
            <v>33.1</v>
          </cell>
          <cell r="S53">
            <v>39</v>
          </cell>
          <cell r="T53">
            <v>27.85</v>
          </cell>
          <cell r="U53">
            <v>19</v>
          </cell>
          <cell r="V53">
            <v>37</v>
          </cell>
          <cell r="W53">
            <v>28</v>
          </cell>
          <cell r="X53">
            <v>30.9</v>
          </cell>
          <cell r="Y53">
            <v>55</v>
          </cell>
          <cell r="Z53">
            <v>57.9</v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D54">
            <v>39</v>
          </cell>
          <cell r="E54">
            <v>44.1</v>
          </cell>
          <cell r="F54">
            <v>57</v>
          </cell>
          <cell r="G54">
            <v>62.1</v>
          </cell>
          <cell r="H54">
            <v>55</v>
          </cell>
          <cell r="I54">
            <v>51.55</v>
          </cell>
          <cell r="J54">
            <v>46</v>
          </cell>
          <cell r="K54">
            <v>51.1</v>
          </cell>
          <cell r="L54">
            <v>48.9</v>
          </cell>
          <cell r="M54">
            <v>57</v>
          </cell>
          <cell r="N54">
            <v>63</v>
          </cell>
          <cell r="O54">
            <v>37.9</v>
          </cell>
          <cell r="P54">
            <v>30.9</v>
          </cell>
          <cell r="Q54">
            <v>32</v>
          </cell>
          <cell r="R54">
            <v>35.1</v>
          </cell>
          <cell r="S54">
            <v>41</v>
          </cell>
          <cell r="T54">
            <v>26.1</v>
          </cell>
          <cell r="U54">
            <v>21</v>
          </cell>
          <cell r="V54">
            <v>39.9</v>
          </cell>
          <cell r="W54">
            <v>30.9</v>
          </cell>
          <cell r="X54">
            <v>34</v>
          </cell>
          <cell r="Y54">
            <v>59</v>
          </cell>
          <cell r="Z54">
            <v>57</v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D55">
            <v>39.9</v>
          </cell>
          <cell r="E55">
            <v>48</v>
          </cell>
          <cell r="F55">
            <v>61</v>
          </cell>
          <cell r="G55">
            <v>64</v>
          </cell>
          <cell r="H55">
            <v>55.9</v>
          </cell>
          <cell r="I55">
            <v>48</v>
          </cell>
          <cell r="J55">
            <v>46.9</v>
          </cell>
          <cell r="K55">
            <v>54</v>
          </cell>
          <cell r="L55">
            <v>51.1</v>
          </cell>
          <cell r="M55">
            <v>61</v>
          </cell>
          <cell r="N55">
            <v>64</v>
          </cell>
          <cell r="O55">
            <v>37.9</v>
          </cell>
          <cell r="P55">
            <v>30</v>
          </cell>
          <cell r="Q55">
            <v>30.9</v>
          </cell>
          <cell r="R55">
            <v>36</v>
          </cell>
          <cell r="S55">
            <v>41</v>
          </cell>
          <cell r="T55">
            <v>25</v>
          </cell>
          <cell r="U55">
            <v>21.9</v>
          </cell>
          <cell r="V55">
            <v>43</v>
          </cell>
          <cell r="W55">
            <v>30.9</v>
          </cell>
          <cell r="X55">
            <v>36</v>
          </cell>
          <cell r="Y55">
            <v>62.1</v>
          </cell>
          <cell r="Z55">
            <v>55.9</v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D56">
            <v>39.9</v>
          </cell>
          <cell r="E56">
            <v>48.9</v>
          </cell>
          <cell r="F56">
            <v>63</v>
          </cell>
          <cell r="G56">
            <v>64</v>
          </cell>
          <cell r="H56">
            <v>57</v>
          </cell>
          <cell r="I56">
            <v>48.2</v>
          </cell>
          <cell r="J56">
            <v>48.9</v>
          </cell>
          <cell r="K56">
            <v>55</v>
          </cell>
          <cell r="L56">
            <v>54</v>
          </cell>
          <cell r="M56">
            <v>63</v>
          </cell>
          <cell r="N56">
            <v>63</v>
          </cell>
          <cell r="O56">
            <v>37.9</v>
          </cell>
          <cell r="P56">
            <v>28.9</v>
          </cell>
          <cell r="Q56">
            <v>33.1</v>
          </cell>
          <cell r="R56">
            <v>37</v>
          </cell>
          <cell r="S56">
            <v>40.450000000000003</v>
          </cell>
          <cell r="T56">
            <v>24.1</v>
          </cell>
          <cell r="U56">
            <v>23</v>
          </cell>
          <cell r="V56">
            <v>46</v>
          </cell>
          <cell r="W56">
            <v>32</v>
          </cell>
          <cell r="X56">
            <v>37.9</v>
          </cell>
          <cell r="Y56">
            <v>63</v>
          </cell>
          <cell r="Z56">
            <v>54.666666666666664</v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</row>
        <row r="57">
          <cell r="D57">
            <v>41</v>
          </cell>
          <cell r="E57">
            <v>50</v>
          </cell>
          <cell r="F57">
            <v>64.900000000000006</v>
          </cell>
          <cell r="G57">
            <v>63</v>
          </cell>
          <cell r="H57">
            <v>55.9</v>
          </cell>
          <cell r="I57">
            <v>48.366666666666667</v>
          </cell>
          <cell r="J57">
            <v>48.9</v>
          </cell>
          <cell r="K57">
            <v>55.9</v>
          </cell>
          <cell r="L57">
            <v>54</v>
          </cell>
          <cell r="M57">
            <v>64</v>
          </cell>
          <cell r="N57">
            <v>63</v>
          </cell>
          <cell r="O57">
            <v>39</v>
          </cell>
          <cell r="P57">
            <v>30</v>
          </cell>
          <cell r="Q57">
            <v>35.1</v>
          </cell>
          <cell r="R57">
            <v>37.9</v>
          </cell>
          <cell r="S57">
            <v>41</v>
          </cell>
          <cell r="T57">
            <v>24.1</v>
          </cell>
          <cell r="U57">
            <v>24.1</v>
          </cell>
          <cell r="V57">
            <v>46</v>
          </cell>
          <cell r="W57">
            <v>33.1</v>
          </cell>
          <cell r="X57">
            <v>39.9</v>
          </cell>
          <cell r="Y57">
            <v>62.1</v>
          </cell>
          <cell r="Z57">
            <v>54.25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D58">
            <v>43.1</v>
          </cell>
          <cell r="E58">
            <v>50</v>
          </cell>
          <cell r="F58">
            <v>66.900000000000006</v>
          </cell>
          <cell r="G58">
            <v>63</v>
          </cell>
          <cell r="H58">
            <v>55.9</v>
          </cell>
          <cell r="I58">
            <v>46.9</v>
          </cell>
          <cell r="J58">
            <v>48.9</v>
          </cell>
          <cell r="K58">
            <v>55.9</v>
          </cell>
          <cell r="L58">
            <v>55</v>
          </cell>
          <cell r="M58">
            <v>64.900000000000006</v>
          </cell>
          <cell r="N58">
            <v>57.9</v>
          </cell>
          <cell r="O58">
            <v>39</v>
          </cell>
          <cell r="P58">
            <v>32</v>
          </cell>
          <cell r="Q58">
            <v>33.799999999999997</v>
          </cell>
          <cell r="R58">
            <v>39</v>
          </cell>
          <cell r="S58">
            <v>41</v>
          </cell>
          <cell r="T58">
            <v>24.100000000000005</v>
          </cell>
          <cell r="U58">
            <v>24.1</v>
          </cell>
          <cell r="V58">
            <v>46.9</v>
          </cell>
          <cell r="W58">
            <v>33.1</v>
          </cell>
          <cell r="X58">
            <v>39.9</v>
          </cell>
          <cell r="Y58">
            <v>62.1</v>
          </cell>
          <cell r="Z58">
            <v>54</v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</row>
        <row r="59">
          <cell r="D59">
            <v>45</v>
          </cell>
          <cell r="E59">
            <v>50</v>
          </cell>
          <cell r="F59">
            <v>64.900000000000006</v>
          </cell>
          <cell r="G59">
            <v>62.1</v>
          </cell>
          <cell r="H59">
            <v>55.9</v>
          </cell>
          <cell r="I59">
            <v>46</v>
          </cell>
          <cell r="J59">
            <v>48</v>
          </cell>
          <cell r="K59">
            <v>54</v>
          </cell>
          <cell r="L59">
            <v>54</v>
          </cell>
          <cell r="M59">
            <v>64</v>
          </cell>
          <cell r="N59">
            <v>52.42</v>
          </cell>
          <cell r="O59">
            <v>39</v>
          </cell>
          <cell r="P59">
            <v>30.9</v>
          </cell>
          <cell r="Q59">
            <v>32</v>
          </cell>
          <cell r="R59">
            <v>39</v>
          </cell>
          <cell r="S59">
            <v>39</v>
          </cell>
          <cell r="T59">
            <v>24.1</v>
          </cell>
          <cell r="U59">
            <v>23</v>
          </cell>
          <cell r="V59">
            <v>46.9</v>
          </cell>
          <cell r="W59">
            <v>33.1</v>
          </cell>
          <cell r="X59">
            <v>39.9</v>
          </cell>
          <cell r="Y59">
            <v>60.1</v>
          </cell>
          <cell r="Z59">
            <v>54</v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D60">
            <v>44.1</v>
          </cell>
          <cell r="E60">
            <v>48.9</v>
          </cell>
          <cell r="F60">
            <v>62.1</v>
          </cell>
          <cell r="G60">
            <v>61</v>
          </cell>
          <cell r="H60">
            <v>55.9</v>
          </cell>
          <cell r="I60">
            <v>45.5</v>
          </cell>
          <cell r="J60">
            <v>46.9</v>
          </cell>
          <cell r="K60">
            <v>51.1</v>
          </cell>
          <cell r="L60">
            <v>52</v>
          </cell>
          <cell r="M60">
            <v>62.1</v>
          </cell>
          <cell r="N60">
            <v>48.300000000000004</v>
          </cell>
          <cell r="O60">
            <v>39</v>
          </cell>
          <cell r="P60">
            <v>30</v>
          </cell>
          <cell r="Q60">
            <v>32</v>
          </cell>
          <cell r="R60">
            <v>37.9</v>
          </cell>
          <cell r="S60">
            <v>38.450000000000003</v>
          </cell>
          <cell r="T60">
            <v>24.1</v>
          </cell>
          <cell r="U60">
            <v>21.9</v>
          </cell>
          <cell r="V60">
            <v>44.1</v>
          </cell>
          <cell r="W60">
            <v>30.9</v>
          </cell>
          <cell r="X60">
            <v>39</v>
          </cell>
          <cell r="Y60">
            <v>57.9</v>
          </cell>
          <cell r="Z60">
            <v>54.333333333333336</v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D61">
            <v>41</v>
          </cell>
          <cell r="E61">
            <v>46</v>
          </cell>
          <cell r="F61">
            <v>59</v>
          </cell>
          <cell r="G61">
            <v>57</v>
          </cell>
          <cell r="H61">
            <v>55.133333333333333</v>
          </cell>
          <cell r="I61">
            <v>45</v>
          </cell>
          <cell r="J61">
            <v>45</v>
          </cell>
          <cell r="K61">
            <v>48.9</v>
          </cell>
          <cell r="L61">
            <v>50</v>
          </cell>
          <cell r="M61">
            <v>60.1</v>
          </cell>
          <cell r="N61">
            <v>44.1</v>
          </cell>
          <cell r="O61">
            <v>37.9</v>
          </cell>
          <cell r="P61">
            <v>28.9</v>
          </cell>
          <cell r="Q61">
            <v>30</v>
          </cell>
          <cell r="R61">
            <v>37.9</v>
          </cell>
          <cell r="S61">
            <v>37.9</v>
          </cell>
          <cell r="T61">
            <v>24.1</v>
          </cell>
          <cell r="U61">
            <v>21</v>
          </cell>
          <cell r="V61">
            <v>42.1</v>
          </cell>
          <cell r="W61">
            <v>30</v>
          </cell>
          <cell r="X61">
            <v>37</v>
          </cell>
          <cell r="Y61">
            <v>55.9</v>
          </cell>
          <cell r="Z61">
            <v>55.45</v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D62">
            <v>39.9</v>
          </cell>
          <cell r="E62">
            <v>43</v>
          </cell>
          <cell r="F62">
            <v>57</v>
          </cell>
          <cell r="G62">
            <v>57</v>
          </cell>
          <cell r="H62">
            <v>54</v>
          </cell>
          <cell r="I62">
            <v>44.35</v>
          </cell>
          <cell r="J62">
            <v>44.1</v>
          </cell>
          <cell r="K62">
            <v>46.9</v>
          </cell>
          <cell r="L62">
            <v>46</v>
          </cell>
          <cell r="M62">
            <v>57.9</v>
          </cell>
          <cell r="N62">
            <v>41.55</v>
          </cell>
          <cell r="O62">
            <v>37</v>
          </cell>
          <cell r="P62">
            <v>28.9</v>
          </cell>
          <cell r="Q62">
            <v>28.9</v>
          </cell>
          <cell r="R62">
            <v>37.9</v>
          </cell>
          <cell r="S62">
            <v>37.9</v>
          </cell>
          <cell r="T62">
            <v>21.9</v>
          </cell>
          <cell r="U62">
            <v>19</v>
          </cell>
          <cell r="V62">
            <v>42.1</v>
          </cell>
          <cell r="W62">
            <v>28</v>
          </cell>
          <cell r="X62">
            <v>35.1</v>
          </cell>
          <cell r="Y62">
            <v>55</v>
          </cell>
          <cell r="Z62">
            <v>55.9</v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D63">
            <v>39</v>
          </cell>
          <cell r="E63">
            <v>41</v>
          </cell>
          <cell r="F63">
            <v>53.1</v>
          </cell>
          <cell r="G63">
            <v>55.9</v>
          </cell>
          <cell r="H63">
            <v>54.25</v>
          </cell>
          <cell r="I63">
            <v>44.1</v>
          </cell>
          <cell r="J63">
            <v>41</v>
          </cell>
          <cell r="K63">
            <v>46.9</v>
          </cell>
          <cell r="L63">
            <v>44.1</v>
          </cell>
          <cell r="M63">
            <v>57</v>
          </cell>
          <cell r="N63">
            <v>40.725000000000001</v>
          </cell>
          <cell r="O63">
            <v>35.1</v>
          </cell>
          <cell r="P63">
            <v>28</v>
          </cell>
          <cell r="Q63">
            <v>28</v>
          </cell>
          <cell r="R63">
            <v>37.9</v>
          </cell>
          <cell r="S63">
            <v>37.674999999999997</v>
          </cell>
          <cell r="T63">
            <v>21.9</v>
          </cell>
          <cell r="U63">
            <v>19</v>
          </cell>
          <cell r="V63">
            <v>37</v>
          </cell>
          <cell r="W63">
            <v>27</v>
          </cell>
          <cell r="X63">
            <v>35.1</v>
          </cell>
          <cell r="Y63">
            <v>53.1</v>
          </cell>
          <cell r="Z63">
            <v>57.45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D64">
            <v>37.9</v>
          </cell>
          <cell r="E64">
            <v>39</v>
          </cell>
          <cell r="F64">
            <v>51.1</v>
          </cell>
          <cell r="G64">
            <v>55.9</v>
          </cell>
          <cell r="H64">
            <v>55</v>
          </cell>
          <cell r="I64">
            <v>44.1</v>
          </cell>
          <cell r="J64">
            <v>41</v>
          </cell>
          <cell r="K64">
            <v>46.9</v>
          </cell>
          <cell r="L64">
            <v>45</v>
          </cell>
          <cell r="M64">
            <v>59</v>
          </cell>
          <cell r="N64">
            <v>37.9</v>
          </cell>
          <cell r="O64">
            <v>34</v>
          </cell>
          <cell r="P64">
            <v>28</v>
          </cell>
          <cell r="Q64">
            <v>26.1</v>
          </cell>
          <cell r="R64">
            <v>37</v>
          </cell>
          <cell r="S64">
            <v>36.049999999999997</v>
          </cell>
          <cell r="T64">
            <v>21.9</v>
          </cell>
          <cell r="U64">
            <v>19</v>
          </cell>
          <cell r="V64">
            <v>37</v>
          </cell>
          <cell r="W64">
            <v>26.6</v>
          </cell>
          <cell r="X64">
            <v>34</v>
          </cell>
          <cell r="Y64">
            <v>50</v>
          </cell>
          <cell r="Z64">
            <v>59</v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D65">
            <v>36</v>
          </cell>
          <cell r="E65">
            <v>37.9</v>
          </cell>
          <cell r="F65">
            <v>50</v>
          </cell>
          <cell r="G65">
            <v>55.9</v>
          </cell>
          <cell r="H65">
            <v>54</v>
          </cell>
          <cell r="I65">
            <v>43</v>
          </cell>
          <cell r="J65">
            <v>39</v>
          </cell>
          <cell r="K65">
            <v>46.9</v>
          </cell>
          <cell r="L65">
            <v>46</v>
          </cell>
          <cell r="M65">
            <v>59</v>
          </cell>
          <cell r="N65">
            <v>37</v>
          </cell>
          <cell r="O65">
            <v>33.1</v>
          </cell>
          <cell r="P65">
            <v>26.1</v>
          </cell>
          <cell r="Q65">
            <v>26.1</v>
          </cell>
          <cell r="R65">
            <v>37</v>
          </cell>
          <cell r="S65">
            <v>35.1</v>
          </cell>
          <cell r="T65">
            <v>19.899999999999999</v>
          </cell>
          <cell r="U65">
            <v>17.100000000000001</v>
          </cell>
          <cell r="V65">
            <v>36</v>
          </cell>
          <cell r="W65">
            <v>25</v>
          </cell>
          <cell r="X65">
            <v>34</v>
          </cell>
          <cell r="Y65">
            <v>51.1</v>
          </cell>
          <cell r="Z65">
            <v>59</v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D66">
            <v>34</v>
          </cell>
          <cell r="E66" t="str">
            <v/>
          </cell>
          <cell r="F66">
            <v>55.9</v>
          </cell>
          <cell r="G66">
            <v>55.9</v>
          </cell>
          <cell r="H66">
            <v>54</v>
          </cell>
          <cell r="I66">
            <v>43</v>
          </cell>
          <cell r="J66">
            <v>37</v>
          </cell>
          <cell r="K66">
            <v>46</v>
          </cell>
          <cell r="L66">
            <v>44.1</v>
          </cell>
          <cell r="M66">
            <v>57.9</v>
          </cell>
          <cell r="N66">
            <v>37</v>
          </cell>
          <cell r="O66">
            <v>33.1</v>
          </cell>
          <cell r="P66">
            <v>27</v>
          </cell>
          <cell r="Q66">
            <v>24.1</v>
          </cell>
          <cell r="R66">
            <v>36</v>
          </cell>
          <cell r="S66">
            <v>33.1</v>
          </cell>
          <cell r="T66">
            <v>19</v>
          </cell>
          <cell r="U66">
            <v>17.100000000000001</v>
          </cell>
          <cell r="V66">
            <v>35.1</v>
          </cell>
          <cell r="W66">
            <v>23</v>
          </cell>
          <cell r="X66">
            <v>35.1</v>
          </cell>
          <cell r="Y66">
            <v>51.1</v>
          </cell>
          <cell r="Z66">
            <v>60.1</v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80">
          <cell r="D80">
            <v>41</v>
          </cell>
          <cell r="E80">
            <v>52</v>
          </cell>
          <cell r="F80">
            <v>69</v>
          </cell>
          <cell r="G80">
            <v>65</v>
          </cell>
          <cell r="H80">
            <v>54</v>
          </cell>
          <cell r="I80">
            <v>53</v>
          </cell>
          <cell r="J80">
            <v>46</v>
          </cell>
          <cell r="K80">
            <v>55</v>
          </cell>
          <cell r="L80">
            <v>53</v>
          </cell>
          <cell r="M80">
            <v>65</v>
          </cell>
          <cell r="N80">
            <v>67</v>
          </cell>
          <cell r="O80">
            <v>37</v>
          </cell>
          <cell r="P80">
            <v>34</v>
          </cell>
          <cell r="Q80">
            <v>33</v>
          </cell>
          <cell r="R80">
            <v>38</v>
          </cell>
          <cell r="S80">
            <v>42</v>
          </cell>
          <cell r="T80">
            <v>38</v>
          </cell>
          <cell r="U80">
            <v>22</v>
          </cell>
          <cell r="V80">
            <v>47</v>
          </cell>
          <cell r="W80">
            <v>34</v>
          </cell>
          <cell r="X80">
            <v>39</v>
          </cell>
          <cell r="Y80">
            <v>63</v>
          </cell>
          <cell r="Z80">
            <v>58</v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</row>
        <row r="81">
          <cell r="D81">
            <v>30</v>
          </cell>
          <cell r="E81">
            <v>27</v>
          </cell>
          <cell r="F81">
            <v>33</v>
          </cell>
          <cell r="G81">
            <v>50</v>
          </cell>
          <cell r="H81">
            <v>52</v>
          </cell>
          <cell r="I81">
            <v>41</v>
          </cell>
          <cell r="J81">
            <v>32</v>
          </cell>
          <cell r="K81">
            <v>32</v>
          </cell>
          <cell r="L81">
            <v>32</v>
          </cell>
          <cell r="M81">
            <v>37</v>
          </cell>
          <cell r="N81">
            <v>37</v>
          </cell>
          <cell r="O81">
            <v>34</v>
          </cell>
          <cell r="P81">
            <v>25</v>
          </cell>
          <cell r="Q81">
            <v>16</v>
          </cell>
          <cell r="R81">
            <v>14</v>
          </cell>
          <cell r="S81">
            <v>31</v>
          </cell>
          <cell r="T81">
            <v>18</v>
          </cell>
          <cell r="U81">
            <v>12</v>
          </cell>
          <cell r="V81">
            <v>11</v>
          </cell>
          <cell r="W81">
            <v>22</v>
          </cell>
          <cell r="X81">
            <v>14</v>
          </cell>
          <cell r="Y81">
            <v>32</v>
          </cell>
          <cell r="Z81">
            <v>48</v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3">
          <cell r="D83">
            <v>45</v>
          </cell>
          <cell r="E83">
            <v>51</v>
          </cell>
          <cell r="F83">
            <v>67</v>
          </cell>
          <cell r="G83">
            <v>65</v>
          </cell>
          <cell r="H83">
            <v>57</v>
          </cell>
          <cell r="I83">
            <v>55</v>
          </cell>
          <cell r="J83">
            <v>50</v>
          </cell>
          <cell r="K83">
            <v>57</v>
          </cell>
          <cell r="L83">
            <v>55</v>
          </cell>
          <cell r="M83">
            <v>65</v>
          </cell>
          <cell r="N83">
            <v>64</v>
          </cell>
          <cell r="O83">
            <v>40</v>
          </cell>
          <cell r="P83">
            <v>33</v>
          </cell>
          <cell r="Q83">
            <v>36</v>
          </cell>
          <cell r="R83">
            <v>40</v>
          </cell>
          <cell r="S83">
            <v>41</v>
          </cell>
          <cell r="T83">
            <v>33</v>
          </cell>
          <cell r="U83">
            <v>24</v>
          </cell>
          <cell r="V83">
            <v>47</v>
          </cell>
          <cell r="W83">
            <v>36</v>
          </cell>
          <cell r="X83">
            <v>41</v>
          </cell>
          <cell r="Y83">
            <v>64</v>
          </cell>
          <cell r="Z83">
            <v>60</v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D84">
            <v>29</v>
          </cell>
          <cell r="E84">
            <v>25</v>
          </cell>
          <cell r="F84">
            <v>39</v>
          </cell>
          <cell r="G84">
            <v>50</v>
          </cell>
          <cell r="H84">
            <v>52</v>
          </cell>
          <cell r="I84">
            <v>43</v>
          </cell>
          <cell r="J84">
            <v>37</v>
          </cell>
          <cell r="K84">
            <v>35</v>
          </cell>
          <cell r="L84">
            <v>32</v>
          </cell>
          <cell r="M84">
            <v>36</v>
          </cell>
          <cell r="N84">
            <v>37</v>
          </cell>
          <cell r="O84">
            <v>33</v>
          </cell>
          <cell r="P84">
            <v>26</v>
          </cell>
          <cell r="Q84">
            <v>22</v>
          </cell>
          <cell r="R84">
            <v>19</v>
          </cell>
          <cell r="S84">
            <v>33</v>
          </cell>
          <cell r="T84">
            <v>19</v>
          </cell>
          <cell r="U84">
            <v>15</v>
          </cell>
          <cell r="V84">
            <v>16</v>
          </cell>
          <cell r="W84">
            <v>23</v>
          </cell>
          <cell r="X84">
            <v>17</v>
          </cell>
          <cell r="Y84">
            <v>35</v>
          </cell>
          <cell r="Z84">
            <v>47</v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</sheetData>
      <sheetData sheetId="7" refreshError="1"/>
      <sheetData sheetId="8">
        <row r="4">
          <cell r="B4">
            <v>2341</v>
          </cell>
          <cell r="C4">
            <v>2367</v>
          </cell>
          <cell r="D4">
            <v>2292</v>
          </cell>
          <cell r="E4">
            <v>2359</v>
          </cell>
          <cell r="F4">
            <v>2342</v>
          </cell>
          <cell r="G4">
            <v>2478</v>
          </cell>
          <cell r="H4">
            <v>2593</v>
          </cell>
          <cell r="I4">
            <v>2688</v>
          </cell>
          <cell r="J4">
            <v>2719</v>
          </cell>
          <cell r="K4">
            <v>2812</v>
          </cell>
          <cell r="L4">
            <v>2757</v>
          </cell>
          <cell r="M4">
            <v>2738</v>
          </cell>
          <cell r="N4">
            <v>2639</v>
          </cell>
          <cell r="O4">
            <v>2616</v>
          </cell>
          <cell r="P4">
            <v>2587</v>
          </cell>
          <cell r="Q4">
            <v>2541</v>
          </cell>
          <cell r="R4">
            <v>2566</v>
          </cell>
          <cell r="S4">
            <v>2558</v>
          </cell>
          <cell r="T4">
            <v>2628</v>
          </cell>
          <cell r="U4">
            <v>2625</v>
          </cell>
          <cell r="V4">
            <v>2627</v>
          </cell>
          <cell r="W4">
            <v>2566</v>
          </cell>
          <cell r="X4">
            <v>2492</v>
          </cell>
          <cell r="Y4">
            <v>2441</v>
          </cell>
          <cell r="AA4">
            <v>1157.5460205078125</v>
          </cell>
          <cell r="AB4">
            <v>1137.051025390625</v>
          </cell>
          <cell r="AC4">
            <v>1128.541015625</v>
          </cell>
          <cell r="AD4">
            <v>1118.641845703125</v>
          </cell>
          <cell r="AE4">
            <v>1124.8499755859375</v>
          </cell>
          <cell r="AF4">
            <v>1172.946044921875</v>
          </cell>
          <cell r="AG4">
            <v>1233.636962890625</v>
          </cell>
          <cell r="AH4">
            <v>1265.551025390625</v>
          </cell>
          <cell r="AI4">
            <v>1284.75</v>
          </cell>
          <cell r="AJ4">
            <v>1308.5350341796875</v>
          </cell>
          <cell r="AK4">
            <v>1300.35205078125</v>
          </cell>
          <cell r="AL4">
            <v>1294.85205078125</v>
          </cell>
          <cell r="AM4">
            <v>1263.43896484375</v>
          </cell>
          <cell r="AN4">
            <v>1242.248046875</v>
          </cell>
          <cell r="AO4">
            <v>1215.65185546875</v>
          </cell>
          <cell r="AP4">
            <v>1195.3480224609375</v>
          </cell>
          <cell r="AQ4">
            <v>1193.4410400390625</v>
          </cell>
          <cell r="AR4">
            <v>1222.35302734375</v>
          </cell>
          <cell r="AS4">
            <v>1291.7509765625</v>
          </cell>
          <cell r="AT4">
            <v>1302.3349609375</v>
          </cell>
          <cell r="AU4">
            <v>1273.947998046875</v>
          </cell>
          <cell r="AV4">
            <v>1241.5511474609375</v>
          </cell>
          <cell r="AW4">
            <v>1192.93994140625</v>
          </cell>
          <cell r="AX4">
            <v>1132.7430419921875</v>
          </cell>
        </row>
        <row r="5">
          <cell r="B5">
            <v>2397</v>
          </cell>
          <cell r="C5">
            <v>2434</v>
          </cell>
          <cell r="D5">
            <v>2427</v>
          </cell>
          <cell r="E5">
            <v>2463</v>
          </cell>
          <cell r="F5">
            <v>2495</v>
          </cell>
          <cell r="G5">
            <v>2570</v>
          </cell>
          <cell r="H5">
            <v>2647</v>
          </cell>
          <cell r="I5">
            <v>2777</v>
          </cell>
          <cell r="J5">
            <v>2744</v>
          </cell>
          <cell r="K5">
            <v>2647</v>
          </cell>
          <cell r="L5">
            <v>2439</v>
          </cell>
          <cell r="M5">
            <v>2272</v>
          </cell>
          <cell r="N5">
            <v>2211</v>
          </cell>
          <cell r="O5">
            <v>2131</v>
          </cell>
          <cell r="P5">
            <v>2054</v>
          </cell>
          <cell r="Q5">
            <v>2082</v>
          </cell>
          <cell r="R5">
            <v>2164</v>
          </cell>
          <cell r="S5">
            <v>2337</v>
          </cell>
          <cell r="T5">
            <v>2427</v>
          </cell>
          <cell r="U5">
            <v>2515</v>
          </cell>
          <cell r="V5">
            <v>2539</v>
          </cell>
          <cell r="W5">
            <v>2482</v>
          </cell>
          <cell r="X5">
            <v>2432</v>
          </cell>
          <cell r="Y5">
            <v>2363</v>
          </cell>
          <cell r="AA5">
            <v>1126.6510009765625</v>
          </cell>
          <cell r="AB5">
            <v>1126.8399658203125</v>
          </cell>
          <cell r="AC5">
            <v>1124.6409912109375</v>
          </cell>
          <cell r="AD5">
            <v>1123.9510498046875</v>
          </cell>
          <cell r="AE5">
            <v>1141.739013671875</v>
          </cell>
          <cell r="AF5">
            <v>1162.6409912109375</v>
          </cell>
          <cell r="AG5">
            <v>1198.7509765625</v>
          </cell>
          <cell r="AH5">
            <v>1235.5369873046875</v>
          </cell>
          <cell r="AI5">
            <v>1258.844970703125</v>
          </cell>
          <cell r="AJ5">
            <v>1252.25</v>
          </cell>
          <cell r="AK5">
            <v>1236.14501953125</v>
          </cell>
          <cell r="AL5">
            <v>1209.9429931640625</v>
          </cell>
          <cell r="AM5">
            <v>1203.35302734375</v>
          </cell>
          <cell r="AN5">
            <v>1172.052001953125</v>
          </cell>
          <cell r="AO5">
            <v>1136.8409423828125</v>
          </cell>
          <cell r="AP5">
            <v>1118.4490966796875</v>
          </cell>
          <cell r="AQ5">
            <v>1150.8531494140625</v>
          </cell>
          <cell r="AR5">
            <v>1214.85302734375</v>
          </cell>
          <cell r="AS5">
            <v>1309.0419921875</v>
          </cell>
          <cell r="AT5">
            <v>1308.1419677734375</v>
          </cell>
          <cell r="AU5">
            <v>1283.3509521484375</v>
          </cell>
          <cell r="AV5">
            <v>1247.947998046875</v>
          </cell>
          <cell r="AW5">
            <v>1191.135009765625</v>
          </cell>
          <cell r="AX5">
            <v>1134.8509521484375</v>
          </cell>
        </row>
        <row r="6">
          <cell r="B6">
            <v>2355</v>
          </cell>
          <cell r="C6">
            <v>2397</v>
          </cell>
          <cell r="D6">
            <v>2349</v>
          </cell>
          <cell r="E6">
            <v>2356</v>
          </cell>
          <cell r="F6">
            <v>2378</v>
          </cell>
          <cell r="G6">
            <v>2521</v>
          </cell>
          <cell r="H6">
            <v>2797</v>
          </cell>
          <cell r="I6">
            <v>2944</v>
          </cell>
          <cell r="J6">
            <v>2922</v>
          </cell>
          <cell r="K6">
            <v>2817</v>
          </cell>
          <cell r="L6">
            <v>2751</v>
          </cell>
          <cell r="M6">
            <v>2629</v>
          </cell>
          <cell r="N6">
            <v>2598</v>
          </cell>
          <cell r="O6">
            <v>2560</v>
          </cell>
          <cell r="P6">
            <v>2463</v>
          </cell>
          <cell r="Q6">
            <v>2418</v>
          </cell>
          <cell r="R6">
            <v>2434</v>
          </cell>
          <cell r="S6">
            <v>2496</v>
          </cell>
          <cell r="T6">
            <v>2603</v>
          </cell>
          <cell r="U6">
            <v>2618</v>
          </cell>
          <cell r="V6">
            <v>2604</v>
          </cell>
          <cell r="W6">
            <v>2522</v>
          </cell>
          <cell r="X6">
            <v>2390</v>
          </cell>
          <cell r="Y6">
            <v>2303</v>
          </cell>
          <cell r="AA6">
            <v>1097.0511474609375</v>
          </cell>
          <cell r="AB6">
            <v>1073.7369384765625</v>
          </cell>
          <cell r="AC6">
            <v>1069.5469970703125</v>
          </cell>
          <cell r="AD6">
            <v>1063.151123046875</v>
          </cell>
          <cell r="AE6">
            <v>1091.6429443359375</v>
          </cell>
          <cell r="AF6">
            <v>1165.6114501953125</v>
          </cell>
          <cell r="AG6">
            <v>1265.550048828125</v>
          </cell>
          <cell r="AH6">
            <v>1331.15087890625</v>
          </cell>
          <cell r="AI6">
            <v>1361.3360595703125</v>
          </cell>
          <cell r="AJ6">
            <v>1360.6519775390625</v>
          </cell>
          <cell r="AK6">
            <v>1365.0550537109375</v>
          </cell>
          <cell r="AL6">
            <v>1346.1600341796875</v>
          </cell>
          <cell r="AM6">
            <v>1342.3570556640625</v>
          </cell>
          <cell r="AN6">
            <v>1335.448974609375</v>
          </cell>
          <cell r="AO6">
            <v>1319.1600341796875</v>
          </cell>
          <cell r="AP6">
            <v>1284.162109375</v>
          </cell>
          <cell r="AQ6">
            <v>1274.6600341796875</v>
          </cell>
          <cell r="AR6">
            <v>1296.6611328125</v>
          </cell>
          <cell r="AS6">
            <v>1376.156982421875</v>
          </cell>
          <cell r="AT6">
            <v>1366.14599609375</v>
          </cell>
          <cell r="AU6">
            <v>1322.4591064453125</v>
          </cell>
          <cell r="AV6">
            <v>1264.4588623046875</v>
          </cell>
          <cell r="AW6">
            <v>1206.6590576171875</v>
          </cell>
          <cell r="AX6">
            <v>1135.3590087890625</v>
          </cell>
        </row>
        <row r="7">
          <cell r="B7">
            <v>2226</v>
          </cell>
          <cell r="C7">
            <v>2135</v>
          </cell>
          <cell r="D7">
            <v>2116</v>
          </cell>
          <cell r="E7">
            <v>2132</v>
          </cell>
          <cell r="F7">
            <v>2162</v>
          </cell>
          <cell r="G7">
            <v>2292</v>
          </cell>
          <cell r="H7">
            <v>2486</v>
          </cell>
          <cell r="I7">
            <v>2660</v>
          </cell>
          <cell r="J7">
            <v>2640</v>
          </cell>
          <cell r="K7">
            <v>2657</v>
          </cell>
          <cell r="L7">
            <v>2599</v>
          </cell>
          <cell r="M7">
            <v>2563</v>
          </cell>
          <cell r="N7">
            <v>2544</v>
          </cell>
          <cell r="O7">
            <v>2479</v>
          </cell>
          <cell r="P7">
            <v>2452</v>
          </cell>
          <cell r="Q7">
            <v>2385</v>
          </cell>
          <cell r="R7">
            <v>2383</v>
          </cell>
          <cell r="S7">
            <v>2499</v>
          </cell>
          <cell r="T7">
            <v>2566</v>
          </cell>
          <cell r="U7">
            <v>2578</v>
          </cell>
          <cell r="V7">
            <v>2523</v>
          </cell>
          <cell r="W7">
            <v>2432</v>
          </cell>
          <cell r="X7">
            <v>2323</v>
          </cell>
          <cell r="Y7">
            <v>2174</v>
          </cell>
          <cell r="AA7">
            <v>1096.843017578125</v>
          </cell>
          <cell r="AB7">
            <v>1069.85693359375</v>
          </cell>
          <cell r="AC7">
            <v>1054.5589599609375</v>
          </cell>
          <cell r="AD7">
            <v>1053.6290283203125</v>
          </cell>
          <cell r="AE7">
            <v>1047.0589599609375</v>
          </cell>
          <cell r="AF7">
            <v>1096.347900390625</v>
          </cell>
          <cell r="AG7">
            <v>1210.4520263671875</v>
          </cell>
          <cell r="AH7">
            <v>1248.5589599609375</v>
          </cell>
          <cell r="AI7">
            <v>1268.4599609375</v>
          </cell>
          <cell r="AJ7">
            <v>1293.06005859375</v>
          </cell>
          <cell r="AK7">
            <v>1318.8609619140625</v>
          </cell>
          <cell r="AL7">
            <v>1315.7449951171875</v>
          </cell>
          <cell r="AM7">
            <v>1315.8599853515625</v>
          </cell>
          <cell r="AN7">
            <v>1308.660888671875</v>
          </cell>
          <cell r="AO7">
            <v>1302.16015625</v>
          </cell>
          <cell r="AP7">
            <v>1285.6611328125</v>
          </cell>
          <cell r="AQ7">
            <v>1293.56103515625</v>
          </cell>
          <cell r="AR7">
            <v>1308.66015625</v>
          </cell>
          <cell r="AS7">
            <v>1350.3809814453125</v>
          </cell>
          <cell r="AT7">
            <v>1329.7591552734375</v>
          </cell>
          <cell r="AU7">
            <v>1297.6600341796875</v>
          </cell>
          <cell r="AV7">
            <v>1249.860107421875</v>
          </cell>
          <cell r="AW7">
            <v>1182.5589599609375</v>
          </cell>
          <cell r="AX7">
            <v>1108.1600341796875</v>
          </cell>
        </row>
        <row r="8">
          <cell r="B8">
            <v>2083</v>
          </cell>
          <cell r="C8">
            <v>1999</v>
          </cell>
          <cell r="D8">
            <v>1953.9998779296875</v>
          </cell>
          <cell r="E8">
            <v>1940.0001220703125</v>
          </cell>
          <cell r="F8">
            <v>1951.9998779296875</v>
          </cell>
          <cell r="G8">
            <v>2064</v>
          </cell>
          <cell r="H8">
            <v>2337</v>
          </cell>
          <cell r="I8">
            <v>2499</v>
          </cell>
          <cell r="J8">
            <v>2550</v>
          </cell>
          <cell r="K8">
            <v>2559</v>
          </cell>
          <cell r="L8">
            <v>2603</v>
          </cell>
          <cell r="M8">
            <v>2608</v>
          </cell>
          <cell r="N8">
            <v>2617</v>
          </cell>
          <cell r="O8">
            <v>2586</v>
          </cell>
          <cell r="P8">
            <v>2571</v>
          </cell>
          <cell r="Q8">
            <v>2571</v>
          </cell>
          <cell r="R8">
            <v>2546</v>
          </cell>
          <cell r="S8">
            <v>2668</v>
          </cell>
          <cell r="T8">
            <v>2673</v>
          </cell>
          <cell r="U8">
            <v>2637</v>
          </cell>
          <cell r="V8">
            <v>2579</v>
          </cell>
          <cell r="W8">
            <v>2466</v>
          </cell>
          <cell r="X8">
            <v>2355</v>
          </cell>
          <cell r="Y8">
            <v>2170</v>
          </cell>
          <cell r="AA8">
            <v>1077.8431396484375</v>
          </cell>
          <cell r="AB8">
            <v>1053.0579833984375</v>
          </cell>
          <cell r="AC8">
            <v>1041.3599853515625</v>
          </cell>
          <cell r="AD8">
            <v>1030.4591064453125</v>
          </cell>
          <cell r="AE8">
            <v>1021.7589721679687</v>
          </cell>
          <cell r="AF8">
            <v>1060.5528564453125</v>
          </cell>
          <cell r="AG8">
            <v>1216.6470947265625</v>
          </cell>
          <cell r="AH8">
            <v>1291.159912109375</v>
          </cell>
          <cell r="AI8">
            <v>1300.759033203125</v>
          </cell>
          <cell r="AJ8">
            <v>1319.5589599609375</v>
          </cell>
          <cell r="AK8">
            <v>1346.2601318359375</v>
          </cell>
          <cell r="AL8">
            <v>1353.8441162109375</v>
          </cell>
          <cell r="AM8">
            <v>1345.6600341796875</v>
          </cell>
          <cell r="AN8">
            <v>1348.66015625</v>
          </cell>
          <cell r="AO8">
            <v>1345.130615234375</v>
          </cell>
          <cell r="AP8">
            <v>1334.66015625</v>
          </cell>
          <cell r="AQ8">
            <v>1341.7598876953125</v>
          </cell>
          <cell r="AR8">
            <v>1383.7430419921875</v>
          </cell>
          <cell r="AS8">
            <v>1379.458984375</v>
          </cell>
          <cell r="AT8">
            <v>1365.6600341796875</v>
          </cell>
          <cell r="AU8">
            <v>1339.759033203125</v>
          </cell>
          <cell r="AV8">
            <v>1282.1590576171875</v>
          </cell>
          <cell r="AW8">
            <v>1213.7530517578125</v>
          </cell>
          <cell r="AX8">
            <v>1130.8489990234375</v>
          </cell>
        </row>
        <row r="9">
          <cell r="B9">
            <v>2095</v>
          </cell>
          <cell r="C9">
            <v>2024.9998779296875</v>
          </cell>
          <cell r="D9">
            <v>1996</v>
          </cell>
          <cell r="E9">
            <v>1923.9998779296875</v>
          </cell>
          <cell r="F9">
            <v>1960.9998779296875</v>
          </cell>
          <cell r="G9">
            <v>2082</v>
          </cell>
          <cell r="H9">
            <v>2380</v>
          </cell>
          <cell r="I9">
            <v>2507</v>
          </cell>
          <cell r="J9">
            <v>2507</v>
          </cell>
          <cell r="K9">
            <v>2527</v>
          </cell>
          <cell r="L9">
            <v>2538</v>
          </cell>
          <cell r="M9">
            <v>2592</v>
          </cell>
          <cell r="N9">
            <v>2603</v>
          </cell>
          <cell r="O9">
            <v>2599</v>
          </cell>
          <cell r="P9">
            <v>2547</v>
          </cell>
          <cell r="Q9">
            <v>2621</v>
          </cell>
          <cell r="R9">
            <v>2662</v>
          </cell>
          <cell r="S9">
            <v>2758</v>
          </cell>
          <cell r="T9">
            <v>2796</v>
          </cell>
          <cell r="U9">
            <v>2762</v>
          </cell>
          <cell r="V9">
            <v>2770</v>
          </cell>
          <cell r="W9">
            <v>2669</v>
          </cell>
          <cell r="X9">
            <v>2587</v>
          </cell>
          <cell r="Y9">
            <v>2461</v>
          </cell>
          <cell r="AA9">
            <v>1089.259033203125</v>
          </cell>
          <cell r="AB9">
            <v>1069.5589599609375</v>
          </cell>
          <cell r="AC9">
            <v>1048.6590576171875</v>
          </cell>
          <cell r="AD9">
            <v>1028.3590087890625</v>
          </cell>
          <cell r="AE9">
            <v>1019.4420166015625</v>
          </cell>
          <cell r="AF9">
            <v>1070.95703125</v>
          </cell>
          <cell r="AG9">
            <v>1200.4580078125</v>
          </cell>
          <cell r="AH9">
            <v>1257.8590087890625</v>
          </cell>
          <cell r="AI9">
            <v>1291.8590087890625</v>
          </cell>
          <cell r="AJ9">
            <v>1341.467529296875</v>
          </cell>
          <cell r="AK9">
            <v>1356.5579833984375</v>
          </cell>
          <cell r="AL9">
            <v>1353.360107421875</v>
          </cell>
          <cell r="AM9">
            <v>1374.35302734375</v>
          </cell>
          <cell r="AN9">
            <v>1371.64794921875</v>
          </cell>
          <cell r="AO9">
            <v>1375.337890625</v>
          </cell>
          <cell r="AP9">
            <v>1365.032958984375</v>
          </cell>
          <cell r="AQ9">
            <v>1375.5439453125</v>
          </cell>
          <cell r="AR9">
            <v>1429.5439453125</v>
          </cell>
          <cell r="AS9">
            <v>1461.3428955078125</v>
          </cell>
          <cell r="AT9">
            <v>1457.9420166015625</v>
          </cell>
          <cell r="AU9">
            <v>1417.927001953125</v>
          </cell>
          <cell r="AV9">
            <v>1367.343017578125</v>
          </cell>
          <cell r="AW9">
            <v>1289.64404296875</v>
          </cell>
          <cell r="AX9">
            <v>1220.64306640625</v>
          </cell>
        </row>
        <row r="10">
          <cell r="B10">
            <v>2300</v>
          </cell>
          <cell r="C10">
            <v>2311</v>
          </cell>
          <cell r="D10">
            <v>2228</v>
          </cell>
          <cell r="E10">
            <v>2234</v>
          </cell>
          <cell r="F10">
            <v>2275</v>
          </cell>
          <cell r="G10">
            <v>2404</v>
          </cell>
          <cell r="H10">
            <v>2681</v>
          </cell>
          <cell r="I10">
            <v>2809</v>
          </cell>
          <cell r="J10">
            <v>2824</v>
          </cell>
          <cell r="K10">
            <v>2829</v>
          </cell>
          <cell r="L10">
            <v>2807</v>
          </cell>
          <cell r="M10">
            <v>2778</v>
          </cell>
          <cell r="N10">
            <v>2644</v>
          </cell>
          <cell r="O10">
            <v>2589</v>
          </cell>
          <cell r="P10">
            <v>2516</v>
          </cell>
          <cell r="Q10">
            <v>2434</v>
          </cell>
          <cell r="R10">
            <v>2429</v>
          </cell>
          <cell r="S10">
            <v>2537</v>
          </cell>
          <cell r="T10">
            <v>2704</v>
          </cell>
          <cell r="U10">
            <v>2747</v>
          </cell>
          <cell r="V10">
            <v>2709</v>
          </cell>
          <cell r="W10">
            <v>2683</v>
          </cell>
          <cell r="X10">
            <v>2635</v>
          </cell>
          <cell r="Y10">
            <v>2571</v>
          </cell>
          <cell r="AA10">
            <v>1176.1419677734375</v>
          </cell>
          <cell r="AB10">
            <v>1154.326904296875</v>
          </cell>
          <cell r="AC10">
            <v>1135.7430419921875</v>
          </cell>
          <cell r="AD10">
            <v>1124.2440185546875</v>
          </cell>
          <cell r="AE10">
            <v>1128.1429443359375</v>
          </cell>
          <cell r="AF10">
            <v>1198.8380126953125</v>
          </cell>
          <cell r="AG10">
            <v>1319.131103515625</v>
          </cell>
          <cell r="AH10">
            <v>1380.4439697265625</v>
          </cell>
          <cell r="AI10">
            <v>1387.444091796875</v>
          </cell>
          <cell r="AJ10">
            <v>1387.343994140625</v>
          </cell>
          <cell r="AK10">
            <v>1379.33203125</v>
          </cell>
          <cell r="AL10">
            <v>1363.93994140625</v>
          </cell>
          <cell r="AM10">
            <v>1338.344970703125</v>
          </cell>
          <cell r="AN10">
            <v>1328.3460693359375</v>
          </cell>
          <cell r="AO10">
            <v>1300.74609375</v>
          </cell>
          <cell r="AP10">
            <v>1280.546142578125</v>
          </cell>
          <cell r="AQ10">
            <v>1260.93505859375</v>
          </cell>
          <cell r="AR10">
            <v>1297.739013671875</v>
          </cell>
          <cell r="AS10">
            <v>1370.1429443359375</v>
          </cell>
          <cell r="AT10">
            <v>1363.9429931640625</v>
          </cell>
          <cell r="AU10">
            <v>1342.943115234375</v>
          </cell>
          <cell r="AV10">
            <v>1309.22705078125</v>
          </cell>
          <cell r="AW10">
            <v>1247.5419921875</v>
          </cell>
          <cell r="AX10">
            <v>1200.4429931640625</v>
          </cell>
        </row>
        <row r="11">
          <cell r="B11">
            <v>2518</v>
          </cell>
          <cell r="C11">
            <v>2444</v>
          </cell>
          <cell r="D11">
            <v>2392</v>
          </cell>
          <cell r="E11">
            <v>2395</v>
          </cell>
          <cell r="F11">
            <v>2442</v>
          </cell>
          <cell r="G11">
            <v>2500</v>
          </cell>
          <cell r="H11">
            <v>2565</v>
          </cell>
          <cell r="I11">
            <v>2605</v>
          </cell>
          <cell r="J11">
            <v>2624</v>
          </cell>
          <cell r="K11">
            <v>2627</v>
          </cell>
          <cell r="L11">
            <v>2548</v>
          </cell>
          <cell r="M11">
            <v>2426</v>
          </cell>
          <cell r="N11">
            <v>2352</v>
          </cell>
          <cell r="O11">
            <v>2270</v>
          </cell>
          <cell r="P11">
            <v>2234</v>
          </cell>
          <cell r="Q11">
            <v>2224</v>
          </cell>
          <cell r="R11">
            <v>2217</v>
          </cell>
          <cell r="S11">
            <v>2377</v>
          </cell>
          <cell r="T11">
            <v>2431</v>
          </cell>
          <cell r="U11">
            <v>2393</v>
          </cell>
          <cell r="V11">
            <v>2395</v>
          </cell>
          <cell r="W11">
            <v>2319</v>
          </cell>
          <cell r="X11">
            <v>2218</v>
          </cell>
          <cell r="Y11">
            <v>2177</v>
          </cell>
          <cell r="AA11">
            <v>1158.3428955078125</v>
          </cell>
          <cell r="AB11">
            <v>1133.3280029296875</v>
          </cell>
          <cell r="AC11">
            <v>1148.8399658203125</v>
          </cell>
          <cell r="AD11">
            <v>1131.8431396484375</v>
          </cell>
          <cell r="AE11">
            <v>1129.343994140625</v>
          </cell>
          <cell r="AF11">
            <v>1156.72802734375</v>
          </cell>
          <cell r="AG11">
            <v>1185.5399169921875</v>
          </cell>
          <cell r="AH11">
            <v>1211.343994140625</v>
          </cell>
          <cell r="AI11">
            <v>1244.945068359375</v>
          </cell>
          <cell r="AJ11">
            <v>1264.9410400390625</v>
          </cell>
          <cell r="AK11">
            <v>1262.3321533203125</v>
          </cell>
          <cell r="AL11">
            <v>1241.8441162109375</v>
          </cell>
          <cell r="AM11">
            <v>1199.345947265625</v>
          </cell>
          <cell r="AN11">
            <v>1179.845947265625</v>
          </cell>
          <cell r="AO11">
            <v>1157.1461181640625</v>
          </cell>
          <cell r="AP11">
            <v>1140.7469482421875</v>
          </cell>
          <cell r="AQ11">
            <v>1165.9420166015625</v>
          </cell>
          <cell r="AR11">
            <v>1228.9329833984375</v>
          </cell>
          <cell r="AS11">
            <v>1283.9449462890625</v>
          </cell>
          <cell r="AT11">
            <v>1265.6429443359375</v>
          </cell>
          <cell r="AU11">
            <v>1247.4439697265625</v>
          </cell>
          <cell r="AV11">
            <v>1221.94287109375</v>
          </cell>
          <cell r="AW11">
            <v>1148.531982421875</v>
          </cell>
          <cell r="AX11">
            <v>1075.0389404296875</v>
          </cell>
        </row>
        <row r="12">
          <cell r="B12">
            <v>2116</v>
          </cell>
          <cell r="C12">
            <v>2064</v>
          </cell>
          <cell r="D12">
            <v>2062</v>
          </cell>
          <cell r="E12">
            <v>2055</v>
          </cell>
          <cell r="F12">
            <v>2066</v>
          </cell>
          <cell r="G12">
            <v>2140</v>
          </cell>
          <cell r="H12">
            <v>2236</v>
          </cell>
          <cell r="I12">
            <v>2299</v>
          </cell>
          <cell r="J12">
            <v>2352</v>
          </cell>
          <cell r="K12">
            <v>2280</v>
          </cell>
          <cell r="L12">
            <v>2196</v>
          </cell>
          <cell r="M12">
            <v>2091</v>
          </cell>
          <cell r="N12">
            <v>2079</v>
          </cell>
          <cell r="O12">
            <v>2059</v>
          </cell>
          <cell r="P12">
            <v>1985.0001220703125</v>
          </cell>
          <cell r="Q12">
            <v>2002.9998779296875</v>
          </cell>
          <cell r="R12">
            <v>1955.0001220703125</v>
          </cell>
          <cell r="S12">
            <v>2203</v>
          </cell>
          <cell r="T12">
            <v>2283</v>
          </cell>
          <cell r="U12">
            <v>2346</v>
          </cell>
          <cell r="V12">
            <v>2347</v>
          </cell>
          <cell r="W12">
            <v>2249</v>
          </cell>
          <cell r="X12">
            <v>2232</v>
          </cell>
          <cell r="Y12">
            <v>2170</v>
          </cell>
          <cell r="AA12">
            <v>1050.8428955078125</v>
          </cell>
          <cell r="AB12">
            <v>1039.2440185546875</v>
          </cell>
          <cell r="AC12">
            <v>1029.44091796875</v>
          </cell>
          <cell r="AD12">
            <v>1030.1270751953125</v>
          </cell>
          <cell r="AE12">
            <v>1039.444091796875</v>
          </cell>
          <cell r="AF12">
            <v>1074.04296875</v>
          </cell>
          <cell r="AG12">
            <v>1108.9420166015625</v>
          </cell>
          <cell r="AH12">
            <v>1135.3310546875</v>
          </cell>
          <cell r="AI12">
            <v>1169.64404296875</v>
          </cell>
          <cell r="AJ12">
            <v>1168.0439453125</v>
          </cell>
          <cell r="AK12">
            <v>1175.7449951171875</v>
          </cell>
          <cell r="AL12">
            <v>1133.945068359375</v>
          </cell>
          <cell r="AM12">
            <v>1158.845947265625</v>
          </cell>
          <cell r="AN12">
            <v>1134.532958984375</v>
          </cell>
          <cell r="AO12">
            <v>1123.946044921875</v>
          </cell>
          <cell r="AP12">
            <v>1119.248046875</v>
          </cell>
          <cell r="AQ12">
            <v>1128.4468994140625</v>
          </cell>
          <cell r="AR12">
            <v>1206.14599609375</v>
          </cell>
          <cell r="AS12">
            <v>1285.5450439453125</v>
          </cell>
          <cell r="AT12">
            <v>1290.2330322265625</v>
          </cell>
          <cell r="AU12">
            <v>1278.1358642578125</v>
          </cell>
          <cell r="AV12">
            <v>1233.64404296875</v>
          </cell>
          <cell r="AW12">
            <v>1172.4439697265625</v>
          </cell>
          <cell r="AX12">
            <v>1116.343017578125</v>
          </cell>
        </row>
        <row r="13">
          <cell r="B13">
            <v>2173</v>
          </cell>
          <cell r="C13">
            <v>2137</v>
          </cell>
          <cell r="D13">
            <v>2122</v>
          </cell>
          <cell r="E13">
            <v>2183</v>
          </cell>
          <cell r="F13">
            <v>2269</v>
          </cell>
          <cell r="G13">
            <v>2458</v>
          </cell>
          <cell r="H13">
            <v>2761</v>
          </cell>
          <cell r="I13">
            <v>2894</v>
          </cell>
          <cell r="J13">
            <v>2849</v>
          </cell>
          <cell r="K13">
            <v>2759</v>
          </cell>
          <cell r="L13">
            <v>2664</v>
          </cell>
          <cell r="M13">
            <v>2564</v>
          </cell>
          <cell r="N13">
            <v>2536</v>
          </cell>
          <cell r="O13">
            <v>2493</v>
          </cell>
          <cell r="P13">
            <v>2426</v>
          </cell>
          <cell r="Q13">
            <v>2354</v>
          </cell>
          <cell r="R13">
            <v>2362</v>
          </cell>
          <cell r="S13">
            <v>2469</v>
          </cell>
          <cell r="T13">
            <v>2607</v>
          </cell>
          <cell r="U13">
            <v>2573</v>
          </cell>
          <cell r="V13">
            <v>2587</v>
          </cell>
          <cell r="W13">
            <v>2413</v>
          </cell>
          <cell r="X13">
            <v>2354</v>
          </cell>
          <cell r="Y13">
            <v>2220</v>
          </cell>
          <cell r="AA13">
            <v>1070.4300537109375</v>
          </cell>
          <cell r="AB13">
            <v>1057.239990234375</v>
          </cell>
          <cell r="AC13">
            <v>1045.943115234375</v>
          </cell>
          <cell r="AD13">
            <v>1053.8441162109375</v>
          </cell>
          <cell r="AE13">
            <v>1093.2340087890625</v>
          </cell>
          <cell r="AF13">
            <v>1164.7349853515625</v>
          </cell>
          <cell r="AG13">
            <v>1303.2430419921875</v>
          </cell>
          <cell r="AH13">
            <v>1365.5439453125</v>
          </cell>
          <cell r="AI13">
            <v>1370.737060546875</v>
          </cell>
          <cell r="AJ13">
            <v>1356.136962890625</v>
          </cell>
          <cell r="AK13">
            <v>1349.14501953125</v>
          </cell>
          <cell r="AL13">
            <v>1346.225341796875</v>
          </cell>
          <cell r="AM13">
            <v>1322.85205078125</v>
          </cell>
          <cell r="AN13">
            <v>1317.455078125</v>
          </cell>
          <cell r="AO13">
            <v>1291.6590576171875</v>
          </cell>
          <cell r="AP13">
            <v>1269.9500732421875</v>
          </cell>
          <cell r="AQ13">
            <v>1271.041015625</v>
          </cell>
          <cell r="AR13">
            <v>1311.2349853515625</v>
          </cell>
          <cell r="AS13">
            <v>1395.8460693359375</v>
          </cell>
          <cell r="AT13">
            <v>1371.0469970703125</v>
          </cell>
          <cell r="AU13">
            <v>1350.0458984375</v>
          </cell>
          <cell r="AV13">
            <v>1294.14599609375</v>
          </cell>
          <cell r="AW13">
            <v>1223.7469482421875</v>
          </cell>
          <cell r="AX13">
            <v>1152.0458984375</v>
          </cell>
        </row>
        <row r="14">
          <cell r="B14">
            <v>2155</v>
          </cell>
          <cell r="C14">
            <v>2118</v>
          </cell>
          <cell r="D14">
            <v>2065</v>
          </cell>
          <cell r="E14">
            <v>2047</v>
          </cell>
          <cell r="F14">
            <v>2062</v>
          </cell>
          <cell r="G14">
            <v>2253</v>
          </cell>
          <cell r="H14">
            <v>2446</v>
          </cell>
          <cell r="I14">
            <v>2595</v>
          </cell>
          <cell r="J14">
            <v>2573</v>
          </cell>
          <cell r="K14">
            <v>2534</v>
          </cell>
          <cell r="L14">
            <v>2507</v>
          </cell>
          <cell r="M14">
            <v>2462</v>
          </cell>
          <cell r="N14">
            <v>2467</v>
          </cell>
          <cell r="O14">
            <v>2477</v>
          </cell>
          <cell r="P14">
            <v>2404</v>
          </cell>
          <cell r="Q14">
            <v>2410</v>
          </cell>
          <cell r="R14">
            <v>2451</v>
          </cell>
          <cell r="S14">
            <v>2543</v>
          </cell>
          <cell r="T14">
            <v>2547</v>
          </cell>
          <cell r="U14">
            <v>2568</v>
          </cell>
          <cell r="V14">
            <v>2592</v>
          </cell>
          <cell r="W14">
            <v>2436</v>
          </cell>
          <cell r="X14">
            <v>2312</v>
          </cell>
          <cell r="Y14">
            <v>2259</v>
          </cell>
          <cell r="AA14">
            <v>1097.93408203125</v>
          </cell>
          <cell r="AB14">
            <v>1076.8399658203125</v>
          </cell>
          <cell r="AC14">
            <v>1054.14599609375</v>
          </cell>
          <cell r="AD14">
            <v>1046.0469970703125</v>
          </cell>
          <cell r="AE14">
            <v>1043.446044921875</v>
          </cell>
          <cell r="AF14">
            <v>1099.64697265625</v>
          </cell>
          <cell r="AG14">
            <v>1216.447021484375</v>
          </cell>
          <cell r="AH14">
            <v>1279.14794921875</v>
          </cell>
          <cell r="AI14">
            <v>1269.6380615234375</v>
          </cell>
          <cell r="AJ14">
            <v>1289.3590087890625</v>
          </cell>
          <cell r="AK14">
            <v>1307.240966796875</v>
          </cell>
          <cell r="AL14">
            <v>1312.741943359375</v>
          </cell>
          <cell r="AM14">
            <v>1311.239990234375</v>
          </cell>
          <cell r="AN14">
            <v>1312.5479736328125</v>
          </cell>
          <cell r="AO14">
            <v>1316.248046875</v>
          </cell>
          <cell r="AP14">
            <v>1297.5460205078125</v>
          </cell>
          <cell r="AQ14">
            <v>1306.842041015625</v>
          </cell>
          <cell r="AR14">
            <v>1349.5390625</v>
          </cell>
          <cell r="AS14">
            <v>1378.43701171875</v>
          </cell>
          <cell r="AT14">
            <v>1379.7359619140625</v>
          </cell>
          <cell r="AU14">
            <v>1366.43505859375</v>
          </cell>
          <cell r="AV14">
            <v>1321.1300048828125</v>
          </cell>
          <cell r="AW14">
            <v>1272.6290283203125</v>
          </cell>
          <cell r="AX14">
            <v>1212.7139892578125</v>
          </cell>
        </row>
        <row r="15">
          <cell r="B15">
            <v>2168</v>
          </cell>
          <cell r="C15">
            <v>2157</v>
          </cell>
          <cell r="D15">
            <v>2168</v>
          </cell>
          <cell r="E15">
            <v>2154</v>
          </cell>
          <cell r="F15">
            <v>2177</v>
          </cell>
          <cell r="G15">
            <v>2402</v>
          </cell>
          <cell r="H15">
            <v>2678</v>
          </cell>
          <cell r="I15">
            <v>2852</v>
          </cell>
          <cell r="J15">
            <v>2869</v>
          </cell>
          <cell r="K15">
            <v>2933</v>
          </cell>
          <cell r="L15">
            <v>2952</v>
          </cell>
          <cell r="M15">
            <v>2927</v>
          </cell>
          <cell r="N15">
            <v>2912</v>
          </cell>
          <cell r="O15">
            <v>2840</v>
          </cell>
          <cell r="P15">
            <v>2988</v>
          </cell>
          <cell r="Q15">
            <v>2862</v>
          </cell>
          <cell r="R15">
            <v>2911</v>
          </cell>
          <cell r="S15">
            <v>2985</v>
          </cell>
          <cell r="T15">
            <v>3012</v>
          </cell>
          <cell r="U15">
            <v>3017</v>
          </cell>
          <cell r="V15">
            <v>3002</v>
          </cell>
          <cell r="W15">
            <v>2930</v>
          </cell>
          <cell r="X15">
            <v>2790</v>
          </cell>
          <cell r="Y15">
            <v>2669</v>
          </cell>
          <cell r="AA15">
            <v>1178.4130859375</v>
          </cell>
          <cell r="AB15">
            <v>1153.8131103515625</v>
          </cell>
          <cell r="AC15">
            <v>1152.012939453125</v>
          </cell>
          <cell r="AD15">
            <v>1146.7130126953125</v>
          </cell>
          <cell r="AE15">
            <v>1163.412841796875</v>
          </cell>
          <cell r="AF15">
            <v>1215.31396484375</v>
          </cell>
          <cell r="AG15">
            <v>1327.141845703125</v>
          </cell>
          <cell r="AH15">
            <v>1423.513916015625</v>
          </cell>
          <cell r="AI15">
            <v>1430.0130615234375</v>
          </cell>
          <cell r="AJ15">
            <v>1420.4140625</v>
          </cell>
          <cell r="AK15">
            <v>1441.7139892578125</v>
          </cell>
          <cell r="AL15">
            <v>1441.4140625</v>
          </cell>
          <cell r="AM15">
            <v>1441.9139404296875</v>
          </cell>
          <cell r="AN15">
            <v>1419.512939453125</v>
          </cell>
          <cell r="AO15">
            <v>1417.81494140625</v>
          </cell>
          <cell r="AP15">
            <v>1404.8138427734375</v>
          </cell>
          <cell r="AQ15">
            <v>1430.921142578125</v>
          </cell>
          <cell r="AR15">
            <v>1491.529052734375</v>
          </cell>
          <cell r="AS15">
            <v>1548.213134765625</v>
          </cell>
          <cell r="AT15">
            <v>1548.112060546875</v>
          </cell>
          <cell r="AU15">
            <v>1522.0289306640625</v>
          </cell>
          <cell r="AV15">
            <v>1461.9110107421875</v>
          </cell>
          <cell r="AW15">
            <v>1389.175048828125</v>
          </cell>
          <cell r="AX15">
            <v>1314.6409912109375</v>
          </cell>
        </row>
        <row r="16">
          <cell r="B16">
            <v>2608</v>
          </cell>
          <cell r="C16">
            <v>2511</v>
          </cell>
          <cell r="D16">
            <v>2506</v>
          </cell>
          <cell r="E16">
            <v>2509</v>
          </cell>
          <cell r="F16">
            <v>2498</v>
          </cell>
          <cell r="G16">
            <v>2692</v>
          </cell>
          <cell r="H16">
            <v>2974</v>
          </cell>
          <cell r="I16">
            <v>3107</v>
          </cell>
          <cell r="J16">
            <v>3138</v>
          </cell>
          <cell r="K16">
            <v>3203</v>
          </cell>
          <cell r="L16">
            <v>3259</v>
          </cell>
          <cell r="M16">
            <v>3223</v>
          </cell>
          <cell r="N16">
            <v>3193</v>
          </cell>
          <cell r="O16">
            <v>3239</v>
          </cell>
          <cell r="P16">
            <v>3195</v>
          </cell>
          <cell r="Q16">
            <v>3230</v>
          </cell>
          <cell r="R16">
            <v>3195</v>
          </cell>
          <cell r="S16">
            <v>3314</v>
          </cell>
          <cell r="T16">
            <v>3430</v>
          </cell>
          <cell r="U16">
            <v>3358</v>
          </cell>
          <cell r="V16">
            <v>3311</v>
          </cell>
          <cell r="W16">
            <v>3257</v>
          </cell>
          <cell r="X16">
            <v>3065</v>
          </cell>
          <cell r="Y16">
            <v>2953</v>
          </cell>
          <cell r="AA16">
            <v>1270.31005859375</v>
          </cell>
          <cell r="AB16">
            <v>1221.9110107421875</v>
          </cell>
          <cell r="AC16">
            <v>1213.7109375</v>
          </cell>
          <cell r="AD16">
            <v>1220.2110595703125</v>
          </cell>
          <cell r="AE16">
            <v>1220.5101318359375</v>
          </cell>
          <cell r="AF16">
            <v>1287.7110595703125</v>
          </cell>
          <cell r="AG16">
            <v>1429.211181640625</v>
          </cell>
          <cell r="AH16">
            <v>1517.8109130859375</v>
          </cell>
          <cell r="AI16">
            <v>1511.7110595703125</v>
          </cell>
          <cell r="AJ16">
            <v>1524.61083984375</v>
          </cell>
          <cell r="AK16">
            <v>1547.4129638671875</v>
          </cell>
          <cell r="AL16">
            <v>1547.4119873046875</v>
          </cell>
          <cell r="AM16">
            <v>1522.5130615234375</v>
          </cell>
          <cell r="AN16">
            <v>1522.8564453125</v>
          </cell>
          <cell r="AO16">
            <v>1524.0289306640625</v>
          </cell>
          <cell r="AP16">
            <v>1486.530029296875</v>
          </cell>
          <cell r="AQ16">
            <v>1496.2398681640625</v>
          </cell>
          <cell r="AR16">
            <v>1578.8458251953125</v>
          </cell>
          <cell r="AS16">
            <v>1646.7440185546875</v>
          </cell>
          <cell r="AT16">
            <v>1637.327880859375</v>
          </cell>
          <cell r="AU16">
            <v>1606.9439697265625</v>
          </cell>
          <cell r="AV16">
            <v>1553.8460693359375</v>
          </cell>
          <cell r="AW16">
            <v>1467.1339111328125</v>
          </cell>
          <cell r="AX16">
            <v>1397.6368408203125</v>
          </cell>
        </row>
        <row r="17">
          <cell r="B17">
            <v>2861</v>
          </cell>
          <cell r="C17">
            <v>2840</v>
          </cell>
          <cell r="D17">
            <v>2897</v>
          </cell>
          <cell r="E17">
            <v>2876</v>
          </cell>
          <cell r="F17">
            <v>2896</v>
          </cell>
          <cell r="G17">
            <v>3030</v>
          </cell>
          <cell r="H17">
            <v>3429</v>
          </cell>
          <cell r="I17">
            <v>3574</v>
          </cell>
          <cell r="J17">
            <v>3519</v>
          </cell>
          <cell r="K17">
            <v>3395</v>
          </cell>
          <cell r="L17">
            <v>3269</v>
          </cell>
          <cell r="M17">
            <v>3169</v>
          </cell>
          <cell r="N17">
            <v>3142</v>
          </cell>
          <cell r="O17">
            <v>3093</v>
          </cell>
          <cell r="P17">
            <v>3085</v>
          </cell>
          <cell r="Q17">
            <v>3021</v>
          </cell>
          <cell r="R17">
            <v>3053</v>
          </cell>
          <cell r="S17">
            <v>3132</v>
          </cell>
          <cell r="T17">
            <v>3246</v>
          </cell>
          <cell r="U17">
            <v>3272</v>
          </cell>
          <cell r="V17">
            <v>3329</v>
          </cell>
          <cell r="W17">
            <v>3284</v>
          </cell>
          <cell r="X17">
            <v>3261</v>
          </cell>
          <cell r="Y17">
            <v>3149</v>
          </cell>
          <cell r="AA17">
            <v>1352.3460693359375</v>
          </cell>
          <cell r="AB17">
            <v>1326.135009765625</v>
          </cell>
          <cell r="AC17">
            <v>1314.2794189453125</v>
          </cell>
          <cell r="AD17">
            <v>1311.44482421875</v>
          </cell>
          <cell r="AE17">
            <v>1338.636962890625</v>
          </cell>
          <cell r="AF17">
            <v>1396.635009765625</v>
          </cell>
          <cell r="AG17">
            <v>1536.0450439453125</v>
          </cell>
          <cell r="AH17">
            <v>1594.737060546875</v>
          </cell>
          <cell r="AI17">
            <v>1589.2369384765625</v>
          </cell>
          <cell r="AJ17">
            <v>1562.748046875</v>
          </cell>
          <cell r="AK17">
            <v>1542.1502685546875</v>
          </cell>
          <cell r="AL17">
            <v>1519.448974609375</v>
          </cell>
          <cell r="AM17">
            <v>1493.5340576171875</v>
          </cell>
          <cell r="AN17">
            <v>1479.1490478515625</v>
          </cell>
          <cell r="AO17">
            <v>1447.6500244140625</v>
          </cell>
          <cell r="AP17">
            <v>1417.25</v>
          </cell>
          <cell r="AQ17">
            <v>1412.2498779296875</v>
          </cell>
          <cell r="AR17">
            <v>1478.9420166015625</v>
          </cell>
          <cell r="AS17">
            <v>1552.1390380859375</v>
          </cell>
          <cell r="AT17">
            <v>1548.748046875</v>
          </cell>
          <cell r="AU17">
            <v>1527.548095703125</v>
          </cell>
          <cell r="AV17">
            <v>1498.7479248046875</v>
          </cell>
          <cell r="AW17">
            <v>1435.548095703125</v>
          </cell>
          <cell r="AX17">
            <v>1399.73486328125</v>
          </cell>
        </row>
        <row r="18">
          <cell r="B18">
            <v>3088</v>
          </cell>
          <cell r="C18">
            <v>3044</v>
          </cell>
          <cell r="D18">
            <v>3053</v>
          </cell>
          <cell r="E18">
            <v>3046</v>
          </cell>
          <cell r="F18">
            <v>3083</v>
          </cell>
          <cell r="G18">
            <v>3156</v>
          </cell>
          <cell r="H18">
            <v>3238</v>
          </cell>
          <cell r="I18">
            <v>3315</v>
          </cell>
          <cell r="J18">
            <v>3305</v>
          </cell>
          <cell r="K18">
            <v>3128</v>
          </cell>
          <cell r="L18">
            <v>2995</v>
          </cell>
          <cell r="M18">
            <v>2845</v>
          </cell>
          <cell r="N18">
            <v>2769</v>
          </cell>
          <cell r="O18">
            <v>2643</v>
          </cell>
          <cell r="P18">
            <v>2606</v>
          </cell>
          <cell r="Q18">
            <v>2585</v>
          </cell>
          <cell r="R18">
            <v>2607</v>
          </cell>
          <cell r="S18">
            <v>2765</v>
          </cell>
          <cell r="T18">
            <v>2828</v>
          </cell>
          <cell r="U18">
            <v>2848</v>
          </cell>
          <cell r="V18">
            <v>2792</v>
          </cell>
          <cell r="W18">
            <v>2727</v>
          </cell>
          <cell r="X18">
            <v>2619</v>
          </cell>
          <cell r="Y18">
            <v>2532</v>
          </cell>
          <cell r="AA18">
            <v>1359.154541015625</v>
          </cell>
          <cell r="AB18">
            <v>1317.9471435546875</v>
          </cell>
          <cell r="AC18">
            <v>1323.99462890625</v>
          </cell>
          <cell r="AD18">
            <v>1310.548095703125</v>
          </cell>
          <cell r="AE18">
            <v>1310.843017578125</v>
          </cell>
          <cell r="AF18">
            <v>1328.1351318359375</v>
          </cell>
          <cell r="AG18">
            <v>1374.0478515625</v>
          </cell>
          <cell r="AH18">
            <v>1416.947998046875</v>
          </cell>
          <cell r="AI18">
            <v>1432.84912109375</v>
          </cell>
          <cell r="AJ18">
            <v>1432.848876953125</v>
          </cell>
          <cell r="AK18">
            <v>1409.837890625</v>
          </cell>
          <cell r="AL18">
            <v>1381.945068359375</v>
          </cell>
          <cell r="AM18">
            <v>1352.4510498046875</v>
          </cell>
          <cell r="AN18">
            <v>1304.455078125</v>
          </cell>
          <cell r="AO18">
            <v>1247.555908203125</v>
          </cell>
          <cell r="AP18">
            <v>1264.35498046875</v>
          </cell>
          <cell r="AQ18">
            <v>1302.151123046875</v>
          </cell>
          <cell r="AR18">
            <v>1371.0360107421875</v>
          </cell>
          <cell r="AS18">
            <v>1412.75</v>
          </cell>
          <cell r="AT18">
            <v>1396.6490478515625</v>
          </cell>
          <cell r="AU18">
            <v>1360.6500244140625</v>
          </cell>
          <cell r="AV18">
            <v>1324.4539794921875</v>
          </cell>
          <cell r="AW18">
            <v>1264.1519775390625</v>
          </cell>
          <cell r="AX18">
            <v>1213.14990234375</v>
          </cell>
        </row>
        <row r="19">
          <cell r="B19">
            <v>2495</v>
          </cell>
          <cell r="C19">
            <v>2440</v>
          </cell>
          <cell r="D19">
            <v>2388</v>
          </cell>
          <cell r="E19">
            <v>2384</v>
          </cell>
          <cell r="F19">
            <v>2353</v>
          </cell>
          <cell r="G19">
            <v>2358</v>
          </cell>
          <cell r="H19">
            <v>2425</v>
          </cell>
          <cell r="I19">
            <v>2457</v>
          </cell>
          <cell r="J19">
            <v>2512</v>
          </cell>
          <cell r="K19">
            <v>2537</v>
          </cell>
          <cell r="L19">
            <v>2522</v>
          </cell>
          <cell r="M19">
            <v>2546</v>
          </cell>
          <cell r="N19">
            <v>2572</v>
          </cell>
          <cell r="O19">
            <v>2565</v>
          </cell>
          <cell r="P19">
            <v>2595</v>
          </cell>
          <cell r="Q19">
            <v>2548</v>
          </cell>
          <cell r="R19">
            <v>2629</v>
          </cell>
          <cell r="S19">
            <v>2736</v>
          </cell>
          <cell r="T19">
            <v>2715</v>
          </cell>
          <cell r="U19">
            <v>2687</v>
          </cell>
          <cell r="V19">
            <v>2713</v>
          </cell>
          <cell r="W19">
            <v>2587</v>
          </cell>
          <cell r="X19">
            <v>2504</v>
          </cell>
          <cell r="Y19">
            <v>2418</v>
          </cell>
          <cell r="AA19">
            <v>1154.14013671875</v>
          </cell>
          <cell r="AB19">
            <v>1129.14892578125</v>
          </cell>
          <cell r="AC19">
            <v>1108.652099609375</v>
          </cell>
          <cell r="AD19">
            <v>1099.551025390625</v>
          </cell>
          <cell r="AE19">
            <v>1106.35205078125</v>
          </cell>
          <cell r="AF19">
            <v>1122.1529541015625</v>
          </cell>
          <cell r="AG19">
            <v>1154.2540283203125</v>
          </cell>
          <cell r="AH19">
            <v>1191.140869140625</v>
          </cell>
          <cell r="AI19">
            <v>1230.847900390625</v>
          </cell>
          <cell r="AJ19">
            <v>1250.9539794921875</v>
          </cell>
          <cell r="AK19">
            <v>1278.6519775390625</v>
          </cell>
          <cell r="AL19">
            <v>1299.3551025390625</v>
          </cell>
          <cell r="AM19">
            <v>1309.7491455078125</v>
          </cell>
          <cell r="AN19">
            <v>1301.053955078125</v>
          </cell>
          <cell r="AO19">
            <v>1300.845947265625</v>
          </cell>
          <cell r="AP19">
            <v>1297.0479736328125</v>
          </cell>
          <cell r="AQ19">
            <v>1325.154052734375</v>
          </cell>
          <cell r="AR19">
            <v>1414.9539794921875</v>
          </cell>
          <cell r="AS19">
            <v>1438.6529541015625</v>
          </cell>
          <cell r="AT19">
            <v>1431.7529296875</v>
          </cell>
          <cell r="AU19">
            <v>1408.552978515625</v>
          </cell>
          <cell r="AV19">
            <v>1330.3519287109375</v>
          </cell>
          <cell r="AW19">
            <v>1279.3380126953125</v>
          </cell>
          <cell r="AX19">
            <v>1241.3509521484375</v>
          </cell>
        </row>
        <row r="20">
          <cell r="B20">
            <v>2346</v>
          </cell>
          <cell r="C20">
            <v>2296</v>
          </cell>
          <cell r="D20">
            <v>2348</v>
          </cell>
          <cell r="E20">
            <v>2318</v>
          </cell>
          <cell r="F20">
            <v>2437</v>
          </cell>
          <cell r="G20">
            <v>2597</v>
          </cell>
          <cell r="H20">
            <v>2886</v>
          </cell>
          <cell r="I20">
            <v>3065</v>
          </cell>
          <cell r="J20">
            <v>3204</v>
          </cell>
          <cell r="K20">
            <v>3228</v>
          </cell>
          <cell r="L20">
            <v>3304</v>
          </cell>
          <cell r="M20">
            <v>3297</v>
          </cell>
          <cell r="N20">
            <v>3310</v>
          </cell>
          <cell r="O20">
            <v>3376</v>
          </cell>
          <cell r="P20">
            <v>3427</v>
          </cell>
          <cell r="Q20">
            <v>3463</v>
          </cell>
          <cell r="R20">
            <v>3536.66650390625</v>
          </cell>
          <cell r="S20">
            <v>3623</v>
          </cell>
          <cell r="T20">
            <v>3691.666748046875</v>
          </cell>
          <cell r="U20">
            <v>3698</v>
          </cell>
          <cell r="V20">
            <v>3677.666748046875</v>
          </cell>
          <cell r="W20">
            <v>3586.666748046875</v>
          </cell>
          <cell r="X20">
            <v>3473</v>
          </cell>
          <cell r="Y20">
            <v>3359.666748046875</v>
          </cell>
          <cell r="AA20">
            <v>1204.0489501953125</v>
          </cell>
          <cell r="AB20">
            <v>1197.1510009765625</v>
          </cell>
          <cell r="AC20">
            <v>1191.4510498046875</v>
          </cell>
          <cell r="AD20">
            <v>1203.1480712890625</v>
          </cell>
          <cell r="AE20">
            <v>1240.948974609375</v>
          </cell>
          <cell r="AF20">
            <v>1329.537841796875</v>
          </cell>
          <cell r="AG20">
            <v>1428.3460693359375</v>
          </cell>
          <cell r="AH20">
            <v>1496.5489501953125</v>
          </cell>
          <cell r="AI20">
            <v>1517.2489013671875</v>
          </cell>
          <cell r="AJ20">
            <v>1543.84912109375</v>
          </cell>
          <cell r="AK20">
            <v>1581.448974609375</v>
          </cell>
          <cell r="AL20">
            <v>1582.443115234375</v>
          </cell>
          <cell r="AM20">
            <v>1596.6390380859375</v>
          </cell>
          <cell r="AN20">
            <v>1628.051025390625</v>
          </cell>
          <cell r="AO20">
            <v>1651.7650146484375</v>
          </cell>
          <cell r="AP20">
            <v>1616.8487548828125</v>
          </cell>
          <cell r="AQ20">
            <v>1621.948974609375</v>
          </cell>
          <cell r="AR20">
            <v>1686.23291015625</v>
          </cell>
          <cell r="AS20">
            <v>1756.85498046875</v>
          </cell>
          <cell r="AT20">
            <v>1722.9681396484375</v>
          </cell>
          <cell r="AU20">
            <v>1703.4677734375</v>
          </cell>
          <cell r="AV20">
            <v>1637.067138671875</v>
          </cell>
          <cell r="AW20">
            <v>1575.8648681640625</v>
          </cell>
          <cell r="AX20">
            <v>1497.4659423828125</v>
          </cell>
        </row>
        <row r="21">
          <cell r="B21">
            <v>3337</v>
          </cell>
          <cell r="C21">
            <v>3283.66650390625</v>
          </cell>
          <cell r="D21">
            <v>3286</v>
          </cell>
          <cell r="E21">
            <v>3334.66650390625</v>
          </cell>
          <cell r="F21">
            <v>3361</v>
          </cell>
          <cell r="G21">
            <v>3494.666748046875</v>
          </cell>
          <cell r="H21">
            <v>3773</v>
          </cell>
          <cell r="I21">
            <v>3946.666748046875</v>
          </cell>
          <cell r="J21">
            <v>3915</v>
          </cell>
          <cell r="K21">
            <v>3839.666748046875</v>
          </cell>
          <cell r="L21">
            <v>3758</v>
          </cell>
          <cell r="M21">
            <v>3638</v>
          </cell>
          <cell r="N21">
            <v>3624</v>
          </cell>
          <cell r="O21">
            <v>3552</v>
          </cell>
          <cell r="P21">
            <v>3441</v>
          </cell>
          <cell r="Q21">
            <v>3413</v>
          </cell>
          <cell r="R21">
            <v>3423</v>
          </cell>
          <cell r="S21">
            <v>3675</v>
          </cell>
          <cell r="T21">
            <v>3761</v>
          </cell>
          <cell r="U21">
            <v>3760</v>
          </cell>
          <cell r="V21">
            <v>3820</v>
          </cell>
          <cell r="W21">
            <v>3704</v>
          </cell>
          <cell r="X21">
            <v>3634</v>
          </cell>
          <cell r="Y21">
            <v>3558</v>
          </cell>
          <cell r="AA21">
            <v>1453.96484375</v>
          </cell>
          <cell r="AB21">
            <v>1450.0660400390625</v>
          </cell>
          <cell r="AC21">
            <v>1452.0679931640625</v>
          </cell>
          <cell r="AD21">
            <v>1454.267822265625</v>
          </cell>
          <cell r="AE21">
            <v>1466.2669677734375</v>
          </cell>
          <cell r="AF21">
            <v>1521.06787109375</v>
          </cell>
          <cell r="AG21">
            <v>1661.7708740234375</v>
          </cell>
          <cell r="AH21">
            <v>1716.3729248046875</v>
          </cell>
          <cell r="AI21">
            <v>1696.6700439453125</v>
          </cell>
          <cell r="AJ21">
            <v>1697.9552001953125</v>
          </cell>
          <cell r="AK21">
            <v>1694.6502685546875</v>
          </cell>
          <cell r="AL21">
            <v>1691.2430419921875</v>
          </cell>
          <cell r="AM21">
            <v>1644.641845703125</v>
          </cell>
          <cell r="AN21">
            <v>1638.44091796875</v>
          </cell>
          <cell r="AO21">
            <v>1623.8409423828125</v>
          </cell>
          <cell r="AP21">
            <v>1618.038818359375</v>
          </cell>
          <cell r="AQ21">
            <v>1609.43994140625</v>
          </cell>
          <cell r="AR21">
            <v>1701.2391357421875</v>
          </cell>
          <cell r="AS21">
            <v>1780.4381103515625</v>
          </cell>
          <cell r="AT21">
            <v>1763.937255859375</v>
          </cell>
          <cell r="AU21">
            <v>1743.4290771484375</v>
          </cell>
          <cell r="AV21">
            <v>1694.4210205078125</v>
          </cell>
          <cell r="AW21">
            <v>1620.927001953125</v>
          </cell>
          <cell r="AX21">
            <v>1554.6370849609375</v>
          </cell>
        </row>
        <row r="22">
          <cell r="B22">
            <v>3507</v>
          </cell>
          <cell r="C22">
            <v>3476</v>
          </cell>
          <cell r="D22">
            <v>3496</v>
          </cell>
          <cell r="E22">
            <v>3477</v>
          </cell>
          <cell r="F22">
            <v>3504</v>
          </cell>
          <cell r="G22">
            <v>3663</v>
          </cell>
          <cell r="H22">
            <v>3894</v>
          </cell>
          <cell r="I22">
            <v>3981</v>
          </cell>
          <cell r="J22">
            <v>3845</v>
          </cell>
          <cell r="K22">
            <v>3677</v>
          </cell>
          <cell r="L22">
            <v>3488</v>
          </cell>
          <cell r="M22">
            <v>3333</v>
          </cell>
          <cell r="N22">
            <v>3190</v>
          </cell>
          <cell r="O22">
            <v>3089</v>
          </cell>
          <cell r="P22">
            <v>3001</v>
          </cell>
          <cell r="Q22">
            <v>2927</v>
          </cell>
          <cell r="R22">
            <v>2991</v>
          </cell>
          <cell r="S22">
            <v>3030</v>
          </cell>
          <cell r="T22">
            <v>3195</v>
          </cell>
          <cell r="U22">
            <v>3143</v>
          </cell>
          <cell r="V22">
            <v>3110</v>
          </cell>
          <cell r="W22">
            <v>3006</v>
          </cell>
          <cell r="X22">
            <v>2908</v>
          </cell>
          <cell r="Y22">
            <v>2730</v>
          </cell>
          <cell r="AA22">
            <v>1508.5340576171875</v>
          </cell>
          <cell r="AB22">
            <v>1499.817138671875</v>
          </cell>
          <cell r="AC22">
            <v>1478.718994140625</v>
          </cell>
          <cell r="AD22">
            <v>1478.6148681640625</v>
          </cell>
          <cell r="AE22">
            <v>1491.72412109375</v>
          </cell>
          <cell r="AF22">
            <v>1543.2320556640625</v>
          </cell>
          <cell r="AG22">
            <v>1658.0308837890625</v>
          </cell>
          <cell r="AH22">
            <v>1698.633056640625</v>
          </cell>
          <cell r="AI22">
            <v>1675.0289306640625</v>
          </cell>
          <cell r="AJ22">
            <v>1632.9161376953125</v>
          </cell>
          <cell r="AK22">
            <v>1603.95654296875</v>
          </cell>
          <cell r="AL22">
            <v>1582.0318603515625</v>
          </cell>
          <cell r="AM22">
            <v>1544.8360595703125</v>
          </cell>
          <cell r="AN22">
            <v>1534.13916015625</v>
          </cell>
          <cell r="AO22">
            <v>1513.3399658203125</v>
          </cell>
          <cell r="AP22">
            <v>1478.4400634765625</v>
          </cell>
          <cell r="AQ22">
            <v>1447.640869140625</v>
          </cell>
          <cell r="AR22">
            <v>1516.140869140625</v>
          </cell>
          <cell r="AS22">
            <v>1576.3408203125</v>
          </cell>
          <cell r="AT22">
            <v>1576.0399169921875</v>
          </cell>
          <cell r="AU22">
            <v>1547.238037109375</v>
          </cell>
          <cell r="AV22">
            <v>1500.739013671875</v>
          </cell>
          <cell r="AW22">
            <v>1427.83984375</v>
          </cell>
          <cell r="AX22">
            <v>1347.43994140625</v>
          </cell>
        </row>
        <row r="23">
          <cell r="B23">
            <v>2659</v>
          </cell>
          <cell r="C23">
            <v>2648</v>
          </cell>
          <cell r="D23">
            <v>2590</v>
          </cell>
          <cell r="E23">
            <v>2593</v>
          </cell>
          <cell r="F23">
            <v>2602</v>
          </cell>
          <cell r="G23">
            <v>2822</v>
          </cell>
          <cell r="H23">
            <v>3104</v>
          </cell>
          <cell r="I23">
            <v>3276</v>
          </cell>
          <cell r="J23">
            <v>3276</v>
          </cell>
          <cell r="K23">
            <v>3283</v>
          </cell>
          <cell r="L23">
            <v>3214</v>
          </cell>
          <cell r="M23">
            <v>3141</v>
          </cell>
          <cell r="N23">
            <v>3102</v>
          </cell>
          <cell r="O23">
            <v>2962</v>
          </cell>
          <cell r="P23">
            <v>2943</v>
          </cell>
          <cell r="Q23">
            <v>2848</v>
          </cell>
          <cell r="R23">
            <v>2912</v>
          </cell>
          <cell r="S23">
            <v>3101</v>
          </cell>
          <cell r="T23">
            <v>3250</v>
          </cell>
          <cell r="U23">
            <v>3331</v>
          </cell>
          <cell r="V23">
            <v>3302</v>
          </cell>
          <cell r="W23">
            <v>3235</v>
          </cell>
          <cell r="X23">
            <v>3166</v>
          </cell>
          <cell r="Y23">
            <v>3125</v>
          </cell>
          <cell r="AA23">
            <v>1305.639892578125</v>
          </cell>
          <cell r="AB23">
            <v>1281.3369140625</v>
          </cell>
          <cell r="AC23">
            <v>1277.43798828125</v>
          </cell>
          <cell r="AD23">
            <v>1290.1368408203125</v>
          </cell>
          <cell r="AE23">
            <v>1318.636962890625</v>
          </cell>
          <cell r="AF23">
            <v>1386.93701171875</v>
          </cell>
          <cell r="AG23">
            <v>1528.7330322265625</v>
          </cell>
          <cell r="AH23">
            <v>1597.9200439453125</v>
          </cell>
          <cell r="AI23">
            <v>1578.5311279296875</v>
          </cell>
          <cell r="AJ23">
            <v>1561.43994140625</v>
          </cell>
          <cell r="AK23">
            <v>1569.2509765625</v>
          </cell>
          <cell r="AL23">
            <v>1534.35595703125</v>
          </cell>
          <cell r="AM23">
            <v>1539.0521240234375</v>
          </cell>
          <cell r="AN23">
            <v>1514.9410400390625</v>
          </cell>
          <cell r="AO23">
            <v>1496.3570556640625</v>
          </cell>
          <cell r="AP23">
            <v>1470.0579833984375</v>
          </cell>
          <cell r="AQ23">
            <v>1468.657958984375</v>
          </cell>
          <cell r="AR23">
            <v>1555.656982421875</v>
          </cell>
          <cell r="AS23">
            <v>1633.254150390625</v>
          </cell>
          <cell r="AT23">
            <v>1643.2540283203125</v>
          </cell>
          <cell r="AU23">
            <v>1621.552978515625</v>
          </cell>
          <cell r="AV23">
            <v>1572.947021484375</v>
          </cell>
          <cell r="AW23">
            <v>1523.737060546875</v>
          </cell>
          <cell r="AX23">
            <v>1444.9471435546875</v>
          </cell>
        </row>
        <row r="24">
          <cell r="B24">
            <v>3077</v>
          </cell>
          <cell r="C24">
            <v>3006</v>
          </cell>
          <cell r="D24">
            <v>3052</v>
          </cell>
          <cell r="E24">
            <v>3051</v>
          </cell>
          <cell r="F24">
            <v>3106</v>
          </cell>
          <cell r="G24">
            <v>3349</v>
          </cell>
          <cell r="H24">
            <v>3637</v>
          </cell>
          <cell r="I24">
            <v>3778</v>
          </cell>
          <cell r="J24">
            <v>3699</v>
          </cell>
          <cell r="K24">
            <v>3492</v>
          </cell>
          <cell r="L24">
            <v>3334</v>
          </cell>
          <cell r="M24">
            <v>3160</v>
          </cell>
          <cell r="N24">
            <v>3049</v>
          </cell>
          <cell r="O24">
            <v>2945</v>
          </cell>
          <cell r="P24">
            <v>2840</v>
          </cell>
          <cell r="Q24">
            <v>2793</v>
          </cell>
          <cell r="R24">
            <v>2776</v>
          </cell>
          <cell r="S24">
            <v>2908</v>
          </cell>
          <cell r="T24">
            <v>3046</v>
          </cell>
          <cell r="U24">
            <v>3126</v>
          </cell>
          <cell r="V24">
            <v>3155</v>
          </cell>
          <cell r="W24">
            <v>3108</v>
          </cell>
          <cell r="X24">
            <v>2992</v>
          </cell>
          <cell r="Y24">
            <v>2899</v>
          </cell>
          <cell r="AA24">
            <v>1405.25</v>
          </cell>
          <cell r="AB24">
            <v>1389.2501220703125</v>
          </cell>
          <cell r="AC24">
            <v>1384.751953125</v>
          </cell>
          <cell r="AD24">
            <v>1390.1500244140625</v>
          </cell>
          <cell r="AE24">
            <v>1409.8470458984375</v>
          </cell>
          <cell r="AF24">
            <v>1472.0361328125</v>
          </cell>
          <cell r="AG24">
            <v>1602.9510498046875</v>
          </cell>
          <cell r="AH24">
            <v>1679.7509765625</v>
          </cell>
          <cell r="AI24">
            <v>1660.3511962890625</v>
          </cell>
          <cell r="AJ24">
            <v>1607.4521484375</v>
          </cell>
          <cell r="AK24">
            <v>1592.257080078125</v>
          </cell>
          <cell r="AL24">
            <v>1557.2510986328125</v>
          </cell>
          <cell r="AM24">
            <v>1511.1480712890625</v>
          </cell>
          <cell r="AN24">
            <v>1477.057861328125</v>
          </cell>
          <cell r="AO24">
            <v>1444.2579345703125</v>
          </cell>
          <cell r="AP24">
            <v>1427.9580078125</v>
          </cell>
          <cell r="AQ24">
            <v>1409.358154296875</v>
          </cell>
          <cell r="AR24">
            <v>1473.8541259765625</v>
          </cell>
          <cell r="AS24">
            <v>1545.9571533203125</v>
          </cell>
          <cell r="AT24">
            <v>1541.9459228515625</v>
          </cell>
          <cell r="AU24">
            <v>1518.0478515625</v>
          </cell>
          <cell r="AV24">
            <v>1477.05615234375</v>
          </cell>
          <cell r="AW24">
            <v>1422.156005859375</v>
          </cell>
          <cell r="AX24">
            <v>1351.156005859375</v>
          </cell>
        </row>
        <row r="25">
          <cell r="B25">
            <v>2762</v>
          </cell>
          <cell r="C25">
            <v>2712</v>
          </cell>
          <cell r="D25">
            <v>2607</v>
          </cell>
          <cell r="E25">
            <v>2567</v>
          </cell>
          <cell r="F25">
            <v>2571</v>
          </cell>
          <cell r="G25">
            <v>2648</v>
          </cell>
          <cell r="H25">
            <v>2720</v>
          </cell>
          <cell r="I25">
            <v>2753</v>
          </cell>
          <cell r="J25">
            <v>2828</v>
          </cell>
          <cell r="K25">
            <v>2811</v>
          </cell>
          <cell r="L25">
            <v>2715</v>
          </cell>
          <cell r="M25">
            <v>2596</v>
          </cell>
          <cell r="N25">
            <v>2492</v>
          </cell>
          <cell r="O25">
            <v>2415</v>
          </cell>
          <cell r="P25">
            <v>2323</v>
          </cell>
          <cell r="Q25">
            <v>2303</v>
          </cell>
          <cell r="R25">
            <v>2222</v>
          </cell>
          <cell r="S25">
            <v>2383</v>
          </cell>
          <cell r="T25">
            <v>2487</v>
          </cell>
          <cell r="U25">
            <v>2467</v>
          </cell>
          <cell r="V25">
            <v>2486</v>
          </cell>
          <cell r="W25">
            <v>2397</v>
          </cell>
          <cell r="X25">
            <v>2307</v>
          </cell>
          <cell r="Y25">
            <v>2295</v>
          </cell>
          <cell r="AA25">
            <v>1298.156982421875</v>
          </cell>
          <cell r="AB25">
            <v>1261.5570068359375</v>
          </cell>
          <cell r="AC25">
            <v>1224.2569580078125</v>
          </cell>
          <cell r="AD25">
            <v>1211.1412353515625</v>
          </cell>
          <cell r="AE25">
            <v>1196.255126953125</v>
          </cell>
          <cell r="AF25">
            <v>1214.6561279296875</v>
          </cell>
          <cell r="AG25">
            <v>1257.156982421875</v>
          </cell>
          <cell r="AH25">
            <v>1294.7569580078125</v>
          </cell>
          <cell r="AI25">
            <v>1321.259033203125</v>
          </cell>
          <cell r="AJ25">
            <v>1341.95703125</v>
          </cell>
          <cell r="AK25">
            <v>1337.3570556640625</v>
          </cell>
          <cell r="AL25">
            <v>1298.2469482421875</v>
          </cell>
          <cell r="AM25">
            <v>1251.6529541015625</v>
          </cell>
          <cell r="AN25">
            <v>1228.8580322265625</v>
          </cell>
          <cell r="AO25">
            <v>1207.2598876953125</v>
          </cell>
          <cell r="AP25">
            <v>1205.758056640625</v>
          </cell>
          <cell r="AQ25">
            <v>1203.9580078125</v>
          </cell>
          <cell r="AR25">
            <v>1263.1590576171875</v>
          </cell>
          <cell r="AS25">
            <v>1297.16015625</v>
          </cell>
          <cell r="AT25">
            <v>1297.3609619140625</v>
          </cell>
          <cell r="AU25">
            <v>1264.1519775390625</v>
          </cell>
          <cell r="AV25">
            <v>1236.650146484375</v>
          </cell>
          <cell r="AW25">
            <v>1170.3590087890625</v>
          </cell>
          <cell r="AX25">
            <v>1114.3599853515625</v>
          </cell>
        </row>
        <row r="26">
          <cell r="B26">
            <v>2169</v>
          </cell>
          <cell r="C26">
            <v>2139</v>
          </cell>
          <cell r="D26">
            <v>2080</v>
          </cell>
          <cell r="E26">
            <v>2057</v>
          </cell>
          <cell r="F26">
            <v>2029</v>
          </cell>
          <cell r="G26">
            <v>2086</v>
          </cell>
          <cell r="H26">
            <v>2160</v>
          </cell>
          <cell r="I26">
            <v>2156</v>
          </cell>
          <cell r="J26">
            <v>2286</v>
          </cell>
          <cell r="K26">
            <v>2269</v>
          </cell>
          <cell r="L26">
            <v>2287</v>
          </cell>
          <cell r="M26">
            <v>2197</v>
          </cell>
          <cell r="N26">
            <v>2274</v>
          </cell>
          <cell r="O26">
            <v>2263</v>
          </cell>
          <cell r="P26">
            <v>2256</v>
          </cell>
          <cell r="Q26">
            <v>2249</v>
          </cell>
          <cell r="R26">
            <v>2314</v>
          </cell>
          <cell r="S26">
            <v>2412</v>
          </cell>
          <cell r="T26">
            <v>2432</v>
          </cell>
          <cell r="U26">
            <v>2399</v>
          </cell>
          <cell r="V26">
            <v>2318</v>
          </cell>
          <cell r="W26">
            <v>2201</v>
          </cell>
          <cell r="X26">
            <v>2114</v>
          </cell>
          <cell r="Y26">
            <v>2000</v>
          </cell>
          <cell r="AA26">
            <v>1062.760986328125</v>
          </cell>
          <cell r="AB26">
            <v>1028.1590576171875</v>
          </cell>
          <cell r="AC26">
            <v>973.0579833984375</v>
          </cell>
          <cell r="AD26">
            <v>964.45697021484375</v>
          </cell>
          <cell r="AE26">
            <v>976.0570068359375</v>
          </cell>
          <cell r="AF26">
            <v>995.655029296875</v>
          </cell>
          <cell r="AG26">
            <v>1041.54296875</v>
          </cell>
          <cell r="AH26">
            <v>1103.5589599609375</v>
          </cell>
          <cell r="AI26">
            <v>1126.8609619140625</v>
          </cell>
          <cell r="AJ26">
            <v>1175.3609619140625</v>
          </cell>
          <cell r="AK26">
            <v>1189.261962890625</v>
          </cell>
          <cell r="AL26">
            <v>1205.458984375</v>
          </cell>
          <cell r="AM26">
            <v>1218.657958984375</v>
          </cell>
          <cell r="AN26">
            <v>1225.759033203125</v>
          </cell>
          <cell r="AO26">
            <v>1223.759033203125</v>
          </cell>
          <cell r="AP26">
            <v>1236.15087890625</v>
          </cell>
          <cell r="AQ26">
            <v>1270.3509521484375</v>
          </cell>
          <cell r="AR26">
            <v>1349.6600341796875</v>
          </cell>
          <cell r="AS26">
            <v>1362.6590576171875</v>
          </cell>
          <cell r="AT26">
            <v>1350.4530029296875</v>
          </cell>
          <cell r="AU26">
            <v>1304.7430419921875</v>
          </cell>
          <cell r="AV26">
            <v>1258.7569580078125</v>
          </cell>
          <cell r="AW26">
            <v>1193.95703125</v>
          </cell>
          <cell r="AX26">
            <v>1121.2490234375</v>
          </cell>
        </row>
        <row r="27">
          <cell r="B27">
            <v>1911</v>
          </cell>
          <cell r="C27">
            <v>1851.9998779296875</v>
          </cell>
          <cell r="D27">
            <v>1869</v>
          </cell>
          <cell r="E27">
            <v>1834.9998779296875</v>
          </cell>
          <cell r="F27">
            <v>1926.9998779296875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A27">
            <v>1071.9560546875</v>
          </cell>
          <cell r="AB27">
            <v>1031.4580078125</v>
          </cell>
          <cell r="AC27">
            <v>1020.7579956054687</v>
          </cell>
          <cell r="AD27">
            <v>1022.0570068359375</v>
          </cell>
          <cell r="AE27">
            <v>1048.8580322265625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R82"/>
  <sheetViews>
    <sheetView zoomScale="90" zoomScaleNormal="90" workbookViewId="0">
      <pane xSplit="1" ySplit="5" topLeftCell="J6" activePane="bottomRight" state="frozen"/>
      <selection activeCell="M28" sqref="M28"/>
      <selection pane="topRight" activeCell="M28" sqref="M28"/>
      <selection pane="bottomLeft" activeCell="M28" sqref="M28"/>
      <selection pane="bottomRight" activeCell="O23" sqref="O23"/>
    </sheetView>
  </sheetViews>
  <sheetFormatPr defaultRowHeight="12.75"/>
  <cols>
    <col min="1" max="1" width="12.5703125" style="62" customWidth="1"/>
    <col min="2" max="2" width="19.140625" style="40" customWidth="1"/>
    <col min="3" max="3" width="22.28515625" style="40" customWidth="1"/>
    <col min="4" max="4" width="24.85546875" style="40" customWidth="1"/>
    <col min="5" max="5" width="23.140625" style="40" customWidth="1"/>
    <col min="6" max="6" width="22.5703125" style="40" customWidth="1"/>
    <col min="7" max="7" width="23.85546875" style="40" customWidth="1"/>
    <col min="8" max="8" width="21.85546875" style="40" customWidth="1"/>
    <col min="9" max="9" width="26" style="40" customWidth="1"/>
    <col min="10" max="11" width="21.7109375" style="40" customWidth="1"/>
    <col min="12" max="12" width="29.28515625" style="40" customWidth="1"/>
    <col min="13" max="13" width="23.85546875" style="45" customWidth="1"/>
    <col min="14" max="14" width="23.5703125" style="45" customWidth="1"/>
    <col min="15" max="15" width="19.28515625" style="45" customWidth="1"/>
    <col min="16" max="16" width="19.140625" style="45" customWidth="1"/>
    <col min="17" max="17" width="17.140625" style="46" customWidth="1"/>
    <col min="18" max="18" width="17.140625" style="46" bestFit="1" customWidth="1"/>
    <col min="19" max="19" width="20.140625" style="46" customWidth="1"/>
    <col min="20" max="20" width="23.5703125" style="46" customWidth="1"/>
    <col min="21" max="22" width="18.7109375" style="46" customWidth="1"/>
    <col min="23" max="24" width="21.85546875" style="40" customWidth="1"/>
    <col min="25" max="25" width="22.28515625" style="40" bestFit="1" customWidth="1"/>
    <col min="26" max="26" width="19.7109375" style="40" customWidth="1"/>
    <col min="27" max="27" width="19.42578125" customWidth="1"/>
    <col min="28" max="28" width="23.7109375" customWidth="1"/>
    <col min="29" max="30" width="22.28515625" bestFit="1" customWidth="1"/>
    <col min="31" max="31" width="22.28515625" customWidth="1"/>
    <col min="32" max="32" width="13.5703125" bestFit="1" customWidth="1"/>
    <col min="33" max="33" width="22.85546875" bestFit="1" customWidth="1"/>
    <col min="34" max="34" width="8.7109375" bestFit="1" customWidth="1"/>
    <col min="39" max="39" width="10.5703125" bestFit="1" customWidth="1"/>
  </cols>
  <sheetData>
    <row r="1" spans="1:31">
      <c r="A1" s="33"/>
      <c r="F1" s="34"/>
      <c r="G1" s="34"/>
      <c r="H1" s="34"/>
      <c r="I1" s="34"/>
      <c r="J1" s="35"/>
      <c r="K1" s="30"/>
      <c r="L1" s="30"/>
      <c r="M1" s="30"/>
      <c r="N1" s="36"/>
      <c r="O1" s="36"/>
      <c r="P1" s="37"/>
      <c r="Q1" s="690" t="s">
        <v>56</v>
      </c>
      <c r="R1" s="691"/>
      <c r="S1" s="691"/>
      <c r="T1" s="38"/>
      <c r="U1" s="38"/>
      <c r="V1" s="38"/>
      <c r="W1" s="38"/>
      <c r="X1" s="38"/>
      <c r="Y1" s="38"/>
      <c r="Z1" s="38"/>
      <c r="AA1" s="39"/>
      <c r="AB1" s="40"/>
      <c r="AC1" s="40"/>
      <c r="AD1" s="40"/>
      <c r="AE1" s="40"/>
    </row>
    <row r="2" spans="1:31">
      <c r="A2" s="41">
        <f>44794*2</f>
        <v>89588</v>
      </c>
      <c r="F2" s="42"/>
      <c r="G2" s="43"/>
      <c r="H2" s="43"/>
      <c r="I2" s="43"/>
      <c r="J2" s="31"/>
      <c r="K2" s="30"/>
      <c r="L2" s="30"/>
      <c r="M2" s="36"/>
      <c r="N2" s="36"/>
      <c r="O2" s="36"/>
      <c r="P2" s="36"/>
      <c r="Q2" s="36"/>
      <c r="R2" s="36"/>
      <c r="S2" s="38"/>
      <c r="T2" s="38"/>
      <c r="U2" s="38"/>
      <c r="V2" s="38"/>
      <c r="W2" s="38"/>
      <c r="X2" s="38"/>
      <c r="Y2" s="38"/>
      <c r="Z2" s="39"/>
      <c r="AA2" s="40"/>
      <c r="AB2" s="40"/>
    </row>
    <row r="3" spans="1:31" ht="16.5" customHeight="1">
      <c r="A3" s="44"/>
      <c r="B3" s="681" t="s">
        <v>101</v>
      </c>
      <c r="C3" s="681"/>
      <c r="D3" s="681"/>
      <c r="E3" s="681"/>
      <c r="F3" s="681"/>
      <c r="G3" s="31"/>
      <c r="H3" s="31"/>
      <c r="I3" s="31"/>
      <c r="J3" s="31"/>
      <c r="K3" s="46"/>
      <c r="L3" s="46"/>
      <c r="M3" s="46"/>
      <c r="N3" s="46"/>
      <c r="O3" s="46"/>
      <c r="P3" s="46"/>
      <c r="R3" s="39"/>
      <c r="S3" s="40"/>
      <c r="T3" s="40"/>
      <c r="U3"/>
      <c r="V3"/>
      <c r="W3"/>
      <c r="X3"/>
      <c r="Y3"/>
      <c r="Z3"/>
    </row>
    <row r="4" spans="1:31">
      <c r="A4" s="44"/>
      <c r="B4" s="685"/>
      <c r="C4" s="685"/>
      <c r="D4" s="685"/>
      <c r="E4" s="27"/>
      <c r="F4" s="27"/>
      <c r="G4" s="27" t="s">
        <v>45</v>
      </c>
      <c r="H4" s="27" t="s">
        <v>46</v>
      </c>
      <c r="I4" s="27" t="s">
        <v>182</v>
      </c>
      <c r="J4" s="27" t="s">
        <v>134</v>
      </c>
      <c r="K4" s="27" t="s">
        <v>154</v>
      </c>
      <c r="L4" s="27" t="s">
        <v>102</v>
      </c>
      <c r="M4" s="27" t="s">
        <v>137</v>
      </c>
      <c r="N4" s="27" t="s">
        <v>205</v>
      </c>
      <c r="O4" s="27" t="s">
        <v>203</v>
      </c>
      <c r="P4" s="48" t="s">
        <v>51</v>
      </c>
      <c r="Q4" s="48"/>
      <c r="R4" s="48"/>
      <c r="S4" s="48"/>
      <c r="T4" s="142" t="s">
        <v>58</v>
      </c>
      <c r="U4" s="27" t="s">
        <v>59</v>
      </c>
      <c r="V4" s="27" t="s">
        <v>59</v>
      </c>
      <c r="W4" s="48" t="s">
        <v>169</v>
      </c>
      <c r="X4" s="48" t="s">
        <v>135</v>
      </c>
      <c r="Y4" s="48" t="s">
        <v>60</v>
      </c>
      <c r="Z4" s="692" t="s">
        <v>151</v>
      </c>
      <c r="AA4" s="692"/>
      <c r="AB4" s="60"/>
      <c r="AC4" s="187" t="s">
        <v>116</v>
      </c>
      <c r="AD4" s="187" t="s">
        <v>116</v>
      </c>
      <c r="AE4" s="187"/>
    </row>
    <row r="5" spans="1:31">
      <c r="A5" s="44"/>
      <c r="B5" s="27" t="s">
        <v>103</v>
      </c>
      <c r="C5" s="27" t="s">
        <v>69</v>
      </c>
      <c r="D5" s="27" t="s">
        <v>149</v>
      </c>
      <c r="E5" s="27" t="s">
        <v>152</v>
      </c>
      <c r="F5" s="27" t="s">
        <v>136</v>
      </c>
      <c r="G5" s="27" t="s">
        <v>22</v>
      </c>
      <c r="H5" s="27" t="s">
        <v>54</v>
      </c>
      <c r="I5" s="27"/>
      <c r="J5" s="27" t="s">
        <v>55</v>
      </c>
      <c r="K5" s="27" t="s">
        <v>55</v>
      </c>
      <c r="L5" s="27" t="s">
        <v>24</v>
      </c>
      <c r="M5" s="27" t="s">
        <v>138</v>
      </c>
      <c r="N5" s="27" t="s">
        <v>206</v>
      </c>
      <c r="O5" s="27" t="s">
        <v>204</v>
      </c>
      <c r="P5" s="48" t="s">
        <v>183</v>
      </c>
      <c r="Q5" s="48" t="s">
        <v>129</v>
      </c>
      <c r="R5" s="48"/>
      <c r="S5" s="48"/>
      <c r="T5" s="47" t="s">
        <v>63</v>
      </c>
      <c r="U5" s="27" t="s">
        <v>64</v>
      </c>
      <c r="V5" s="27" t="s">
        <v>65</v>
      </c>
      <c r="W5" s="247" t="s">
        <v>170</v>
      </c>
      <c r="X5" s="247" t="s">
        <v>86</v>
      </c>
      <c r="Y5" s="140" t="s">
        <v>24</v>
      </c>
      <c r="Z5" s="48" t="s">
        <v>24</v>
      </c>
      <c r="AA5" s="48" t="s">
        <v>66</v>
      </c>
      <c r="AB5" s="48" t="s">
        <v>155</v>
      </c>
      <c r="AC5" s="188" t="s">
        <v>124</v>
      </c>
      <c r="AD5" s="188" t="s">
        <v>125</v>
      </c>
      <c r="AE5" s="602"/>
    </row>
    <row r="6" spans="1:31" s="66" customFormat="1">
      <c r="A6" s="44" t="s">
        <v>6</v>
      </c>
      <c r="B6" s="177">
        <v>87691</v>
      </c>
      <c r="C6" s="178">
        <f>B6-D6</f>
        <v>87691</v>
      </c>
      <c r="D6" s="177">
        <v>0</v>
      </c>
      <c r="E6" s="177"/>
      <c r="F6" s="177">
        <v>0</v>
      </c>
      <c r="G6" s="179">
        <v>9979556</v>
      </c>
      <c r="H6" s="180">
        <v>0</v>
      </c>
      <c r="I6" s="179">
        <v>807917</v>
      </c>
      <c r="J6" s="181"/>
      <c r="K6" s="181">
        <v>44.691605672461115</v>
      </c>
      <c r="L6" s="224"/>
      <c r="M6" s="224">
        <v>0</v>
      </c>
      <c r="N6" s="225">
        <v>0</v>
      </c>
      <c r="O6" s="225">
        <f>G6-H6-I6+N6-Q6-W6-X6-Y6-Z6+AB6</f>
        <v>4891421.7573339995</v>
      </c>
      <c r="P6" s="224">
        <v>320384</v>
      </c>
      <c r="Q6" s="226">
        <f t="shared" ref="Q6:Q17" si="0">L6+P6</f>
        <v>320384</v>
      </c>
      <c r="R6" s="52"/>
      <c r="S6" s="27" t="s">
        <v>6</v>
      </c>
      <c r="T6" s="238">
        <f t="shared" ref="T6:T17" si="1">B6</f>
        <v>87691</v>
      </c>
      <c r="U6" s="242">
        <f>C6-SUM(C27-G27)</f>
        <v>87440</v>
      </c>
      <c r="V6" s="239">
        <f t="shared" ref="V6:V17" si="2">B27-G27</f>
        <v>251</v>
      </c>
      <c r="W6" s="283">
        <v>31804</v>
      </c>
      <c r="X6" s="242">
        <f>(U6*K6)</f>
        <v>3907834</v>
      </c>
      <c r="Y6" s="240">
        <f>F27-H27</f>
        <v>20195.242666000966</v>
      </c>
      <c r="Z6" s="255">
        <v>0</v>
      </c>
      <c r="AA6" s="265">
        <v>0</v>
      </c>
      <c r="AB6" s="273">
        <v>0</v>
      </c>
      <c r="AC6" s="189">
        <f>(G6+AB6-I6-Z6-(P6+L6))/(U6+(V6-AA6))</f>
        <v>100.93686923401489</v>
      </c>
      <c r="AD6" s="190">
        <f>(G6-K6-M6)/(C6+E6)</f>
        <v>113.803141809243</v>
      </c>
      <c r="AE6" s="190"/>
    </row>
    <row r="7" spans="1:31" s="66" customFormat="1">
      <c r="A7" s="44" t="s">
        <v>7</v>
      </c>
      <c r="B7" s="177">
        <v>76849</v>
      </c>
      <c r="C7" s="178">
        <f>B7-D7</f>
        <v>76849</v>
      </c>
      <c r="D7" s="177"/>
      <c r="E7" s="177"/>
      <c r="F7" s="177"/>
      <c r="G7" s="179">
        <v>4932248</v>
      </c>
      <c r="H7" s="180"/>
      <c r="I7" s="179">
        <v>122651</v>
      </c>
      <c r="J7" s="181"/>
      <c r="K7" s="181">
        <v>37.694369169836882</v>
      </c>
      <c r="L7" s="224"/>
      <c r="M7" s="224"/>
      <c r="N7" s="225">
        <v>0</v>
      </c>
      <c r="O7" s="225">
        <f t="shared" ref="O7:O17" si="3">G7-H7-I7+N7-Q7-W7-X7-Y7-Z7+AB7</f>
        <v>1557374.0000000005</v>
      </c>
      <c r="P7" s="224">
        <v>280137</v>
      </c>
      <c r="Q7" s="226">
        <f t="shared" si="0"/>
        <v>280137</v>
      </c>
      <c r="R7" s="52"/>
      <c r="S7" s="154" t="s">
        <v>7</v>
      </c>
      <c r="T7" s="241">
        <f t="shared" si="1"/>
        <v>76849</v>
      </c>
      <c r="U7" s="242">
        <f t="shared" ref="U7:U17" si="4">C7-SUM(C28-G28)</f>
        <v>76756</v>
      </c>
      <c r="V7" s="242">
        <f t="shared" si="2"/>
        <v>93</v>
      </c>
      <c r="W7" s="321">
        <v>49705</v>
      </c>
      <c r="X7" s="242">
        <f t="shared" ref="X7:X17" si="5">(U7*K7)</f>
        <v>2893268.9999999995</v>
      </c>
      <c r="Y7" s="243">
        <f>F28-H28</f>
        <v>29112</v>
      </c>
      <c r="Z7" s="256">
        <v>0</v>
      </c>
      <c r="AA7" s="266">
        <f>D7</f>
        <v>0</v>
      </c>
      <c r="AB7" s="274"/>
      <c r="AC7" s="189">
        <f t="shared" ref="AC7:AC17" si="6">(G7+AB7-I7-Z7-(P7+L7))/(U7+(V7-AA7))</f>
        <v>58.939738968626784</v>
      </c>
      <c r="AD7" s="190">
        <f>(G7-K7-M7)/(C7+E7)</f>
        <v>64.180539833060024</v>
      </c>
      <c r="AE7" s="190"/>
    </row>
    <row r="8" spans="1:31" s="66" customFormat="1">
      <c r="A8" s="44" t="s">
        <v>8</v>
      </c>
      <c r="B8" s="177">
        <v>53421</v>
      </c>
      <c r="C8" s="178">
        <f t="shared" ref="C8:C17" si="7">B8-D8</f>
        <v>53421</v>
      </c>
      <c r="D8" s="177"/>
      <c r="E8" s="177"/>
      <c r="F8" s="177"/>
      <c r="G8" s="179">
        <v>4282422</v>
      </c>
      <c r="H8" s="180"/>
      <c r="I8" s="179">
        <v>345188</v>
      </c>
      <c r="J8" s="181"/>
      <c r="K8" s="181">
        <v>41.151899999999998</v>
      </c>
      <c r="L8" s="224"/>
      <c r="M8" s="224"/>
      <c r="N8" s="225">
        <v>0</v>
      </c>
      <c r="O8" s="225">
        <f t="shared" si="3"/>
        <v>1545740.8186000013</v>
      </c>
      <c r="P8" s="224">
        <v>193991</v>
      </c>
      <c r="Q8" s="226">
        <f t="shared" si="0"/>
        <v>193991</v>
      </c>
      <c r="R8" s="52"/>
      <c r="S8" s="27" t="s">
        <v>8</v>
      </c>
      <c r="T8" s="241">
        <f t="shared" si="1"/>
        <v>53421</v>
      </c>
      <c r="U8" s="242">
        <f t="shared" si="4"/>
        <v>53306</v>
      </c>
      <c r="V8" s="242">
        <f t="shared" si="2"/>
        <v>115</v>
      </c>
      <c r="W8" s="321">
        <v>25805</v>
      </c>
      <c r="X8" s="242">
        <f t="shared" si="5"/>
        <v>2193643.1813999997</v>
      </c>
      <c r="Y8" s="243">
        <f>F29-H29</f>
        <v>-21946.000000000931</v>
      </c>
      <c r="Z8" s="256">
        <v>0</v>
      </c>
      <c r="AA8" s="266">
        <f t="shared" ref="AA8:AA17" si="8">D8</f>
        <v>0</v>
      </c>
      <c r="AB8" s="371"/>
      <c r="AC8" s="189">
        <f t="shared" si="6"/>
        <v>70.070627655790787</v>
      </c>
      <c r="AD8" s="190">
        <f t="shared" ref="AD8:AD17" si="9">(G8-K8-M8)/(C8+E8)</f>
        <v>80.162873179086873</v>
      </c>
      <c r="AE8" s="190"/>
    </row>
    <row r="9" spans="1:31" s="66" customFormat="1">
      <c r="A9" s="44" t="s">
        <v>9</v>
      </c>
      <c r="B9" s="177">
        <v>1127</v>
      </c>
      <c r="C9" s="178">
        <f t="shared" si="7"/>
        <v>1127</v>
      </c>
      <c r="D9" s="177"/>
      <c r="E9" s="177"/>
      <c r="F9" s="177"/>
      <c r="G9" s="179">
        <v>71120</v>
      </c>
      <c r="H9" s="180"/>
      <c r="I9" s="179">
        <v>7025</v>
      </c>
      <c r="J9" s="181"/>
      <c r="K9" s="181">
        <v>48.127406049495875</v>
      </c>
      <c r="L9" s="224"/>
      <c r="M9" s="224"/>
      <c r="N9" s="225">
        <v>0</v>
      </c>
      <c r="O9" s="225">
        <f t="shared" si="3"/>
        <v>3362</v>
      </c>
      <c r="P9" s="224">
        <v>5717</v>
      </c>
      <c r="Q9" s="226">
        <f>L9+P9</f>
        <v>5717</v>
      </c>
      <c r="R9" s="52"/>
      <c r="S9" s="27" t="s">
        <v>9</v>
      </c>
      <c r="T9" s="241">
        <f t="shared" si="1"/>
        <v>1127</v>
      </c>
      <c r="U9" s="242">
        <f t="shared" si="4"/>
        <v>1091</v>
      </c>
      <c r="V9" s="242">
        <f>B30-G30</f>
        <v>36</v>
      </c>
      <c r="W9" s="283">
        <v>16</v>
      </c>
      <c r="X9" s="242">
        <f t="shared" si="5"/>
        <v>52507</v>
      </c>
      <c r="Y9" s="243">
        <f t="shared" ref="Y9:Y17" si="10">F30-H30</f>
        <v>2493</v>
      </c>
      <c r="Z9" s="256">
        <v>0</v>
      </c>
      <c r="AA9" s="266">
        <f t="shared" si="8"/>
        <v>0</v>
      </c>
      <c r="AB9" s="274"/>
      <c r="AC9" s="189">
        <f t="shared" si="6"/>
        <v>51.799467613132208</v>
      </c>
      <c r="AD9" s="190">
        <f t="shared" si="9"/>
        <v>63.062886063842512</v>
      </c>
      <c r="AE9" s="190"/>
    </row>
    <row r="10" spans="1:31" s="66" customFormat="1">
      <c r="A10" s="44" t="s">
        <v>10</v>
      </c>
      <c r="B10" s="177">
        <v>44055</v>
      </c>
      <c r="C10" s="178">
        <f t="shared" si="7"/>
        <v>44055</v>
      </c>
      <c r="D10" s="177"/>
      <c r="E10" s="177"/>
      <c r="F10" s="177"/>
      <c r="G10" s="179">
        <v>2790880</v>
      </c>
      <c r="H10" s="180"/>
      <c r="I10" s="179">
        <v>93178</v>
      </c>
      <c r="J10" s="181"/>
      <c r="K10" s="181">
        <v>35.544443939256162</v>
      </c>
      <c r="L10" s="224"/>
      <c r="M10" s="224"/>
      <c r="N10" s="225">
        <v>0</v>
      </c>
      <c r="O10" s="225">
        <f t="shared" si="3"/>
        <v>955176</v>
      </c>
      <c r="P10" s="224">
        <v>153983</v>
      </c>
      <c r="Q10" s="226">
        <f t="shared" si="0"/>
        <v>153983</v>
      </c>
      <c r="R10" s="52"/>
      <c r="S10" s="27" t="s">
        <v>10</v>
      </c>
      <c r="T10" s="241">
        <f t="shared" si="1"/>
        <v>44055</v>
      </c>
      <c r="U10" s="242">
        <f t="shared" si="4"/>
        <v>43988</v>
      </c>
      <c r="V10" s="242">
        <f t="shared" si="2"/>
        <v>67</v>
      </c>
      <c r="W10" s="283">
        <v>22077</v>
      </c>
      <c r="X10" s="242">
        <f t="shared" si="5"/>
        <v>1563529</v>
      </c>
      <c r="Y10" s="243">
        <f t="shared" si="10"/>
        <v>2937</v>
      </c>
      <c r="Z10" s="256">
        <v>0</v>
      </c>
      <c r="AA10" s="266">
        <f t="shared" si="8"/>
        <v>0</v>
      </c>
      <c r="AB10" s="274"/>
      <c r="AC10" s="189">
        <f t="shared" si="6"/>
        <v>57.739620928384973</v>
      </c>
      <c r="AD10" s="190">
        <f t="shared" si="9"/>
        <v>63.349096709932148</v>
      </c>
      <c r="AE10" s="190"/>
    </row>
    <row r="11" spans="1:31" s="66" customFormat="1">
      <c r="A11" s="44" t="s">
        <v>11</v>
      </c>
      <c r="B11" s="177">
        <v>45768</v>
      </c>
      <c r="C11" s="178">
        <f t="shared" si="7"/>
        <v>45768</v>
      </c>
      <c r="D11" s="177"/>
      <c r="E11" s="177"/>
      <c r="F11" s="177"/>
      <c r="G11" s="179">
        <v>2399662</v>
      </c>
      <c r="H11" s="180"/>
      <c r="I11" s="179">
        <v>45623</v>
      </c>
      <c r="J11" s="181"/>
      <c r="K11" s="181">
        <v>34.367484081344877</v>
      </c>
      <c r="L11" s="224"/>
      <c r="M11" s="224"/>
      <c r="N11" s="225">
        <v>0</v>
      </c>
      <c r="O11" s="225">
        <f t="shared" si="3"/>
        <v>583157.00000000047</v>
      </c>
      <c r="P11" s="224">
        <v>166314</v>
      </c>
      <c r="Q11" s="226">
        <f t="shared" si="0"/>
        <v>166314</v>
      </c>
      <c r="R11" s="52"/>
      <c r="S11" s="27" t="s">
        <v>11</v>
      </c>
      <c r="T11" s="241">
        <f t="shared" si="1"/>
        <v>45768</v>
      </c>
      <c r="U11" s="242">
        <f t="shared" si="4"/>
        <v>45387</v>
      </c>
      <c r="V11" s="242">
        <f t="shared" si="2"/>
        <v>381</v>
      </c>
      <c r="W11" s="283">
        <v>36790</v>
      </c>
      <c r="X11" s="242">
        <f t="shared" si="5"/>
        <v>1559837</v>
      </c>
      <c r="Y11" s="243">
        <f t="shared" si="10"/>
        <v>7940.9999999995343</v>
      </c>
      <c r="Z11" s="256">
        <v>0</v>
      </c>
      <c r="AA11" s="266">
        <f t="shared" si="8"/>
        <v>0</v>
      </c>
      <c r="AB11" s="274"/>
      <c r="AC11" s="189">
        <f t="shared" si="6"/>
        <v>47.800319000174795</v>
      </c>
      <c r="AD11" s="190">
        <f t="shared" si="9"/>
        <v>52.430248918806122</v>
      </c>
      <c r="AE11" s="190"/>
    </row>
    <row r="12" spans="1:31" s="66" customFormat="1">
      <c r="A12" s="44" t="s">
        <v>12</v>
      </c>
      <c r="B12" s="177">
        <v>15013</v>
      </c>
      <c r="C12" s="178">
        <f t="shared" si="7"/>
        <v>15013</v>
      </c>
      <c r="D12" s="177"/>
      <c r="E12" s="177"/>
      <c r="F12" s="177"/>
      <c r="G12" s="179">
        <v>694498</v>
      </c>
      <c r="H12" s="180"/>
      <c r="I12" s="179">
        <v>4232</v>
      </c>
      <c r="J12" s="181"/>
      <c r="K12" s="181">
        <v>33.471613035458084</v>
      </c>
      <c r="L12" s="224"/>
      <c r="M12" s="224"/>
      <c r="N12" s="225">
        <v>0</v>
      </c>
      <c r="O12" s="225">
        <f t="shared" si="3"/>
        <v>132182</v>
      </c>
      <c r="P12" s="224">
        <v>44866</v>
      </c>
      <c r="Q12" s="226">
        <f t="shared" si="0"/>
        <v>44866</v>
      </c>
      <c r="R12" s="52"/>
      <c r="S12" s="27" t="s">
        <v>12</v>
      </c>
      <c r="T12" s="241">
        <f t="shared" si="1"/>
        <v>15013</v>
      </c>
      <c r="U12" s="242">
        <f>C12-SUM(C33-G33)</f>
        <v>14637</v>
      </c>
      <c r="V12" s="242">
        <f t="shared" si="2"/>
        <v>376</v>
      </c>
      <c r="W12" s="283">
        <v>10048</v>
      </c>
      <c r="X12" s="242">
        <f t="shared" si="5"/>
        <v>489924</v>
      </c>
      <c r="Y12" s="243">
        <f t="shared" si="10"/>
        <v>13246</v>
      </c>
      <c r="Z12" s="256">
        <v>0</v>
      </c>
      <c r="AA12" s="266">
        <f t="shared" si="8"/>
        <v>0</v>
      </c>
      <c r="AB12" s="274"/>
      <c r="AC12" s="189">
        <f t="shared" si="6"/>
        <v>42.989409178711782</v>
      </c>
      <c r="AD12" s="190">
        <f t="shared" si="9"/>
        <v>46.257545353158235</v>
      </c>
      <c r="AE12" s="190"/>
    </row>
    <row r="13" spans="1:31" s="66" customFormat="1">
      <c r="A13" s="44" t="s">
        <v>13</v>
      </c>
      <c r="B13" s="177">
        <v>40533</v>
      </c>
      <c r="C13" s="178">
        <f t="shared" si="7"/>
        <v>40533</v>
      </c>
      <c r="D13" s="177"/>
      <c r="E13" s="177"/>
      <c r="F13" s="177"/>
      <c r="G13" s="179">
        <v>1741356</v>
      </c>
      <c r="H13" s="180"/>
      <c r="I13" s="179">
        <v>12193</v>
      </c>
      <c r="J13" s="181"/>
      <c r="K13" s="181">
        <v>30.500124340992738</v>
      </c>
      <c r="L13" s="224"/>
      <c r="M13" s="224"/>
      <c r="N13" s="225">
        <v>0</v>
      </c>
      <c r="O13" s="225">
        <f t="shared" si="3"/>
        <v>342352.77043900033</v>
      </c>
      <c r="P13" s="224">
        <v>120075</v>
      </c>
      <c r="Q13" s="226">
        <f t="shared" si="0"/>
        <v>120075</v>
      </c>
      <c r="R13" s="52"/>
      <c r="S13" s="27" t="s">
        <v>13</v>
      </c>
      <c r="T13" s="241">
        <f t="shared" si="1"/>
        <v>40533</v>
      </c>
      <c r="U13" s="242">
        <f t="shared" si="4"/>
        <v>40212</v>
      </c>
      <c r="V13" s="242">
        <f t="shared" si="2"/>
        <v>321</v>
      </c>
      <c r="W13" s="283">
        <v>31519</v>
      </c>
      <c r="X13" s="242">
        <f t="shared" si="5"/>
        <v>1226471</v>
      </c>
      <c r="Y13" s="243">
        <f t="shared" si="10"/>
        <v>8745.2295609996654</v>
      </c>
      <c r="Z13" s="256">
        <v>0</v>
      </c>
      <c r="AA13" s="266">
        <f t="shared" si="8"/>
        <v>0</v>
      </c>
      <c r="AB13" s="274"/>
      <c r="AC13" s="189">
        <f t="shared" si="6"/>
        <v>39.698221202476994</v>
      </c>
      <c r="AD13" s="190">
        <f t="shared" si="9"/>
        <v>42.960686351260925</v>
      </c>
      <c r="AE13" s="190"/>
    </row>
    <row r="14" spans="1:31" s="66" customFormat="1">
      <c r="A14" s="44" t="s">
        <v>14</v>
      </c>
      <c r="B14" s="177">
        <v>44925</v>
      </c>
      <c r="C14" s="178">
        <f t="shared" si="7"/>
        <v>44925</v>
      </c>
      <c r="D14" s="177"/>
      <c r="E14" s="177"/>
      <c r="F14" s="177"/>
      <c r="G14" s="179">
        <v>1926313</v>
      </c>
      <c r="H14" s="180"/>
      <c r="I14" s="179">
        <v>27039</v>
      </c>
      <c r="J14" s="181"/>
      <c r="K14" s="181">
        <v>30.860908024189907</v>
      </c>
      <c r="L14" s="224"/>
      <c r="M14" s="224"/>
      <c r="N14" s="225">
        <v>0</v>
      </c>
      <c r="O14" s="225">
        <f t="shared" si="3"/>
        <v>309284</v>
      </c>
      <c r="P14" s="224">
        <v>162258</v>
      </c>
      <c r="Q14" s="226">
        <f t="shared" si="0"/>
        <v>162258</v>
      </c>
      <c r="R14" s="52"/>
      <c r="S14" s="27" t="s">
        <v>14</v>
      </c>
      <c r="T14" s="241">
        <f t="shared" si="1"/>
        <v>44925</v>
      </c>
      <c r="U14" s="242">
        <f t="shared" si="4"/>
        <v>44316</v>
      </c>
      <c r="V14" s="242">
        <f t="shared" si="2"/>
        <v>609</v>
      </c>
      <c r="W14" s="283">
        <v>38502</v>
      </c>
      <c r="X14" s="242">
        <f t="shared" si="5"/>
        <v>1367632</v>
      </c>
      <c r="Y14" s="243">
        <f t="shared" si="10"/>
        <v>21598</v>
      </c>
      <c r="Z14" s="256">
        <v>0</v>
      </c>
      <c r="AA14" s="266">
        <f t="shared" si="8"/>
        <v>0</v>
      </c>
      <c r="AB14" s="274"/>
      <c r="AC14" s="189">
        <f t="shared" si="6"/>
        <v>38.664796883695047</v>
      </c>
      <c r="AD14" s="190">
        <f t="shared" si="9"/>
        <v>42.877732645341695</v>
      </c>
      <c r="AE14" s="190"/>
    </row>
    <row r="15" spans="1:31" s="66" customFormat="1">
      <c r="A15" s="44" t="s">
        <v>15</v>
      </c>
      <c r="B15" s="177">
        <v>37517</v>
      </c>
      <c r="C15" s="178">
        <f t="shared" si="7"/>
        <v>37517</v>
      </c>
      <c r="D15" s="177"/>
      <c r="E15" s="177"/>
      <c r="F15" s="177"/>
      <c r="G15" s="179">
        <v>1703416</v>
      </c>
      <c r="H15" s="180"/>
      <c r="I15" s="179">
        <v>25444</v>
      </c>
      <c r="J15" s="181"/>
      <c r="K15" s="181">
        <v>28.873991579519217</v>
      </c>
      <c r="L15" s="224"/>
      <c r="M15" s="224"/>
      <c r="N15" s="225">
        <v>0</v>
      </c>
      <c r="O15" s="225">
        <f t="shared" si="3"/>
        <v>393135.99999999953</v>
      </c>
      <c r="P15" s="224">
        <v>135731</v>
      </c>
      <c r="Q15" s="226">
        <f t="shared" si="0"/>
        <v>135731</v>
      </c>
      <c r="R15" s="52"/>
      <c r="S15" s="27" t="s">
        <v>15</v>
      </c>
      <c r="T15" s="241">
        <f t="shared" si="1"/>
        <v>37517</v>
      </c>
      <c r="U15" s="242">
        <f t="shared" si="4"/>
        <v>36815</v>
      </c>
      <c r="V15" s="242">
        <f t="shared" si="2"/>
        <v>702</v>
      </c>
      <c r="W15" s="283">
        <v>43930</v>
      </c>
      <c r="X15" s="242">
        <f t="shared" si="5"/>
        <v>1062996</v>
      </c>
      <c r="Y15" s="243">
        <f t="shared" si="10"/>
        <v>42179.000000000466</v>
      </c>
      <c r="Z15" s="256">
        <v>0</v>
      </c>
      <c r="AA15" s="266">
        <v>0</v>
      </c>
      <c r="AB15" s="274"/>
      <c r="AC15" s="189">
        <f t="shared" si="6"/>
        <v>41.107791134685613</v>
      </c>
      <c r="AD15" s="190">
        <f t="shared" si="9"/>
        <v>45.403073966692979</v>
      </c>
      <c r="AE15" s="190"/>
    </row>
    <row r="16" spans="1:31" s="66" customFormat="1">
      <c r="A16" s="44" t="s">
        <v>16</v>
      </c>
      <c r="B16" s="177"/>
      <c r="C16" s="178">
        <f t="shared" si="7"/>
        <v>0</v>
      </c>
      <c r="D16" s="177"/>
      <c r="E16" s="177"/>
      <c r="F16" s="177"/>
      <c r="G16" s="179"/>
      <c r="H16" s="180"/>
      <c r="I16" s="179"/>
      <c r="J16" s="181"/>
      <c r="K16" s="181"/>
      <c r="L16" s="224"/>
      <c r="M16" s="224"/>
      <c r="N16" s="225">
        <v>0</v>
      </c>
      <c r="O16" s="225">
        <f t="shared" si="3"/>
        <v>0</v>
      </c>
      <c r="P16" s="224"/>
      <c r="Q16" s="226">
        <f t="shared" si="0"/>
        <v>0</v>
      </c>
      <c r="R16" s="52"/>
      <c r="S16" s="27" t="s">
        <v>16</v>
      </c>
      <c r="T16" s="241">
        <f t="shared" si="1"/>
        <v>0</v>
      </c>
      <c r="U16" s="242">
        <f t="shared" si="4"/>
        <v>0</v>
      </c>
      <c r="V16" s="242">
        <f t="shared" si="2"/>
        <v>0</v>
      </c>
      <c r="W16" s="283"/>
      <c r="X16" s="242">
        <f t="shared" si="5"/>
        <v>0</v>
      </c>
      <c r="Y16" s="243">
        <f t="shared" si="10"/>
        <v>0</v>
      </c>
      <c r="Z16" s="256">
        <v>0</v>
      </c>
      <c r="AA16" s="266">
        <f t="shared" si="8"/>
        <v>0</v>
      </c>
      <c r="AB16" s="274"/>
      <c r="AC16" s="189" t="e">
        <f t="shared" si="6"/>
        <v>#DIV/0!</v>
      </c>
      <c r="AD16" s="190" t="e">
        <f t="shared" si="9"/>
        <v>#DIV/0!</v>
      </c>
      <c r="AE16" s="190"/>
    </row>
    <row r="17" spans="1:44" s="66" customFormat="1">
      <c r="A17" s="44" t="s">
        <v>17</v>
      </c>
      <c r="B17" s="177"/>
      <c r="C17" s="178">
        <f t="shared" si="7"/>
        <v>0</v>
      </c>
      <c r="D17" s="177"/>
      <c r="E17" s="177"/>
      <c r="F17" s="177"/>
      <c r="G17" s="179"/>
      <c r="H17" s="180"/>
      <c r="I17" s="179"/>
      <c r="J17" s="181"/>
      <c r="K17" s="181"/>
      <c r="L17" s="224"/>
      <c r="M17" s="224"/>
      <c r="N17" s="225">
        <v>0</v>
      </c>
      <c r="O17" s="225">
        <f t="shared" si="3"/>
        <v>0</v>
      </c>
      <c r="P17" s="224"/>
      <c r="Q17" s="226">
        <f t="shared" si="0"/>
        <v>0</v>
      </c>
      <c r="R17" s="52"/>
      <c r="S17" s="27" t="s">
        <v>17</v>
      </c>
      <c r="T17" s="244">
        <f t="shared" si="1"/>
        <v>0</v>
      </c>
      <c r="U17" s="245">
        <f t="shared" si="4"/>
        <v>0</v>
      </c>
      <c r="V17" s="245">
        <f t="shared" si="2"/>
        <v>0</v>
      </c>
      <c r="W17" s="284"/>
      <c r="X17" s="245">
        <f t="shared" si="5"/>
        <v>0</v>
      </c>
      <c r="Y17" s="246">
        <f t="shared" si="10"/>
        <v>0</v>
      </c>
      <c r="Z17" s="257">
        <v>0</v>
      </c>
      <c r="AA17" s="267">
        <f t="shared" si="8"/>
        <v>0</v>
      </c>
      <c r="AB17" s="275"/>
      <c r="AC17" s="189" t="e">
        <f t="shared" si="6"/>
        <v>#DIV/0!</v>
      </c>
      <c r="AD17" s="190" t="e">
        <f t="shared" si="9"/>
        <v>#DIV/0!</v>
      </c>
      <c r="AE17" s="190"/>
    </row>
    <row r="18" spans="1:44" s="66" customFormat="1">
      <c r="A18" s="44"/>
      <c r="B18" s="148"/>
      <c r="C18" s="148"/>
      <c r="D18" s="149"/>
      <c r="E18" s="149"/>
      <c r="F18" s="149"/>
      <c r="G18" s="89"/>
      <c r="H18" s="54"/>
      <c r="I18" s="54"/>
      <c r="J18" s="27"/>
      <c r="K18" s="27"/>
      <c r="L18" s="27"/>
      <c r="M18" s="27"/>
      <c r="N18" s="50"/>
      <c r="O18" s="50"/>
      <c r="P18" s="48"/>
      <c r="Q18" s="56"/>
      <c r="R18" s="56"/>
      <c r="S18" s="56"/>
      <c r="T18" s="146"/>
      <c r="U18" s="140"/>
      <c r="V18" s="146"/>
      <c r="W18" s="141"/>
      <c r="X18" s="141"/>
      <c r="Y18" s="141"/>
      <c r="Z18" s="141"/>
      <c r="AA18" s="141"/>
      <c r="AB18" s="147"/>
      <c r="AC18" s="143"/>
      <c r="AD18" s="144"/>
      <c r="AE18" s="144"/>
      <c r="AF18" s="151"/>
    </row>
    <row r="19" spans="1:44" s="151" customFormat="1">
      <c r="A19" s="88"/>
      <c r="B19" s="148"/>
      <c r="C19" s="148"/>
      <c r="D19" s="149"/>
      <c r="E19" s="149"/>
      <c r="F19" s="149"/>
      <c r="G19" s="89"/>
      <c r="H19" s="90"/>
      <c r="I19" s="90"/>
      <c r="J19" s="91"/>
      <c r="K19" s="91"/>
      <c r="L19" s="91"/>
      <c r="M19" s="91"/>
      <c r="N19" s="150"/>
      <c r="O19" s="150"/>
      <c r="P19" s="58"/>
      <c r="Q19" s="92"/>
      <c r="R19" s="92"/>
      <c r="S19" s="92"/>
      <c r="T19" s="140"/>
      <c r="U19" s="70"/>
      <c r="V19" s="68"/>
      <c r="W19" s="56"/>
      <c r="X19" s="56"/>
      <c r="Y19" s="56"/>
      <c r="Z19" s="56"/>
      <c r="AA19" s="69"/>
      <c r="AB19" s="39"/>
      <c r="AC19" s="71"/>
      <c r="AD19" s="63"/>
      <c r="AE19" s="63"/>
    </row>
    <row r="20" spans="1:44" s="40" customFormat="1">
      <c r="A20" s="44" t="s">
        <v>18</v>
      </c>
      <c r="B20" s="145">
        <f t="shared" ref="B20:I20" si="11">SUM(B6:B17)</f>
        <v>446899</v>
      </c>
      <c r="C20" s="58">
        <f t="shared" si="11"/>
        <v>446899</v>
      </c>
      <c r="D20" s="145">
        <f t="shared" si="11"/>
        <v>0</v>
      </c>
      <c r="E20" s="145">
        <f t="shared" si="11"/>
        <v>0</v>
      </c>
      <c r="F20" s="145">
        <f t="shared" si="11"/>
        <v>0</v>
      </c>
      <c r="G20" s="145">
        <f t="shared" si="11"/>
        <v>30521471</v>
      </c>
      <c r="H20" s="50">
        <f t="shared" si="11"/>
        <v>0</v>
      </c>
      <c r="I20" s="50">
        <f t="shared" si="11"/>
        <v>1490490</v>
      </c>
      <c r="J20" s="59">
        <f>W20/U20</f>
        <v>0.65367115067530435</v>
      </c>
      <c r="K20" s="59">
        <f>X20/U20</f>
        <v>36.755751082108716</v>
      </c>
      <c r="L20" s="50">
        <f t="shared" ref="L20:Q20" si="12">SUM(L6:L17)</f>
        <v>0</v>
      </c>
      <c r="M20" s="50">
        <f t="shared" si="12"/>
        <v>0</v>
      </c>
      <c r="N20" s="50">
        <f t="shared" si="12"/>
        <v>0</v>
      </c>
      <c r="O20" s="50">
        <f t="shared" si="12"/>
        <v>10713186.346373001</v>
      </c>
      <c r="P20" s="56">
        <f t="shared" si="12"/>
        <v>1583456</v>
      </c>
      <c r="Q20" s="56">
        <f t="shared" si="12"/>
        <v>1583456</v>
      </c>
      <c r="R20" s="56"/>
      <c r="S20" s="56"/>
      <c r="T20" s="140">
        <f t="shared" ref="T20:Y20" si="13">SUM(T6:T17)</f>
        <v>446899</v>
      </c>
      <c r="U20" s="48">
        <f t="shared" si="13"/>
        <v>443948</v>
      </c>
      <c r="V20" s="48">
        <f t="shared" si="13"/>
        <v>2951</v>
      </c>
      <c r="W20" s="56">
        <f t="shared" si="13"/>
        <v>290196</v>
      </c>
      <c r="X20" s="56">
        <f t="shared" si="13"/>
        <v>16317642.181399999</v>
      </c>
      <c r="Y20" s="56">
        <f t="shared" si="13"/>
        <v>126500.4722269997</v>
      </c>
      <c r="Z20" s="53">
        <f>SUM(Z6:Z17)</f>
        <v>0</v>
      </c>
      <c r="AA20" s="63">
        <f>SUM(AA6:AA17)</f>
        <v>0</v>
      </c>
      <c r="AB20" s="63">
        <f>SUM(AB6:AB17)</f>
        <v>0</v>
      </c>
      <c r="AC20" s="189">
        <f>(G20+AB20-I20-Z20-(P20+L20))/(U20+(V20-AA20))</f>
        <v>61.417736446042618</v>
      </c>
      <c r="AD20" s="190">
        <f>(G59-K59-M59)/(C59+E59)</f>
        <v>36.985528690227454</v>
      </c>
      <c r="AE20" s="190"/>
    </row>
    <row r="21" spans="1:44">
      <c r="A21" s="44"/>
      <c r="B21" s="57"/>
      <c r="C21" s="58"/>
      <c r="D21" s="57"/>
      <c r="E21" s="57"/>
      <c r="F21" s="48"/>
      <c r="G21" s="50"/>
      <c r="H21" s="59"/>
      <c r="I21" s="59"/>
      <c r="J21" s="59"/>
      <c r="K21" s="50"/>
      <c r="L21" s="50"/>
      <c r="M21" s="56"/>
      <c r="N21" s="56"/>
      <c r="O21" s="56"/>
      <c r="P21" s="56"/>
      <c r="Q21" s="45"/>
      <c r="R21" s="45"/>
      <c r="S21" s="45"/>
      <c r="W21" s="46"/>
      <c r="X21" s="46"/>
      <c r="Y21" s="46"/>
      <c r="Z21" s="46"/>
      <c r="AA21" s="39"/>
      <c r="AB21" s="40"/>
    </row>
    <row r="22" spans="1:44">
      <c r="A22" s="44"/>
      <c r="B22" s="60"/>
      <c r="C22" s="48"/>
      <c r="D22" s="48"/>
      <c r="E22" s="48"/>
      <c r="F22" s="50"/>
      <c r="G22" s="50"/>
      <c r="H22" s="51"/>
      <c r="I22" s="51"/>
      <c r="J22" s="50"/>
      <c r="K22" s="50"/>
      <c r="L22" s="50"/>
      <c r="M22" s="51"/>
      <c r="N22" s="61"/>
      <c r="O22" s="61">
        <f>O20-N59</f>
        <v>8688959.5603730008</v>
      </c>
      <c r="P22" s="56">
        <f>5667+295</f>
        <v>5962</v>
      </c>
      <c r="Q22" s="163">
        <f>15450-P22</f>
        <v>9488</v>
      </c>
      <c r="V22" s="45"/>
      <c r="W22" s="45"/>
      <c r="X22" s="249"/>
      <c r="AA22" s="45"/>
      <c r="AB22" s="40"/>
    </row>
    <row r="23" spans="1:44">
      <c r="A23" s="26"/>
      <c r="G23" s="79"/>
      <c r="H23" s="79"/>
      <c r="I23" s="79"/>
      <c r="J23" s="27"/>
      <c r="K23" s="27"/>
      <c r="L23" s="80"/>
      <c r="M23"/>
      <c r="N23" s="61"/>
      <c r="O23" s="61"/>
      <c r="Q23" s="45"/>
      <c r="W23" s="50"/>
      <c r="X23" s="46"/>
      <c r="Y23" s="49"/>
      <c r="Z23" s="49"/>
      <c r="AA23" s="50"/>
      <c r="AB23" s="56"/>
      <c r="AC23" s="27"/>
      <c r="AD23" s="681"/>
      <c r="AE23" s="681"/>
      <c r="AF23" s="681"/>
      <c r="AG23" s="27"/>
      <c r="AH23" s="27"/>
      <c r="AI23" s="27"/>
      <c r="AJ23" s="681"/>
      <c r="AK23" s="681"/>
      <c r="AL23" s="681"/>
      <c r="AM23" s="71"/>
      <c r="AN23" s="27"/>
      <c r="AO23" s="27"/>
      <c r="AP23" s="681"/>
      <c r="AQ23" s="681"/>
      <c r="AR23" s="681"/>
    </row>
    <row r="24" spans="1:44" ht="15">
      <c r="A24" s="29"/>
      <c r="B24" s="682" t="s">
        <v>114</v>
      </c>
      <c r="C24" s="682"/>
      <c r="D24" s="682"/>
      <c r="E24" s="682"/>
      <c r="F24" s="682"/>
      <c r="H24" s="32"/>
      <c r="I24" s="32"/>
      <c r="J24" s="253"/>
      <c r="K24" s="253"/>
      <c r="M24" s="40"/>
      <c r="N24" s="83"/>
      <c r="O24" s="524"/>
      <c r="P24"/>
      <c r="Q24" s="81"/>
      <c r="S24" s="684" t="s">
        <v>310</v>
      </c>
      <c r="T24" s="684"/>
      <c r="U24" s="684"/>
      <c r="V24" s="666" t="s">
        <v>404</v>
      </c>
      <c r="Y24" s="27"/>
      <c r="Z24" s="27"/>
      <c r="AA24" s="50"/>
      <c r="AB24" s="27"/>
      <c r="AC24" s="27"/>
      <c r="AD24" s="27"/>
      <c r="AE24" s="592"/>
      <c r="AF24" s="27"/>
      <c r="AG24" s="27"/>
      <c r="AH24" s="27"/>
      <c r="AI24" s="27"/>
      <c r="AJ24" s="27"/>
    </row>
    <row r="25" spans="1:44" s="155" customFormat="1" ht="15.75" customHeight="1">
      <c r="A25" s="29"/>
      <c r="D25" s="82"/>
      <c r="E25" s="82"/>
      <c r="F25" s="27" t="s">
        <v>45</v>
      </c>
      <c r="G25" s="71"/>
      <c r="H25" s="71"/>
      <c r="I25" s="71"/>
      <c r="J25" s="252"/>
      <c r="K25" s="252"/>
      <c r="L25" s="686" t="s">
        <v>215</v>
      </c>
      <c r="M25" s="686"/>
      <c r="N25" s="686" t="s">
        <v>208</v>
      </c>
      <c r="O25" s="686"/>
      <c r="P25" s="685" t="s">
        <v>213</v>
      </c>
      <c r="Q25" s="685"/>
      <c r="S25" s="377" t="s">
        <v>311</v>
      </c>
      <c r="T25" s="377" t="s">
        <v>312</v>
      </c>
      <c r="U25" s="27" t="s">
        <v>313</v>
      </c>
      <c r="V25" s="46"/>
      <c r="W25" s="50"/>
      <c r="X25" s="85"/>
      <c r="Y25" s="85"/>
      <c r="Z25" s="85"/>
      <c r="AA25" s="50"/>
      <c r="AB25" s="27"/>
      <c r="AC25" s="27"/>
      <c r="AD25" s="85"/>
      <c r="AE25" s="85"/>
      <c r="AF25" s="85"/>
    </row>
    <row r="26" spans="1:44" s="40" customFormat="1">
      <c r="A26" s="29"/>
      <c r="B26" s="27" t="s">
        <v>103</v>
      </c>
      <c r="C26" s="27" t="s">
        <v>69</v>
      </c>
      <c r="D26" s="27" t="s">
        <v>149</v>
      </c>
      <c r="E26" s="27" t="s">
        <v>153</v>
      </c>
      <c r="F26" s="27" t="s">
        <v>24</v>
      </c>
      <c r="G26" s="27" t="s">
        <v>123</v>
      </c>
      <c r="H26" s="27" t="s">
        <v>3</v>
      </c>
      <c r="I26" s="27"/>
      <c r="J26" s="27" t="s">
        <v>174</v>
      </c>
      <c r="K26" s="27" t="s">
        <v>175</v>
      </c>
      <c r="L26" s="360" t="s">
        <v>211</v>
      </c>
      <c r="M26" s="360" t="s">
        <v>212</v>
      </c>
      <c r="N26" s="360" t="s">
        <v>209</v>
      </c>
      <c r="O26" s="360" t="s">
        <v>210</v>
      </c>
      <c r="P26" s="360" t="s">
        <v>50</v>
      </c>
      <c r="Q26" s="360" t="s">
        <v>67</v>
      </c>
      <c r="S26" s="537" t="s">
        <v>309</v>
      </c>
      <c r="T26" s="526" t="s">
        <v>308</v>
      </c>
      <c r="U26" s="526" t="s">
        <v>308</v>
      </c>
      <c r="X26" s="290" t="s">
        <v>173</v>
      </c>
      <c r="Y26" s="27"/>
      <c r="Z26" s="291" t="s">
        <v>172</v>
      </c>
      <c r="AA26" s="291" t="s">
        <v>171</v>
      </c>
      <c r="AB26" s="49"/>
      <c r="AC26" s="71"/>
      <c r="AD26" s="27"/>
      <c r="AE26" s="592"/>
      <c r="AF26" s="49"/>
      <c r="AG26" s="49"/>
      <c r="AH26" s="49"/>
    </row>
    <row r="27" spans="1:44" s="40" customFormat="1">
      <c r="A27" s="44" t="s">
        <v>6</v>
      </c>
      <c r="B27" s="248">
        <v>96398</v>
      </c>
      <c r="C27" s="178">
        <f>B27-D27</f>
        <v>96398</v>
      </c>
      <c r="D27" s="248">
        <v>0</v>
      </c>
      <c r="E27" s="248"/>
      <c r="F27" s="224">
        <v>3891601.4966660012</v>
      </c>
      <c r="G27" s="248">
        <f>96219-72</f>
        <v>96147</v>
      </c>
      <c r="H27" s="224">
        <f>3841973.254+29433</f>
        <v>3871406.2540000002</v>
      </c>
      <c r="I27" s="250"/>
      <c r="J27" s="271">
        <v>0</v>
      </c>
      <c r="K27" s="271">
        <v>0</v>
      </c>
      <c r="L27" s="251">
        <v>3631675.2310791016</v>
      </c>
      <c r="M27" s="251">
        <v>3204054.0259429999</v>
      </c>
      <c r="N27" s="251">
        <f>102155515.53317+4306000</f>
        <v>106461515.53317</v>
      </c>
      <c r="O27" s="251">
        <f>90126944.1758648-158000</f>
        <v>89968944.175864801</v>
      </c>
      <c r="P27" s="251">
        <f>53591093.813403+3073000</f>
        <v>56664093.813403003</v>
      </c>
      <c r="Q27" s="251">
        <f>53591093.813403+269000</f>
        <v>53860093.813403003</v>
      </c>
      <c r="S27" s="251">
        <v>3631675.2310791016</v>
      </c>
      <c r="T27" s="251">
        <v>106461515.53317</v>
      </c>
      <c r="U27" s="251">
        <v>56664093.813403003</v>
      </c>
      <c r="V27" s="251">
        <v>4891421.7573339995</v>
      </c>
      <c r="X27" s="46">
        <f t="shared" ref="X27:X38" si="14">T6-D6</f>
        <v>87691</v>
      </c>
      <c r="Y27" s="49">
        <f>X27+Z27</f>
        <v>87942</v>
      </c>
      <c r="Z27" s="46">
        <f t="shared" ref="Z27:Z38" si="15">V6-AA6</f>
        <v>251</v>
      </c>
      <c r="AA27" s="50">
        <f t="shared" ref="AA27:AA38" si="16">Y6-Z6</f>
        <v>20195.242666000966</v>
      </c>
      <c r="AB27" s="49">
        <f>Y27-B6</f>
        <v>251</v>
      </c>
      <c r="AC27" s="27"/>
      <c r="AD27" s="49"/>
      <c r="AE27" s="49"/>
      <c r="AF27" s="49"/>
    </row>
    <row r="28" spans="1:44" s="40" customFormat="1">
      <c r="A28" s="44" t="s">
        <v>7</v>
      </c>
      <c r="B28" s="248">
        <v>86010</v>
      </c>
      <c r="C28" s="178">
        <f>B28-D28</f>
        <v>86010</v>
      </c>
      <c r="D28" s="248">
        <f>D7</f>
        <v>0</v>
      </c>
      <c r="E28" s="248"/>
      <c r="F28" s="224">
        <v>2437692.48147</v>
      </c>
      <c r="G28" s="248">
        <f>86010-66-27</f>
        <v>85917</v>
      </c>
      <c r="H28" s="224">
        <f>2437692.48147-2884-26228</f>
        <v>2408580.48147</v>
      </c>
      <c r="I28" s="250"/>
      <c r="J28" s="271">
        <v>0</v>
      </c>
      <c r="K28" s="271">
        <v>0</v>
      </c>
      <c r="L28" s="251">
        <v>3023658.1121826172</v>
      </c>
      <c r="M28" s="251">
        <v>2859365.5968515184</v>
      </c>
      <c r="N28" s="251">
        <f>85356746.4240717-773000</f>
        <v>84583746.424071699</v>
      </c>
      <c r="O28" s="251">
        <f>80718829.6854076-384000</f>
        <v>80334829.685407594</v>
      </c>
      <c r="P28" s="251">
        <f>54321315.4464994+4401000</f>
        <v>58722315.4464994</v>
      </c>
      <c r="Q28" s="251">
        <f>54321315.4464994+52000</f>
        <v>54373315.4464994</v>
      </c>
      <c r="S28" s="251">
        <v>3023658.1121826172</v>
      </c>
      <c r="T28" s="251">
        <v>84583746.424071699</v>
      </c>
      <c r="U28" s="251">
        <v>58722315.4464994</v>
      </c>
      <c r="V28" s="251">
        <v>1557374.0000000005</v>
      </c>
      <c r="X28" s="46">
        <f t="shared" si="14"/>
        <v>76849</v>
      </c>
      <c r="Y28" s="49">
        <f t="shared" ref="Y28:Y35" si="17">X28+Z28</f>
        <v>76942</v>
      </c>
      <c r="Z28" s="46">
        <f t="shared" si="15"/>
        <v>93</v>
      </c>
      <c r="AA28" s="50">
        <f t="shared" si="16"/>
        <v>29112</v>
      </c>
      <c r="AB28" s="49">
        <f t="shared" ref="AB28:AB35" si="18">Y28-B7</f>
        <v>93</v>
      </c>
      <c r="AC28" s="27"/>
      <c r="AD28" s="49"/>
      <c r="AE28" s="49"/>
      <c r="AF28" s="49"/>
    </row>
    <row r="29" spans="1:44" s="40" customFormat="1">
      <c r="A29" s="44" t="s">
        <v>8</v>
      </c>
      <c r="B29" s="248">
        <v>91213</v>
      </c>
      <c r="C29" s="178">
        <f t="shared" ref="C29:C38" si="19">B29-D29</f>
        <v>91213</v>
      </c>
      <c r="D29" s="248">
        <f t="shared" ref="D29:D35" si="20">D8</f>
        <v>0</v>
      </c>
      <c r="E29" s="248"/>
      <c r="F29" s="224">
        <v>2649855.8303199993</v>
      </c>
      <c r="G29" s="251">
        <f>91213-115</f>
        <v>91098</v>
      </c>
      <c r="H29" s="224">
        <f>2649855.83032+21946</f>
        <v>2671801.8303200002</v>
      </c>
      <c r="I29" s="250"/>
      <c r="J29" s="271">
        <v>0</v>
      </c>
      <c r="K29" s="271">
        <v>0</v>
      </c>
      <c r="L29" s="251">
        <v>2935623</v>
      </c>
      <c r="M29" s="251">
        <v>2811469.8371906104</v>
      </c>
      <c r="N29" s="251">
        <f>80262045.3603375-1511000</f>
        <v>78751045.360337496</v>
      </c>
      <c r="O29" s="251">
        <f>76867608.5457205+387000</f>
        <v>77254608.545720503</v>
      </c>
      <c r="P29" s="251">
        <f>54913071.17173+234000</f>
        <v>55147071.171729997</v>
      </c>
      <c r="Q29" s="251">
        <f>54913071.1717292-384000</f>
        <v>54529071.1717292</v>
      </c>
      <c r="S29" s="251">
        <v>2935623</v>
      </c>
      <c r="T29" s="251">
        <v>78751045.360337496</v>
      </c>
      <c r="U29" s="251">
        <v>55147071.171729997</v>
      </c>
      <c r="V29" s="251">
        <v>1545740.8186000013</v>
      </c>
      <c r="X29" s="46">
        <f t="shared" si="14"/>
        <v>53421</v>
      </c>
      <c r="Y29" s="49">
        <f t="shared" si="17"/>
        <v>53536</v>
      </c>
      <c r="Z29" s="46">
        <f t="shared" si="15"/>
        <v>115</v>
      </c>
      <c r="AA29" s="50">
        <f t="shared" si="16"/>
        <v>-21946.000000000931</v>
      </c>
      <c r="AB29" s="49">
        <f t="shared" si="18"/>
        <v>115</v>
      </c>
      <c r="AC29" s="27"/>
      <c r="AD29" s="49"/>
      <c r="AE29" s="49"/>
      <c r="AF29" s="49"/>
    </row>
    <row r="30" spans="1:44" s="40" customFormat="1">
      <c r="A30" s="44" t="s">
        <v>9</v>
      </c>
      <c r="B30" s="248">
        <v>106599</v>
      </c>
      <c r="C30" s="178">
        <f t="shared" si="19"/>
        <v>106599</v>
      </c>
      <c r="D30" s="248">
        <f t="shared" si="20"/>
        <v>0</v>
      </c>
      <c r="E30" s="177"/>
      <c r="F30" s="250">
        <v>3342095</v>
      </c>
      <c r="G30" s="251">
        <v>106563</v>
      </c>
      <c r="H30" s="250">
        <v>3339602</v>
      </c>
      <c r="I30" s="250"/>
      <c r="J30" s="271">
        <v>0</v>
      </c>
      <c r="K30" s="271">
        <v>0</v>
      </c>
      <c r="L30" s="251">
        <v>2468114.3041381836</v>
      </c>
      <c r="M30" s="251">
        <v>2517254.3277377076</v>
      </c>
      <c r="N30" s="251">
        <f>63546206.0905972-4022000</f>
        <v>59524206.090597197</v>
      </c>
      <c r="O30" s="251">
        <f>64811407.6502318+783000</f>
        <v>65594407.650231801</v>
      </c>
      <c r="P30" s="251">
        <f>55945847.9164651+2890000</f>
        <v>58835847.916465104</v>
      </c>
      <c r="Q30" s="251">
        <f>55945847.9164651+388000</f>
        <v>56333847.916465104</v>
      </c>
      <c r="S30" s="251">
        <v>2468114.3041381836</v>
      </c>
      <c r="T30" s="251">
        <v>59524206.090597197</v>
      </c>
      <c r="U30" s="251">
        <v>58835847.916465104</v>
      </c>
      <c r="V30" s="251">
        <v>3362</v>
      </c>
      <c r="X30" s="46">
        <f t="shared" si="14"/>
        <v>1127</v>
      </c>
      <c r="Y30" s="49">
        <f t="shared" si="17"/>
        <v>1163</v>
      </c>
      <c r="Z30" s="46">
        <f t="shared" si="15"/>
        <v>36</v>
      </c>
      <c r="AA30" s="50">
        <f t="shared" si="16"/>
        <v>2493</v>
      </c>
      <c r="AB30" s="49">
        <f t="shared" si="18"/>
        <v>36</v>
      </c>
      <c r="AC30" s="27"/>
      <c r="AD30" s="49"/>
      <c r="AE30" s="49"/>
      <c r="AF30" s="49"/>
    </row>
    <row r="31" spans="1:44" s="40" customFormat="1">
      <c r="A31" s="44" t="s">
        <v>10</v>
      </c>
      <c r="B31" s="248">
        <v>57472</v>
      </c>
      <c r="C31" s="178">
        <f t="shared" si="19"/>
        <v>57472</v>
      </c>
      <c r="D31" s="248">
        <f t="shared" si="20"/>
        <v>0</v>
      </c>
      <c r="E31" s="177"/>
      <c r="F31" s="250">
        <v>1614877.13</v>
      </c>
      <c r="G31" s="251">
        <f>57472-67</f>
        <v>57405</v>
      </c>
      <c r="H31" s="250">
        <f>1614877.13-2898-39</f>
        <v>1611940.13</v>
      </c>
      <c r="I31" s="250"/>
      <c r="J31" s="271">
        <v>0</v>
      </c>
      <c r="K31" s="271">
        <v>0</v>
      </c>
      <c r="L31" s="251">
        <v>2783226.9130859375</v>
      </c>
      <c r="M31" s="251">
        <v>2701843.5499626058</v>
      </c>
      <c r="N31" s="251">
        <f>68107065.9418361+1942000</f>
        <v>70049065.941836104</v>
      </c>
      <c r="O31" s="251">
        <f>66115571.0864405+1076000</f>
        <v>67191571.086440504</v>
      </c>
      <c r="P31" s="251">
        <f>58406290.2432429+4488000</f>
        <v>62894290.243242897</v>
      </c>
      <c r="Q31" s="251">
        <f>58406290.2432429+213000</f>
        <v>58619290.243242897</v>
      </c>
      <c r="S31" s="251">
        <v>2783226.9130859375</v>
      </c>
      <c r="T31" s="251">
        <v>70049065.941836104</v>
      </c>
      <c r="U31" s="251">
        <v>62894290.243242897</v>
      </c>
      <c r="V31" s="251">
        <v>955176</v>
      </c>
      <c r="X31" s="46">
        <f t="shared" si="14"/>
        <v>44055</v>
      </c>
      <c r="Y31" s="49">
        <f t="shared" si="17"/>
        <v>44122</v>
      </c>
      <c r="Z31" s="46">
        <f t="shared" si="15"/>
        <v>67</v>
      </c>
      <c r="AA31" s="50">
        <f t="shared" si="16"/>
        <v>2937</v>
      </c>
      <c r="AB31" s="49">
        <f t="shared" si="18"/>
        <v>67</v>
      </c>
      <c r="AC31" s="27"/>
      <c r="AD31" s="49"/>
      <c r="AE31" s="49"/>
      <c r="AF31" s="49"/>
    </row>
    <row r="32" spans="1:44" s="40" customFormat="1">
      <c r="A32" s="44" t="s">
        <v>11</v>
      </c>
      <c r="B32" s="248">
        <v>77349</v>
      </c>
      <c r="C32" s="178">
        <f t="shared" si="19"/>
        <v>77349</v>
      </c>
      <c r="D32" s="248">
        <f t="shared" si="20"/>
        <v>0</v>
      </c>
      <c r="E32" s="248"/>
      <c r="F32" s="250">
        <v>2175295.3201399995</v>
      </c>
      <c r="G32" s="251">
        <f>77349-381</f>
        <v>76968</v>
      </c>
      <c r="H32" s="250">
        <f>2175295.32014-7941</f>
        <v>2167354.32014</v>
      </c>
      <c r="I32" s="250"/>
      <c r="J32" s="271">
        <v>0</v>
      </c>
      <c r="K32" s="271">
        <v>0</v>
      </c>
      <c r="L32" s="251">
        <v>3108632.9465332031</v>
      </c>
      <c r="M32" s="251">
        <v>3153619.9342092038</v>
      </c>
      <c r="N32" s="251">
        <f>82175017.6341466-1555000</f>
        <v>80620017.634146601</v>
      </c>
      <c r="O32" s="251">
        <f>83364224.13397-6364000</f>
        <v>77000224.133970007</v>
      </c>
      <c r="P32" s="251">
        <f>62230746.4904573+3923000</f>
        <v>66153746.490457296</v>
      </c>
      <c r="Q32" s="251">
        <f>62230746.4904573+7049000</f>
        <v>69279746.490457296</v>
      </c>
      <c r="S32" s="251">
        <v>3108632.9465332031</v>
      </c>
      <c r="T32" s="251">
        <v>80620017.634146601</v>
      </c>
      <c r="U32" s="251">
        <v>66153746.490457296</v>
      </c>
      <c r="V32" s="251">
        <v>583157.00000000047</v>
      </c>
      <c r="X32" s="46">
        <f t="shared" si="14"/>
        <v>45768</v>
      </c>
      <c r="Y32" s="49">
        <f t="shared" si="17"/>
        <v>46149</v>
      </c>
      <c r="Z32" s="46">
        <f t="shared" si="15"/>
        <v>381</v>
      </c>
      <c r="AA32" s="50">
        <f t="shared" si="16"/>
        <v>7940.9999999995343</v>
      </c>
      <c r="AB32" s="49">
        <f t="shared" si="18"/>
        <v>381</v>
      </c>
      <c r="AC32" s="27"/>
      <c r="AD32" s="49"/>
      <c r="AE32" s="49"/>
      <c r="AF32" s="49"/>
    </row>
    <row r="33" spans="1:40" s="40" customFormat="1">
      <c r="A33" s="44" t="s">
        <v>12</v>
      </c>
      <c r="B33" s="248">
        <v>85373</v>
      </c>
      <c r="C33" s="178">
        <f t="shared" si="19"/>
        <v>85373</v>
      </c>
      <c r="D33" s="248">
        <f t="shared" si="20"/>
        <v>0</v>
      </c>
      <c r="E33" s="248"/>
      <c r="F33" s="250">
        <v>2465008.5719699999</v>
      </c>
      <c r="G33" s="251">
        <f>85262-265</f>
        <v>84997</v>
      </c>
      <c r="H33" s="250">
        <f>2453908.57197-2146</f>
        <v>2451762.5719699999</v>
      </c>
      <c r="I33" s="250"/>
      <c r="J33" s="271">
        <v>0</v>
      </c>
      <c r="K33" s="271">
        <v>0</v>
      </c>
      <c r="L33" s="251">
        <v>3118297.9225463867</v>
      </c>
      <c r="M33" s="251">
        <v>3542809.3258800958</v>
      </c>
      <c r="N33" s="251">
        <f>84567314.9562969-2913000</f>
        <v>81654314.956296906</v>
      </c>
      <c r="O33" s="251">
        <f>96079938.3296742-979000</f>
        <v>95100938.329674199</v>
      </c>
      <c r="P33" s="251">
        <f>65059543.4547577-114000</f>
        <v>64945543.454757698</v>
      </c>
      <c r="Q33" s="251">
        <f>65037997.6510625+261000</f>
        <v>65298997.651062503</v>
      </c>
      <c r="S33" s="251">
        <v>3118297.9225463867</v>
      </c>
      <c r="T33" s="251">
        <v>81654314.956296906</v>
      </c>
      <c r="U33" s="251">
        <v>64945543.454757698</v>
      </c>
      <c r="V33" s="251">
        <v>132182</v>
      </c>
      <c r="X33" s="46">
        <f t="shared" si="14"/>
        <v>15013</v>
      </c>
      <c r="Y33" s="49">
        <f t="shared" si="17"/>
        <v>15389</v>
      </c>
      <c r="Z33" s="46">
        <f t="shared" si="15"/>
        <v>376</v>
      </c>
      <c r="AA33" s="50">
        <f t="shared" si="16"/>
        <v>13246</v>
      </c>
      <c r="AB33" s="49">
        <f t="shared" si="18"/>
        <v>376</v>
      </c>
      <c r="AC33" s="27"/>
      <c r="AD33" s="49"/>
      <c r="AE33" s="49"/>
      <c r="AF33" s="49"/>
    </row>
    <row r="34" spans="1:40" s="40" customFormat="1">
      <c r="A34" s="44" t="s">
        <v>13</v>
      </c>
      <c r="B34" s="248">
        <v>75194</v>
      </c>
      <c r="C34" s="178">
        <f t="shared" si="19"/>
        <v>75194</v>
      </c>
      <c r="D34" s="248">
        <f t="shared" si="20"/>
        <v>0</v>
      </c>
      <c r="E34" s="248"/>
      <c r="F34" s="250">
        <v>2208806.4320609998</v>
      </c>
      <c r="G34" s="251">
        <f>75154-281</f>
        <v>74873</v>
      </c>
      <c r="H34" s="250">
        <f>2207255.2025-7194</f>
        <v>2200061.2025000001</v>
      </c>
      <c r="I34" s="250"/>
      <c r="J34" s="271">
        <v>0</v>
      </c>
      <c r="K34" s="271">
        <v>0</v>
      </c>
      <c r="L34" s="251">
        <v>3259009</v>
      </c>
      <c r="M34" s="251">
        <v>3569094.2982098632</v>
      </c>
      <c r="N34" s="251">
        <f>87632994.5784076-1290000</f>
        <v>86342994.578407601</v>
      </c>
      <c r="O34" s="251">
        <f>95971021.0327282-891000</f>
        <v>95080021.032728195</v>
      </c>
      <c r="P34" s="251">
        <f>65795547+1851000</f>
        <v>67646547</v>
      </c>
      <c r="Q34" s="251">
        <f>65795547+269000</f>
        <v>66064547</v>
      </c>
      <c r="S34" s="251">
        <v>3259009</v>
      </c>
      <c r="T34" s="251">
        <v>86342994.578407601</v>
      </c>
      <c r="U34" s="251">
        <v>67646547</v>
      </c>
      <c r="V34" s="251">
        <v>342352.77043900033</v>
      </c>
      <c r="X34" s="46">
        <f t="shared" si="14"/>
        <v>40533</v>
      </c>
      <c r="Y34" s="49">
        <f t="shared" si="17"/>
        <v>40854</v>
      </c>
      <c r="Z34" s="46">
        <f t="shared" si="15"/>
        <v>321</v>
      </c>
      <c r="AA34" s="50">
        <f t="shared" si="16"/>
        <v>8745.2295609996654</v>
      </c>
      <c r="AB34" s="49">
        <f t="shared" si="18"/>
        <v>321</v>
      </c>
      <c r="AC34" s="27"/>
      <c r="AD34" s="49"/>
      <c r="AE34" s="49"/>
      <c r="AF34" s="49"/>
    </row>
    <row r="35" spans="1:40" s="40" customFormat="1">
      <c r="A35" s="44" t="s">
        <v>14</v>
      </c>
      <c r="B35" s="248">
        <v>76858</v>
      </c>
      <c r="C35" s="178">
        <f t="shared" si="19"/>
        <v>76858</v>
      </c>
      <c r="D35" s="248">
        <f t="shared" si="20"/>
        <v>0</v>
      </c>
      <c r="E35" s="248"/>
      <c r="F35" s="250">
        <v>2346334.6217899998</v>
      </c>
      <c r="G35" s="251">
        <f>76704-213-242</f>
        <v>76249</v>
      </c>
      <c r="H35" s="250">
        <f>2330934.62179-7092+894</f>
        <v>2324736.6217899998</v>
      </c>
      <c r="I35" s="250"/>
      <c r="J35" s="271">
        <v>0</v>
      </c>
      <c r="K35" s="271">
        <v>0</v>
      </c>
      <c r="L35" s="251">
        <v>2797867.8876342773</v>
      </c>
      <c r="M35" s="251">
        <v>2907225.1343285097</v>
      </c>
      <c r="N35" s="251">
        <f>73784413.0779042-4528000</f>
        <v>69256413.077904195</v>
      </c>
      <c r="O35" s="251">
        <f>76668344.9100009+689000</f>
        <v>77357344.910000905</v>
      </c>
      <c r="P35" s="251">
        <f>65466906.66572-2948000</f>
        <v>62518906.665720001</v>
      </c>
      <c r="Q35" s="251">
        <f>65466906.66572+240000</f>
        <v>65706906.665720001</v>
      </c>
      <c r="R35" s="678"/>
      <c r="S35" s="251">
        <v>2797867.8876342773</v>
      </c>
      <c r="T35" s="251">
        <v>69256413.077904195</v>
      </c>
      <c r="U35" s="251">
        <v>62518906.665720001</v>
      </c>
      <c r="V35" s="251">
        <v>309284</v>
      </c>
      <c r="X35" s="46">
        <f t="shared" si="14"/>
        <v>44925</v>
      </c>
      <c r="Y35" s="49">
        <f t="shared" si="17"/>
        <v>45534</v>
      </c>
      <c r="Z35" s="46">
        <f t="shared" si="15"/>
        <v>609</v>
      </c>
      <c r="AA35" s="50">
        <f t="shared" si="16"/>
        <v>21598</v>
      </c>
      <c r="AB35" s="49">
        <f t="shared" si="18"/>
        <v>609</v>
      </c>
      <c r="AC35" s="27"/>
      <c r="AD35" s="49"/>
      <c r="AE35" s="49"/>
      <c r="AF35" s="49"/>
    </row>
    <row r="36" spans="1:40" s="40" customFormat="1">
      <c r="A36" s="44" t="s">
        <v>15</v>
      </c>
      <c r="B36" s="248">
        <v>56188</v>
      </c>
      <c r="C36" s="178">
        <f t="shared" si="19"/>
        <v>56188</v>
      </c>
      <c r="D36" s="248">
        <v>0</v>
      </c>
      <c r="E36" s="248"/>
      <c r="F36" s="250">
        <v>1633606.2416700004</v>
      </c>
      <c r="G36" s="251">
        <f>55827-158-183</f>
        <v>55486</v>
      </c>
      <c r="H36" s="250">
        <f>1597576.24167-5511-638</f>
        <v>1591427.2416699999</v>
      </c>
      <c r="I36" s="250"/>
      <c r="J36" s="271">
        <v>0</v>
      </c>
      <c r="K36" s="271">
        <v>0</v>
      </c>
      <c r="L36" s="251">
        <v>2559209.5591430664</v>
      </c>
      <c r="M36" s="251">
        <v>2659084.8179377425</v>
      </c>
      <c r="N36" s="251">
        <f>62481242.5753127-1035000</f>
        <v>61446242.575312696</v>
      </c>
      <c r="O36" s="251">
        <f>64919624.4771495+513000</f>
        <v>65432624.477149501</v>
      </c>
      <c r="P36" s="251">
        <f>59536085.4846923+5030000</f>
        <v>64566085.484692298</v>
      </c>
      <c r="Q36" s="251">
        <f>59536085.4846923+258000</f>
        <v>59794085.484692298</v>
      </c>
      <c r="S36" s="251">
        <v>2628461.7069495963</v>
      </c>
      <c r="T36" s="251">
        <f>65471175.4493284+513000</f>
        <v>65984175.4493284</v>
      </c>
      <c r="U36" s="251">
        <f>59580879.8399017+168412</f>
        <v>59749291.839901701</v>
      </c>
      <c r="V36" s="251">
        <v>126667.8</v>
      </c>
      <c r="W36" s="678"/>
      <c r="X36" s="46">
        <f t="shared" si="14"/>
        <v>37517</v>
      </c>
      <c r="Y36" s="49"/>
      <c r="Z36" s="46">
        <f t="shared" si="15"/>
        <v>702</v>
      </c>
      <c r="AA36" s="50">
        <f t="shared" si="16"/>
        <v>42179.000000000466</v>
      </c>
      <c r="AB36" s="27"/>
      <c r="AC36" s="27"/>
      <c r="AD36" s="49"/>
      <c r="AE36" s="49"/>
      <c r="AF36" s="49"/>
    </row>
    <row r="37" spans="1:40" s="40" customFormat="1">
      <c r="A37" s="44" t="s">
        <v>16</v>
      </c>
      <c r="B37" s="248"/>
      <c r="C37" s="178">
        <f t="shared" si="19"/>
        <v>0</v>
      </c>
      <c r="D37" s="248">
        <f>D16</f>
        <v>0</v>
      </c>
      <c r="E37" s="248"/>
      <c r="F37" s="250"/>
      <c r="G37" s="251"/>
      <c r="H37" s="250"/>
      <c r="I37" s="250"/>
      <c r="J37" s="271">
        <v>0</v>
      </c>
      <c r="K37" s="271">
        <v>0</v>
      </c>
      <c r="L37" s="251"/>
      <c r="M37" s="251"/>
      <c r="N37" s="251"/>
      <c r="O37" s="251"/>
      <c r="P37" s="251"/>
      <c r="Q37" s="251"/>
      <c r="S37" s="251"/>
      <c r="T37" s="251"/>
      <c r="U37" s="251"/>
      <c r="V37" s="251"/>
      <c r="W37" s="678"/>
      <c r="X37" s="46">
        <f t="shared" si="14"/>
        <v>0</v>
      </c>
      <c r="Y37" s="49"/>
      <c r="Z37" s="46">
        <f t="shared" si="15"/>
        <v>0</v>
      </c>
      <c r="AA37" s="50">
        <f t="shared" si="16"/>
        <v>0</v>
      </c>
      <c r="AB37" s="27"/>
      <c r="AC37" s="27"/>
      <c r="AD37" s="49"/>
      <c r="AE37" s="49"/>
      <c r="AF37" s="49"/>
    </row>
    <row r="38" spans="1:40" s="40" customFormat="1">
      <c r="A38" s="44" t="s">
        <v>17</v>
      </c>
      <c r="B38" s="248"/>
      <c r="C38" s="178">
        <f t="shared" si="19"/>
        <v>0</v>
      </c>
      <c r="D38" s="248">
        <f>D17</f>
        <v>0</v>
      </c>
      <c r="E38" s="248"/>
      <c r="F38" s="250"/>
      <c r="G38" s="251"/>
      <c r="H38" s="250"/>
      <c r="I38" s="250"/>
      <c r="J38" s="271">
        <v>0</v>
      </c>
      <c r="K38" s="271">
        <v>0</v>
      </c>
      <c r="L38" s="251"/>
      <c r="M38" s="251"/>
      <c r="N38" s="251"/>
      <c r="O38" s="251"/>
      <c r="P38" s="251"/>
      <c r="Q38" s="251"/>
      <c r="S38" s="251"/>
      <c r="T38" s="251"/>
      <c r="U38" s="251"/>
      <c r="V38" s="251"/>
      <c r="X38" s="46">
        <f t="shared" si="14"/>
        <v>0</v>
      </c>
      <c r="Y38" s="49"/>
      <c r="Z38" s="46">
        <f t="shared" si="15"/>
        <v>0</v>
      </c>
      <c r="AA38" s="50">
        <f t="shared" si="16"/>
        <v>0</v>
      </c>
      <c r="AB38" s="27"/>
      <c r="AC38" s="27"/>
      <c r="AD38" s="49"/>
      <c r="AE38" s="49"/>
      <c r="AF38" s="49"/>
    </row>
    <row r="39" spans="1:40" s="176" customFormat="1">
      <c r="A39" s="227"/>
      <c r="B39" s="228"/>
      <c r="C39" s="228"/>
      <c r="D39" s="228"/>
      <c r="E39" s="228"/>
      <c r="F39" s="229"/>
      <c r="G39" s="229"/>
      <c r="H39" s="229"/>
      <c r="I39" s="229"/>
      <c r="J39" s="230"/>
      <c r="K39" s="231"/>
      <c r="L39" s="115"/>
      <c r="M39" s="58"/>
      <c r="N39" s="232"/>
      <c r="O39" s="232"/>
      <c r="R39" s="676"/>
      <c r="T39" s="232"/>
      <c r="U39" s="232"/>
      <c r="V39" s="46"/>
      <c r="W39" s="50"/>
      <c r="X39" s="232"/>
      <c r="Y39" s="232"/>
      <c r="Z39" s="232"/>
      <c r="AA39" s="233"/>
      <c r="AB39" s="91"/>
      <c r="AC39" s="91"/>
      <c r="AD39" s="232"/>
      <c r="AE39" s="232"/>
      <c r="AF39" s="232"/>
    </row>
    <row r="40" spans="1:40" s="234" customFormat="1" ht="15.75">
      <c r="A40" s="91" t="s">
        <v>18</v>
      </c>
      <c r="B40" s="58">
        <f t="shared" ref="B40:H40" si="21">SUM(B27:B38)</f>
        <v>808654</v>
      </c>
      <c r="C40" s="58">
        <f t="shared" si="21"/>
        <v>808654</v>
      </c>
      <c r="D40" s="58">
        <f t="shared" si="21"/>
        <v>0</v>
      </c>
      <c r="E40" s="58">
        <f t="shared" si="21"/>
        <v>0</v>
      </c>
      <c r="F40" s="58">
        <f t="shared" si="21"/>
        <v>24765173.126086999</v>
      </c>
      <c r="G40" s="58">
        <f t="shared" si="21"/>
        <v>805703</v>
      </c>
      <c r="H40" s="58">
        <f t="shared" si="21"/>
        <v>24638672.653860003</v>
      </c>
      <c r="I40" s="58"/>
      <c r="J40" s="254">
        <f t="shared" ref="J40:Q40" si="22">SUM(J27:J39)</f>
        <v>0</v>
      </c>
      <c r="K40" s="254">
        <f t="shared" si="22"/>
        <v>0</v>
      </c>
      <c r="L40" s="254">
        <f t="shared" si="22"/>
        <v>29685314.876342773</v>
      </c>
      <c r="M40" s="254">
        <f t="shared" si="22"/>
        <v>29925820.848250862</v>
      </c>
      <c r="N40" s="232">
        <f>SUM(N27:N39)</f>
        <v>778689562.17208064</v>
      </c>
      <c r="O40" s="232">
        <f t="shared" si="22"/>
        <v>790315514.02718806</v>
      </c>
      <c r="P40" s="232">
        <f t="shared" si="22"/>
        <v>618094447.68696773</v>
      </c>
      <c r="Q40" s="232">
        <f t="shared" si="22"/>
        <v>603859901.88327169</v>
      </c>
      <c r="R40" s="677"/>
      <c r="S40" s="232">
        <f>SUM(S27:S39)</f>
        <v>29754567.024149302</v>
      </c>
      <c r="T40" s="232">
        <f>SUM(T27:T39)</f>
        <v>783227495.04609632</v>
      </c>
      <c r="U40" s="232">
        <f>SUM(U27:U39)</f>
        <v>613277654.04217708</v>
      </c>
      <c r="V40" s="232">
        <f>SUM(V27:V38)</f>
        <v>10446718.146373002</v>
      </c>
      <c r="W40" s="232"/>
      <c r="X40" s="232"/>
      <c r="Y40" s="232"/>
      <c r="Z40" s="232"/>
      <c r="AA40" s="233"/>
      <c r="AB40" s="91"/>
      <c r="AC40" s="91"/>
      <c r="AD40" s="232"/>
      <c r="AE40" s="232"/>
      <c r="AF40" s="232"/>
    </row>
    <row r="41" spans="1:40">
      <c r="A41" s="44"/>
      <c r="B41" s="60"/>
      <c r="C41" s="48"/>
      <c r="D41" s="48"/>
      <c r="E41" s="50"/>
      <c r="F41" s="50"/>
      <c r="G41" s="51"/>
      <c r="H41" s="50"/>
      <c r="I41" s="50"/>
      <c r="J41" s="50"/>
      <c r="K41" s="51"/>
      <c r="L41" s="270"/>
      <c r="M41" s="27"/>
      <c r="N41" s="49">
        <f>N40-O40</f>
        <v>-11625951.855107427</v>
      </c>
      <c r="O41" s="49"/>
      <c r="P41" s="49">
        <f>P40-Q40</f>
        <v>14234545.803696036</v>
      </c>
      <c r="Q41" s="49"/>
      <c r="R41" s="49"/>
      <c r="S41" s="49"/>
      <c r="T41" s="39"/>
      <c r="U41" s="39"/>
      <c r="V41" s="39"/>
      <c r="Z41"/>
      <c r="AF41" s="100"/>
      <c r="AG41" s="100"/>
      <c r="AH41" s="100"/>
      <c r="AI41" s="100"/>
    </row>
    <row r="42" spans="1:40">
      <c r="L42" s="45"/>
      <c r="N42" s="405">
        <f>N40/1000</f>
        <v>778689.56217208062</v>
      </c>
      <c r="O42" s="405">
        <f>O40/1000</f>
        <v>790315.51402718807</v>
      </c>
      <c r="P42" s="405">
        <f>P40/1000</f>
        <v>618094.44768696767</v>
      </c>
      <c r="Q42" s="405">
        <f>Q40/1000</f>
        <v>603859.90188327164</v>
      </c>
      <c r="T42" s="405">
        <f>T40/1000</f>
        <v>783227.49504609627</v>
      </c>
      <c r="U42" s="405">
        <f>U40/1000</f>
        <v>613277.65404217714</v>
      </c>
      <c r="V42" s="39"/>
      <c r="W42" s="39"/>
      <c r="AI42" s="100"/>
    </row>
    <row r="43" spans="1:40">
      <c r="B43" s="683" t="s">
        <v>150</v>
      </c>
      <c r="C43" s="683"/>
      <c r="D43" s="683"/>
      <c r="E43" s="683"/>
      <c r="F43" s="683"/>
      <c r="G43" s="683"/>
      <c r="H43" s="683"/>
      <c r="I43" s="45"/>
      <c r="J43" s="45"/>
      <c r="K43" s="45"/>
      <c r="L43" s="45"/>
      <c r="N43" s="510">
        <f>778690-N42</f>
        <v>0.43782791937701404</v>
      </c>
      <c r="O43" s="510">
        <f>790316-O42</f>
        <v>0.48597281193360686</v>
      </c>
      <c r="P43" s="46">
        <f>618094-P42</f>
        <v>-0.44768696767278016</v>
      </c>
      <c r="Q43" s="46">
        <f>603860-Q42</f>
        <v>9.8116728360764682E-2</v>
      </c>
      <c r="T43" s="510">
        <f>700685-T42</f>
        <v>-82542.495046096272</v>
      </c>
      <c r="U43" s="46">
        <f>502322-U42</f>
        <v>-110955.65404217714</v>
      </c>
      <c r="V43" s="40"/>
      <c r="Z43"/>
      <c r="AE43" s="688" t="s">
        <v>351</v>
      </c>
      <c r="AF43" s="688"/>
      <c r="AG43" s="688"/>
      <c r="AH43" s="688"/>
      <c r="AI43" s="688"/>
      <c r="AJ43" s="688"/>
      <c r="AK43" s="688"/>
    </row>
    <row r="44" spans="1:40">
      <c r="A44" s="44"/>
      <c r="B44" s="27" t="s">
        <v>43</v>
      </c>
      <c r="C44" s="27" t="s">
        <v>44</v>
      </c>
      <c r="D44" s="27" t="s">
        <v>130</v>
      </c>
      <c r="E44" s="27" t="s">
        <v>130</v>
      </c>
      <c r="F44" s="27" t="s">
        <v>139</v>
      </c>
      <c r="G44" s="27" t="s">
        <v>22</v>
      </c>
      <c r="H44" s="27" t="s">
        <v>47</v>
      </c>
      <c r="I44" s="27" t="s">
        <v>48</v>
      </c>
      <c r="J44" s="27" t="s">
        <v>49</v>
      </c>
      <c r="K44" s="27" t="s">
        <v>166</v>
      </c>
      <c r="L44" s="27" t="s">
        <v>46</v>
      </c>
      <c r="M44" s="27" t="s">
        <v>181</v>
      </c>
      <c r="N44" s="27" t="s">
        <v>57</v>
      </c>
      <c r="O44" s="27" t="s">
        <v>105</v>
      </c>
      <c r="P44" s="27" t="s">
        <v>108</v>
      </c>
      <c r="Q44" s="27" t="s">
        <v>108</v>
      </c>
      <c r="R44" s="165" t="s">
        <v>112</v>
      </c>
      <c r="S44" s="288" t="s">
        <v>126</v>
      </c>
      <c r="W44" s="39"/>
      <c r="X44" s="39"/>
      <c r="AA44" s="40"/>
      <c r="AH44" s="689" t="s">
        <v>50</v>
      </c>
      <c r="AI44" s="689"/>
      <c r="AJ44" s="687" t="s">
        <v>352</v>
      </c>
      <c r="AK44" s="687"/>
    </row>
    <row r="45" spans="1:40">
      <c r="A45" s="44"/>
      <c r="B45" s="27" t="s">
        <v>52</v>
      </c>
      <c r="C45" s="27" t="s">
        <v>53</v>
      </c>
      <c r="D45" s="27" t="s">
        <v>53</v>
      </c>
      <c r="E45" s="27" t="s">
        <v>131</v>
      </c>
      <c r="F45" s="27" t="s">
        <v>131</v>
      </c>
      <c r="G45" s="27" t="s">
        <v>61</v>
      </c>
      <c r="H45" s="27" t="s">
        <v>55</v>
      </c>
      <c r="I45" s="27" t="s">
        <v>24</v>
      </c>
      <c r="J45" s="27" t="s">
        <v>24</v>
      </c>
      <c r="K45" s="27" t="s">
        <v>167</v>
      </c>
      <c r="L45" s="27" t="s">
        <v>54</v>
      </c>
      <c r="M45" s="27" t="s">
        <v>24</v>
      </c>
      <c r="N45" s="27" t="s">
        <v>62</v>
      </c>
      <c r="O45" s="27" t="s">
        <v>107</v>
      </c>
      <c r="P45" s="27" t="s">
        <v>109</v>
      </c>
      <c r="Q45" s="27" t="s">
        <v>110</v>
      </c>
      <c r="R45" s="165" t="s">
        <v>24</v>
      </c>
      <c r="S45" s="289" t="s">
        <v>158</v>
      </c>
      <c r="U45" s="46" t="s">
        <v>188</v>
      </c>
      <c r="V45" s="46" t="s">
        <v>189</v>
      </c>
      <c r="W45" s="46" t="s">
        <v>190</v>
      </c>
      <c r="X45" s="404" t="s">
        <v>191</v>
      </c>
      <c r="Y45" s="46" t="s">
        <v>192</v>
      </c>
      <c r="Z45" s="46" t="s">
        <v>193</v>
      </c>
      <c r="AA45" s="46" t="s">
        <v>194</v>
      </c>
      <c r="AB45" s="46" t="s">
        <v>195</v>
      </c>
      <c r="AC45" s="376" t="s">
        <v>217</v>
      </c>
      <c r="AD45" s="376" t="s">
        <v>218</v>
      </c>
      <c r="AE45" s="604" t="s">
        <v>331</v>
      </c>
      <c r="AF45" s="604" t="s">
        <v>347</v>
      </c>
      <c r="AG45" s="604" t="s">
        <v>348</v>
      </c>
      <c r="AH45" s="604" t="s">
        <v>343</v>
      </c>
      <c r="AI45" s="604" t="s">
        <v>344</v>
      </c>
      <c r="AJ45" s="604" t="s">
        <v>343</v>
      </c>
      <c r="AK45" s="604" t="s">
        <v>344</v>
      </c>
    </row>
    <row r="46" spans="1:40">
      <c r="A46" s="44" t="s">
        <v>6</v>
      </c>
      <c r="B46" s="358">
        <f t="shared" ref="B46:B51" si="23">C46+D46</f>
        <v>83395.999999999985</v>
      </c>
      <c r="C46" s="358">
        <f>HLOOKUP($A46,'2014 Budget'!$D$6:$P$111,26,0)</f>
        <v>82910.799999999988</v>
      </c>
      <c r="D46" s="358">
        <f>HLOOKUP($A46,'2014 Budget'!$D$6:$P$111,11,0)</f>
        <v>485.20000000000005</v>
      </c>
      <c r="E46" s="358">
        <f>HLOOKUP($A46,'2014 Budget'!$D$6:$P$111,77,0)</f>
        <v>485.20000000000005</v>
      </c>
      <c r="F46" s="358">
        <f t="shared" ref="F46:F51" si="24">J46</f>
        <v>26655.3</v>
      </c>
      <c r="G46" s="358">
        <f>HLOOKUP($A46,'2014 Budget'!$D$6:$P$111,8,0)</f>
        <v>3329005.5</v>
      </c>
      <c r="H46" s="64">
        <f t="shared" ref="H46:H51" si="25">(I46/C46)</f>
        <v>28.174814378826404</v>
      </c>
      <c r="I46" s="358">
        <f>HLOOKUP($A46,'2014 Budget'!$D$6:$P$111,28,0)</f>
        <v>2335996.4</v>
      </c>
      <c r="J46" s="358">
        <f>HLOOKUP($A46,'2014 Budget'!$D$6:$P$111,13,0)</f>
        <v>26655.3</v>
      </c>
      <c r="K46" s="358">
        <f>HLOOKUP($A46,'2014 Budget'!$D$6:$P$111,21,0)</f>
        <v>126096.90000000001</v>
      </c>
      <c r="L46" s="358">
        <f>HLOOKUP($A46,'2014 Budget'!$D$6:$P$111,17,0)</f>
        <v>0</v>
      </c>
      <c r="M46" s="358">
        <f>HLOOKUP($A46,'2014 Budget'!$D$6:$P$111,23,0)</f>
        <v>258016.24049999999</v>
      </c>
      <c r="N46" s="65">
        <f t="shared" ref="N46:N51" si="26">G46-I46-J46-K46-L46-M46</f>
        <v>582240.65950000007</v>
      </c>
      <c r="O46" s="63">
        <v>0</v>
      </c>
      <c r="P46" s="46">
        <f t="shared" ref="P46:P52" si="27">V6-AA6</f>
        <v>251</v>
      </c>
      <c r="Q46" s="163">
        <f t="shared" ref="Q46:Q57" si="28">Y6-Z6</f>
        <v>20195.242666000966</v>
      </c>
      <c r="R46" s="165">
        <f t="shared" ref="R46:R51" si="29">M6</f>
        <v>0</v>
      </c>
      <c r="S46" s="287">
        <f>HLOOKUP($A46,'2014 Budget'!$D$6:$P$111,6,0)</f>
        <v>3329005.5</v>
      </c>
      <c r="U46" s="367">
        <v>1176</v>
      </c>
      <c r="V46" s="367">
        <v>0</v>
      </c>
      <c r="W46" s="367">
        <v>1146</v>
      </c>
      <c r="X46" s="367">
        <v>0</v>
      </c>
      <c r="Y46" s="367">
        <v>1013</v>
      </c>
      <c r="Z46" s="367">
        <v>0</v>
      </c>
      <c r="AA46" s="367">
        <v>962</v>
      </c>
      <c r="AB46" s="367">
        <v>0</v>
      </c>
      <c r="AC46" s="374"/>
      <c r="AD46" s="374"/>
      <c r="AE46" s="591">
        <v>1</v>
      </c>
      <c r="AF46" s="603">
        <f>DAY(EOMONTH(DATE(YEAR('Input Data'!$A$4),AE46,1),0))</f>
        <v>31</v>
      </c>
      <c r="AG46" s="590" t="s">
        <v>349</v>
      </c>
      <c r="AH46" s="367">
        <v>27</v>
      </c>
      <c r="AI46" s="367">
        <v>27.6</v>
      </c>
      <c r="AJ46" s="600">
        <f>AH46*$AF46</f>
        <v>837</v>
      </c>
      <c r="AK46" s="600">
        <f>AI46*$AF46</f>
        <v>855.6</v>
      </c>
      <c r="AM46" s="600"/>
      <c r="AN46" s="600"/>
    </row>
    <row r="47" spans="1:40">
      <c r="A47" s="44" t="s">
        <v>7</v>
      </c>
      <c r="B47" s="631">
        <f t="shared" si="23"/>
        <v>23253.1</v>
      </c>
      <c r="C47" s="631">
        <f>HLOOKUP($A47,'2014 Budget'!$D$6:$P$111,26,0)</f>
        <v>23253.1</v>
      </c>
      <c r="D47" s="631">
        <f>HLOOKUP($A47,'2014 Budget'!$D$6:$P$111,11,0)</f>
        <v>0</v>
      </c>
      <c r="E47" s="631">
        <f>HLOOKUP($A47,'2014 Budget'!$D$6:$P$111,77,0)</f>
        <v>0</v>
      </c>
      <c r="F47" s="631">
        <f t="shared" si="24"/>
        <v>0</v>
      </c>
      <c r="G47" s="631">
        <f>HLOOKUP($A47,'2014 Budget'!$D$6:$P$111,8,0)</f>
        <v>904067.9</v>
      </c>
      <c r="H47" s="64">
        <f t="shared" si="25"/>
        <v>29.346345218487006</v>
      </c>
      <c r="I47" s="631">
        <f>HLOOKUP($A47,'2014 Budget'!$D$6:$P$111,28,0)</f>
        <v>682393.50000000012</v>
      </c>
      <c r="J47" s="631">
        <f>HLOOKUP($A47,'2014 Budget'!$D$6:$P$111,13,0)</f>
        <v>0</v>
      </c>
      <c r="K47" s="631">
        <f>HLOOKUP($A47,'2014 Budget'!$D$6:$P$111,21,0)</f>
        <v>27597</v>
      </c>
      <c r="L47" s="631">
        <f>HLOOKUP($A47,'2014 Budget'!$D$6:$P$111,17,0)</f>
        <v>0</v>
      </c>
      <c r="M47" s="631">
        <f>HLOOKUP($A47,'2014 Budget'!$D$6:$P$111,23,0)</f>
        <v>62306.246500000001</v>
      </c>
      <c r="N47" s="65">
        <f t="shared" si="26"/>
        <v>131771.1534999999</v>
      </c>
      <c r="O47" s="63">
        <v>0</v>
      </c>
      <c r="P47" s="46">
        <f t="shared" ref="P47:P48" si="30">V7-AA7</f>
        <v>93</v>
      </c>
      <c r="Q47" s="163">
        <f t="shared" ref="Q47:Q48" si="31">Y7-Z7</f>
        <v>29112</v>
      </c>
      <c r="R47" s="165">
        <f t="shared" ref="R47:R48" si="32">M7</f>
        <v>0</v>
      </c>
      <c r="S47" s="287">
        <f>HLOOKUP($A47,'2014 Budget'!$D$6:$P$111,6,0)</f>
        <v>904067.9</v>
      </c>
      <c r="U47" s="367">
        <v>909</v>
      </c>
      <c r="V47" s="367">
        <v>0</v>
      </c>
      <c r="W47" s="367">
        <v>916</v>
      </c>
      <c r="X47" s="367">
        <v>0</v>
      </c>
      <c r="Y47" s="367">
        <v>803</v>
      </c>
      <c r="Z47" s="367">
        <v>0</v>
      </c>
      <c r="AA47" s="367">
        <v>756</v>
      </c>
      <c r="AB47" s="367">
        <v>0</v>
      </c>
      <c r="AE47" s="590">
        <v>2</v>
      </c>
      <c r="AF47" s="603">
        <f>DAY(EOMONTH(DATE(YEAR('Input Data'!$A$4),AE47,1),0))</f>
        <v>28</v>
      </c>
      <c r="AG47" s="590" t="s">
        <v>349</v>
      </c>
      <c r="AH47" s="367">
        <v>29</v>
      </c>
      <c r="AI47" s="367">
        <v>30</v>
      </c>
      <c r="AJ47" s="600">
        <f t="shared" ref="AJ47:AJ57" si="33">AH47*$AF47</f>
        <v>812</v>
      </c>
      <c r="AK47" s="600">
        <f t="shared" ref="AK47:AK57" si="34">AI47*$AF47</f>
        <v>840</v>
      </c>
      <c r="AM47" s="600"/>
      <c r="AN47" s="600"/>
    </row>
    <row r="48" spans="1:40">
      <c r="A48" s="44" t="s">
        <v>8</v>
      </c>
      <c r="B48" s="641">
        <f t="shared" si="23"/>
        <v>1387.3999999999999</v>
      </c>
      <c r="C48" s="641">
        <f>HLOOKUP($A48,'2014 Budget'!$D$6:$P$111,26,0)</f>
        <v>1387.3999999999999</v>
      </c>
      <c r="D48" s="641">
        <f>HLOOKUP($A48,'2014 Budget'!$D$6:$P$111,11,0)</f>
        <v>0</v>
      </c>
      <c r="E48" s="641">
        <f>HLOOKUP($A48,'2014 Budget'!$D$6:$P$111,77,0)</f>
        <v>0</v>
      </c>
      <c r="F48" s="641">
        <f t="shared" si="24"/>
        <v>0</v>
      </c>
      <c r="G48" s="641">
        <f>HLOOKUP($A48,'2014 Budget'!$D$6:$P$111,8,0)</f>
        <v>58401.799999999996</v>
      </c>
      <c r="H48" s="64">
        <f t="shared" si="25"/>
        <v>32.664192013838843</v>
      </c>
      <c r="I48" s="641">
        <f>HLOOKUP($A48,'2014 Budget'!$D$6:$P$111,28,0)</f>
        <v>45318.3</v>
      </c>
      <c r="J48" s="641">
        <f>HLOOKUP($A48,'2014 Budget'!$D$6:$P$111,13,0)</f>
        <v>0</v>
      </c>
      <c r="K48" s="641">
        <f>HLOOKUP($A48,'2014 Budget'!$D$6:$P$111,21,0)</f>
        <v>1623.8</v>
      </c>
      <c r="L48" s="641">
        <f>HLOOKUP($A48,'2014 Budget'!$D$6:$P$111,17,0)</f>
        <v>0</v>
      </c>
      <c r="M48" s="641">
        <f>HLOOKUP($A48,'2014 Budget'!$D$6:$P$111,23,0)</f>
        <v>4374.4549999999999</v>
      </c>
      <c r="N48" s="65">
        <f t="shared" si="26"/>
        <v>7085.2449999999935</v>
      </c>
      <c r="O48" s="63">
        <v>0</v>
      </c>
      <c r="P48" s="46">
        <f t="shared" si="30"/>
        <v>115</v>
      </c>
      <c r="Q48" s="163">
        <f t="shared" si="31"/>
        <v>-21946.000000000931</v>
      </c>
      <c r="R48" s="165">
        <f t="shared" si="32"/>
        <v>0</v>
      </c>
      <c r="S48" s="287">
        <f>HLOOKUP($A48,'2014 Budget'!$D$6:$P$111,6,0)</f>
        <v>58401.799999999996</v>
      </c>
      <c r="U48" s="372">
        <v>716</v>
      </c>
      <c r="V48" s="372">
        <v>0</v>
      </c>
      <c r="W48" s="372">
        <v>678</v>
      </c>
      <c r="X48" s="372">
        <v>0</v>
      </c>
      <c r="Y48" s="367">
        <v>611</v>
      </c>
      <c r="Z48" s="367">
        <v>4</v>
      </c>
      <c r="AA48" s="367">
        <v>558</v>
      </c>
      <c r="AB48" s="367">
        <v>8</v>
      </c>
      <c r="AE48" s="590">
        <v>3</v>
      </c>
      <c r="AF48" s="603">
        <f>DAY(EOMONTH(DATE(YEAR('Input Data'!$A$4),AE48,1),0))</f>
        <v>31</v>
      </c>
      <c r="AG48" s="590" t="s">
        <v>349</v>
      </c>
      <c r="AH48" s="367">
        <v>42</v>
      </c>
      <c r="AI48" s="367">
        <v>43</v>
      </c>
      <c r="AJ48" s="600">
        <f t="shared" si="33"/>
        <v>1302</v>
      </c>
      <c r="AK48" s="600">
        <f t="shared" si="34"/>
        <v>1333</v>
      </c>
      <c r="AM48" s="600"/>
      <c r="AN48" s="600"/>
    </row>
    <row r="49" spans="1:40">
      <c r="A49" s="44" t="s">
        <v>9</v>
      </c>
      <c r="B49" s="646">
        <f t="shared" si="23"/>
        <v>0</v>
      </c>
      <c r="C49" s="646">
        <f>HLOOKUP($A49,'2014 Budget'!$D$6:$P$111,26,0)</f>
        <v>0</v>
      </c>
      <c r="D49" s="646">
        <f>HLOOKUP($A49,'2014 Budget'!$D$6:$P$111,11,0)</f>
        <v>0</v>
      </c>
      <c r="E49" s="646">
        <f>HLOOKUP($A49,'2014 Budget'!$D$6:$P$111,77,0)</f>
        <v>0</v>
      </c>
      <c r="F49" s="646">
        <f t="shared" si="24"/>
        <v>0</v>
      </c>
      <c r="G49" s="646">
        <f>HLOOKUP($A49,'2014 Budget'!$D$6:$P$111,8,0)</f>
        <v>0</v>
      </c>
      <c r="H49" s="64" t="e">
        <f t="shared" si="25"/>
        <v>#DIV/0!</v>
      </c>
      <c r="I49" s="646">
        <f>HLOOKUP($A49,'2014 Budget'!$D$6:$P$111,28,0)</f>
        <v>0</v>
      </c>
      <c r="J49" s="646">
        <f>HLOOKUP($A49,'2014 Budget'!$D$6:$P$111,13,0)</f>
        <v>0</v>
      </c>
      <c r="K49" s="646">
        <f>HLOOKUP($A49,'2014 Budget'!$D$6:$P$111,21,0)</f>
        <v>0</v>
      </c>
      <c r="L49" s="646">
        <f>HLOOKUP($A49,'2014 Budget'!$D$6:$P$111,17,0)</f>
        <v>0</v>
      </c>
      <c r="M49" s="646">
        <f>HLOOKUP($A49,'2014 Budget'!$D$6:$P$111,23,0)</f>
        <v>0</v>
      </c>
      <c r="N49" s="65">
        <f t="shared" si="26"/>
        <v>0</v>
      </c>
      <c r="O49" s="63">
        <v>0</v>
      </c>
      <c r="P49" s="46">
        <f t="shared" si="27"/>
        <v>36</v>
      </c>
      <c r="Q49" s="163">
        <f t="shared" si="28"/>
        <v>2493</v>
      </c>
      <c r="R49" s="165">
        <f t="shared" si="29"/>
        <v>0</v>
      </c>
      <c r="S49" s="287">
        <f>HLOOKUP($A49,'2014 Budget'!$D$6:$P$111,6,0)</f>
        <v>0</v>
      </c>
      <c r="U49" s="367">
        <v>206</v>
      </c>
      <c r="V49" s="367">
        <v>15</v>
      </c>
      <c r="W49" s="367">
        <v>155</v>
      </c>
      <c r="X49" s="367">
        <v>34</v>
      </c>
      <c r="Y49" s="367">
        <v>296</v>
      </c>
      <c r="Z49" s="367">
        <v>21</v>
      </c>
      <c r="AA49" s="367">
        <v>251</v>
      </c>
      <c r="AB49" s="367">
        <v>33</v>
      </c>
      <c r="AE49" s="591">
        <v>4</v>
      </c>
      <c r="AF49" s="603">
        <f>DAY(EOMONTH(DATE(YEAR('Input Data'!$A$4),AE49,1),0))</f>
        <v>30</v>
      </c>
      <c r="AG49" s="590" t="s">
        <v>349</v>
      </c>
      <c r="AH49" s="367">
        <v>59</v>
      </c>
      <c r="AI49" s="367">
        <v>61</v>
      </c>
      <c r="AJ49" s="600">
        <f t="shared" si="33"/>
        <v>1770</v>
      </c>
      <c r="AK49" s="600">
        <f t="shared" si="34"/>
        <v>1830</v>
      </c>
      <c r="AM49" s="600"/>
      <c r="AN49" s="600"/>
    </row>
    <row r="50" spans="1:40">
      <c r="A50" s="44" t="s">
        <v>10</v>
      </c>
      <c r="B50" s="647">
        <f t="shared" si="23"/>
        <v>65482.500000000015</v>
      </c>
      <c r="C50" s="647">
        <f>HLOOKUP($A50,'2014 Budget'!$D$6:$P$111,26,0)</f>
        <v>65482.500000000015</v>
      </c>
      <c r="D50" s="647">
        <f>HLOOKUP($A50,'2014 Budget'!$D$6:$P$111,11,0)</f>
        <v>0</v>
      </c>
      <c r="E50" s="647">
        <f>HLOOKUP($A50,'2014 Budget'!$D$6:$P$111,77,0)</f>
        <v>0</v>
      </c>
      <c r="F50" s="647">
        <f t="shared" si="24"/>
        <v>0</v>
      </c>
      <c r="G50" s="647">
        <f>HLOOKUP($A50,'2014 Budget'!$D$6:$P$111,8,0)</f>
        <v>2927675.4</v>
      </c>
      <c r="H50" s="64">
        <f t="shared" si="25"/>
        <v>28.774032756843425</v>
      </c>
      <c r="I50" s="647">
        <f>HLOOKUP($A50,'2014 Budget'!$D$6:$P$111,28,0)</f>
        <v>1884195.6</v>
      </c>
      <c r="J50" s="647">
        <f>HLOOKUP($A50,'2014 Budget'!$D$6:$P$111,13,0)</f>
        <v>0</v>
      </c>
      <c r="K50" s="647">
        <f>HLOOKUP($A50,'2014 Budget'!$D$6:$P$111,21,0)</f>
        <v>118634.1</v>
      </c>
      <c r="L50" s="647">
        <f>HLOOKUP($A50,'2014 Budget'!$D$6:$P$111,17,0)</f>
        <v>0</v>
      </c>
      <c r="M50" s="647">
        <f>HLOOKUP($A50,'2014 Budget'!$D$6:$P$111,23,0)</f>
        <v>213932.35249999998</v>
      </c>
      <c r="N50" s="65">
        <f t="shared" si="26"/>
        <v>710913.34749999992</v>
      </c>
      <c r="O50" s="63">
        <v>0</v>
      </c>
      <c r="P50" s="46">
        <f>V10-AA10</f>
        <v>67</v>
      </c>
      <c r="Q50" s="163">
        <f t="shared" si="28"/>
        <v>2937</v>
      </c>
      <c r="R50" s="165">
        <f t="shared" si="29"/>
        <v>0</v>
      </c>
      <c r="S50" s="287">
        <f>HLOOKUP($A50,'2014 Budget'!$D$6:$P$111,6,0)</f>
        <v>2927675.4</v>
      </c>
      <c r="U50" s="367">
        <v>90</v>
      </c>
      <c r="V50" s="367">
        <v>146</v>
      </c>
      <c r="W50" s="367">
        <v>65</v>
      </c>
      <c r="X50" s="367">
        <v>221</v>
      </c>
      <c r="Y50" s="367">
        <v>111</v>
      </c>
      <c r="Z50" s="367">
        <v>86</v>
      </c>
      <c r="AA50" s="367">
        <v>81</v>
      </c>
      <c r="AB50" s="367">
        <v>115</v>
      </c>
      <c r="AE50" s="590">
        <v>5</v>
      </c>
      <c r="AF50" s="603">
        <f>DAY(EOMONTH(DATE(YEAR('Input Data'!$A$4),AE50,1),0))</f>
        <v>31</v>
      </c>
      <c r="AG50" s="590" t="s">
        <v>350</v>
      </c>
      <c r="AH50" s="367">
        <v>67</v>
      </c>
      <c r="AI50" s="367">
        <v>70</v>
      </c>
      <c r="AJ50" s="600">
        <f t="shared" si="33"/>
        <v>2077</v>
      </c>
      <c r="AK50" s="600">
        <f t="shared" si="34"/>
        <v>2170</v>
      </c>
      <c r="AM50" s="600"/>
      <c r="AN50" s="600"/>
    </row>
    <row r="51" spans="1:40">
      <c r="A51" s="44" t="s">
        <v>11</v>
      </c>
      <c r="B51" s="659">
        <f t="shared" si="23"/>
        <v>21972.3</v>
      </c>
      <c r="C51" s="659">
        <f>HLOOKUP($A51,'2014 Budget'!$D$6:$P$111,26,0)</f>
        <v>21972.3</v>
      </c>
      <c r="D51" s="659">
        <f>HLOOKUP($A51,'2014 Budget'!$D$6:$P$111,11,0)</f>
        <v>0</v>
      </c>
      <c r="E51" s="659">
        <f>HLOOKUP($A51,'2014 Budget'!$D$6:$P$111,77,0)</f>
        <v>0</v>
      </c>
      <c r="F51" s="659">
        <f t="shared" si="24"/>
        <v>0</v>
      </c>
      <c r="G51" s="659">
        <f>HLOOKUP($A51,'2014 Budget'!$D$6:$P$111,8,0)</f>
        <v>909595.1</v>
      </c>
      <c r="H51" s="64">
        <f t="shared" si="25"/>
        <v>29.24258270640761</v>
      </c>
      <c r="I51" s="659">
        <f>HLOOKUP($A51,'2014 Budget'!$D$6:$P$111,28,0)</f>
        <v>642526.79999999993</v>
      </c>
      <c r="J51" s="659">
        <f>HLOOKUP($A51,'2014 Budget'!$D$6:$P$111,13,0)</f>
        <v>0</v>
      </c>
      <c r="K51" s="659">
        <f>HLOOKUP($A51,'2014 Budget'!$D$6:$P$111,21,0)</f>
        <v>40817</v>
      </c>
      <c r="L51" s="659">
        <f>HLOOKUP($A51,'2014 Budget'!$D$6:$P$111,17,0)</f>
        <v>0</v>
      </c>
      <c r="M51" s="659">
        <f>HLOOKUP($A51,'2014 Budget'!$D$6:$P$111,23,0)</f>
        <v>59413.641499999998</v>
      </c>
      <c r="N51" s="65">
        <f t="shared" si="26"/>
        <v>166837.65850000005</v>
      </c>
      <c r="O51" s="63">
        <v>0</v>
      </c>
      <c r="P51" s="46">
        <f t="shared" ref="P51" si="35">V11-AA11</f>
        <v>381</v>
      </c>
      <c r="Q51" s="163">
        <f t="shared" si="28"/>
        <v>7940.9999999995343</v>
      </c>
      <c r="R51" s="165">
        <f t="shared" si="29"/>
        <v>0</v>
      </c>
      <c r="S51" s="287">
        <f>HLOOKUP($A51,'2014 Budget'!$D$6:$P$111,6,0)</f>
        <v>909595.1</v>
      </c>
      <c r="U51" s="367">
        <v>0</v>
      </c>
      <c r="V51" s="367">
        <v>305</v>
      </c>
      <c r="W51" s="367">
        <v>0</v>
      </c>
      <c r="X51" s="367">
        <v>384</v>
      </c>
      <c r="Y51" s="367">
        <v>11</v>
      </c>
      <c r="Z51" s="367">
        <v>239</v>
      </c>
      <c r="AA51" s="367">
        <v>6</v>
      </c>
      <c r="AB51" s="367">
        <v>307</v>
      </c>
      <c r="AE51" s="590">
        <v>6</v>
      </c>
      <c r="AF51" s="603">
        <f>DAY(EOMONTH(DATE(YEAR('Input Data'!$A$4),AE51,1),0))</f>
        <v>30</v>
      </c>
      <c r="AG51" s="590" t="s">
        <v>350</v>
      </c>
      <c r="AH51" s="367">
        <v>75</v>
      </c>
      <c r="AI51" s="367">
        <v>77</v>
      </c>
      <c r="AJ51" s="600">
        <f t="shared" si="33"/>
        <v>2250</v>
      </c>
      <c r="AK51" s="600">
        <f t="shared" si="34"/>
        <v>2310</v>
      </c>
      <c r="AM51" s="600"/>
      <c r="AN51" s="600"/>
    </row>
    <row r="52" spans="1:40">
      <c r="A52" s="44" t="s">
        <v>12</v>
      </c>
      <c r="B52" s="665">
        <f t="shared" ref="B52:B54" si="36">C52+D52</f>
        <v>13530</v>
      </c>
      <c r="C52" s="665">
        <f>HLOOKUP($A52,'2014 Budget'!$D$6:$P$111,26,0)</f>
        <v>13530</v>
      </c>
      <c r="D52" s="665">
        <f>HLOOKUP($A52,'2014 Budget'!$D$6:$P$111,11,0)</f>
        <v>0</v>
      </c>
      <c r="E52" s="665">
        <f>HLOOKUP($A52,'2014 Budget'!$D$6:$P$111,77,0)</f>
        <v>0</v>
      </c>
      <c r="F52" s="665">
        <f t="shared" ref="F52:F54" si="37">J52</f>
        <v>0</v>
      </c>
      <c r="G52" s="665">
        <f>HLOOKUP($A52,'2014 Budget'!$D$6:$P$111,8,0)</f>
        <v>606452</v>
      </c>
      <c r="H52" s="64">
        <f t="shared" ref="H52:H54" si="38">(I52/C52)</f>
        <v>30.139090909090907</v>
      </c>
      <c r="I52" s="665">
        <f>HLOOKUP($A52,'2014 Budget'!$D$6:$P$111,28,0)</f>
        <v>407781.89999999997</v>
      </c>
      <c r="J52" s="665">
        <f>HLOOKUP($A52,'2014 Budget'!$D$6:$P$111,13,0)</f>
        <v>0</v>
      </c>
      <c r="K52" s="665">
        <f>HLOOKUP($A52,'2014 Budget'!$D$6:$P$111,21,0)</f>
        <v>40849.9</v>
      </c>
      <c r="L52" s="665">
        <f>HLOOKUP($A52,'2014 Budget'!$D$6:$P$111,17,0)</f>
        <v>0</v>
      </c>
      <c r="M52" s="665">
        <f>HLOOKUP($A52,'2014 Budget'!$D$6:$P$111,23,0)</f>
        <v>40433.64</v>
      </c>
      <c r="N52" s="65">
        <f t="shared" ref="N52:N54" si="39">G52-I52-J52-K52-L52-M52</f>
        <v>117386.56000000004</v>
      </c>
      <c r="O52" s="63">
        <v>0</v>
      </c>
      <c r="P52" s="46">
        <f t="shared" si="27"/>
        <v>376</v>
      </c>
      <c r="Q52" s="163">
        <f t="shared" si="28"/>
        <v>13246</v>
      </c>
      <c r="R52" s="165">
        <f t="shared" ref="R52:R57" si="40">M12</f>
        <v>0</v>
      </c>
      <c r="S52" s="287">
        <f>HLOOKUP($A52,'2014 Budget'!$D$6:$P$111,6,0)</f>
        <v>606452</v>
      </c>
      <c r="U52" s="367">
        <v>2</v>
      </c>
      <c r="V52" s="367">
        <v>269</v>
      </c>
      <c r="W52" s="367">
        <v>0</v>
      </c>
      <c r="X52" s="367">
        <v>306</v>
      </c>
      <c r="Y52" s="367">
        <v>0</v>
      </c>
      <c r="Z52" s="367">
        <v>353</v>
      </c>
      <c r="AA52" s="367">
        <v>0</v>
      </c>
      <c r="AB52" s="367">
        <v>415</v>
      </c>
      <c r="AE52" s="591">
        <v>7</v>
      </c>
      <c r="AF52" s="603">
        <f>DAY(EOMONTH(DATE(YEAR('Input Data'!$A$4),AE52,1),0))</f>
        <v>31</v>
      </c>
      <c r="AG52" s="590" t="s">
        <v>350</v>
      </c>
      <c r="AH52" s="367">
        <v>73</v>
      </c>
      <c r="AI52" s="367">
        <v>75</v>
      </c>
      <c r="AJ52" s="600">
        <f t="shared" si="33"/>
        <v>2263</v>
      </c>
      <c r="AK52" s="600">
        <f t="shared" si="34"/>
        <v>2325</v>
      </c>
      <c r="AM52" s="600"/>
      <c r="AN52" s="600"/>
    </row>
    <row r="53" spans="1:40">
      <c r="A53" s="44" t="s">
        <v>13</v>
      </c>
      <c r="B53" s="668">
        <f t="shared" si="36"/>
        <v>8207.7999999999993</v>
      </c>
      <c r="C53" s="668">
        <f>HLOOKUP($A53,'2014 Budget'!$D$6:$P$111,26,0)</f>
        <v>8207.7999999999993</v>
      </c>
      <c r="D53" s="668">
        <f>HLOOKUP($A53,'2014 Budget'!$D$6:$P$111,11,0)</f>
        <v>0</v>
      </c>
      <c r="E53" s="668">
        <f>HLOOKUP($A53,'2014 Budget'!$D$6:$P$111,77,0)</f>
        <v>0</v>
      </c>
      <c r="F53" s="668">
        <f t="shared" si="37"/>
        <v>0</v>
      </c>
      <c r="G53" s="668">
        <f>HLOOKUP($A53,'2014 Budget'!$D$6:$P$111,8,0)</f>
        <v>334965.59999999998</v>
      </c>
      <c r="H53" s="64">
        <f t="shared" si="38"/>
        <v>30.749762421111626</v>
      </c>
      <c r="I53" s="668">
        <f>HLOOKUP($A53,'2014 Budget'!$D$6:$P$111,28,0)</f>
        <v>252387.9</v>
      </c>
      <c r="J53" s="668">
        <f>HLOOKUP($A53,'2014 Budget'!$D$6:$P$111,13,0)</f>
        <v>0</v>
      </c>
      <c r="K53" s="668">
        <f>HLOOKUP($A53,'2014 Budget'!$D$6:$P$111,21,0)</f>
        <v>15262.6</v>
      </c>
      <c r="L53" s="668">
        <f>HLOOKUP($A53,'2014 Budget'!$D$6:$P$111,17,0)</f>
        <v>0</v>
      </c>
      <c r="M53" s="668">
        <f>HLOOKUP($A53,'2014 Budget'!$D$6:$P$111,23,0)</f>
        <v>21278.722999999998</v>
      </c>
      <c r="N53" s="65">
        <f t="shared" si="39"/>
        <v>46036.376999999979</v>
      </c>
      <c r="O53" s="63">
        <v>0</v>
      </c>
      <c r="P53" s="46">
        <f>V13-AA13</f>
        <v>321</v>
      </c>
      <c r="Q53" s="163">
        <f t="shared" si="28"/>
        <v>8745.2295609996654</v>
      </c>
      <c r="R53" s="165">
        <f t="shared" si="40"/>
        <v>0</v>
      </c>
      <c r="S53" s="287">
        <f>HLOOKUP($A53,'2014 Budget'!$D$6:$P$111,6,0)</f>
        <v>334965.59999999998</v>
      </c>
      <c r="U53" s="367">
        <v>0</v>
      </c>
      <c r="V53" s="367">
        <v>345</v>
      </c>
      <c r="W53" s="367">
        <v>0</v>
      </c>
      <c r="X53" s="367">
        <v>380</v>
      </c>
      <c r="Y53" s="367">
        <v>2</v>
      </c>
      <c r="Z53" s="367">
        <v>326</v>
      </c>
      <c r="AA53" s="367">
        <v>0</v>
      </c>
      <c r="AB53" s="367">
        <v>386</v>
      </c>
      <c r="AE53" s="590">
        <v>8</v>
      </c>
      <c r="AF53" s="603">
        <f>DAY(EOMONTH(DATE(YEAR('Input Data'!$A$4),AE53,1),0))</f>
        <v>31</v>
      </c>
      <c r="AG53" s="590" t="s">
        <v>350</v>
      </c>
      <c r="AH53" s="367">
        <v>75</v>
      </c>
      <c r="AI53" s="367">
        <v>77</v>
      </c>
      <c r="AJ53" s="600">
        <f t="shared" si="33"/>
        <v>2325</v>
      </c>
      <c r="AK53" s="600">
        <f t="shared" si="34"/>
        <v>2387</v>
      </c>
      <c r="AM53" s="600"/>
      <c r="AN53" s="600"/>
    </row>
    <row r="54" spans="1:40">
      <c r="A54" s="44" t="s">
        <v>14</v>
      </c>
      <c r="B54" s="673">
        <f t="shared" si="36"/>
        <v>33544.000000000007</v>
      </c>
      <c r="C54" s="673">
        <f>HLOOKUP($A54,'2014 Budget'!$D$6:$P$111,26,0)</f>
        <v>33544.000000000007</v>
      </c>
      <c r="D54" s="673">
        <f>HLOOKUP($A54,'2014 Budget'!$D$6:$P$111,11,0)</f>
        <v>0</v>
      </c>
      <c r="E54" s="673">
        <f>HLOOKUP($A54,'2014 Budget'!$D$6:$P$111,77,0)</f>
        <v>0</v>
      </c>
      <c r="F54" s="673">
        <f t="shared" si="37"/>
        <v>0</v>
      </c>
      <c r="G54" s="673">
        <f>HLOOKUP($A54,'2014 Budget'!$D$6:$P$111,8,0)</f>
        <v>1413177.2000000002</v>
      </c>
      <c r="H54" s="64">
        <f t="shared" si="38"/>
        <v>29.188021702838057</v>
      </c>
      <c r="I54" s="673">
        <f>HLOOKUP($A54,'2014 Budget'!$D$6:$P$111,28,0)</f>
        <v>979083</v>
      </c>
      <c r="J54" s="673">
        <f>HLOOKUP($A54,'2014 Budget'!$D$6:$P$111,13,0)</f>
        <v>0</v>
      </c>
      <c r="K54" s="673">
        <f>HLOOKUP($A54,'2014 Budget'!$D$6:$P$111,21,0)</f>
        <v>60090.1</v>
      </c>
      <c r="L54" s="673">
        <f>HLOOKUP($A54,'2014 Budget'!$D$6:$P$111,17,0)</f>
        <v>0</v>
      </c>
      <c r="M54" s="673">
        <f>HLOOKUP($A54,'2014 Budget'!$D$6:$P$111,23,0)</f>
        <v>116059.36099999999</v>
      </c>
      <c r="N54" s="65">
        <f t="shared" si="39"/>
        <v>257944.73900000023</v>
      </c>
      <c r="O54" s="63">
        <v>0</v>
      </c>
      <c r="P54" s="46">
        <f>V14-AA14</f>
        <v>609</v>
      </c>
      <c r="Q54" s="163">
        <f t="shared" si="28"/>
        <v>21598</v>
      </c>
      <c r="R54" s="165">
        <f>M14</f>
        <v>0</v>
      </c>
      <c r="S54" s="287">
        <f>HLOOKUP($A54,'2014 Budget'!$D$6:$P$111,6,0)</f>
        <v>1413177.2000000002</v>
      </c>
      <c r="U54" s="367">
        <v>28</v>
      </c>
      <c r="V54" s="367">
        <v>166</v>
      </c>
      <c r="W54" s="367">
        <v>32</v>
      </c>
      <c r="X54" s="367">
        <v>166</v>
      </c>
      <c r="Y54" s="367">
        <v>46</v>
      </c>
      <c r="Z54" s="367">
        <v>144</v>
      </c>
      <c r="AA54" s="367">
        <v>31</v>
      </c>
      <c r="AB54" s="367">
        <v>179</v>
      </c>
      <c r="AE54" s="590">
        <v>9</v>
      </c>
      <c r="AF54" s="603">
        <f>DAY(EOMONTH(DATE(YEAR('Input Data'!$A$4),AE54,1),0))</f>
        <v>30</v>
      </c>
      <c r="AG54" s="590" t="s">
        <v>350</v>
      </c>
      <c r="AH54" s="367">
        <v>69</v>
      </c>
      <c r="AI54" s="367">
        <v>70</v>
      </c>
      <c r="AJ54" s="600">
        <f t="shared" si="33"/>
        <v>2070</v>
      </c>
      <c r="AK54" s="600">
        <f t="shared" si="34"/>
        <v>2100</v>
      </c>
      <c r="AM54" s="600"/>
      <c r="AN54" s="600"/>
    </row>
    <row r="55" spans="1:40">
      <c r="A55" s="44" t="s">
        <v>15</v>
      </c>
      <c r="B55" s="675">
        <f t="shared" ref="B55" si="41">C55+D55</f>
        <v>732.4</v>
      </c>
      <c r="C55" s="675">
        <f>HLOOKUP($A55,'2014 Budget'!$D$6:$P$111,26,0)</f>
        <v>732.4</v>
      </c>
      <c r="D55" s="675">
        <f>HLOOKUP($A55,'2014 Budget'!$D$6:$P$111,11,0)</f>
        <v>0</v>
      </c>
      <c r="E55" s="675">
        <f>HLOOKUP($A55,'2014 Budget'!$D$6:$P$111,77,0)</f>
        <v>0</v>
      </c>
      <c r="F55" s="675">
        <f t="shared" ref="F55" si="42">J55</f>
        <v>0</v>
      </c>
      <c r="G55" s="675">
        <f>HLOOKUP($A55,'2014 Budget'!$D$6:$P$111,8,0)</f>
        <v>27754.2</v>
      </c>
      <c r="H55" s="64">
        <f t="shared" ref="H55" si="43">(I55/C55)</f>
        <v>29.353358820316771</v>
      </c>
      <c r="I55" s="675">
        <f>HLOOKUP($A55,'2014 Budget'!$D$6:$P$111,28,0)</f>
        <v>21498.400000000001</v>
      </c>
      <c r="J55" s="675">
        <f>HLOOKUP($A55,'2014 Budget'!$D$6:$P$111,13,0)</f>
        <v>0</v>
      </c>
      <c r="K55" s="675">
        <f>HLOOKUP($A55,'2014 Budget'!$D$6:$P$111,21,0)</f>
        <v>717.7</v>
      </c>
      <c r="L55" s="675">
        <f>HLOOKUP($A55,'2014 Budget'!$D$6:$P$111,17,0)</f>
        <v>0</v>
      </c>
      <c r="M55" s="675">
        <f>HLOOKUP($A55,'2014 Budget'!$D$6:$P$111,23,0)</f>
        <v>1527.0540000000001</v>
      </c>
      <c r="N55" s="65">
        <f t="shared" ref="N55" si="44">G55-I55-J55-K55-L55-M55</f>
        <v>4011.0459999999994</v>
      </c>
      <c r="O55" s="63">
        <v>0</v>
      </c>
      <c r="P55" s="46">
        <f>V15-AA15</f>
        <v>702</v>
      </c>
      <c r="Q55" s="163">
        <f t="shared" si="28"/>
        <v>42179.000000000466</v>
      </c>
      <c r="R55" s="165">
        <f t="shared" si="40"/>
        <v>0</v>
      </c>
      <c r="S55" s="287">
        <f>HLOOKUP($A55,'2014 Budget'!$D$6:$P$111,6,0)</f>
        <v>27754.2</v>
      </c>
      <c r="U55" s="367">
        <v>218</v>
      </c>
      <c r="V55" s="367">
        <v>27</v>
      </c>
      <c r="W55" s="367">
        <v>229</v>
      </c>
      <c r="X55" s="367">
        <v>24</v>
      </c>
      <c r="Y55" s="367">
        <v>277</v>
      </c>
      <c r="Z55" s="367">
        <v>22</v>
      </c>
      <c r="AA55" s="367">
        <v>240</v>
      </c>
      <c r="AB55" s="367">
        <v>29</v>
      </c>
      <c r="AE55" s="591">
        <v>10</v>
      </c>
      <c r="AF55" s="603">
        <f>DAY(EOMONTH(DATE(YEAR('Input Data'!$A$4),AE55,1),0))</f>
        <v>31</v>
      </c>
      <c r="AG55" s="590" t="s">
        <v>350</v>
      </c>
      <c r="AH55" s="367">
        <v>58</v>
      </c>
      <c r="AI55" s="367">
        <v>58</v>
      </c>
      <c r="AJ55" s="600">
        <f t="shared" si="33"/>
        <v>1798</v>
      </c>
      <c r="AK55" s="600">
        <f t="shared" si="34"/>
        <v>1798</v>
      </c>
      <c r="AM55" s="600"/>
      <c r="AN55" s="600"/>
    </row>
    <row r="56" spans="1:40">
      <c r="A56" s="44" t="s">
        <v>16</v>
      </c>
      <c r="B56" s="368"/>
      <c r="C56" s="368"/>
      <c r="D56" s="368"/>
      <c r="E56" s="368"/>
      <c r="F56" s="368"/>
      <c r="G56" s="368"/>
      <c r="H56" s="64"/>
      <c r="I56" s="368"/>
      <c r="J56" s="368"/>
      <c r="K56" s="368"/>
      <c r="L56" s="368"/>
      <c r="M56" s="368"/>
      <c r="N56" s="65"/>
      <c r="O56" s="63">
        <v>0</v>
      </c>
      <c r="P56" s="46">
        <f>V16-AA16</f>
        <v>0</v>
      </c>
      <c r="Q56" s="163">
        <f t="shared" si="28"/>
        <v>0</v>
      </c>
      <c r="R56" s="165">
        <f>M16</f>
        <v>0</v>
      </c>
      <c r="S56" s="287"/>
      <c r="U56" s="367"/>
      <c r="V56" s="367"/>
      <c r="W56" s="367"/>
      <c r="X56" s="367"/>
      <c r="Y56" s="367"/>
      <c r="Z56" s="367"/>
      <c r="AA56" s="367"/>
      <c r="AB56" s="367"/>
      <c r="AE56" s="590">
        <v>11</v>
      </c>
      <c r="AF56" s="603">
        <f>DAY(EOMONTH(DATE(YEAR('Input Data'!$A$4),AE56,1),0))</f>
        <v>30</v>
      </c>
      <c r="AG56" s="590" t="s">
        <v>349</v>
      </c>
      <c r="AH56" s="367"/>
      <c r="AI56" s="367"/>
      <c r="AJ56" s="600">
        <f t="shared" si="33"/>
        <v>0</v>
      </c>
      <c r="AK56" s="600">
        <f t="shared" si="34"/>
        <v>0</v>
      </c>
      <c r="AM56" s="600"/>
      <c r="AN56" s="600"/>
    </row>
    <row r="57" spans="1:40">
      <c r="A57" s="44" t="s">
        <v>17</v>
      </c>
      <c r="B57" s="63"/>
      <c r="C57" s="63"/>
      <c r="D57" s="63"/>
      <c r="E57" s="63"/>
      <c r="F57" s="63"/>
      <c r="G57" s="63"/>
      <c r="H57" s="64"/>
      <c r="I57" s="63"/>
      <c r="J57" s="63"/>
      <c r="K57" s="63"/>
      <c r="L57" s="63"/>
      <c r="M57" s="63"/>
      <c r="N57" s="65"/>
      <c r="O57" s="63">
        <v>0</v>
      </c>
      <c r="P57" s="46">
        <f>V17-AA17</f>
        <v>0</v>
      </c>
      <c r="Q57" s="163">
        <f t="shared" si="28"/>
        <v>0</v>
      </c>
      <c r="R57" s="165">
        <f t="shared" si="40"/>
        <v>0</v>
      </c>
      <c r="S57" s="287"/>
      <c r="U57" s="367"/>
      <c r="V57" s="367"/>
      <c r="W57" s="367"/>
      <c r="X57" s="367"/>
      <c r="Y57" s="367"/>
      <c r="Z57" s="367"/>
      <c r="AA57" s="367"/>
      <c r="AB57" s="367"/>
      <c r="AE57" s="590">
        <v>12</v>
      </c>
      <c r="AF57" s="603">
        <f>DAY(EOMONTH(DATE(YEAR('Input Data'!$A$4),AE57,1),0))</f>
        <v>31</v>
      </c>
      <c r="AG57" s="590" t="s">
        <v>349</v>
      </c>
      <c r="AH57" s="367"/>
      <c r="AI57" s="367"/>
      <c r="AJ57" s="600">
        <f t="shared" si="33"/>
        <v>0</v>
      </c>
      <c r="AK57" s="600">
        <f t="shared" si="34"/>
        <v>0</v>
      </c>
      <c r="AM57" s="600"/>
      <c r="AN57" s="600"/>
    </row>
    <row r="58" spans="1:40">
      <c r="A58" s="44"/>
      <c r="B58" s="67"/>
      <c r="C58" s="68"/>
      <c r="D58" s="48"/>
      <c r="E58" s="48"/>
      <c r="F58" s="48"/>
      <c r="G58" s="69"/>
      <c r="H58" s="56"/>
      <c r="I58" s="69"/>
      <c r="J58" s="69"/>
      <c r="K58" s="69"/>
      <c r="L58" s="69"/>
      <c r="M58" s="69"/>
      <c r="N58" s="65"/>
      <c r="Q58" s="45"/>
      <c r="R58" s="165"/>
      <c r="W58" s="46"/>
      <c r="X58" s="46"/>
      <c r="Y58" s="46"/>
      <c r="Z58" s="46"/>
      <c r="AA58" s="46"/>
      <c r="AB58" s="46"/>
      <c r="AE58" s="590"/>
      <c r="AF58" s="590"/>
      <c r="AG58" s="590"/>
      <c r="AH58" s="590"/>
      <c r="AI58" s="590"/>
    </row>
    <row r="59" spans="1:40">
      <c r="A59" s="44" t="s">
        <v>18</v>
      </c>
      <c r="B59" s="72">
        <f t="shared" ref="B59:G59" si="45">SUM(B46:B57)</f>
        <v>251505.49999999997</v>
      </c>
      <c r="C59" s="72">
        <f t="shared" si="45"/>
        <v>251020.29999999996</v>
      </c>
      <c r="D59" s="72">
        <f t="shared" si="45"/>
        <v>485.20000000000005</v>
      </c>
      <c r="E59" s="72">
        <f t="shared" si="45"/>
        <v>485.20000000000005</v>
      </c>
      <c r="F59" s="56">
        <f t="shared" si="45"/>
        <v>26655.3</v>
      </c>
      <c r="G59" s="56">
        <f t="shared" si="45"/>
        <v>10511094.699999999</v>
      </c>
      <c r="H59" s="53">
        <f>I59/C59</f>
        <v>28.886834252050541</v>
      </c>
      <c r="I59" s="56">
        <f>SUM(I46:I57)</f>
        <v>7251181.8000000007</v>
      </c>
      <c r="J59" s="56">
        <f t="shared" ref="J59:AB59" si="46">SUM(J46:J57)</f>
        <v>26655.3</v>
      </c>
      <c r="K59" s="56">
        <f t="shared" si="46"/>
        <v>431689.10000000003</v>
      </c>
      <c r="L59" s="56">
        <f t="shared" si="46"/>
        <v>0</v>
      </c>
      <c r="M59" s="56">
        <f t="shared" si="46"/>
        <v>777341.71400000004</v>
      </c>
      <c r="N59" s="56">
        <f t="shared" si="46"/>
        <v>2024226.7860000005</v>
      </c>
      <c r="O59" s="48">
        <f t="shared" si="46"/>
        <v>0</v>
      </c>
      <c r="P59" s="48">
        <f t="shared" si="46"/>
        <v>2951</v>
      </c>
      <c r="Q59" s="56">
        <f t="shared" si="46"/>
        <v>126500.4722269997</v>
      </c>
      <c r="R59" s="56">
        <f t="shared" si="46"/>
        <v>0</v>
      </c>
      <c r="S59" s="236">
        <f t="shared" si="46"/>
        <v>10511094.699999999</v>
      </c>
      <c r="U59" s="236">
        <f t="shared" si="46"/>
        <v>3345</v>
      </c>
      <c r="V59" s="236">
        <f t="shared" si="46"/>
        <v>1273</v>
      </c>
      <c r="W59" s="236">
        <f t="shared" si="46"/>
        <v>3221</v>
      </c>
      <c r="X59" s="236">
        <f t="shared" si="46"/>
        <v>1515</v>
      </c>
      <c r="Y59" s="236">
        <f t="shared" si="46"/>
        <v>3170</v>
      </c>
      <c r="Z59" s="236">
        <f t="shared" si="46"/>
        <v>1195</v>
      </c>
      <c r="AA59" s="236">
        <f t="shared" si="46"/>
        <v>2885</v>
      </c>
      <c r="AB59" s="236">
        <f t="shared" si="46"/>
        <v>1472</v>
      </c>
      <c r="AC59" s="377">
        <f>SUM(AC46:AC57)</f>
        <v>0</v>
      </c>
      <c r="AD59" s="377">
        <f>SUM(AD46:AD57)</f>
        <v>0</v>
      </c>
      <c r="AE59" s="377"/>
      <c r="AF59" s="603"/>
      <c r="AG59" s="590"/>
      <c r="AH59" s="590"/>
      <c r="AI59" s="590"/>
    </row>
    <row r="60" spans="1:4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P60" s="46"/>
      <c r="T60" s="39"/>
      <c r="U60" s="39"/>
      <c r="V60" s="39"/>
      <c r="Z60"/>
      <c r="AE60" s="393" t="s">
        <v>379</v>
      </c>
      <c r="AF60" s="603">
        <f>SUMIFS($AF$46:$AF$57,$AE$46:$AE$57,"&lt;"&amp;MONTH('Input Data'!$A$4),$AG$46:$AG$57,"H")</f>
        <v>120</v>
      </c>
      <c r="AH60" s="606">
        <f>SUMIFS($AJ$46:$AJ$57,$AG$46:$AG$57,"H",$AE$46:$AE$57,"&lt;"&amp;MONTH('Input Data'!$A$4))/SUMIF('Year to Date'!$AE$46:$AE$57,"&lt;"&amp;MONTH('Input Data'!$A$4),'Year to Date'!$AF$46:$AF$57)</f>
        <v>15.529605263157896</v>
      </c>
      <c r="AI60" s="606">
        <f>SUMIFS($AK$46:$AK$57,$AG$46:$AG$57,"H",$AE$46:$AE$57,"&lt;"&amp;MONTH('Input Data'!$A$4))/SUMIF('Year to Date'!$AE$46:$AE$57,"&lt;"&amp;MONTH('Input Data'!$A$4),'Year to Date'!$AF$46:$AF$57)</f>
        <v>15.982236842105264</v>
      </c>
      <c r="AJ60" s="600">
        <f>SUMIFS('Year to Date'!$AJ$46:$AJ$57,$AE$46:$AE$57,"&lt;"&amp;MONTH('Input Data'!$A$4),'Year to Date'!$AG$46:$AG$57,"H")</f>
        <v>4721</v>
      </c>
      <c r="AK60" s="600">
        <f>SUMIFS('Year to Date'!$AK$46:$AK$57,$AE$46:$AE$57,"&lt;"&amp;MONTH('Input Data'!$A$4),'Year to Date'!$AG$46:$AG$57,"H")</f>
        <v>4858.6000000000004</v>
      </c>
      <c r="AM60" s="601"/>
      <c r="AN60" s="601"/>
    </row>
    <row r="61" spans="1:40">
      <c r="L61" s="45"/>
      <c r="P61" s="46"/>
      <c r="U61" s="39"/>
      <c r="V61" s="39"/>
      <c r="W61" s="39"/>
      <c r="AE61" s="393" t="s">
        <v>380</v>
      </c>
      <c r="AF61" s="603">
        <f>SUMIFS($AF$46:$AF$57,$AE$46:$AE$57,"&lt;"&amp;MONTH('Input Data'!$A$4),$AG$46:$AG$57,"C")</f>
        <v>184</v>
      </c>
      <c r="AH61" s="606">
        <f>SUMIFS($AJ$46:$AJ$57,$AG$46:$AG$57,"C",$AE$46:$AE$57,"&lt;"&amp;MONTH('Input Data'!$A$4))/SUMIF('Year to Date'!$AE$46:$AE$57,"&lt;"&amp;MONTH('Input Data'!$A$4),'Year to Date'!$AF$46:$AF$57)</f>
        <v>42.049342105263158</v>
      </c>
      <c r="AI61" s="606">
        <f>SUMIFS($AK$46:$AK$57,$AG$46:$AG$57,"C",$AE$46:$AE$57,"&lt;"&amp;MONTH('Input Data'!$A$4))/SUMIF('Year to Date'!$AE$46:$AE$57,"&lt;"&amp;MONTH('Input Data'!$A$4),'Year to Date'!$AF$46:$AF$57)</f>
        <v>43.059210526315788</v>
      </c>
      <c r="AJ61" s="600">
        <f>SUMIFS('Year to Date'!$AJ$46:$AJ$57,$AE$46:$AE$57,"&lt;"&amp;MONTH('Input Data'!$A$4),'Year to Date'!$AG$46:$AG$57,"C")</f>
        <v>12783</v>
      </c>
      <c r="AK61" s="600">
        <f>SUMIFS('Year to Date'!$AK$46:$AK$57,$AE$46:$AE$57,"&lt;"&amp;MONTH('Input Data'!$A$4),'Year to Date'!$AG$46:$AG$57,"C")</f>
        <v>13090</v>
      </c>
    </row>
    <row r="62" spans="1:40" ht="15.75">
      <c r="A62" s="26"/>
      <c r="B62" s="4">
        <f>B20-B59</f>
        <v>195393.50000000003</v>
      </c>
      <c r="C62"/>
      <c r="D62" s="78"/>
      <c r="E62" s="55"/>
      <c r="F62" s="55"/>
      <c r="G62" s="55"/>
      <c r="H62" s="55"/>
      <c r="I62" s="75"/>
      <c r="J62" s="75"/>
      <c r="K62"/>
      <c r="L62"/>
      <c r="P62" s="46"/>
      <c r="U62" s="1"/>
      <c r="V62" s="1"/>
      <c r="W62" s="1"/>
      <c r="X62" s="28"/>
      <c r="Y62" s="28"/>
      <c r="Z62" s="77"/>
      <c r="AM62" s="605"/>
    </row>
    <row r="63" spans="1:40">
      <c r="L63" s="45"/>
      <c r="M63"/>
      <c r="N63"/>
      <c r="O63" s="152"/>
      <c r="P63" s="153"/>
      <c r="Q63" s="41"/>
      <c r="R63" s="41"/>
      <c r="S63" s="76"/>
      <c r="T63" s="39"/>
      <c r="U63" s="39"/>
      <c r="V63" s="39"/>
      <c r="Z63"/>
    </row>
    <row r="64" spans="1:40">
      <c r="L64" s="45"/>
      <c r="N64" s="405"/>
      <c r="O64" s="405"/>
      <c r="P64" s="46"/>
      <c r="T64" s="39"/>
      <c r="U64" s="39"/>
      <c r="V64" s="39"/>
      <c r="Z64"/>
    </row>
    <row r="65" spans="12:26">
      <c r="L65" s="45"/>
      <c r="P65" s="46"/>
      <c r="T65" s="39"/>
      <c r="U65" s="39"/>
      <c r="V65" s="39"/>
      <c r="Z65"/>
    </row>
    <row r="66" spans="12:26">
      <c r="L66" s="45"/>
      <c r="P66" s="46"/>
      <c r="T66" s="39"/>
      <c r="U66" s="39"/>
      <c r="V66" s="39"/>
      <c r="Z66"/>
    </row>
    <row r="67" spans="12:26">
      <c r="L67" s="45"/>
      <c r="P67" s="46"/>
      <c r="T67" s="39"/>
      <c r="U67" s="39"/>
      <c r="V67" s="39"/>
      <c r="Z67"/>
    </row>
    <row r="68" spans="12:26">
      <c r="L68" s="45"/>
      <c r="P68" s="46"/>
      <c r="T68" s="39"/>
      <c r="U68" s="39"/>
      <c r="V68" s="39"/>
      <c r="Z68"/>
    </row>
    <row r="69" spans="12:26">
      <c r="L69" s="45"/>
      <c r="P69" s="46"/>
      <c r="T69" s="39"/>
      <c r="U69" s="39"/>
      <c r="V69" s="39"/>
      <c r="Z69"/>
    </row>
    <row r="70" spans="12:26">
      <c r="L70" s="45"/>
      <c r="P70" s="46"/>
      <c r="T70" s="39"/>
      <c r="U70" s="39"/>
      <c r="V70" s="39"/>
      <c r="Z70"/>
    </row>
    <row r="71" spans="12:26">
      <c r="L71" s="45"/>
      <c r="P71" s="46"/>
      <c r="T71" s="39"/>
      <c r="U71" s="39"/>
      <c r="V71" s="39"/>
      <c r="Z71"/>
    </row>
    <row r="72" spans="12:26">
      <c r="L72" s="45"/>
      <c r="P72" s="46"/>
      <c r="T72" s="39"/>
      <c r="U72" s="39"/>
      <c r="V72" s="39"/>
      <c r="Z72"/>
    </row>
    <row r="73" spans="12:26">
      <c r="L73" s="45"/>
      <c r="P73" s="46"/>
      <c r="T73" s="39"/>
      <c r="U73" s="39"/>
      <c r="V73" s="39"/>
      <c r="Z73"/>
    </row>
    <row r="74" spans="12:26">
      <c r="L74" s="45"/>
      <c r="P74" s="46"/>
      <c r="T74" s="39"/>
      <c r="U74" s="39"/>
      <c r="V74" s="39"/>
      <c r="Z74"/>
    </row>
    <row r="75" spans="12:26">
      <c r="L75" s="45"/>
      <c r="P75" s="46"/>
      <c r="T75" s="39"/>
      <c r="U75" s="39"/>
      <c r="V75" s="39"/>
      <c r="Z75"/>
    </row>
    <row r="76" spans="12:26">
      <c r="L76" s="45"/>
      <c r="P76" s="46"/>
      <c r="T76" s="39"/>
      <c r="U76" s="39"/>
      <c r="V76" s="39"/>
      <c r="Z76"/>
    </row>
    <row r="77" spans="12:26">
      <c r="L77" s="45"/>
      <c r="P77" s="46"/>
      <c r="T77" s="39"/>
      <c r="U77" s="39"/>
      <c r="V77" s="39"/>
      <c r="Z77"/>
    </row>
    <row r="78" spans="12:26">
      <c r="L78" s="45"/>
      <c r="P78" s="46"/>
      <c r="T78" s="39"/>
      <c r="U78" s="39"/>
      <c r="V78" s="39"/>
      <c r="Z78"/>
    </row>
    <row r="79" spans="12:26">
      <c r="L79" s="45"/>
      <c r="P79" s="46"/>
      <c r="T79" s="39"/>
      <c r="U79" s="39"/>
      <c r="V79" s="39"/>
      <c r="Z79"/>
    </row>
    <row r="80" spans="12:26">
      <c r="L80" s="45"/>
      <c r="P80" s="46"/>
      <c r="T80" s="39"/>
      <c r="U80" s="39"/>
      <c r="V80" s="39"/>
      <c r="Z80"/>
    </row>
    <row r="81" spans="1:41">
      <c r="A81"/>
      <c r="B81"/>
      <c r="C81"/>
      <c r="D81"/>
      <c r="E81"/>
      <c r="F81"/>
      <c r="G81"/>
      <c r="H81"/>
      <c r="I81" s="75"/>
      <c r="J81" s="75"/>
      <c r="K81"/>
      <c r="L81"/>
      <c r="P81" s="46"/>
      <c r="T81"/>
      <c r="U81"/>
      <c r="V81"/>
      <c r="W81" s="28"/>
      <c r="X81" s="28"/>
      <c r="Y81" s="27"/>
      <c r="Z81" s="27"/>
      <c r="AA81" s="49"/>
      <c r="AB81" s="49"/>
      <c r="AC81" s="49"/>
      <c r="AD81" s="49"/>
      <c r="AE81" s="49"/>
      <c r="AF81" s="49"/>
      <c r="AG81" s="49"/>
      <c r="AH81" s="49"/>
      <c r="AI81" s="49"/>
      <c r="AJ81" s="71"/>
      <c r="AK81" s="27"/>
      <c r="AL81" s="27"/>
      <c r="AM81" s="49"/>
      <c r="AN81" s="49"/>
      <c r="AO81" s="49"/>
    </row>
    <row r="82" spans="1:41" ht="15.75">
      <c r="N82"/>
      <c r="O82"/>
      <c r="P82" s="84"/>
      <c r="Q82" s="87"/>
      <c r="R82"/>
      <c r="S82" s="1"/>
      <c r="T82" s="76"/>
      <c r="U82" s="76"/>
      <c r="V82" s="76"/>
    </row>
  </sheetData>
  <mergeCells count="16">
    <mergeCell ref="AJ44:AK44"/>
    <mergeCell ref="AE43:AK43"/>
    <mergeCell ref="AH44:AI44"/>
    <mergeCell ref="Q1:S1"/>
    <mergeCell ref="Z4:AA4"/>
    <mergeCell ref="B3:F3"/>
    <mergeCell ref="B24:F24"/>
    <mergeCell ref="B43:H43"/>
    <mergeCell ref="S24:U24"/>
    <mergeCell ref="AP23:AR23"/>
    <mergeCell ref="AD23:AF23"/>
    <mergeCell ref="AJ23:AL23"/>
    <mergeCell ref="B4:D4"/>
    <mergeCell ref="P25:Q25"/>
    <mergeCell ref="N25:O25"/>
    <mergeCell ref="L25:M25"/>
  </mergeCells>
  <phoneticPr fontId="0" type="noConversion"/>
  <pageMargins left="0.75" right="0.75" top="1" bottom="1" header="0.5" footer="0.5"/>
  <pageSetup scale="32" orientation="landscape" horizontalDpi="300" verticalDpi="300" r:id="rId1"/>
  <headerFooter alignWithMargins="0"/>
  <ignoredErrors>
    <ignoredError sqref="H58" evalError="1"/>
    <ignoredError sqref="H59" evalError="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392"/>
  <sheetViews>
    <sheetView zoomScale="88" zoomScaleNormal="88" workbookViewId="0">
      <selection activeCell="H73" sqref="H73"/>
    </sheetView>
  </sheetViews>
  <sheetFormatPr defaultRowHeight="12.75"/>
  <cols>
    <col min="1" max="1" width="4.140625" style="6" customWidth="1"/>
    <col min="2" max="2" width="9.5703125" style="6" customWidth="1"/>
    <col min="3" max="3" width="37.140625" style="6" customWidth="1"/>
    <col min="4" max="6" width="11.42578125" style="552" bestFit="1" customWidth="1"/>
    <col min="7" max="7" width="12.85546875" style="552" customWidth="1"/>
    <col min="8" max="8" width="11.7109375" style="552" bestFit="1" customWidth="1"/>
    <col min="9" max="9" width="12.28515625" style="552" customWidth="1"/>
    <col min="10" max="13" width="11.7109375" style="552" bestFit="1" customWidth="1"/>
    <col min="14" max="14" width="12" style="552" bestFit="1" customWidth="1"/>
    <col min="15" max="15" width="11.7109375" style="552" bestFit="1" customWidth="1"/>
    <col min="16" max="16" width="15.7109375" style="12" bestFit="1" customWidth="1"/>
    <col min="17" max="17" width="9.85546875" bestFit="1" customWidth="1"/>
    <col min="18" max="18" width="10.140625" bestFit="1" customWidth="1"/>
  </cols>
  <sheetData>
    <row r="1" spans="1:18" ht="15.75">
      <c r="B1" s="7" t="s">
        <v>5</v>
      </c>
      <c r="C1" s="8"/>
    </row>
    <row r="2" spans="1:18" ht="15.75">
      <c r="B2" s="7" t="s">
        <v>322</v>
      </c>
      <c r="C2" s="8"/>
    </row>
    <row r="6" spans="1:18">
      <c r="A6" s="6">
        <v>1</v>
      </c>
      <c r="B6" s="9"/>
      <c r="C6" s="9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1" t="s">
        <v>18</v>
      </c>
    </row>
    <row r="7" spans="1:18">
      <c r="A7" s="6">
        <v>2</v>
      </c>
      <c r="C7" s="12" t="s">
        <v>19</v>
      </c>
      <c r="D7" s="552">
        <v>31</v>
      </c>
      <c r="E7" s="552">
        <v>28</v>
      </c>
      <c r="F7" s="552">
        <v>31</v>
      </c>
      <c r="G7" s="552">
        <v>30</v>
      </c>
      <c r="H7" s="552">
        <v>31</v>
      </c>
      <c r="I7" s="552">
        <v>30</v>
      </c>
      <c r="J7" s="552">
        <v>31</v>
      </c>
      <c r="K7" s="552">
        <v>31</v>
      </c>
      <c r="L7" s="552">
        <v>30</v>
      </c>
      <c r="M7" s="552">
        <v>31</v>
      </c>
      <c r="N7" s="552">
        <v>30</v>
      </c>
      <c r="O7" s="552">
        <v>31</v>
      </c>
    </row>
    <row r="8" spans="1:18">
      <c r="A8" s="6">
        <v>3</v>
      </c>
      <c r="B8" s="13" t="s">
        <v>20</v>
      </c>
      <c r="C8" s="12"/>
      <c r="P8" s="553"/>
    </row>
    <row r="9" spans="1:18">
      <c r="A9" s="6">
        <v>4</v>
      </c>
      <c r="C9" s="12" t="s">
        <v>21</v>
      </c>
      <c r="D9" s="554">
        <v>83396</v>
      </c>
      <c r="E9" s="554">
        <v>23253.1</v>
      </c>
      <c r="F9" s="554">
        <v>1387.3999999999999</v>
      </c>
      <c r="G9" s="554">
        <v>0</v>
      </c>
      <c r="H9" s="554">
        <v>65482.500000000015</v>
      </c>
      <c r="I9" s="554">
        <v>21972.3</v>
      </c>
      <c r="J9" s="554">
        <v>13530</v>
      </c>
      <c r="K9" s="554">
        <v>8207.7999999999993</v>
      </c>
      <c r="L9" s="554">
        <v>33544.000000000007</v>
      </c>
      <c r="M9" s="554">
        <v>732.4</v>
      </c>
      <c r="N9" s="554">
        <v>2377.6000000000004</v>
      </c>
      <c r="O9" s="554">
        <v>18942.899999999998</v>
      </c>
      <c r="P9" s="555">
        <f>SUM(D9:O9)</f>
        <v>272826</v>
      </c>
    </row>
    <row r="10" spans="1:18">
      <c r="A10" s="6">
        <v>5</v>
      </c>
      <c r="C10" s="12"/>
    </row>
    <row r="11" spans="1:18">
      <c r="A11" s="6">
        <v>6</v>
      </c>
      <c r="B11" s="14" t="s">
        <v>22</v>
      </c>
      <c r="C11" s="12" t="s">
        <v>121</v>
      </c>
      <c r="D11" s="554">
        <v>3329005.5</v>
      </c>
      <c r="E11" s="554">
        <v>904067.9</v>
      </c>
      <c r="F11" s="554">
        <v>58401.799999999996</v>
      </c>
      <c r="G11" s="554">
        <v>0</v>
      </c>
      <c r="H11" s="554">
        <v>2927675.4</v>
      </c>
      <c r="I11" s="554">
        <v>909595.1</v>
      </c>
      <c r="J11" s="554">
        <v>606452</v>
      </c>
      <c r="K11" s="554">
        <v>334965.59999999998</v>
      </c>
      <c r="L11" s="554">
        <v>1413177.2000000002</v>
      </c>
      <c r="M11" s="554">
        <v>27754.2</v>
      </c>
      <c r="N11" s="554">
        <v>87986.2</v>
      </c>
      <c r="O11" s="554">
        <v>787728.3</v>
      </c>
      <c r="P11" s="554">
        <f>SUM(D11:O11)</f>
        <v>11386809.199999999</v>
      </c>
    </row>
    <row r="12" spans="1:18">
      <c r="A12" s="6">
        <v>7</v>
      </c>
      <c r="C12" s="542" t="s">
        <v>23</v>
      </c>
      <c r="D12" s="556">
        <f>IFERROR(D11/D9,"-")</f>
        <v>39.918047628183608</v>
      </c>
      <c r="E12" s="556">
        <f t="shared" ref="E12:O12" si="0">IFERROR(E11/E9,"-")</f>
        <v>38.879456932624038</v>
      </c>
      <c r="F12" s="556">
        <f t="shared" si="0"/>
        <v>42.094421219547357</v>
      </c>
      <c r="G12" s="556" t="str">
        <f t="shared" si="0"/>
        <v>-</v>
      </c>
      <c r="H12" s="556">
        <f t="shared" si="0"/>
        <v>44.709279578513332</v>
      </c>
      <c r="I12" s="556">
        <f t="shared" si="0"/>
        <v>41.397354851335542</v>
      </c>
      <c r="J12" s="556">
        <f t="shared" si="0"/>
        <v>44.822764227642274</v>
      </c>
      <c r="K12" s="556">
        <f t="shared" si="0"/>
        <v>40.81064353419918</v>
      </c>
      <c r="L12" s="556">
        <f t="shared" si="0"/>
        <v>42.12906033865967</v>
      </c>
      <c r="M12" s="556">
        <f t="shared" si="0"/>
        <v>37.894866193336973</v>
      </c>
      <c r="N12" s="556">
        <f t="shared" si="0"/>
        <v>37.006308882907128</v>
      </c>
      <c r="O12" s="556">
        <f t="shared" si="0"/>
        <v>41.584356143990632</v>
      </c>
      <c r="P12" s="556"/>
    </row>
    <row r="13" spans="1:18">
      <c r="A13" s="6">
        <v>8</v>
      </c>
      <c r="C13" s="12" t="s">
        <v>120</v>
      </c>
      <c r="D13" s="554">
        <f>D11+D58</f>
        <v>3329005.5</v>
      </c>
      <c r="E13" s="554">
        <f t="shared" ref="E13:O13" si="1">E11+E58</f>
        <v>904067.9</v>
      </c>
      <c r="F13" s="554">
        <f t="shared" si="1"/>
        <v>58401.799999999996</v>
      </c>
      <c r="G13" s="554">
        <f t="shared" si="1"/>
        <v>0</v>
      </c>
      <c r="H13" s="554">
        <f t="shared" si="1"/>
        <v>2927675.4</v>
      </c>
      <c r="I13" s="554">
        <f t="shared" si="1"/>
        <v>909595.1</v>
      </c>
      <c r="J13" s="554">
        <f t="shared" si="1"/>
        <v>606452</v>
      </c>
      <c r="K13" s="554">
        <f t="shared" si="1"/>
        <v>334965.59999999998</v>
      </c>
      <c r="L13" s="554">
        <f t="shared" si="1"/>
        <v>1413177.2000000002</v>
      </c>
      <c r="M13" s="554">
        <f t="shared" si="1"/>
        <v>27754.2</v>
      </c>
      <c r="N13" s="554">
        <f t="shared" si="1"/>
        <v>87986.2</v>
      </c>
      <c r="O13" s="554">
        <f t="shared" si="1"/>
        <v>787728.3</v>
      </c>
      <c r="P13" s="555">
        <f>SUM(D13:O13)</f>
        <v>11386809.199999999</v>
      </c>
      <c r="R13" s="258"/>
    </row>
    <row r="14" spans="1:18">
      <c r="A14" s="6">
        <v>9</v>
      </c>
      <c r="C14" s="12"/>
    </row>
    <row r="15" spans="1:18">
      <c r="A15" s="6">
        <v>10</v>
      </c>
      <c r="B15" s="14" t="s">
        <v>24</v>
      </c>
      <c r="C15" s="12"/>
      <c r="P15" s="557"/>
    </row>
    <row r="16" spans="1:18">
      <c r="A16" s="6">
        <v>11</v>
      </c>
      <c r="B16" s="14"/>
      <c r="C16" s="542" t="s">
        <v>25</v>
      </c>
      <c r="D16" s="554">
        <v>485.20000000000005</v>
      </c>
      <c r="E16" s="554">
        <v>0</v>
      </c>
      <c r="F16" s="554">
        <v>0</v>
      </c>
      <c r="G16" s="554">
        <v>0</v>
      </c>
      <c r="H16" s="554">
        <v>0</v>
      </c>
      <c r="I16" s="554">
        <v>0</v>
      </c>
      <c r="J16" s="554">
        <v>0</v>
      </c>
      <c r="K16" s="554">
        <v>0</v>
      </c>
      <c r="L16" s="554">
        <v>0</v>
      </c>
      <c r="M16" s="554">
        <v>0</v>
      </c>
      <c r="N16" s="554">
        <v>0</v>
      </c>
      <c r="O16" s="554">
        <v>611.79999999999995</v>
      </c>
      <c r="P16" s="555">
        <f>SUM(D16:O16)</f>
        <v>1097</v>
      </c>
    </row>
    <row r="17" spans="1:16">
      <c r="A17" s="6">
        <v>12</v>
      </c>
      <c r="C17" s="542" t="s">
        <v>26</v>
      </c>
      <c r="D17" s="556">
        <f>IFERROR(D18/D16,"-")</f>
        <v>54.93672712283594</v>
      </c>
      <c r="E17" s="556" t="str">
        <f t="shared" ref="E17:O17" si="2">IFERROR(E18/E16,"-")</f>
        <v>-</v>
      </c>
      <c r="F17" s="556" t="str">
        <f t="shared" si="2"/>
        <v>-</v>
      </c>
      <c r="G17" s="556" t="str">
        <f t="shared" si="2"/>
        <v>-</v>
      </c>
      <c r="H17" s="556" t="str">
        <f t="shared" si="2"/>
        <v>-</v>
      </c>
      <c r="I17" s="556" t="str">
        <f t="shared" si="2"/>
        <v>-</v>
      </c>
      <c r="J17" s="556" t="str">
        <f t="shared" si="2"/>
        <v>-</v>
      </c>
      <c r="K17" s="556" t="str">
        <f t="shared" si="2"/>
        <v>-</v>
      </c>
      <c r="L17" s="556" t="str">
        <f t="shared" si="2"/>
        <v>-</v>
      </c>
      <c r="M17" s="556" t="str">
        <f t="shared" si="2"/>
        <v>-</v>
      </c>
      <c r="N17" s="556" t="str">
        <f t="shared" si="2"/>
        <v>-</v>
      </c>
      <c r="O17" s="556">
        <f t="shared" si="2"/>
        <v>52.780974174566857</v>
      </c>
      <c r="P17" s="556"/>
    </row>
    <row r="18" spans="1:16">
      <c r="A18" s="6">
        <v>13</v>
      </c>
      <c r="C18" s="542" t="s">
        <v>27</v>
      </c>
      <c r="D18" s="554">
        <v>26655.3</v>
      </c>
      <c r="E18" s="554">
        <v>0</v>
      </c>
      <c r="F18" s="554">
        <v>0</v>
      </c>
      <c r="G18" s="554">
        <v>0</v>
      </c>
      <c r="H18" s="554">
        <v>0</v>
      </c>
      <c r="I18" s="554">
        <v>0</v>
      </c>
      <c r="J18" s="554">
        <v>0</v>
      </c>
      <c r="K18" s="554">
        <v>0</v>
      </c>
      <c r="L18" s="554">
        <v>0</v>
      </c>
      <c r="M18" s="554">
        <v>0</v>
      </c>
      <c r="N18" s="554">
        <v>0</v>
      </c>
      <c r="O18" s="554">
        <v>32291.4</v>
      </c>
      <c r="P18" s="555">
        <f>SUM(D18:O18)</f>
        <v>58946.7</v>
      </c>
    </row>
    <row r="19" spans="1:16">
      <c r="A19" s="6">
        <v>14</v>
      </c>
      <c r="C19" s="542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</row>
    <row r="20" spans="1:16">
      <c r="A20" s="6">
        <v>15</v>
      </c>
      <c r="C20" s="12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</row>
    <row r="21" spans="1:16">
      <c r="A21" s="6">
        <v>16</v>
      </c>
      <c r="C21" s="12" t="s">
        <v>145</v>
      </c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</row>
    <row r="22" spans="1:16">
      <c r="A22" s="6">
        <v>17</v>
      </c>
      <c r="C22" s="542" t="s">
        <v>28</v>
      </c>
      <c r="D22" s="554">
        <v>0</v>
      </c>
      <c r="E22" s="554">
        <v>0</v>
      </c>
      <c r="F22" s="554">
        <v>0</v>
      </c>
      <c r="G22" s="554">
        <v>0</v>
      </c>
      <c r="H22" s="554">
        <v>0</v>
      </c>
      <c r="I22" s="554">
        <v>0</v>
      </c>
      <c r="J22" s="554">
        <v>0</v>
      </c>
      <c r="K22" s="554">
        <v>0</v>
      </c>
      <c r="L22" s="554">
        <v>0</v>
      </c>
      <c r="M22" s="554">
        <v>0</v>
      </c>
      <c r="N22" s="554">
        <v>0</v>
      </c>
      <c r="O22" s="554">
        <v>0</v>
      </c>
      <c r="P22" s="555">
        <f>SUM(D22:O22)</f>
        <v>0</v>
      </c>
    </row>
    <row r="23" spans="1:16">
      <c r="A23" s="6">
        <v>18</v>
      </c>
      <c r="C23" s="12"/>
      <c r="P23" s="554"/>
    </row>
    <row r="24" spans="1:16">
      <c r="A24" s="6">
        <v>19</v>
      </c>
      <c r="C24" s="12"/>
      <c r="D24" s="558"/>
      <c r="P24" s="554"/>
    </row>
    <row r="25" spans="1:16">
      <c r="A25" s="6">
        <v>20</v>
      </c>
      <c r="C25" s="542"/>
      <c r="P25" s="554"/>
    </row>
    <row r="26" spans="1:16">
      <c r="A26" s="6">
        <v>21</v>
      </c>
      <c r="C26" s="542" t="s">
        <v>198</v>
      </c>
      <c r="D26" s="554">
        <v>126096.90000000001</v>
      </c>
      <c r="E26" s="554">
        <v>27597</v>
      </c>
      <c r="F26" s="554">
        <v>1623.8</v>
      </c>
      <c r="G26" s="554">
        <v>0</v>
      </c>
      <c r="H26" s="554">
        <v>118634.1</v>
      </c>
      <c r="I26" s="554">
        <v>40817</v>
      </c>
      <c r="J26" s="554">
        <v>40849.9</v>
      </c>
      <c r="K26" s="554">
        <v>15262.6</v>
      </c>
      <c r="L26" s="554">
        <v>60090.1</v>
      </c>
      <c r="M26" s="554">
        <v>717.7</v>
      </c>
      <c r="N26" s="554">
        <v>3022.8</v>
      </c>
      <c r="O26" s="554">
        <v>43663</v>
      </c>
      <c r="P26" s="555">
        <f>SUM(D26:O26)</f>
        <v>478374.9</v>
      </c>
    </row>
    <row r="27" spans="1:16">
      <c r="A27" s="6">
        <v>22</v>
      </c>
      <c r="C27" s="542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</row>
    <row r="28" spans="1:16">
      <c r="A28" s="6">
        <v>23</v>
      </c>
      <c r="C28" s="12" t="s">
        <v>216</v>
      </c>
      <c r="D28" s="554">
        <v>258016.24049999999</v>
      </c>
      <c r="E28" s="554">
        <v>62306.246500000001</v>
      </c>
      <c r="F28" s="554">
        <v>4374.4549999999999</v>
      </c>
      <c r="G28" s="554">
        <v>0</v>
      </c>
      <c r="H28" s="554">
        <v>213932.35249999998</v>
      </c>
      <c r="I28" s="554">
        <v>59413.641499999998</v>
      </c>
      <c r="J28" s="554">
        <v>40433.64</v>
      </c>
      <c r="K28" s="554">
        <v>21278.722999999998</v>
      </c>
      <c r="L28" s="554">
        <v>116059.36099999999</v>
      </c>
      <c r="M28" s="554">
        <v>1527.0540000000001</v>
      </c>
      <c r="N28" s="554">
        <v>5838.8839999999991</v>
      </c>
      <c r="O28" s="554">
        <v>65771.028000000006</v>
      </c>
      <c r="P28" s="555">
        <f>SUM(D28:O28)</f>
        <v>848951.62600000005</v>
      </c>
    </row>
    <row r="29" spans="1:16">
      <c r="A29" s="6">
        <v>24</v>
      </c>
      <c r="C29" s="542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</row>
    <row r="30" spans="1:16">
      <c r="A30" s="6">
        <v>25</v>
      </c>
      <c r="C30" s="542"/>
      <c r="P30" s="554"/>
    </row>
    <row r="31" spans="1:16">
      <c r="A31" s="6">
        <v>26</v>
      </c>
      <c r="C31" s="542" t="s">
        <v>29</v>
      </c>
      <c r="D31" s="554">
        <v>82910.799999999988</v>
      </c>
      <c r="E31" s="554">
        <v>23253.1</v>
      </c>
      <c r="F31" s="554">
        <v>1387.3999999999999</v>
      </c>
      <c r="G31" s="554">
        <v>0</v>
      </c>
      <c r="H31" s="554">
        <v>65482.500000000015</v>
      </c>
      <c r="I31" s="554">
        <v>21972.3</v>
      </c>
      <c r="J31" s="554">
        <v>13530</v>
      </c>
      <c r="K31" s="554">
        <v>8207.7999999999993</v>
      </c>
      <c r="L31" s="554">
        <v>33544.000000000007</v>
      </c>
      <c r="M31" s="554">
        <v>732.4</v>
      </c>
      <c r="N31" s="554">
        <v>2377.6000000000004</v>
      </c>
      <c r="O31" s="554">
        <v>18331.099999999999</v>
      </c>
      <c r="P31" s="554">
        <f>SUM(D31:O31)</f>
        <v>271728.99999999994</v>
      </c>
    </row>
    <row r="32" spans="1:16">
      <c r="A32" s="6">
        <v>27</v>
      </c>
      <c r="C32" s="12" t="s">
        <v>30</v>
      </c>
      <c r="D32" s="556">
        <f>IFERROR(D33/D31,"-")</f>
        <v>28.174814378826404</v>
      </c>
      <c r="E32" s="556">
        <f>IFERROR(E33/E31,"-")</f>
        <v>29.346345218487006</v>
      </c>
      <c r="F32" s="556">
        <f t="shared" ref="F32:O32" si="3">IFERROR(F33/F31,"-")</f>
        <v>32.664192013838843</v>
      </c>
      <c r="G32" s="556" t="str">
        <f t="shared" si="3"/>
        <v>-</v>
      </c>
      <c r="H32" s="556">
        <f t="shared" si="3"/>
        <v>28.774032756843425</v>
      </c>
      <c r="I32" s="556">
        <f t="shared" si="3"/>
        <v>29.24258270640761</v>
      </c>
      <c r="J32" s="556">
        <f t="shared" si="3"/>
        <v>30.139090909090907</v>
      </c>
      <c r="K32" s="556">
        <f t="shared" si="3"/>
        <v>30.749762421111626</v>
      </c>
      <c r="L32" s="556">
        <f t="shared" si="3"/>
        <v>29.188021702838057</v>
      </c>
      <c r="M32" s="556">
        <f t="shared" si="3"/>
        <v>29.353358820316771</v>
      </c>
      <c r="N32" s="556">
        <f t="shared" si="3"/>
        <v>28.472955921938087</v>
      </c>
      <c r="O32" s="556">
        <f t="shared" si="3"/>
        <v>29.610367081080792</v>
      </c>
      <c r="P32" s="556">
        <f>P33/P31</f>
        <v>28.9320230818205</v>
      </c>
    </row>
    <row r="33" spans="1:16">
      <c r="A33" s="6">
        <v>28</v>
      </c>
      <c r="C33" s="542" t="s">
        <v>31</v>
      </c>
      <c r="D33" s="554">
        <v>2335996.4</v>
      </c>
      <c r="E33" s="554">
        <v>682393.50000000012</v>
      </c>
      <c r="F33" s="554">
        <v>45318.3</v>
      </c>
      <c r="G33" s="554">
        <v>0</v>
      </c>
      <c r="H33" s="554">
        <v>1884195.6</v>
      </c>
      <c r="I33" s="554">
        <v>642526.79999999993</v>
      </c>
      <c r="J33" s="554">
        <v>407781.89999999997</v>
      </c>
      <c r="K33" s="554">
        <v>252387.9</v>
      </c>
      <c r="L33" s="554">
        <v>979083</v>
      </c>
      <c r="M33" s="554">
        <v>21498.400000000001</v>
      </c>
      <c r="N33" s="554">
        <v>67697.3</v>
      </c>
      <c r="O33" s="554">
        <v>542790.60000000009</v>
      </c>
      <c r="P33" s="555">
        <f>SUM(D33:O33)</f>
        <v>7861669.7000000011</v>
      </c>
    </row>
    <row r="34" spans="1:16">
      <c r="A34" s="6">
        <v>29</v>
      </c>
      <c r="C34" s="12"/>
    </row>
    <row r="35" spans="1:16">
      <c r="A35" s="6">
        <v>30</v>
      </c>
      <c r="C35" s="542" t="s">
        <v>32</v>
      </c>
      <c r="D35" s="556">
        <f t="shared" ref="D35:O35" si="4">IFERROR(D36/(D16+D31),"-")</f>
        <v>32.936409905750878</v>
      </c>
      <c r="E35" s="556">
        <f t="shared" si="4"/>
        <v>33.212636014122857</v>
      </c>
      <c r="F35" s="556">
        <f t="shared" si="4"/>
        <v>36.987570275335166</v>
      </c>
      <c r="G35" s="556" t="str">
        <f t="shared" si="4"/>
        <v>-</v>
      </c>
      <c r="H35" s="556">
        <f t="shared" si="4"/>
        <v>33.85274008322834</v>
      </c>
      <c r="I35" s="556">
        <f t="shared" si="4"/>
        <v>33.804264528520001</v>
      </c>
      <c r="J35" s="556">
        <f t="shared" si="4"/>
        <v>36.146743532889872</v>
      </c>
      <c r="K35" s="556">
        <f t="shared" si="4"/>
        <v>35.201786471405249</v>
      </c>
      <c r="L35" s="556">
        <f t="shared" si="4"/>
        <v>34.439317344383483</v>
      </c>
      <c r="M35" s="556">
        <f t="shared" si="4"/>
        <v>32.418287820862922</v>
      </c>
      <c r="N35" s="556">
        <f t="shared" si="4"/>
        <v>32.200111036339159</v>
      </c>
      <c r="O35" s="556">
        <f t="shared" si="4"/>
        <v>36.135756827096181</v>
      </c>
      <c r="P35" s="556">
        <f>P36/(P16+P31)</f>
        <v>33.896853401068824</v>
      </c>
    </row>
    <row r="36" spans="1:16">
      <c r="A36" s="6">
        <v>31</v>
      </c>
      <c r="C36" s="543" t="s">
        <v>33</v>
      </c>
      <c r="D36" s="554">
        <f>D18+D22+D26+D28+D33</f>
        <v>2746764.8404999999</v>
      </c>
      <c r="E36" s="554">
        <f t="shared" ref="E36:O36" si="5">E18+E22+E26+E28+E33</f>
        <v>772296.74650000012</v>
      </c>
      <c r="F36" s="554">
        <f t="shared" si="5"/>
        <v>51316.555</v>
      </c>
      <c r="G36" s="554">
        <f t="shared" si="5"/>
        <v>0</v>
      </c>
      <c r="H36" s="554">
        <f t="shared" si="5"/>
        <v>2216762.0525000002</v>
      </c>
      <c r="I36" s="554">
        <f t="shared" si="5"/>
        <v>742757.44149999996</v>
      </c>
      <c r="J36" s="554">
        <f t="shared" si="5"/>
        <v>489065.43999999994</v>
      </c>
      <c r="K36" s="554">
        <f t="shared" si="5"/>
        <v>288929.223</v>
      </c>
      <c r="L36" s="554">
        <f t="shared" si="5"/>
        <v>1155232.4609999999</v>
      </c>
      <c r="M36" s="554">
        <f t="shared" si="5"/>
        <v>23743.154000000002</v>
      </c>
      <c r="N36" s="554">
        <f t="shared" si="5"/>
        <v>76558.983999999997</v>
      </c>
      <c r="O36" s="554">
        <f t="shared" si="5"/>
        <v>684516.02800000017</v>
      </c>
      <c r="P36" s="559">
        <f>SUM(D36:O36)</f>
        <v>9247942.9260000009</v>
      </c>
    </row>
    <row r="37" spans="1:16">
      <c r="A37" s="6">
        <v>32</v>
      </c>
      <c r="C37" s="12"/>
    </row>
    <row r="38" spans="1:16">
      <c r="A38" s="6">
        <v>33</v>
      </c>
      <c r="B38" s="14" t="s">
        <v>34</v>
      </c>
      <c r="C38" s="12"/>
    </row>
    <row r="39" spans="1:16">
      <c r="A39" s="6">
        <v>34</v>
      </c>
      <c r="C39" s="12" t="s">
        <v>35</v>
      </c>
      <c r="D39" s="556">
        <f t="shared" ref="D39:O39" si="6">IFERROR(D40/D9,"-")</f>
        <v>6.9816377224327315</v>
      </c>
      <c r="E39" s="556">
        <f t="shared" si="6"/>
        <v>5.6668209185011849</v>
      </c>
      <c r="F39" s="556">
        <f t="shared" si="6"/>
        <v>5.1068509442121925</v>
      </c>
      <c r="G39" s="556" t="str">
        <f t="shared" si="6"/>
        <v>-</v>
      </c>
      <c r="H39" s="556">
        <f t="shared" si="6"/>
        <v>10.856539495284993</v>
      </c>
      <c r="I39" s="556">
        <f t="shared" si="6"/>
        <v>7.593090322815546</v>
      </c>
      <c r="J39" s="556">
        <f t="shared" si="6"/>
        <v>8.6760206947524061</v>
      </c>
      <c r="K39" s="556">
        <f t="shared" si="6"/>
        <v>5.608857062793926</v>
      </c>
      <c r="L39" s="556">
        <f t="shared" si="6"/>
        <v>7.6897429942761812</v>
      </c>
      <c r="M39" s="556">
        <f t="shared" si="6"/>
        <v>5.476578372474056</v>
      </c>
      <c r="N39" s="556">
        <f t="shared" si="6"/>
        <v>4.8061978465679669</v>
      </c>
      <c r="O39" s="556">
        <f t="shared" si="6"/>
        <v>5.4485993168944509</v>
      </c>
      <c r="P39" s="556">
        <f>P40/P9</f>
        <v>7.839671710174251</v>
      </c>
    </row>
    <row r="40" spans="1:16">
      <c r="A40" s="6">
        <v>35</v>
      </c>
      <c r="C40" s="542" t="s">
        <v>36</v>
      </c>
      <c r="D40" s="554">
        <f>D13-D36</f>
        <v>582240.65950000007</v>
      </c>
      <c r="E40" s="554">
        <f t="shared" ref="E40:O40" si="7">E13-E36</f>
        <v>131771.1534999999</v>
      </c>
      <c r="F40" s="554">
        <f t="shared" si="7"/>
        <v>7085.2449999999953</v>
      </c>
      <c r="G40" s="554">
        <f t="shared" si="7"/>
        <v>0</v>
      </c>
      <c r="H40" s="554">
        <f t="shared" si="7"/>
        <v>710913.34749999968</v>
      </c>
      <c r="I40" s="554">
        <f t="shared" si="7"/>
        <v>166837.65850000002</v>
      </c>
      <c r="J40" s="554">
        <f t="shared" si="7"/>
        <v>117386.56000000006</v>
      </c>
      <c r="K40" s="554">
        <f t="shared" si="7"/>
        <v>46036.376999999979</v>
      </c>
      <c r="L40" s="554">
        <f t="shared" si="7"/>
        <v>257944.73900000029</v>
      </c>
      <c r="M40" s="554">
        <f t="shared" si="7"/>
        <v>4011.0459999999985</v>
      </c>
      <c r="N40" s="554">
        <f t="shared" si="7"/>
        <v>11427.216</v>
      </c>
      <c r="O40" s="554">
        <f t="shared" si="7"/>
        <v>103212.27199999988</v>
      </c>
      <c r="P40" s="555">
        <f>SUM(D40:O40)</f>
        <v>2138866.2740000002</v>
      </c>
    </row>
    <row r="41" spans="1:16">
      <c r="A41" s="6">
        <v>36</v>
      </c>
      <c r="C41" s="12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</row>
    <row r="42" spans="1:16">
      <c r="A42" s="6">
        <v>37</v>
      </c>
      <c r="C42" s="12"/>
      <c r="D42" s="554"/>
      <c r="E42" s="554"/>
      <c r="F42" s="554"/>
      <c r="G42" s="556"/>
      <c r="H42" s="556"/>
      <c r="I42" s="554"/>
      <c r="J42" s="554">
        <f>J40/J7</f>
        <v>3786.6632258064533</v>
      </c>
      <c r="K42" s="554"/>
      <c r="L42" s="554"/>
      <c r="M42" s="554"/>
      <c r="N42" s="554"/>
      <c r="O42" s="554"/>
      <c r="P42" s="554"/>
    </row>
    <row r="43" spans="1:16">
      <c r="A43" s="6">
        <v>38</v>
      </c>
      <c r="C43" s="12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>
        <f>SUM(D43:O43)</f>
        <v>0</v>
      </c>
    </row>
    <row r="44" spans="1:16">
      <c r="A44" s="6">
        <v>39</v>
      </c>
      <c r="C44" s="12"/>
      <c r="D44" s="554"/>
      <c r="E44" s="554"/>
      <c r="F44" s="554"/>
      <c r="P44" s="554">
        <f>SUM(D44:O44)</f>
        <v>0</v>
      </c>
    </row>
    <row r="45" spans="1:16">
      <c r="A45" s="6">
        <v>40</v>
      </c>
      <c r="C45" s="544" t="s">
        <v>122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">
        <v>10</v>
      </c>
      <c r="I45" s="10" t="s">
        <v>91</v>
      </c>
      <c r="J45" s="10" t="s">
        <v>92</v>
      </c>
      <c r="K45" s="10" t="s">
        <v>93</v>
      </c>
      <c r="L45" s="10" t="s">
        <v>94</v>
      </c>
      <c r="M45" s="10" t="s">
        <v>95</v>
      </c>
      <c r="N45" s="10" t="s">
        <v>96</v>
      </c>
      <c r="O45" s="10" t="s">
        <v>97</v>
      </c>
    </row>
    <row r="46" spans="1:16">
      <c r="A46" s="6">
        <v>41</v>
      </c>
      <c r="B46" s="14"/>
      <c r="C46" s="12" t="s">
        <v>119</v>
      </c>
      <c r="D46" s="558">
        <f>IFERROR((D13-D26-D28)/(D16+D31),"-")</f>
        <v>35.312153574511974</v>
      </c>
      <c r="E46" s="558">
        <f t="shared" ref="E46:O46" si="8">IFERROR((E13-E26-E28)/(E16+E31),"-")</f>
        <v>35.01316613698819</v>
      </c>
      <c r="F46" s="558">
        <f t="shared" si="8"/>
        <v>37.771042958051027</v>
      </c>
      <c r="G46" s="558" t="str">
        <f t="shared" si="8"/>
        <v>-</v>
      </c>
      <c r="H46" s="558">
        <f t="shared" si="8"/>
        <v>39.630572252128417</v>
      </c>
      <c r="I46" s="558">
        <f t="shared" si="8"/>
        <v>36.835673029223159</v>
      </c>
      <c r="J46" s="558">
        <f t="shared" si="8"/>
        <v>38.815111603843306</v>
      </c>
      <c r="K46" s="558">
        <f t="shared" si="8"/>
        <v>36.358619483905557</v>
      </c>
      <c r="L46" s="558">
        <f t="shared" si="8"/>
        <v>36.87776469711423</v>
      </c>
      <c r="M46" s="558">
        <f t="shared" si="8"/>
        <v>34.829937192790823</v>
      </c>
      <c r="N46" s="558">
        <f t="shared" si="8"/>
        <v>33.279153768506049</v>
      </c>
      <c r="O46" s="558">
        <f t="shared" si="8"/>
        <v>35.807308912574108</v>
      </c>
      <c r="P46" s="552"/>
    </row>
    <row r="47" spans="1:16">
      <c r="A47" s="6">
        <v>42</v>
      </c>
      <c r="B47" s="17"/>
      <c r="C47" s="12" t="s">
        <v>117</v>
      </c>
      <c r="D47" s="558">
        <f>IFERROR((D33+D22+D84)/(D16+D31),"-")</f>
        <v>28.330515852079238</v>
      </c>
      <c r="E47" s="558">
        <f t="shared" ref="E47:O47" si="9">IFERROR((E33+E22+E84)/(E16+E31),"-")</f>
        <v>29.346345218487006</v>
      </c>
      <c r="F47" s="558">
        <f t="shared" si="9"/>
        <v>32.664192013838843</v>
      </c>
      <c r="G47" s="558" t="str">
        <f t="shared" si="9"/>
        <v>-</v>
      </c>
      <c r="H47" s="558">
        <f t="shared" si="9"/>
        <v>28.774032756843425</v>
      </c>
      <c r="I47" s="558">
        <f t="shared" si="9"/>
        <v>29.24258270640761</v>
      </c>
      <c r="J47" s="558">
        <f t="shared" si="9"/>
        <v>30.139090909090907</v>
      </c>
      <c r="K47" s="558">
        <f t="shared" si="9"/>
        <v>30.749762421111626</v>
      </c>
      <c r="L47" s="558">
        <f t="shared" si="9"/>
        <v>29.188021702838057</v>
      </c>
      <c r="M47" s="558">
        <f t="shared" si="9"/>
        <v>29.353358820316771</v>
      </c>
      <c r="N47" s="558">
        <f t="shared" si="9"/>
        <v>28.472955921938087</v>
      </c>
      <c r="O47" s="558">
        <f t="shared" si="9"/>
        <v>30.358709595679656</v>
      </c>
      <c r="P47" s="11"/>
    </row>
    <row r="48" spans="1:16">
      <c r="A48" s="6">
        <v>43</v>
      </c>
      <c r="C48" s="542"/>
    </row>
    <row r="49" spans="1:16">
      <c r="A49" s="6">
        <v>44</v>
      </c>
      <c r="B49" s="15"/>
      <c r="C49" s="542"/>
    </row>
    <row r="50" spans="1:16">
      <c r="A50" s="6">
        <v>45</v>
      </c>
      <c r="C50" s="539" t="s">
        <v>157</v>
      </c>
      <c r="D50" s="554">
        <v>0</v>
      </c>
      <c r="E50" s="554">
        <v>0</v>
      </c>
      <c r="F50" s="554">
        <v>0</v>
      </c>
      <c r="G50" s="554">
        <v>0</v>
      </c>
      <c r="H50" s="554">
        <v>0</v>
      </c>
      <c r="I50" s="554">
        <v>0</v>
      </c>
      <c r="J50" s="554">
        <v>0</v>
      </c>
      <c r="K50" s="554">
        <v>0</v>
      </c>
      <c r="L50" s="554">
        <v>0</v>
      </c>
      <c r="M50" s="554">
        <v>0</v>
      </c>
      <c r="N50" s="554">
        <v>0</v>
      </c>
      <c r="O50" s="554">
        <v>0</v>
      </c>
      <c r="P50" s="555">
        <f>SUM(D50:O50)</f>
        <v>0</v>
      </c>
    </row>
    <row r="51" spans="1:16">
      <c r="A51" s="6">
        <v>46</v>
      </c>
      <c r="C51" s="539"/>
      <c r="P51" s="560"/>
    </row>
    <row r="52" spans="1:16">
      <c r="A52" s="6">
        <v>47</v>
      </c>
      <c r="C52" s="539"/>
      <c r="P52" s="560"/>
    </row>
    <row r="53" spans="1:16">
      <c r="A53" s="6">
        <v>48</v>
      </c>
      <c r="B53" s="19"/>
      <c r="C53" s="12" t="s">
        <v>217</v>
      </c>
      <c r="D53" s="552">
        <v>0</v>
      </c>
      <c r="E53" s="552">
        <v>0</v>
      </c>
      <c r="F53" s="552">
        <v>0</v>
      </c>
      <c r="G53" s="552">
        <v>0</v>
      </c>
      <c r="H53" s="552">
        <v>0</v>
      </c>
      <c r="I53" s="552">
        <v>0</v>
      </c>
      <c r="J53" s="552">
        <v>0</v>
      </c>
      <c r="K53" s="552">
        <v>0</v>
      </c>
      <c r="L53" s="552">
        <v>0</v>
      </c>
      <c r="M53" s="552">
        <v>0</v>
      </c>
      <c r="N53" s="552">
        <v>0</v>
      </c>
      <c r="O53" s="552">
        <v>0</v>
      </c>
      <c r="P53" s="554">
        <f>SUM(D53:O53)</f>
        <v>0</v>
      </c>
    </row>
    <row r="54" spans="1:16">
      <c r="A54" s="6">
        <v>49</v>
      </c>
      <c r="B54" s="15"/>
      <c r="C54" s="12" t="s">
        <v>218</v>
      </c>
      <c r="D54" s="554">
        <v>0</v>
      </c>
      <c r="E54" s="554">
        <v>0</v>
      </c>
      <c r="F54" s="554">
        <v>0</v>
      </c>
      <c r="G54" s="554">
        <v>0</v>
      </c>
      <c r="H54" s="554">
        <v>0</v>
      </c>
      <c r="I54" s="554">
        <v>0</v>
      </c>
      <c r="J54" s="554">
        <v>0</v>
      </c>
      <c r="K54" s="554">
        <v>0</v>
      </c>
      <c r="L54" s="554">
        <v>0</v>
      </c>
      <c r="M54" s="554">
        <v>0</v>
      </c>
      <c r="N54" s="554">
        <v>0</v>
      </c>
      <c r="O54" s="554">
        <v>0</v>
      </c>
      <c r="P54" s="554">
        <f>SUM(D54:O54)</f>
        <v>0</v>
      </c>
    </row>
    <row r="55" spans="1:16">
      <c r="A55" s="6">
        <v>50</v>
      </c>
      <c r="B55" s="15"/>
      <c r="C55" s="542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2"/>
    </row>
    <row r="56" spans="1:16">
      <c r="A56" s="6">
        <v>51</v>
      </c>
      <c r="C56" s="542"/>
      <c r="P56" s="560"/>
    </row>
    <row r="57" spans="1:16">
      <c r="A57" s="6">
        <v>52</v>
      </c>
      <c r="C57" s="12" t="s">
        <v>156</v>
      </c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60">
        <f>SUM(D57:O57)</f>
        <v>0</v>
      </c>
    </row>
    <row r="58" spans="1:16">
      <c r="A58" s="6">
        <v>53</v>
      </c>
      <c r="C58" s="12" t="s">
        <v>143</v>
      </c>
      <c r="D58" s="554">
        <v>0</v>
      </c>
      <c r="E58" s="554">
        <v>0</v>
      </c>
      <c r="F58" s="554">
        <v>0</v>
      </c>
      <c r="G58" s="554">
        <v>0</v>
      </c>
      <c r="H58" s="554">
        <v>0</v>
      </c>
      <c r="I58" s="554">
        <v>0</v>
      </c>
      <c r="J58" s="554">
        <v>0</v>
      </c>
      <c r="K58" s="554">
        <v>0</v>
      </c>
      <c r="L58" s="554">
        <v>0</v>
      </c>
      <c r="M58" s="554">
        <v>0</v>
      </c>
      <c r="N58" s="554">
        <v>0</v>
      </c>
      <c r="O58" s="554">
        <v>0</v>
      </c>
      <c r="P58" s="560">
        <f>SUM(D58:O58)</f>
        <v>0</v>
      </c>
    </row>
    <row r="59" spans="1:16">
      <c r="A59" s="6">
        <v>54</v>
      </c>
      <c r="B59" s="15"/>
      <c r="C59" s="15"/>
      <c r="P59" s="560"/>
    </row>
    <row r="60" spans="1:16">
      <c r="A60" s="6">
        <v>55</v>
      </c>
      <c r="C60" s="18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63"/>
    </row>
    <row r="61" spans="1:16">
      <c r="A61" s="6">
        <v>56</v>
      </c>
      <c r="C61" s="539" t="s">
        <v>315</v>
      </c>
      <c r="D61" s="564">
        <v>29.924504103343221</v>
      </c>
      <c r="E61" s="556">
        <v>30.031520105215556</v>
      </c>
      <c r="F61" s="556">
        <v>29.085871938820809</v>
      </c>
      <c r="G61" s="556">
        <v>27.390282043074169</v>
      </c>
      <c r="H61" s="556">
        <v>26.032489528388389</v>
      </c>
      <c r="I61" s="556">
        <v>28.121760603219595</v>
      </c>
      <c r="J61" s="556">
        <v>28.850748360646211</v>
      </c>
      <c r="K61" s="556">
        <v>28.605809304923476</v>
      </c>
      <c r="L61" s="556">
        <v>28.054954564786755</v>
      </c>
      <c r="M61" s="556">
        <v>25.972631571941424</v>
      </c>
      <c r="N61" s="556">
        <v>26.773564728805223</v>
      </c>
      <c r="O61" s="556">
        <v>28.416478936020891</v>
      </c>
      <c r="P61" s="555">
        <f>AVERAGE(D61:O61)</f>
        <v>28.105051315765479</v>
      </c>
    </row>
    <row r="62" spans="1:16">
      <c r="A62" s="6">
        <v>57</v>
      </c>
      <c r="C62" s="540" t="s">
        <v>213</v>
      </c>
      <c r="D62" s="554">
        <v>53591093.813403003</v>
      </c>
      <c r="E62" s="554">
        <v>54321315.4464994</v>
      </c>
      <c r="F62" s="554">
        <v>54913071.171729229</v>
      </c>
      <c r="G62" s="554">
        <v>55945847.916465104</v>
      </c>
      <c r="H62" s="554">
        <v>58406290.243242897</v>
      </c>
      <c r="I62" s="554">
        <v>62230746.490457311</v>
      </c>
      <c r="J62" s="554">
        <v>65037997.651062466</v>
      </c>
      <c r="K62" s="554">
        <v>65795547.109465726</v>
      </c>
      <c r="L62" s="554">
        <v>65466906.665720016</v>
      </c>
      <c r="M62" s="554">
        <v>59580879.839901686</v>
      </c>
      <c r="N62" s="554">
        <v>58001981.995337203</v>
      </c>
      <c r="O62" s="554">
        <v>58986151.588585809</v>
      </c>
      <c r="P62" s="555">
        <f>SUM(D62:O62)</f>
        <v>712277829.93186998</v>
      </c>
    </row>
    <row r="63" spans="1:16">
      <c r="A63" s="6">
        <v>58</v>
      </c>
      <c r="B63" s="19"/>
      <c r="C63" s="12"/>
      <c r="J63" s="552">
        <f>J62/J7</f>
        <v>2097999.9242278216</v>
      </c>
      <c r="P63" s="563"/>
    </row>
    <row r="64" spans="1:16">
      <c r="A64" s="6">
        <v>59</v>
      </c>
      <c r="B64" s="15"/>
      <c r="C64" s="12"/>
      <c r="D64" s="565"/>
      <c r="E64" s="565"/>
      <c r="F64" s="565"/>
      <c r="G64" s="565"/>
      <c r="H64" s="565"/>
      <c r="I64" s="565"/>
      <c r="J64" s="565"/>
      <c r="P64" s="563"/>
    </row>
    <row r="65" spans="1:16">
      <c r="A65" s="6">
        <v>60</v>
      </c>
      <c r="B65" s="15"/>
      <c r="C65" s="539" t="s">
        <v>314</v>
      </c>
      <c r="D65" s="565">
        <v>29.924504103343221</v>
      </c>
      <c r="E65" s="565">
        <v>30.031520105215556</v>
      </c>
      <c r="F65" s="565">
        <v>29.085871938820809</v>
      </c>
      <c r="G65" s="565">
        <v>27.390282043074169</v>
      </c>
      <c r="H65" s="565">
        <v>26.032489528388389</v>
      </c>
      <c r="I65" s="565">
        <v>28.121760603219595</v>
      </c>
      <c r="J65" s="565">
        <v>27.196316521208896</v>
      </c>
      <c r="K65" s="565">
        <v>26.718803509198285</v>
      </c>
      <c r="L65" s="565">
        <v>26.784430993773892</v>
      </c>
      <c r="M65" s="565">
        <v>26.498459712792506</v>
      </c>
      <c r="N65" s="565">
        <v>26.69177170724614</v>
      </c>
      <c r="O65" s="565">
        <v>26.88541572002395</v>
      </c>
      <c r="P65" s="555">
        <f>AVERAGE(D65:O65)</f>
        <v>27.613468873858782</v>
      </c>
    </row>
    <row r="66" spans="1:16">
      <c r="A66" s="6">
        <v>61</v>
      </c>
      <c r="C66" s="541" t="s">
        <v>307</v>
      </c>
      <c r="D66" s="554">
        <v>53591093.813403003</v>
      </c>
      <c r="E66" s="554">
        <v>54321315.4464994</v>
      </c>
      <c r="F66" s="554">
        <v>54913071.171729229</v>
      </c>
      <c r="G66" s="554">
        <v>55945847.916465104</v>
      </c>
      <c r="H66" s="554">
        <v>58406290.243242897</v>
      </c>
      <c r="I66" s="554">
        <v>62230746.490457311</v>
      </c>
      <c r="J66" s="554">
        <v>65059543.454757735</v>
      </c>
      <c r="K66" s="554">
        <v>65795082.103962921</v>
      </c>
      <c r="L66" s="554">
        <v>65467012.438519232</v>
      </c>
      <c r="M66" s="554">
        <v>59536085.484692328</v>
      </c>
      <c r="N66" s="554">
        <v>57815078.492145784</v>
      </c>
      <c r="O66" s="554">
        <v>57518781.718458131</v>
      </c>
      <c r="P66" s="555">
        <f>SUM(D66:O66)</f>
        <v>710599948.77433312</v>
      </c>
    </row>
    <row r="67" spans="1:16">
      <c r="A67" s="6">
        <v>62</v>
      </c>
      <c r="C67" s="15"/>
      <c r="J67" s="566"/>
    </row>
    <row r="68" spans="1:16">
      <c r="A68" s="6">
        <v>63</v>
      </c>
      <c r="C68" s="15"/>
    </row>
    <row r="69" spans="1:16">
      <c r="A69" s="6">
        <v>64</v>
      </c>
      <c r="B69" s="15"/>
      <c r="C69" s="542" t="s">
        <v>409</v>
      </c>
      <c r="D69" s="558"/>
      <c r="M69" s="554">
        <v>126667.8</v>
      </c>
      <c r="N69" s="554">
        <v>33060.999999999898</v>
      </c>
      <c r="O69" s="554">
        <v>446494.09999999899</v>
      </c>
    </row>
    <row r="70" spans="1:16">
      <c r="A70" s="6">
        <v>65</v>
      </c>
      <c r="C70" s="18"/>
      <c r="D70" s="393"/>
      <c r="P70" s="560"/>
    </row>
    <row r="71" spans="1:16">
      <c r="A71" s="6">
        <v>66</v>
      </c>
      <c r="C71" s="18"/>
      <c r="P71" s="560"/>
    </row>
    <row r="72" spans="1:16">
      <c r="A72" s="6">
        <v>67</v>
      </c>
      <c r="C72" s="18"/>
      <c r="P72" s="560"/>
    </row>
    <row r="73" spans="1:16">
      <c r="A73" s="6">
        <v>68</v>
      </c>
      <c r="B73" s="19"/>
      <c r="P73" s="560"/>
    </row>
    <row r="74" spans="1:16">
      <c r="A74" s="6">
        <v>69</v>
      </c>
      <c r="B74" s="15"/>
      <c r="P74" s="560"/>
    </row>
    <row r="75" spans="1:16">
      <c r="A75" s="6">
        <v>70</v>
      </c>
      <c r="B75" s="15"/>
      <c r="C75" s="15"/>
      <c r="D75" s="561"/>
      <c r="E75" s="561"/>
      <c r="F75" s="561"/>
      <c r="G75" s="561"/>
      <c r="H75" s="561"/>
      <c r="I75" s="561"/>
      <c r="J75" s="561"/>
      <c r="K75" s="561"/>
      <c r="L75" s="561"/>
      <c r="M75" s="561"/>
      <c r="N75" s="561"/>
      <c r="O75" s="561"/>
      <c r="P75" s="562"/>
    </row>
    <row r="76" spans="1:16">
      <c r="A76" s="6">
        <v>71</v>
      </c>
      <c r="C76" s="15"/>
      <c r="P76" s="560"/>
    </row>
    <row r="77" spans="1:16">
      <c r="A77" s="6">
        <v>72</v>
      </c>
      <c r="C77" s="15"/>
    </row>
    <row r="78" spans="1:16">
      <c r="A78" s="6">
        <v>73</v>
      </c>
      <c r="C78" s="15"/>
    </row>
    <row r="79" spans="1:16">
      <c r="A79" s="6">
        <v>74</v>
      </c>
      <c r="B79" s="14" t="s">
        <v>37</v>
      </c>
      <c r="C79" s="15"/>
    </row>
    <row r="80" spans="1:16">
      <c r="A80" s="6">
        <v>75</v>
      </c>
      <c r="B80" s="13" t="s">
        <v>115</v>
      </c>
      <c r="C80" s="15"/>
      <c r="D80" s="11">
        <v>38354</v>
      </c>
      <c r="E80" s="11">
        <v>38385</v>
      </c>
      <c r="F80" s="11">
        <v>38413</v>
      </c>
      <c r="G80" s="11">
        <v>38444</v>
      </c>
      <c r="H80" s="11">
        <v>38474</v>
      </c>
      <c r="I80" s="11">
        <v>38505</v>
      </c>
      <c r="J80" s="11">
        <v>38535</v>
      </c>
      <c r="K80" s="11">
        <v>38566</v>
      </c>
      <c r="L80" s="11">
        <v>38597</v>
      </c>
      <c r="M80" s="11">
        <v>38627</v>
      </c>
      <c r="N80" s="11">
        <v>38658</v>
      </c>
      <c r="O80" s="11">
        <v>38688</v>
      </c>
      <c r="P80" s="11" t="s">
        <v>18</v>
      </c>
    </row>
    <row r="81" spans="1:16">
      <c r="A81" s="6">
        <v>76</v>
      </c>
      <c r="B81" s="15" t="s">
        <v>38</v>
      </c>
      <c r="C81" s="15"/>
    </row>
    <row r="82" spans="1:16">
      <c r="A82" s="6">
        <v>77</v>
      </c>
      <c r="C82" s="16" t="s">
        <v>144</v>
      </c>
      <c r="D82" s="552">
        <f>D16</f>
        <v>485.20000000000005</v>
      </c>
      <c r="E82" s="552">
        <f t="shared" ref="E82:O82" si="10">E16</f>
        <v>0</v>
      </c>
      <c r="F82" s="552">
        <f t="shared" si="10"/>
        <v>0</v>
      </c>
      <c r="G82" s="552">
        <f t="shared" si="10"/>
        <v>0</v>
      </c>
      <c r="H82" s="552">
        <f t="shared" si="10"/>
        <v>0</v>
      </c>
      <c r="I82" s="552">
        <f t="shared" si="10"/>
        <v>0</v>
      </c>
      <c r="J82" s="552">
        <f t="shared" si="10"/>
        <v>0</v>
      </c>
      <c r="K82" s="552">
        <f t="shared" si="10"/>
        <v>0</v>
      </c>
      <c r="L82" s="552">
        <f t="shared" si="10"/>
        <v>0</v>
      </c>
      <c r="M82" s="552">
        <f t="shared" si="10"/>
        <v>0</v>
      </c>
      <c r="N82" s="552">
        <f t="shared" si="10"/>
        <v>0</v>
      </c>
      <c r="O82" s="552">
        <f t="shared" si="10"/>
        <v>611.79999999999995</v>
      </c>
      <c r="P82" s="560">
        <f>SUM(D82:O82)</f>
        <v>1097</v>
      </c>
    </row>
    <row r="83" spans="1:16">
      <c r="A83" s="6">
        <v>78</v>
      </c>
      <c r="C83" s="15" t="s">
        <v>39</v>
      </c>
      <c r="D83" s="552">
        <f t="shared" ref="D83:P83" si="11">D84/D82</f>
        <v>54.93672712283594</v>
      </c>
      <c r="E83" s="552" t="e">
        <f t="shared" si="11"/>
        <v>#DIV/0!</v>
      </c>
      <c r="F83" s="552" t="e">
        <f t="shared" si="11"/>
        <v>#DIV/0!</v>
      </c>
      <c r="G83" s="552" t="e">
        <f t="shared" si="11"/>
        <v>#DIV/0!</v>
      </c>
      <c r="H83" s="552" t="e">
        <f t="shared" si="11"/>
        <v>#DIV/0!</v>
      </c>
      <c r="I83" s="552" t="e">
        <f t="shared" si="11"/>
        <v>#DIV/0!</v>
      </c>
      <c r="J83" s="552" t="e">
        <f t="shared" si="11"/>
        <v>#DIV/0!</v>
      </c>
      <c r="K83" s="552" t="e">
        <f t="shared" si="11"/>
        <v>#DIV/0!</v>
      </c>
      <c r="L83" s="552" t="e">
        <f t="shared" si="11"/>
        <v>#DIV/0!</v>
      </c>
      <c r="M83" s="552" t="e">
        <f t="shared" si="11"/>
        <v>#DIV/0!</v>
      </c>
      <c r="N83" s="552" t="e">
        <f t="shared" si="11"/>
        <v>#DIV/0!</v>
      </c>
      <c r="O83" s="552">
        <f t="shared" si="11"/>
        <v>52.780974174566857</v>
      </c>
      <c r="P83" s="563">
        <f t="shared" si="11"/>
        <v>53.734457611668184</v>
      </c>
    </row>
    <row r="84" spans="1:16">
      <c r="A84" s="6">
        <v>79</v>
      </c>
      <c r="C84" s="16" t="s">
        <v>40</v>
      </c>
      <c r="D84" s="552">
        <f>D18</f>
        <v>26655.3</v>
      </c>
      <c r="E84" s="552">
        <f t="shared" ref="E84:O84" si="12">E18</f>
        <v>0</v>
      </c>
      <c r="F84" s="552">
        <f t="shared" si="12"/>
        <v>0</v>
      </c>
      <c r="G84" s="552">
        <f t="shared" si="12"/>
        <v>0</v>
      </c>
      <c r="H84" s="552">
        <f t="shared" si="12"/>
        <v>0</v>
      </c>
      <c r="I84" s="552">
        <f t="shared" si="12"/>
        <v>0</v>
      </c>
      <c r="J84" s="552">
        <f t="shared" si="12"/>
        <v>0</v>
      </c>
      <c r="K84" s="552">
        <f t="shared" si="12"/>
        <v>0</v>
      </c>
      <c r="L84" s="552">
        <f t="shared" si="12"/>
        <v>0</v>
      </c>
      <c r="M84" s="552">
        <f t="shared" si="12"/>
        <v>0</v>
      </c>
      <c r="N84" s="552">
        <f t="shared" si="12"/>
        <v>0</v>
      </c>
      <c r="O84" s="552">
        <f t="shared" si="12"/>
        <v>32291.4</v>
      </c>
      <c r="P84" s="560">
        <f>SUM(D84:O84)</f>
        <v>58946.7</v>
      </c>
    </row>
    <row r="85" spans="1:16">
      <c r="A85" s="6">
        <v>80</v>
      </c>
      <c r="C85" s="15"/>
    </row>
    <row r="86" spans="1:16">
      <c r="A86" s="6">
        <v>81</v>
      </c>
      <c r="B86" s="16" t="s">
        <v>41</v>
      </c>
    </row>
    <row r="87" spans="1:16">
      <c r="A87" s="6">
        <v>82</v>
      </c>
      <c r="C87" s="16" t="s">
        <v>144</v>
      </c>
      <c r="D87" s="552">
        <v>0</v>
      </c>
      <c r="E87" s="552">
        <v>0</v>
      </c>
      <c r="F87" s="552">
        <v>0</v>
      </c>
      <c r="G87" s="552">
        <v>0</v>
      </c>
      <c r="H87" s="552">
        <v>0</v>
      </c>
      <c r="I87" s="552">
        <v>0</v>
      </c>
      <c r="J87" s="552">
        <v>0</v>
      </c>
      <c r="K87" s="552">
        <v>0</v>
      </c>
      <c r="L87" s="552">
        <v>0</v>
      </c>
      <c r="M87" s="552">
        <v>0</v>
      </c>
      <c r="N87" s="552">
        <v>0</v>
      </c>
      <c r="O87" s="552">
        <v>0</v>
      </c>
      <c r="P87" s="560">
        <f>SUM(D87:O87)</f>
        <v>0</v>
      </c>
    </row>
    <row r="88" spans="1:16">
      <c r="A88" s="6">
        <v>83</v>
      </c>
      <c r="C88" s="15" t="s">
        <v>39</v>
      </c>
      <c r="D88" s="567" t="e">
        <f>D89/D87</f>
        <v>#DIV/0!</v>
      </c>
      <c r="E88" s="567" t="e">
        <f t="shared" ref="E88:O88" si="13">E89/E87</f>
        <v>#DIV/0!</v>
      </c>
      <c r="F88" s="567" t="e">
        <f t="shared" si="13"/>
        <v>#DIV/0!</v>
      </c>
      <c r="G88" s="567" t="e">
        <f t="shared" si="13"/>
        <v>#DIV/0!</v>
      </c>
      <c r="H88" s="567" t="e">
        <f t="shared" si="13"/>
        <v>#DIV/0!</v>
      </c>
      <c r="I88" s="567" t="e">
        <f t="shared" si="13"/>
        <v>#DIV/0!</v>
      </c>
      <c r="J88" s="567" t="e">
        <f t="shared" si="13"/>
        <v>#DIV/0!</v>
      </c>
      <c r="K88" s="567" t="e">
        <f t="shared" si="13"/>
        <v>#DIV/0!</v>
      </c>
      <c r="L88" s="567" t="e">
        <f t="shared" si="13"/>
        <v>#DIV/0!</v>
      </c>
      <c r="M88" s="567" t="e">
        <f t="shared" si="13"/>
        <v>#DIV/0!</v>
      </c>
      <c r="N88" s="567" t="e">
        <f t="shared" si="13"/>
        <v>#DIV/0!</v>
      </c>
      <c r="O88" s="567" t="e">
        <f t="shared" si="13"/>
        <v>#DIV/0!</v>
      </c>
      <c r="P88" s="563" t="e">
        <f>P89/P87</f>
        <v>#DIV/0!</v>
      </c>
    </row>
    <row r="89" spans="1:16">
      <c r="A89" s="6">
        <v>84</v>
      </c>
      <c r="C89" s="16" t="s">
        <v>40</v>
      </c>
      <c r="D89" s="552">
        <v>0</v>
      </c>
      <c r="E89" s="552">
        <v>0</v>
      </c>
      <c r="F89" s="552">
        <v>0</v>
      </c>
      <c r="G89" s="552">
        <v>0</v>
      </c>
      <c r="H89" s="552">
        <v>0</v>
      </c>
      <c r="I89" s="552">
        <v>0</v>
      </c>
      <c r="J89" s="552">
        <v>0</v>
      </c>
      <c r="K89" s="552">
        <v>0</v>
      </c>
      <c r="L89" s="552">
        <v>0</v>
      </c>
      <c r="M89" s="552">
        <v>0</v>
      </c>
      <c r="N89" s="552">
        <v>0</v>
      </c>
      <c r="O89" s="552">
        <v>0</v>
      </c>
      <c r="P89" s="560">
        <f>SUM(D89:O89)</f>
        <v>0</v>
      </c>
    </row>
    <row r="90" spans="1:16">
      <c r="A90" s="6">
        <v>85</v>
      </c>
      <c r="C90" s="15"/>
    </row>
    <row r="91" spans="1:16">
      <c r="A91" s="6">
        <v>86</v>
      </c>
      <c r="B91" s="15" t="s">
        <v>42</v>
      </c>
    </row>
    <row r="92" spans="1:16">
      <c r="A92" s="6">
        <v>87</v>
      </c>
      <c r="C92" s="16" t="s">
        <v>144</v>
      </c>
      <c r="D92" s="552">
        <f>D82+D87</f>
        <v>485.20000000000005</v>
      </c>
      <c r="E92" s="552">
        <f t="shared" ref="E92:O92" si="14">E82+E87</f>
        <v>0</v>
      </c>
      <c r="F92" s="552">
        <f t="shared" si="14"/>
        <v>0</v>
      </c>
      <c r="G92" s="552">
        <f t="shared" si="14"/>
        <v>0</v>
      </c>
      <c r="H92" s="552">
        <f t="shared" si="14"/>
        <v>0</v>
      </c>
      <c r="I92" s="552">
        <f t="shared" si="14"/>
        <v>0</v>
      </c>
      <c r="J92" s="552">
        <f t="shared" si="14"/>
        <v>0</v>
      </c>
      <c r="K92" s="552">
        <f t="shared" si="14"/>
        <v>0</v>
      </c>
      <c r="L92" s="552">
        <f t="shared" si="14"/>
        <v>0</v>
      </c>
      <c r="M92" s="552">
        <f t="shared" si="14"/>
        <v>0</v>
      </c>
      <c r="N92" s="552">
        <f t="shared" si="14"/>
        <v>0</v>
      </c>
      <c r="O92" s="552">
        <f t="shared" si="14"/>
        <v>611.79999999999995</v>
      </c>
      <c r="P92" s="560">
        <f>SUM(D92:O92)</f>
        <v>1097</v>
      </c>
    </row>
    <row r="93" spans="1:16">
      <c r="A93" s="6">
        <v>88</v>
      </c>
      <c r="C93" s="15" t="s">
        <v>39</v>
      </c>
      <c r="D93" s="568">
        <f>D94/D92</f>
        <v>54.93672712283594</v>
      </c>
      <c r="E93" s="568" t="e">
        <f t="shared" ref="E93:O93" si="15">E94/E92</f>
        <v>#DIV/0!</v>
      </c>
      <c r="F93" s="568" t="e">
        <f t="shared" si="15"/>
        <v>#DIV/0!</v>
      </c>
      <c r="G93" s="568" t="e">
        <f t="shared" si="15"/>
        <v>#DIV/0!</v>
      </c>
      <c r="H93" s="568" t="e">
        <f t="shared" si="15"/>
        <v>#DIV/0!</v>
      </c>
      <c r="I93" s="568" t="e">
        <f t="shared" si="15"/>
        <v>#DIV/0!</v>
      </c>
      <c r="J93" s="568" t="e">
        <f t="shared" si="15"/>
        <v>#DIV/0!</v>
      </c>
      <c r="K93" s="568" t="e">
        <f t="shared" si="15"/>
        <v>#DIV/0!</v>
      </c>
      <c r="L93" s="568" t="e">
        <f t="shared" si="15"/>
        <v>#DIV/0!</v>
      </c>
      <c r="M93" s="568" t="e">
        <f t="shared" si="15"/>
        <v>#DIV/0!</v>
      </c>
      <c r="N93" s="568" t="e">
        <f t="shared" si="15"/>
        <v>#DIV/0!</v>
      </c>
      <c r="O93" s="568">
        <f t="shared" si="15"/>
        <v>52.780974174566857</v>
      </c>
      <c r="P93" s="563">
        <f>P94/P92</f>
        <v>53.734457611668184</v>
      </c>
    </row>
    <row r="94" spans="1:16">
      <c r="A94" s="6">
        <v>89</v>
      </c>
      <c r="C94" s="16" t="s">
        <v>40</v>
      </c>
      <c r="D94" s="552">
        <f>D84+D89</f>
        <v>26655.3</v>
      </c>
      <c r="E94" s="552">
        <f t="shared" ref="E94:O94" si="16">E84+E89</f>
        <v>0</v>
      </c>
      <c r="F94" s="552">
        <f t="shared" si="16"/>
        <v>0</v>
      </c>
      <c r="G94" s="552">
        <f t="shared" si="16"/>
        <v>0</v>
      </c>
      <c r="H94" s="552">
        <f t="shared" si="16"/>
        <v>0</v>
      </c>
      <c r="I94" s="552">
        <f t="shared" si="16"/>
        <v>0</v>
      </c>
      <c r="J94" s="552">
        <f t="shared" si="16"/>
        <v>0</v>
      </c>
      <c r="K94" s="552">
        <f t="shared" si="16"/>
        <v>0</v>
      </c>
      <c r="L94" s="552">
        <f t="shared" si="16"/>
        <v>0</v>
      </c>
      <c r="M94" s="552">
        <f t="shared" si="16"/>
        <v>0</v>
      </c>
      <c r="N94" s="552">
        <f t="shared" si="16"/>
        <v>0</v>
      </c>
      <c r="O94" s="552">
        <f t="shared" si="16"/>
        <v>32291.4</v>
      </c>
      <c r="P94" s="560">
        <f>SUM(D94:O94)</f>
        <v>58946.7</v>
      </c>
    </row>
    <row r="95" spans="1:16">
      <c r="A95" s="6">
        <v>90</v>
      </c>
      <c r="C95" s="15"/>
    </row>
    <row r="96" spans="1:16">
      <c r="A96" s="6">
        <v>91</v>
      </c>
      <c r="C96" s="15"/>
    </row>
    <row r="97" spans="2:16">
      <c r="B97" s="13"/>
      <c r="C97" s="15"/>
    </row>
    <row r="98" spans="2:16">
      <c r="B98" s="693"/>
      <c r="C98" s="693"/>
    </row>
    <row r="99" spans="2:16">
      <c r="C99" s="16"/>
      <c r="P99" s="560"/>
    </row>
    <row r="100" spans="2:16">
      <c r="C100" s="15"/>
      <c r="D100" s="554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63"/>
    </row>
    <row r="101" spans="2:16">
      <c r="C101" s="16"/>
      <c r="P101" s="560"/>
    </row>
    <row r="102" spans="2:16">
      <c r="C102" s="15"/>
    </row>
    <row r="103" spans="2:16">
      <c r="B103" s="15"/>
    </row>
    <row r="104" spans="2:16">
      <c r="C104" s="16"/>
      <c r="P104" s="560"/>
    </row>
    <row r="105" spans="2:16">
      <c r="C105" s="15"/>
      <c r="P105" s="563"/>
    </row>
    <row r="106" spans="2:16">
      <c r="C106" s="16"/>
      <c r="P106" s="560"/>
    </row>
    <row r="107" spans="2:16">
      <c r="C107" s="15"/>
    </row>
    <row r="108" spans="2:16">
      <c r="B108" s="15"/>
    </row>
    <row r="109" spans="2:16">
      <c r="C109" s="16"/>
      <c r="P109" s="560"/>
    </row>
    <row r="110" spans="2:16">
      <c r="C110" s="15"/>
      <c r="P110" s="563"/>
    </row>
    <row r="111" spans="2:16">
      <c r="C111" s="16"/>
      <c r="P111" s="560"/>
    </row>
    <row r="112" spans="2:16">
      <c r="C112" s="15"/>
    </row>
    <row r="113" spans="2:3">
      <c r="C113" s="15"/>
    </row>
    <row r="114" spans="2:3">
      <c r="C114" s="15"/>
    </row>
    <row r="115" spans="2:3">
      <c r="C115" s="15"/>
    </row>
    <row r="116" spans="2:3">
      <c r="C116" s="20"/>
    </row>
    <row r="117" spans="2:3">
      <c r="C117" s="15"/>
    </row>
    <row r="118" spans="2:3">
      <c r="C118" s="15"/>
    </row>
    <row r="119" spans="2:3">
      <c r="C119" s="15"/>
    </row>
    <row r="120" spans="2:3">
      <c r="B120" s="21"/>
    </row>
    <row r="121" spans="2:3">
      <c r="B121" s="21"/>
    </row>
    <row r="122" spans="2:3">
      <c r="B122" s="21"/>
    </row>
    <row r="123" spans="2:3">
      <c r="B123" s="21"/>
    </row>
    <row r="124" spans="2:3">
      <c r="B124" s="21"/>
    </row>
    <row r="125" spans="2:3">
      <c r="B125" s="21"/>
    </row>
    <row r="126" spans="2:3">
      <c r="B126" s="21"/>
    </row>
    <row r="127" spans="2:3">
      <c r="B127" s="21"/>
    </row>
    <row r="128" spans="2:3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</sheetData>
  <mergeCells count="1">
    <mergeCell ref="B98:C98"/>
  </mergeCells>
  <phoneticPr fontId="0" type="noConversion"/>
  <pageMargins left="0.75" right="0.75" top="1" bottom="1" header="0.5" footer="0.5"/>
  <pageSetup scale="6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0"/>
  <sheetViews>
    <sheetView zoomScale="90" zoomScaleNormal="90" workbookViewId="0">
      <pane xSplit="1" ySplit="3" topLeftCell="B4" activePane="bottomRight" state="frozen"/>
      <selection activeCell="M28" sqref="M28"/>
      <selection pane="topRight" activeCell="M28" sqref="M28"/>
      <selection pane="bottomLeft" activeCell="M28" sqref="M28"/>
      <selection pane="bottomRight" activeCell="B5" sqref="B5:AQ27"/>
    </sheetView>
  </sheetViews>
  <sheetFormatPr defaultRowHeight="12.75"/>
  <cols>
    <col min="2" max="2" width="30.28515625" customWidth="1"/>
    <col min="3" max="3" width="5.7109375" style="93" customWidth="1"/>
    <col min="4" max="6" width="12" customWidth="1"/>
    <col min="7" max="7" width="5.7109375" customWidth="1"/>
    <col min="8" max="8" width="9.85546875" bestFit="1" customWidth="1"/>
    <col min="10" max="10" width="11" customWidth="1"/>
    <col min="11" max="11" width="5.85546875" customWidth="1"/>
    <col min="15" max="15" width="5.7109375" customWidth="1"/>
    <col min="16" max="18" width="9" customWidth="1"/>
    <col min="19" max="19" width="5.7109375" customWidth="1"/>
    <col min="20" max="21" width="10.5703125" bestFit="1" customWidth="1"/>
    <col min="22" max="23" width="15.5703125" bestFit="1" customWidth="1"/>
    <col min="24" max="24" width="5.7109375" customWidth="1"/>
    <col min="28" max="28" width="5.7109375" customWidth="1"/>
    <col min="33" max="33" width="9.140625" style="393" customWidth="1"/>
    <col min="34" max="35" width="9.140625" customWidth="1"/>
    <col min="37" max="39" width="9.140625" style="393"/>
  </cols>
  <sheetData>
    <row r="1" spans="1:43" ht="14.25">
      <c r="B1" s="548" t="s">
        <v>287</v>
      </c>
      <c r="C1" s="192"/>
      <c r="D1" s="697" t="s">
        <v>288</v>
      </c>
      <c r="E1" s="698"/>
      <c r="F1" s="698"/>
      <c r="H1" s="697" t="s">
        <v>251</v>
      </c>
      <c r="I1" s="697"/>
      <c r="J1" s="697"/>
      <c r="L1" s="697" t="s">
        <v>252</v>
      </c>
      <c r="M1" s="698"/>
      <c r="N1" s="698"/>
      <c r="P1" s="697" t="s">
        <v>267</v>
      </c>
      <c r="Q1" s="698"/>
      <c r="R1" s="698"/>
      <c r="T1" s="699" t="s">
        <v>399</v>
      </c>
      <c r="U1" s="699"/>
      <c r="V1" s="699"/>
      <c r="W1" s="699"/>
      <c r="Y1" s="697" t="s">
        <v>253</v>
      </c>
      <c r="Z1" s="697"/>
      <c r="AA1" s="697"/>
      <c r="AC1" s="694" t="s">
        <v>254</v>
      </c>
      <c r="AD1" s="695"/>
      <c r="AE1" s="695"/>
      <c r="AG1" s="694" t="s">
        <v>261</v>
      </c>
      <c r="AH1" s="695"/>
      <c r="AI1" s="695"/>
      <c r="AK1" s="694" t="s">
        <v>262</v>
      </c>
      <c r="AL1" s="695"/>
      <c r="AM1" s="695"/>
      <c r="AO1" s="694" t="s">
        <v>268</v>
      </c>
      <c r="AP1" s="695"/>
      <c r="AQ1" s="695"/>
    </row>
    <row r="2" spans="1:43">
      <c r="B2" s="549" t="s">
        <v>286</v>
      </c>
      <c r="C2" s="192"/>
      <c r="D2" s="426" t="s">
        <v>71</v>
      </c>
      <c r="E2" s="426" t="s">
        <v>111</v>
      </c>
      <c r="F2" s="426" t="s">
        <v>72</v>
      </c>
      <c r="H2" s="356" t="s">
        <v>71</v>
      </c>
      <c r="I2" s="356" t="s">
        <v>111</v>
      </c>
      <c r="J2" s="356" t="s">
        <v>72</v>
      </c>
      <c r="L2" s="356" t="s">
        <v>71</v>
      </c>
      <c r="M2" s="356" t="s">
        <v>111</v>
      </c>
      <c r="N2" s="356" t="s">
        <v>72</v>
      </c>
      <c r="P2" s="406" t="s">
        <v>71</v>
      </c>
      <c r="Q2" s="406" t="s">
        <v>111</v>
      </c>
      <c r="R2" s="406" t="s">
        <v>72</v>
      </c>
      <c r="T2" s="696" t="s">
        <v>186</v>
      </c>
      <c r="U2" s="696"/>
      <c r="V2" s="696"/>
      <c r="W2" s="696"/>
      <c r="Y2" s="696" t="s">
        <v>82</v>
      </c>
      <c r="Z2" s="696"/>
      <c r="AA2" s="696"/>
      <c r="AC2" s="696" t="s">
        <v>82</v>
      </c>
      <c r="AD2" s="696"/>
      <c r="AE2" s="696"/>
      <c r="AG2" s="696" t="s">
        <v>82</v>
      </c>
      <c r="AH2" s="696"/>
      <c r="AI2" s="696"/>
      <c r="AK2" s="696" t="s">
        <v>82</v>
      </c>
      <c r="AL2" s="696"/>
      <c r="AM2" s="696"/>
      <c r="AO2" s="696" t="s">
        <v>82</v>
      </c>
      <c r="AP2" s="696"/>
      <c r="AQ2" s="696"/>
    </row>
    <row r="3" spans="1:43">
      <c r="B3" s="329" t="s">
        <v>67</v>
      </c>
      <c r="C3" s="105"/>
      <c r="D3" s="107" t="s">
        <v>67</v>
      </c>
      <c r="E3" s="107" t="s">
        <v>67</v>
      </c>
      <c r="F3" s="107" t="s">
        <v>67</v>
      </c>
      <c r="H3" s="351" t="s">
        <v>67</v>
      </c>
      <c r="I3" s="351" t="s">
        <v>67</v>
      </c>
      <c r="J3" s="352" t="s">
        <v>67</v>
      </c>
      <c r="L3" s="351" t="s">
        <v>67</v>
      </c>
      <c r="M3" s="351" t="s">
        <v>67</v>
      </c>
      <c r="N3" s="352" t="s">
        <v>67</v>
      </c>
      <c r="P3" s="351" t="s">
        <v>67</v>
      </c>
      <c r="Q3" s="351" t="s">
        <v>67</v>
      </c>
      <c r="R3" s="352" t="s">
        <v>67</v>
      </c>
      <c r="T3" t="s">
        <v>184</v>
      </c>
      <c r="U3" t="s">
        <v>185</v>
      </c>
      <c r="V3" t="s">
        <v>199</v>
      </c>
      <c r="W3" t="s">
        <v>200</v>
      </c>
      <c r="Y3" s="96" t="s">
        <v>83</v>
      </c>
      <c r="Z3" s="96" t="s">
        <v>84</v>
      </c>
      <c r="AA3" s="96" t="s">
        <v>85</v>
      </c>
      <c r="AC3" s="357" t="s">
        <v>83</v>
      </c>
      <c r="AD3" s="357" t="s">
        <v>84</v>
      </c>
      <c r="AE3" s="357" t="s">
        <v>85</v>
      </c>
      <c r="AG3" s="388" t="s">
        <v>83</v>
      </c>
      <c r="AH3" s="388" t="s">
        <v>84</v>
      </c>
      <c r="AI3" s="388" t="s">
        <v>85</v>
      </c>
      <c r="AK3" s="388" t="s">
        <v>83</v>
      </c>
      <c r="AL3" s="388" t="s">
        <v>84</v>
      </c>
      <c r="AM3" s="388" t="s">
        <v>85</v>
      </c>
      <c r="AO3" s="388" t="s">
        <v>83</v>
      </c>
      <c r="AP3" s="388" t="s">
        <v>84</v>
      </c>
      <c r="AQ3" s="388" t="s">
        <v>85</v>
      </c>
    </row>
    <row r="4" spans="1:43">
      <c r="B4" s="350"/>
      <c r="C4" s="105"/>
      <c r="D4" s="107"/>
      <c r="E4" s="107"/>
      <c r="F4" s="107"/>
      <c r="H4" s="345"/>
      <c r="I4" s="346"/>
      <c r="J4" s="347"/>
      <c r="L4" s="345"/>
      <c r="M4" s="346"/>
      <c r="N4" s="347"/>
      <c r="T4" s="318"/>
      <c r="U4" s="319"/>
      <c r="V4" s="319"/>
      <c r="W4" s="359"/>
      <c r="AG4"/>
      <c r="AK4"/>
      <c r="AL4"/>
      <c r="AM4"/>
    </row>
    <row r="5" spans="1:43">
      <c r="A5" s="166">
        <f>'Input Data'!A4</f>
        <v>41944</v>
      </c>
      <c r="B5" s="355">
        <f>'Monthly Budget Data'!G5</f>
        <v>77742.633369188014</v>
      </c>
      <c r="C5" s="105"/>
      <c r="D5" s="104">
        <f>'Monthly Budget Data'!K5</f>
        <v>0</v>
      </c>
      <c r="E5" s="104">
        <f>'Monthly Budget Data'!J5</f>
        <v>25630.268298864597</v>
      </c>
      <c r="F5" s="104">
        <f>'Monthly Budget Data'!L5</f>
        <v>57382.340307402774</v>
      </c>
      <c r="H5" s="355">
        <f>'Monthly Budget Data'!O5</f>
        <v>0</v>
      </c>
      <c r="I5" s="104">
        <f>'Monthly Budget Data'!N5</f>
        <v>26260.679166666698</v>
      </c>
      <c r="J5" s="106">
        <f>'Monthly Budget Data'!P5</f>
        <v>57086.461666666728</v>
      </c>
      <c r="L5" s="355">
        <f>'Monthly Budget Data'!S5</f>
        <v>0</v>
      </c>
      <c r="M5" s="104">
        <f>'Monthly Budget Data'!R5</f>
        <v>166.99166666666667</v>
      </c>
      <c r="N5" s="106">
        <f>'Monthly Budget Data'!T5</f>
        <v>2795.096</v>
      </c>
      <c r="P5" s="355">
        <f>'Monthly Budget Data'!AE5</f>
        <v>0</v>
      </c>
      <c r="Q5" s="104">
        <f>'Monthly Budget Data'!AD5</f>
        <v>234.40000000000006</v>
      </c>
      <c r="R5" s="106">
        <f>'Monthly Budget Data'!AF5</f>
        <v>468.80000000000007</v>
      </c>
      <c r="T5" s="355">
        <f>'Monthly Budget Data'!B5</f>
        <v>14.897112408242684</v>
      </c>
      <c r="U5" s="104">
        <f>'Monthly Budget Data'!C5</f>
        <v>0.13333333333333333</v>
      </c>
      <c r="V5" s="104">
        <f>'Monthly Budget Data'!D5</f>
        <v>13.203558562944215</v>
      </c>
      <c r="W5" s="106">
        <f>'Monthly Budget Data'!E5</f>
        <v>0.17004773269689732</v>
      </c>
      <c r="Y5" s="104">
        <f>'Monthly Budget Data'!AI5</f>
        <v>0</v>
      </c>
      <c r="Z5" s="104">
        <f>'Monthly Budget Data'!AH5</f>
        <v>516.15</v>
      </c>
      <c r="AA5" s="104">
        <f>'Monthly Budget Data'!AJ5</f>
        <v>1709.4399999999998</v>
      </c>
      <c r="AC5" s="104">
        <f>'Monthly Budget Data'!AM5</f>
        <v>0</v>
      </c>
      <c r="AD5" s="104">
        <f>'Monthly Budget Data'!AL5</f>
        <v>153.11666666666665</v>
      </c>
      <c r="AE5" s="104">
        <f>'Monthly Budget Data'!AN5</f>
        <v>859.36500000000012</v>
      </c>
      <c r="AG5" s="104">
        <f>'Monthly Budget Data'!AQ5</f>
        <v>0</v>
      </c>
      <c r="AH5" s="104">
        <f>'Monthly Budget Data'!AP5</f>
        <v>143.79166666666666</v>
      </c>
      <c r="AI5" s="104">
        <f>'Monthly Budget Data'!AR5</f>
        <v>22.46</v>
      </c>
      <c r="AJ5" s="223"/>
      <c r="AK5" s="104">
        <f>'Monthly Budget Data'!AU5</f>
        <v>0</v>
      </c>
      <c r="AL5" s="104">
        <f>'Monthly Budget Data'!AT5</f>
        <v>1914.3486111111113</v>
      </c>
      <c r="AM5" s="104">
        <f>'Monthly Budget Data'!AV5</f>
        <v>3348.6733333333332</v>
      </c>
      <c r="AO5" s="104">
        <f>'Monthly Budget Data'!AY5</f>
        <v>0</v>
      </c>
      <c r="AP5" s="104">
        <f>'Monthly Budget Data'!AX5</f>
        <v>0</v>
      </c>
      <c r="AQ5" s="104">
        <f>'Monthly Budget Data'!AZ5</f>
        <v>0</v>
      </c>
    </row>
    <row r="6" spans="1:43">
      <c r="A6" s="166">
        <f>'Input Data'!A5</f>
        <v>41945</v>
      </c>
      <c r="B6" s="355">
        <f>'Monthly Budget Data'!G6</f>
        <v>76294.615678592934</v>
      </c>
      <c r="C6" s="105"/>
      <c r="D6" s="104">
        <f>'Monthly Budget Data'!K6</f>
        <v>0</v>
      </c>
      <c r="E6" s="104">
        <f>'Monthly Budget Data'!J6</f>
        <v>25630.268298864597</v>
      </c>
      <c r="F6" s="104">
        <f>'Monthly Budget Data'!L6</f>
        <v>57382.340307402774</v>
      </c>
      <c r="H6" s="355">
        <f>'Monthly Budget Data'!O6</f>
        <v>0</v>
      </c>
      <c r="I6" s="104">
        <f>'Monthly Budget Data'!N6</f>
        <v>26260.679166666698</v>
      </c>
      <c r="J6" s="106">
        <f>'Monthly Budget Data'!P6</f>
        <v>57086.461666666728</v>
      </c>
      <c r="L6" s="355">
        <f>'Monthly Budget Data'!S6</f>
        <v>0</v>
      </c>
      <c r="M6" s="104">
        <f>'Monthly Budget Data'!R6</f>
        <v>166.99166666666667</v>
      </c>
      <c r="N6" s="106">
        <f>'Monthly Budget Data'!T6</f>
        <v>2795.096</v>
      </c>
      <c r="P6" s="355">
        <f>'Monthly Budget Data'!AE6</f>
        <v>0</v>
      </c>
      <c r="Q6" s="104">
        <f>'Monthly Budget Data'!AD6</f>
        <v>234.40000000000006</v>
      </c>
      <c r="R6" s="106">
        <f>'Monthly Budget Data'!AF6</f>
        <v>468.80000000000007</v>
      </c>
      <c r="T6" s="355">
        <f>'Monthly Budget Data'!B6</f>
        <v>15.046581763509334</v>
      </c>
      <c r="U6" s="104">
        <f>'Monthly Budget Data'!C6</f>
        <v>0.13333333333333333</v>
      </c>
      <c r="V6" s="104">
        <f>'Monthly Budget Data'!D6</f>
        <v>13.602156557297249</v>
      </c>
      <c r="W6" s="106">
        <f>'Monthly Budget Data'!E6</f>
        <v>0.17004773269689732</v>
      </c>
      <c r="Y6" s="104">
        <f>'Monthly Budget Data'!AI6</f>
        <v>0</v>
      </c>
      <c r="Z6" s="104">
        <f>'Monthly Budget Data'!AH6</f>
        <v>516.15</v>
      </c>
      <c r="AA6" s="104">
        <f>'Monthly Budget Data'!AJ6</f>
        <v>1709.4399999999998</v>
      </c>
      <c r="AC6" s="104">
        <f>'Monthly Budget Data'!AM6</f>
        <v>0</v>
      </c>
      <c r="AD6" s="104">
        <f>'Monthly Budget Data'!AL6</f>
        <v>153.11666666666665</v>
      </c>
      <c r="AE6" s="104">
        <f>'Monthly Budget Data'!AN6</f>
        <v>859.36500000000012</v>
      </c>
      <c r="AG6" s="104">
        <f>'Monthly Budget Data'!AQ6</f>
        <v>0</v>
      </c>
      <c r="AH6" s="104">
        <f>'Monthly Budget Data'!AP6</f>
        <v>143.79166666666666</v>
      </c>
      <c r="AI6" s="104">
        <f>'Monthly Budget Data'!AR6</f>
        <v>22.46</v>
      </c>
      <c r="AJ6" s="223"/>
      <c r="AK6" s="104">
        <f>'Monthly Budget Data'!AU6</f>
        <v>0</v>
      </c>
      <c r="AL6" s="104">
        <f>'Monthly Budget Data'!AT6</f>
        <v>1914.3486111111113</v>
      </c>
      <c r="AM6" s="104">
        <f>'Monthly Budget Data'!AV6</f>
        <v>3348.6733333333332</v>
      </c>
      <c r="AO6" s="104">
        <f>'Monthly Budget Data'!AY6</f>
        <v>0</v>
      </c>
      <c r="AP6" s="104">
        <f>'Monthly Budget Data'!AX6</f>
        <v>0</v>
      </c>
      <c r="AQ6" s="104">
        <f>'Monthly Budget Data'!AZ6</f>
        <v>0</v>
      </c>
    </row>
    <row r="7" spans="1:43">
      <c r="A7" s="166">
        <f>'Input Data'!A6</f>
        <v>41946</v>
      </c>
      <c r="B7" s="355">
        <f>'Monthly Budget Data'!G7</f>
        <v>87853.704973689746</v>
      </c>
      <c r="C7" s="105"/>
      <c r="D7" s="104">
        <f>'Monthly Budget Data'!K7</f>
        <v>67165.315583331685</v>
      </c>
      <c r="E7" s="104">
        <f>'Monthly Budget Data'!J7</f>
        <v>27085.281171122653</v>
      </c>
      <c r="F7" s="104">
        <f>'Monthly Budget Data'!L7</f>
        <v>0</v>
      </c>
      <c r="H7" s="355">
        <f>'Monthly Budget Data'!O7</f>
        <v>69201.616481481586</v>
      </c>
      <c r="I7" s="104">
        <f>'Monthly Budget Data'!N7</f>
        <v>28981.913148148178</v>
      </c>
      <c r="J7" s="106">
        <f>'Monthly Budget Data'!P7</f>
        <v>0</v>
      </c>
      <c r="L7" s="355">
        <f>'Monthly Budget Data'!S7</f>
        <v>4829.9087777777777</v>
      </c>
      <c r="M7" s="104">
        <f>'Monthly Budget Data'!R7</f>
        <v>929.95000000000016</v>
      </c>
      <c r="N7" s="106">
        <f>'Monthly Budget Data'!T7</f>
        <v>0</v>
      </c>
      <c r="P7" s="355">
        <f>'Monthly Budget Data'!AE7</f>
        <v>717.68888888888853</v>
      </c>
      <c r="Q7" s="104">
        <f>'Monthly Budget Data'!AD7</f>
        <v>234.40000000000003</v>
      </c>
      <c r="R7" s="106">
        <f>'Monthly Budget Data'!AF7</f>
        <v>0</v>
      </c>
      <c r="T7" s="355">
        <f>'Monthly Budget Data'!B7</f>
        <v>16.242336605642524</v>
      </c>
      <c r="U7" s="104">
        <f>'Monthly Budget Data'!C7</f>
        <v>0.13333333333333333</v>
      </c>
      <c r="V7" s="104">
        <f>'Monthly Budget Data'!D7</f>
        <v>13.851280303767894</v>
      </c>
      <c r="W7" s="106">
        <f>'Monthly Budget Data'!E7</f>
        <v>0.17004773269689732</v>
      </c>
      <c r="Y7" s="104">
        <f>'Monthly Budget Data'!AI7</f>
        <v>2266.8200000000006</v>
      </c>
      <c r="Z7" s="104">
        <f>'Monthly Budget Data'!AH7</f>
        <v>610.05000000000007</v>
      </c>
      <c r="AA7" s="104">
        <f>'Monthly Budget Data'!AJ7</f>
        <v>0</v>
      </c>
      <c r="AC7" s="104">
        <f>'Monthly Budget Data'!AM7</f>
        <v>1298.7738888888889</v>
      </c>
      <c r="AD7" s="104">
        <f>'Monthly Budget Data'!AL7</f>
        <v>78.288888888888891</v>
      </c>
      <c r="AE7" s="104">
        <f>'Monthly Budget Data'!AN7</f>
        <v>0</v>
      </c>
      <c r="AG7" s="104">
        <f>'Monthly Budget Data'!AQ7</f>
        <v>20.126666666666665</v>
      </c>
      <c r="AH7" s="104">
        <f>'Monthly Budget Data'!AP7</f>
        <v>1.1277777777777778</v>
      </c>
      <c r="AI7" s="104">
        <f>'Monthly Budget Data'!AR7</f>
        <v>0</v>
      </c>
      <c r="AJ7" s="223"/>
      <c r="AK7" s="104">
        <f>'Monthly Budget Data'!AU7</f>
        <v>4833.3762962962974</v>
      </c>
      <c r="AL7" s="104">
        <f>'Monthly Budget Data'!AT7</f>
        <v>2094.513148148148</v>
      </c>
      <c r="AM7" s="104">
        <f>'Monthly Budget Data'!AV7</f>
        <v>0</v>
      </c>
      <c r="AO7" s="104">
        <f>'Monthly Budget Data'!AY7</f>
        <v>0</v>
      </c>
      <c r="AP7" s="104">
        <f>'Monthly Budget Data'!AX7</f>
        <v>0</v>
      </c>
      <c r="AQ7" s="104">
        <f>'Monthly Budget Data'!AZ7</f>
        <v>0</v>
      </c>
    </row>
    <row r="8" spans="1:43">
      <c r="A8" s="166">
        <f>'Input Data'!A7</f>
        <v>41947</v>
      </c>
      <c r="B8" s="355">
        <f>'Monthly Budget Data'!G8</f>
        <v>90013.197680882906</v>
      </c>
      <c r="C8" s="105"/>
      <c r="D8" s="104">
        <f>'Monthly Budget Data'!K8</f>
        <v>67165.315583331685</v>
      </c>
      <c r="E8" s="104">
        <f>'Monthly Budget Data'!J8</f>
        <v>27085.281171122653</v>
      </c>
      <c r="F8" s="104">
        <f>'Monthly Budget Data'!L8</f>
        <v>0</v>
      </c>
      <c r="H8" s="355">
        <f>'Monthly Budget Data'!O8</f>
        <v>69201.616481481586</v>
      </c>
      <c r="I8" s="104">
        <f>'Monthly Budget Data'!N8</f>
        <v>28981.913148148178</v>
      </c>
      <c r="J8" s="106">
        <f>'Monthly Budget Data'!P8</f>
        <v>0</v>
      </c>
      <c r="L8" s="355">
        <f>'Monthly Budget Data'!S8</f>
        <v>4829.9087777777777</v>
      </c>
      <c r="M8" s="104">
        <f>'Monthly Budget Data'!R8</f>
        <v>929.95000000000016</v>
      </c>
      <c r="N8" s="106">
        <f>'Monthly Budget Data'!T8</f>
        <v>0</v>
      </c>
      <c r="P8" s="355">
        <f>'Monthly Budget Data'!AE8</f>
        <v>717.68888888888853</v>
      </c>
      <c r="Q8" s="104">
        <f>'Monthly Budget Data'!AD8</f>
        <v>234.40000000000003</v>
      </c>
      <c r="R8" s="106">
        <f>'Monthly Budget Data'!AF8</f>
        <v>0</v>
      </c>
      <c r="T8" s="355">
        <f>'Monthly Budget Data'!B8</f>
        <v>16.292159724064742</v>
      </c>
      <c r="U8" s="104">
        <f>'Monthly Budget Data'!C8</f>
        <v>0</v>
      </c>
      <c r="V8" s="104">
        <f>'Monthly Budget Data'!D8</f>
        <v>14.449177295297444</v>
      </c>
      <c r="W8" s="106">
        <f>'Monthly Budget Data'!E8</f>
        <v>0.17004773269689732</v>
      </c>
      <c r="Y8" s="104">
        <f>'Monthly Budget Data'!AI8</f>
        <v>2266.8200000000006</v>
      </c>
      <c r="Z8" s="104">
        <f>'Monthly Budget Data'!AH8</f>
        <v>610.05000000000007</v>
      </c>
      <c r="AA8" s="104">
        <f>'Monthly Budget Data'!AJ8</f>
        <v>0</v>
      </c>
      <c r="AC8" s="104">
        <f>'Monthly Budget Data'!AM8</f>
        <v>1298.7738888888889</v>
      </c>
      <c r="AD8" s="104">
        <f>'Monthly Budget Data'!AL8</f>
        <v>78.288888888888891</v>
      </c>
      <c r="AE8" s="104">
        <f>'Monthly Budget Data'!AN8</f>
        <v>0</v>
      </c>
      <c r="AG8" s="104">
        <f>'Monthly Budget Data'!AQ8</f>
        <v>20.126666666666665</v>
      </c>
      <c r="AH8" s="104">
        <f>'Monthly Budget Data'!AP8</f>
        <v>1.1277777777777778</v>
      </c>
      <c r="AI8" s="104">
        <f>'Monthly Budget Data'!AR8</f>
        <v>0</v>
      </c>
      <c r="AJ8" s="223"/>
      <c r="AK8" s="104">
        <f>'Monthly Budget Data'!AU8</f>
        <v>4833.3762962962974</v>
      </c>
      <c r="AL8" s="104">
        <f>'Monthly Budget Data'!AT8</f>
        <v>2094.513148148148</v>
      </c>
      <c r="AM8" s="104">
        <f>'Monthly Budget Data'!AV8</f>
        <v>0</v>
      </c>
      <c r="AO8" s="104">
        <f>'Monthly Budget Data'!AY8</f>
        <v>0</v>
      </c>
      <c r="AP8" s="104">
        <f>'Monthly Budget Data'!AX8</f>
        <v>0</v>
      </c>
      <c r="AQ8" s="104">
        <f>'Monthly Budget Data'!AZ8</f>
        <v>0</v>
      </c>
    </row>
    <row r="9" spans="1:43">
      <c r="A9" s="166">
        <f>'Input Data'!A8</f>
        <v>41948</v>
      </c>
      <c r="B9" s="355">
        <f>'Monthly Budget Data'!G9</f>
        <v>90527.382637702263</v>
      </c>
      <c r="C9" s="105"/>
      <c r="D9" s="104">
        <f>'Monthly Budget Data'!K9</f>
        <v>67165.315583331685</v>
      </c>
      <c r="E9" s="104">
        <f>'Monthly Budget Data'!J9</f>
        <v>27085.281171122653</v>
      </c>
      <c r="F9" s="104">
        <f>'Monthly Budget Data'!L9</f>
        <v>0</v>
      </c>
      <c r="H9" s="355">
        <f>'Monthly Budget Data'!O9</f>
        <v>69201.616481481586</v>
      </c>
      <c r="I9" s="104">
        <f>'Monthly Budget Data'!N9</f>
        <v>28981.913148148178</v>
      </c>
      <c r="J9" s="106">
        <f>'Monthly Budget Data'!P9</f>
        <v>0</v>
      </c>
      <c r="L9" s="355">
        <f>'Monthly Budget Data'!S9</f>
        <v>4829.9087777777777</v>
      </c>
      <c r="M9" s="104">
        <f>'Monthly Budget Data'!R9</f>
        <v>929.95000000000016</v>
      </c>
      <c r="N9" s="106">
        <f>'Monthly Budget Data'!T9</f>
        <v>0</v>
      </c>
      <c r="P9" s="355">
        <f>'Monthly Budget Data'!AE9</f>
        <v>717.68888888888853</v>
      </c>
      <c r="Q9" s="104">
        <f>'Monthly Budget Data'!AD9</f>
        <v>234.40000000000003</v>
      </c>
      <c r="R9" s="106">
        <f>'Monthly Budget Data'!AF9</f>
        <v>0</v>
      </c>
      <c r="T9" s="355">
        <f>'Monthly Budget Data'!B9</f>
        <v>16.640921553020256</v>
      </c>
      <c r="U9" s="104">
        <f>'Monthly Budget Data'!C9</f>
        <v>0</v>
      </c>
      <c r="V9" s="104">
        <f>'Monthly Budget Data'!D9</f>
        <v>14.797950540356346</v>
      </c>
      <c r="W9" s="106">
        <f>'Monthly Budget Data'!E9</f>
        <v>0.1133651551312649</v>
      </c>
      <c r="Y9" s="104">
        <f>'Monthly Budget Data'!AI9</f>
        <v>2266.8200000000006</v>
      </c>
      <c r="Z9" s="104">
        <f>'Monthly Budget Data'!AH9</f>
        <v>610.05000000000007</v>
      </c>
      <c r="AA9" s="104">
        <f>'Monthly Budget Data'!AJ9</f>
        <v>0</v>
      </c>
      <c r="AC9" s="104">
        <f>'Monthly Budget Data'!AM9</f>
        <v>1298.7738888888889</v>
      </c>
      <c r="AD9" s="104">
        <f>'Monthly Budget Data'!AL9</f>
        <v>78.288888888888891</v>
      </c>
      <c r="AE9" s="104">
        <f>'Monthly Budget Data'!AN9</f>
        <v>0</v>
      </c>
      <c r="AG9" s="104">
        <f>'Monthly Budget Data'!AQ9</f>
        <v>20.126666666666665</v>
      </c>
      <c r="AH9" s="104">
        <f>'Monthly Budget Data'!AP9</f>
        <v>1.1277777777777778</v>
      </c>
      <c r="AI9" s="104">
        <f>'Monthly Budget Data'!AR9</f>
        <v>0</v>
      </c>
      <c r="AJ9" s="223"/>
      <c r="AK9" s="104">
        <f>'Monthly Budget Data'!AU9</f>
        <v>4833.3762962962974</v>
      </c>
      <c r="AL9" s="104">
        <f>'Monthly Budget Data'!AT9</f>
        <v>2094.513148148148</v>
      </c>
      <c r="AM9" s="104">
        <f>'Monthly Budget Data'!AV9</f>
        <v>0</v>
      </c>
      <c r="AO9" s="104">
        <f>'Monthly Budget Data'!AY9</f>
        <v>0</v>
      </c>
      <c r="AP9" s="104">
        <f>'Monthly Budget Data'!AX9</f>
        <v>0</v>
      </c>
      <c r="AQ9" s="104">
        <f>'Monthly Budget Data'!AZ9</f>
        <v>0</v>
      </c>
    </row>
    <row r="10" spans="1:43">
      <c r="A10" s="166">
        <f>'Input Data'!A9</f>
        <v>41949</v>
      </c>
      <c r="B10" s="355">
        <f>'Monthly Budget Data'!G10</f>
        <v>90958.297824827125</v>
      </c>
      <c r="C10" s="105"/>
      <c r="D10" s="104">
        <f>'Monthly Budget Data'!K10</f>
        <v>67165.315583331685</v>
      </c>
      <c r="E10" s="104">
        <f>'Monthly Budget Data'!J10</f>
        <v>27085.281171122653</v>
      </c>
      <c r="F10" s="104">
        <f>'Monthly Budget Data'!L10</f>
        <v>0</v>
      </c>
      <c r="H10" s="355">
        <f>'Monthly Budget Data'!O10</f>
        <v>69201.616481481586</v>
      </c>
      <c r="I10" s="104">
        <f>'Monthly Budget Data'!N10</f>
        <v>28981.913148148178</v>
      </c>
      <c r="J10" s="106">
        <f>'Monthly Budget Data'!P10</f>
        <v>0</v>
      </c>
      <c r="L10" s="355">
        <f>'Monthly Budget Data'!S10</f>
        <v>4829.9087777777777</v>
      </c>
      <c r="M10" s="104">
        <f>'Monthly Budget Data'!R10</f>
        <v>929.95000000000016</v>
      </c>
      <c r="N10" s="106">
        <f>'Monthly Budget Data'!T10</f>
        <v>0</v>
      </c>
      <c r="P10" s="355">
        <f>'Monthly Budget Data'!AE10</f>
        <v>717.68888888888853</v>
      </c>
      <c r="Q10" s="104">
        <f>'Monthly Budget Data'!AD10</f>
        <v>234.40000000000003</v>
      </c>
      <c r="R10" s="106">
        <f>'Monthly Budget Data'!AF10</f>
        <v>0</v>
      </c>
      <c r="T10" s="355">
        <f>'Monthly Budget Data'!B10</f>
        <v>16.790390908286906</v>
      </c>
      <c r="U10" s="104">
        <f>'Monthly Budget Data'!C10</f>
        <v>0</v>
      </c>
      <c r="V10" s="104">
        <f>'Monthly Budget Data'!D10</f>
        <v>14.897600038944605</v>
      </c>
      <c r="W10" s="106">
        <f>'Monthly Budget Data'!E10</f>
        <v>0.1133651551312649</v>
      </c>
      <c r="Y10" s="104">
        <f>'Monthly Budget Data'!AI10</f>
        <v>2266.8200000000006</v>
      </c>
      <c r="Z10" s="104">
        <f>'Monthly Budget Data'!AH10</f>
        <v>610.05000000000007</v>
      </c>
      <c r="AA10" s="104">
        <f>'Monthly Budget Data'!AJ10</f>
        <v>0</v>
      </c>
      <c r="AC10" s="104">
        <f>'Monthly Budget Data'!AM10</f>
        <v>1298.7738888888889</v>
      </c>
      <c r="AD10" s="104">
        <f>'Monthly Budget Data'!AL10</f>
        <v>78.288888888888891</v>
      </c>
      <c r="AE10" s="104">
        <f>'Monthly Budget Data'!AN10</f>
        <v>0</v>
      </c>
      <c r="AG10" s="104">
        <f>'Monthly Budget Data'!AQ10</f>
        <v>20.126666666666665</v>
      </c>
      <c r="AH10" s="104">
        <f>'Monthly Budget Data'!AP10</f>
        <v>1.1277777777777778</v>
      </c>
      <c r="AI10" s="104">
        <f>'Monthly Budget Data'!AR10</f>
        <v>0</v>
      </c>
      <c r="AJ10" s="223"/>
      <c r="AK10" s="104">
        <f>'Monthly Budget Data'!AU10</f>
        <v>4833.3762962962974</v>
      </c>
      <c r="AL10" s="104">
        <f>'Monthly Budget Data'!AT10</f>
        <v>2094.513148148148</v>
      </c>
      <c r="AM10" s="104">
        <f>'Monthly Budget Data'!AV10</f>
        <v>0</v>
      </c>
      <c r="AO10" s="104">
        <f>'Monthly Budget Data'!AY10</f>
        <v>0</v>
      </c>
      <c r="AP10" s="104">
        <f>'Monthly Budget Data'!AX10</f>
        <v>0</v>
      </c>
      <c r="AQ10" s="104">
        <f>'Monthly Budget Data'!AZ10</f>
        <v>0</v>
      </c>
    </row>
    <row r="11" spans="1:43">
      <c r="A11" s="166">
        <f>'Input Data'!A10</f>
        <v>41950</v>
      </c>
      <c r="B11" s="355">
        <f>'Monthly Budget Data'!G11</f>
        <v>89360.802877482085</v>
      </c>
      <c r="C11" s="105"/>
      <c r="D11" s="104">
        <f>'Monthly Budget Data'!K11</f>
        <v>67165.315583331685</v>
      </c>
      <c r="E11" s="104">
        <f>'Monthly Budget Data'!J11</f>
        <v>27085.281171122653</v>
      </c>
      <c r="F11" s="104">
        <f>'Monthly Budget Data'!L11</f>
        <v>0</v>
      </c>
      <c r="H11" s="355">
        <f>'Monthly Budget Data'!O11</f>
        <v>69201.616481481586</v>
      </c>
      <c r="I11" s="104">
        <f>'Monthly Budget Data'!N11</f>
        <v>28981.913148148178</v>
      </c>
      <c r="J11" s="106">
        <f>'Monthly Budget Data'!P11</f>
        <v>0</v>
      </c>
      <c r="L11" s="355">
        <f>'Monthly Budget Data'!S11</f>
        <v>4829.9087777777777</v>
      </c>
      <c r="M11" s="104">
        <f>'Monthly Budget Data'!R11</f>
        <v>929.95000000000016</v>
      </c>
      <c r="N11" s="106">
        <f>'Monthly Budget Data'!T11</f>
        <v>0</v>
      </c>
      <c r="P11" s="355">
        <f>'Monthly Budget Data'!AE11</f>
        <v>717.68888888888853</v>
      </c>
      <c r="Q11" s="104">
        <f>'Monthly Budget Data'!AD11</f>
        <v>234.40000000000003</v>
      </c>
      <c r="R11" s="106">
        <f>'Monthly Budget Data'!AF11</f>
        <v>0</v>
      </c>
      <c r="T11" s="355">
        <f>'Monthly Budget Data'!B11</f>
        <v>16.989683381975773</v>
      </c>
      <c r="U11" s="104">
        <f>'Monthly Budget Data'!C11</f>
        <v>0</v>
      </c>
      <c r="V11" s="104">
        <f>'Monthly Budget Data'!D11</f>
        <v>15.096899036121123</v>
      </c>
      <c r="W11" s="106">
        <f>'Monthly Budget Data'!E11</f>
        <v>5.9665871121718367E-2</v>
      </c>
      <c r="Y11" s="104">
        <f>'Monthly Budget Data'!AI11</f>
        <v>2266.8200000000006</v>
      </c>
      <c r="Z11" s="104">
        <f>'Monthly Budget Data'!AH11</f>
        <v>610.05000000000007</v>
      </c>
      <c r="AA11" s="104">
        <f>'Monthly Budget Data'!AJ11</f>
        <v>0</v>
      </c>
      <c r="AC11" s="104">
        <f>'Monthly Budget Data'!AM11</f>
        <v>1298.7738888888889</v>
      </c>
      <c r="AD11" s="104">
        <f>'Monthly Budget Data'!AL11</f>
        <v>78.288888888888891</v>
      </c>
      <c r="AE11" s="104">
        <f>'Monthly Budget Data'!AN11</f>
        <v>0</v>
      </c>
      <c r="AG11" s="104">
        <f>'Monthly Budget Data'!AQ11</f>
        <v>20.126666666666665</v>
      </c>
      <c r="AH11" s="104">
        <f>'Monthly Budget Data'!AP11</f>
        <v>1.1277777777777778</v>
      </c>
      <c r="AI11" s="104">
        <f>'Monthly Budget Data'!AR11</f>
        <v>0</v>
      </c>
      <c r="AJ11" s="223"/>
      <c r="AK11" s="104">
        <f>'Monthly Budget Data'!AU11</f>
        <v>4833.3762962962974</v>
      </c>
      <c r="AL11" s="104">
        <f>'Monthly Budget Data'!AT11</f>
        <v>2094.513148148148</v>
      </c>
      <c r="AM11" s="104">
        <f>'Monthly Budget Data'!AV11</f>
        <v>0</v>
      </c>
      <c r="AO11" s="104">
        <f>'Monthly Budget Data'!AY11</f>
        <v>0</v>
      </c>
      <c r="AP11" s="104">
        <f>'Monthly Budget Data'!AX11</f>
        <v>0</v>
      </c>
      <c r="AQ11" s="104">
        <f>'Monthly Budget Data'!AZ11</f>
        <v>0</v>
      </c>
    </row>
    <row r="12" spans="1:43">
      <c r="A12" s="166">
        <f>'Input Data'!A11</f>
        <v>41951</v>
      </c>
      <c r="B12" s="355">
        <f>'Monthly Budget Data'!G12</f>
        <v>81011.618279048853</v>
      </c>
      <c r="C12" s="105"/>
      <c r="D12" s="104">
        <f>'Monthly Budget Data'!K12</f>
        <v>0</v>
      </c>
      <c r="E12" s="104">
        <f>'Monthly Budget Data'!J12</f>
        <v>25630.268298864597</v>
      </c>
      <c r="F12" s="104">
        <f>'Monthly Budget Data'!L12</f>
        <v>57382.340307402774</v>
      </c>
      <c r="H12" s="355">
        <f>'Monthly Budget Data'!O12</f>
        <v>0</v>
      </c>
      <c r="I12" s="104">
        <f>'Monthly Budget Data'!N12</f>
        <v>26260.679166666698</v>
      </c>
      <c r="J12" s="106">
        <f>'Monthly Budget Data'!P12</f>
        <v>57086.461666666728</v>
      </c>
      <c r="L12" s="355">
        <f>'Monthly Budget Data'!S12</f>
        <v>0</v>
      </c>
      <c r="M12" s="104">
        <f>'Monthly Budget Data'!R12</f>
        <v>166.99166666666667</v>
      </c>
      <c r="N12" s="106">
        <f>'Monthly Budget Data'!T12</f>
        <v>2795.096</v>
      </c>
      <c r="P12" s="355">
        <f>'Monthly Budget Data'!AE12</f>
        <v>0</v>
      </c>
      <c r="Q12" s="104">
        <f>'Monthly Budget Data'!AD12</f>
        <v>234.40000000000006</v>
      </c>
      <c r="R12" s="106">
        <f>'Monthly Budget Data'!AF12</f>
        <v>468.80000000000007</v>
      </c>
      <c r="T12" s="355">
        <f>'Monthly Budget Data'!B12</f>
        <v>17.438091447775719</v>
      </c>
      <c r="U12" s="104">
        <f>'Monthly Budget Data'!C12</f>
        <v>0</v>
      </c>
      <c r="V12" s="104">
        <f>'Monthly Budget Data'!D12</f>
        <v>15.096899036121123</v>
      </c>
      <c r="W12" s="106">
        <f>'Monthly Budget Data'!E12</f>
        <v>5.6682577565632448E-2</v>
      </c>
      <c r="Y12" s="104">
        <f>'Monthly Budget Data'!AI12</f>
        <v>0</v>
      </c>
      <c r="Z12" s="104">
        <f>'Monthly Budget Data'!AH12</f>
        <v>516.15</v>
      </c>
      <c r="AA12" s="104">
        <f>'Monthly Budget Data'!AJ12</f>
        <v>1709.4399999999998</v>
      </c>
      <c r="AC12" s="104">
        <f>'Monthly Budget Data'!AM12</f>
        <v>0</v>
      </c>
      <c r="AD12" s="104">
        <f>'Monthly Budget Data'!AL12</f>
        <v>153.11666666666665</v>
      </c>
      <c r="AE12" s="104">
        <f>'Monthly Budget Data'!AN12</f>
        <v>859.36500000000012</v>
      </c>
      <c r="AG12" s="104">
        <f>'Monthly Budget Data'!AQ12</f>
        <v>0</v>
      </c>
      <c r="AH12" s="104">
        <f>'Monthly Budget Data'!AP12</f>
        <v>143.79166666666666</v>
      </c>
      <c r="AI12" s="104">
        <f>'Monthly Budget Data'!AR12</f>
        <v>22.46</v>
      </c>
      <c r="AJ12" s="223"/>
      <c r="AK12" s="104">
        <f>'Monthly Budget Data'!AU12</f>
        <v>0</v>
      </c>
      <c r="AL12" s="104">
        <f>'Monthly Budget Data'!AT12</f>
        <v>1914.3486111111113</v>
      </c>
      <c r="AM12" s="104">
        <f>'Monthly Budget Data'!AV12</f>
        <v>3348.6733333333332</v>
      </c>
      <c r="AO12" s="104">
        <f>'Monthly Budget Data'!AY12</f>
        <v>0</v>
      </c>
      <c r="AP12" s="104">
        <f>'Monthly Budget Data'!AX12</f>
        <v>0</v>
      </c>
      <c r="AQ12" s="104">
        <f>'Monthly Budget Data'!AZ12</f>
        <v>0</v>
      </c>
    </row>
    <row r="13" spans="1:43">
      <c r="A13" s="166">
        <f>'Input Data'!A12</f>
        <v>41952</v>
      </c>
      <c r="B13" s="355">
        <f>'Monthly Budget Data'!G13</f>
        <v>79470.655571441021</v>
      </c>
      <c r="C13" s="105"/>
      <c r="D13" s="104">
        <f>'Monthly Budget Data'!K13</f>
        <v>0</v>
      </c>
      <c r="E13" s="104">
        <f>'Monthly Budget Data'!J13</f>
        <v>25630.268298864597</v>
      </c>
      <c r="F13" s="104">
        <f>'Monthly Budget Data'!L13</f>
        <v>57382.340307402774</v>
      </c>
      <c r="H13" s="355">
        <f>'Monthly Budget Data'!O13</f>
        <v>0</v>
      </c>
      <c r="I13" s="104">
        <f>'Monthly Budget Data'!N13</f>
        <v>26260.679166666698</v>
      </c>
      <c r="J13" s="106">
        <f>'Monthly Budget Data'!P13</f>
        <v>57086.461666666728</v>
      </c>
      <c r="L13" s="355">
        <f>'Monthly Budget Data'!S13</f>
        <v>0</v>
      </c>
      <c r="M13" s="104">
        <f>'Monthly Budget Data'!R13</f>
        <v>166.99166666666667</v>
      </c>
      <c r="N13" s="106">
        <f>'Monthly Budget Data'!T13</f>
        <v>2795.096</v>
      </c>
      <c r="P13" s="355">
        <f>'Monthly Budget Data'!AE13</f>
        <v>0</v>
      </c>
      <c r="Q13" s="104">
        <f>'Monthly Budget Data'!AD13</f>
        <v>234.40000000000006</v>
      </c>
      <c r="R13" s="106">
        <f>'Monthly Budget Data'!AF13</f>
        <v>468.80000000000007</v>
      </c>
      <c r="T13" s="355">
        <f>'Monthly Budget Data'!B13</f>
        <v>17.487914566197933</v>
      </c>
      <c r="U13" s="104">
        <f>'Monthly Budget Data'!C13</f>
        <v>0</v>
      </c>
      <c r="V13" s="104">
        <f>'Monthly Budget Data'!D13</f>
        <v>15.346022782591767</v>
      </c>
      <c r="W13" s="106">
        <f>'Monthly Budget Data'!E13</f>
        <v>5.6682577565632448E-2</v>
      </c>
      <c r="Y13" s="104">
        <f>'Monthly Budget Data'!AI13</f>
        <v>0</v>
      </c>
      <c r="Z13" s="104">
        <f>'Monthly Budget Data'!AH13</f>
        <v>516.15</v>
      </c>
      <c r="AA13" s="104">
        <f>'Monthly Budget Data'!AJ13</f>
        <v>1709.4399999999998</v>
      </c>
      <c r="AC13" s="104">
        <f>'Monthly Budget Data'!AM13</f>
        <v>0</v>
      </c>
      <c r="AD13" s="104">
        <f>'Monthly Budget Data'!AL13</f>
        <v>153.11666666666665</v>
      </c>
      <c r="AE13" s="104">
        <f>'Monthly Budget Data'!AN13</f>
        <v>859.36500000000012</v>
      </c>
      <c r="AG13" s="104">
        <f>'Monthly Budget Data'!AQ13</f>
        <v>0</v>
      </c>
      <c r="AH13" s="104">
        <f>'Monthly Budget Data'!AP13</f>
        <v>143.79166666666666</v>
      </c>
      <c r="AI13" s="104">
        <f>'Monthly Budget Data'!AR13</f>
        <v>22.46</v>
      </c>
      <c r="AJ13" s="223"/>
      <c r="AK13" s="104">
        <f>'Monthly Budget Data'!AU13</f>
        <v>0</v>
      </c>
      <c r="AL13" s="104">
        <f>'Monthly Budget Data'!AT13</f>
        <v>1914.3486111111113</v>
      </c>
      <c r="AM13" s="104">
        <f>'Monthly Budget Data'!AV13</f>
        <v>3348.6733333333332</v>
      </c>
      <c r="AO13" s="104">
        <f>'Monthly Budget Data'!AY13</f>
        <v>0</v>
      </c>
      <c r="AP13" s="104">
        <f>'Monthly Budget Data'!AX13</f>
        <v>0</v>
      </c>
      <c r="AQ13" s="104">
        <f>'Monthly Budget Data'!AZ13</f>
        <v>0</v>
      </c>
    </row>
    <row r="14" spans="1:43">
      <c r="A14" s="166">
        <f>'Input Data'!A13</f>
        <v>41953</v>
      </c>
      <c r="B14" s="355">
        <f>'Monthly Budget Data'!G14</f>
        <v>91014.453079502418</v>
      </c>
      <c r="C14" s="105"/>
      <c r="D14" s="104">
        <f>'Monthly Budget Data'!K14</f>
        <v>67165.315583331685</v>
      </c>
      <c r="E14" s="104">
        <f>'Monthly Budget Data'!J14</f>
        <v>27085.281171122653</v>
      </c>
      <c r="F14" s="104">
        <f>'Monthly Budget Data'!L14</f>
        <v>0</v>
      </c>
      <c r="H14" s="355">
        <f>'Monthly Budget Data'!O14</f>
        <v>69201.616481481586</v>
      </c>
      <c r="I14" s="104">
        <f>'Monthly Budget Data'!N14</f>
        <v>28981.913148148178</v>
      </c>
      <c r="J14" s="106">
        <f>'Monthly Budget Data'!P14</f>
        <v>0</v>
      </c>
      <c r="L14" s="355">
        <f>'Monthly Budget Data'!S14</f>
        <v>4829.9087777777777</v>
      </c>
      <c r="M14" s="104">
        <f>'Monthly Budget Data'!R14</f>
        <v>929.95000000000016</v>
      </c>
      <c r="N14" s="106">
        <f>'Monthly Budget Data'!T14</f>
        <v>0</v>
      </c>
      <c r="P14" s="355">
        <f>'Monthly Budget Data'!AE14</f>
        <v>717.68888888888853</v>
      </c>
      <c r="Q14" s="104">
        <f>'Monthly Budget Data'!AD14</f>
        <v>234.40000000000003</v>
      </c>
      <c r="R14" s="106">
        <f>'Monthly Budget Data'!AF14</f>
        <v>0</v>
      </c>
      <c r="T14" s="355">
        <f>'Monthly Budget Data'!B14</f>
        <v>17.587560803042365</v>
      </c>
      <c r="U14" s="104">
        <f>'Monthly Budget Data'!C14</f>
        <v>0</v>
      </c>
      <c r="V14" s="104">
        <f>'Monthly Budget Data'!D14</f>
        <v>15.694796027650671</v>
      </c>
      <c r="W14" s="106">
        <f>'Monthly Budget Data'!E14</f>
        <v>5.6682577565632448E-2</v>
      </c>
      <c r="Y14" s="104">
        <f>'Monthly Budget Data'!AI14</f>
        <v>2266.8200000000006</v>
      </c>
      <c r="Z14" s="104">
        <f>'Monthly Budget Data'!AH14</f>
        <v>610.05000000000007</v>
      </c>
      <c r="AA14" s="104">
        <f>'Monthly Budget Data'!AJ14</f>
        <v>0</v>
      </c>
      <c r="AC14" s="104">
        <f>'Monthly Budget Data'!AM14</f>
        <v>1298.7738888888889</v>
      </c>
      <c r="AD14" s="104">
        <f>'Monthly Budget Data'!AL14</f>
        <v>78.288888888888891</v>
      </c>
      <c r="AE14" s="104">
        <f>'Monthly Budget Data'!AN14</f>
        <v>0</v>
      </c>
      <c r="AG14" s="104">
        <f>'Monthly Budget Data'!AQ14</f>
        <v>20.126666666666665</v>
      </c>
      <c r="AH14" s="104">
        <f>'Monthly Budget Data'!AP14</f>
        <v>1.1277777777777778</v>
      </c>
      <c r="AI14" s="104">
        <f>'Monthly Budget Data'!AR14</f>
        <v>0</v>
      </c>
      <c r="AJ14" s="223"/>
      <c r="AK14" s="104">
        <f>'Monthly Budget Data'!AU14</f>
        <v>4833.3762962962974</v>
      </c>
      <c r="AL14" s="104">
        <f>'Monthly Budget Data'!AT14</f>
        <v>2094.513148148148</v>
      </c>
      <c r="AM14" s="104">
        <f>'Monthly Budget Data'!AV14</f>
        <v>0</v>
      </c>
      <c r="AO14" s="104">
        <f>'Monthly Budget Data'!AY14</f>
        <v>0</v>
      </c>
      <c r="AP14" s="104">
        <f>'Monthly Budget Data'!AX14</f>
        <v>0</v>
      </c>
      <c r="AQ14" s="104">
        <f>'Monthly Budget Data'!AZ14</f>
        <v>0</v>
      </c>
    </row>
    <row r="15" spans="1:43">
      <c r="A15" s="166">
        <f>'Input Data'!A14</f>
        <v>41954</v>
      </c>
      <c r="B15" s="355">
        <f>'Monthly Budget Data'!G15</f>
        <v>93210.212862650355</v>
      </c>
      <c r="C15" s="105"/>
      <c r="D15" s="104">
        <f>'Monthly Budget Data'!K15</f>
        <v>67165.315583331685</v>
      </c>
      <c r="E15" s="104">
        <f>'Monthly Budget Data'!J15</f>
        <v>27085.281171122653</v>
      </c>
      <c r="F15" s="104">
        <f>'Monthly Budget Data'!L15</f>
        <v>0</v>
      </c>
      <c r="H15" s="355">
        <f>'Monthly Budget Data'!O15</f>
        <v>69201.616481481586</v>
      </c>
      <c r="I15" s="104">
        <f>'Monthly Budget Data'!N15</f>
        <v>28981.913148148178</v>
      </c>
      <c r="J15" s="106">
        <f>'Monthly Budget Data'!P15</f>
        <v>0</v>
      </c>
      <c r="L15" s="355">
        <f>'Monthly Budget Data'!S15</f>
        <v>4829.9087777777777</v>
      </c>
      <c r="M15" s="104">
        <f>'Monthly Budget Data'!R15</f>
        <v>929.95000000000016</v>
      </c>
      <c r="N15" s="106">
        <f>'Monthly Budget Data'!T15</f>
        <v>0</v>
      </c>
      <c r="P15" s="355">
        <f>'Monthly Budget Data'!AE15</f>
        <v>717.68888888888853</v>
      </c>
      <c r="Q15" s="104">
        <f>'Monthly Budget Data'!AD15</f>
        <v>234.40000000000003</v>
      </c>
      <c r="R15" s="106">
        <f>'Monthly Budget Data'!AF15</f>
        <v>0</v>
      </c>
      <c r="T15" s="355">
        <f>'Monthly Budget Data'!B15</f>
        <v>17.737030158309015</v>
      </c>
      <c r="U15" s="104">
        <f>'Monthly Budget Data'!C15</f>
        <v>0</v>
      </c>
      <c r="V15" s="104">
        <f>'Monthly Budget Data'!D15</f>
        <v>15.694796027650671</v>
      </c>
      <c r="W15" s="106">
        <f>'Monthly Budget Data'!E15</f>
        <v>5.6682577565632448E-2</v>
      </c>
      <c r="Y15" s="104">
        <f>'Monthly Budget Data'!AI15</f>
        <v>2266.8200000000006</v>
      </c>
      <c r="Z15" s="104">
        <f>'Monthly Budget Data'!AH15</f>
        <v>610.05000000000007</v>
      </c>
      <c r="AA15" s="104">
        <f>'Monthly Budget Data'!AJ15</f>
        <v>0</v>
      </c>
      <c r="AC15" s="104">
        <f>'Monthly Budget Data'!AM15</f>
        <v>1298.7738888888889</v>
      </c>
      <c r="AD15" s="104">
        <f>'Monthly Budget Data'!AL15</f>
        <v>78.288888888888891</v>
      </c>
      <c r="AE15" s="104">
        <f>'Monthly Budget Data'!AN15</f>
        <v>0</v>
      </c>
      <c r="AG15" s="104">
        <f>'Monthly Budget Data'!AQ15</f>
        <v>20.126666666666665</v>
      </c>
      <c r="AH15" s="104">
        <f>'Monthly Budget Data'!AP15</f>
        <v>1.1277777777777778</v>
      </c>
      <c r="AI15" s="104">
        <f>'Monthly Budget Data'!AR15</f>
        <v>0</v>
      </c>
      <c r="AJ15" s="223"/>
      <c r="AK15" s="104">
        <f>'Monthly Budget Data'!AU15</f>
        <v>4833.3762962962974</v>
      </c>
      <c r="AL15" s="104">
        <f>'Monthly Budget Data'!AT15</f>
        <v>2094.513148148148</v>
      </c>
      <c r="AM15" s="104">
        <f>'Monthly Budget Data'!AV15</f>
        <v>0</v>
      </c>
      <c r="AO15" s="104">
        <f>'Monthly Budget Data'!AY15</f>
        <v>0</v>
      </c>
      <c r="AP15" s="104">
        <f>'Monthly Budget Data'!AX15</f>
        <v>0</v>
      </c>
      <c r="AQ15" s="104">
        <f>'Monthly Budget Data'!AZ15</f>
        <v>0</v>
      </c>
    </row>
    <row r="16" spans="1:43">
      <c r="A16" s="166">
        <f>'Input Data'!A15</f>
        <v>41955</v>
      </c>
      <c r="B16" s="355">
        <f>'Monthly Budget Data'!G16</f>
        <v>93640.70759138705</v>
      </c>
      <c r="C16" s="105"/>
      <c r="D16" s="104">
        <f>'Monthly Budget Data'!K16</f>
        <v>67165.315583331685</v>
      </c>
      <c r="E16" s="104">
        <f>'Monthly Budget Data'!J16</f>
        <v>27085.281171122653</v>
      </c>
      <c r="F16" s="104">
        <f>'Monthly Budget Data'!L16</f>
        <v>0</v>
      </c>
      <c r="H16" s="355">
        <f>'Monthly Budget Data'!O16</f>
        <v>69201.616481481586</v>
      </c>
      <c r="I16" s="104">
        <f>'Monthly Budget Data'!N16</f>
        <v>28981.913148148178</v>
      </c>
      <c r="J16" s="106">
        <f>'Monthly Budget Data'!P16</f>
        <v>0</v>
      </c>
      <c r="L16" s="355">
        <f>'Monthly Budget Data'!S16</f>
        <v>4829.9087777777777</v>
      </c>
      <c r="M16" s="104">
        <f>'Monthly Budget Data'!R16</f>
        <v>929.95000000000016</v>
      </c>
      <c r="N16" s="106">
        <f>'Monthly Budget Data'!T16</f>
        <v>0</v>
      </c>
      <c r="P16" s="355">
        <f>'Monthly Budget Data'!AE16</f>
        <v>717.68888888888853</v>
      </c>
      <c r="Q16" s="104">
        <f>'Monthly Budget Data'!AD16</f>
        <v>234.40000000000003</v>
      </c>
      <c r="R16" s="106">
        <f>'Monthly Budget Data'!AF16</f>
        <v>0</v>
      </c>
      <c r="T16" s="355">
        <f>'Monthly Budget Data'!B16</f>
        <v>17.836676395153447</v>
      </c>
      <c r="U16" s="104">
        <f>'Monthly Budget Data'!C16</f>
        <v>0</v>
      </c>
      <c r="V16" s="104">
        <f>'Monthly Budget Data'!D16</f>
        <v>15.943919774121317</v>
      </c>
      <c r="W16" s="106">
        <f>'Monthly Budget Data'!E16</f>
        <v>5.6682577565632448E-2</v>
      </c>
      <c r="Y16" s="104">
        <f>'Monthly Budget Data'!AI16</f>
        <v>2266.8200000000006</v>
      </c>
      <c r="Z16" s="104">
        <f>'Monthly Budget Data'!AH16</f>
        <v>610.05000000000007</v>
      </c>
      <c r="AA16" s="104">
        <f>'Monthly Budget Data'!AJ16</f>
        <v>0</v>
      </c>
      <c r="AC16" s="104">
        <f>'Monthly Budget Data'!AM16</f>
        <v>1298.7738888888889</v>
      </c>
      <c r="AD16" s="104">
        <f>'Monthly Budget Data'!AL16</f>
        <v>78.288888888888891</v>
      </c>
      <c r="AE16" s="104">
        <f>'Monthly Budget Data'!AN16</f>
        <v>0</v>
      </c>
      <c r="AG16" s="104">
        <f>'Monthly Budget Data'!AQ16</f>
        <v>20.126666666666665</v>
      </c>
      <c r="AH16" s="104">
        <f>'Monthly Budget Data'!AP16</f>
        <v>1.1277777777777778</v>
      </c>
      <c r="AI16" s="104">
        <f>'Monthly Budget Data'!AR16</f>
        <v>0</v>
      </c>
      <c r="AJ16" s="223"/>
      <c r="AK16" s="104">
        <f>'Monthly Budget Data'!AU16</f>
        <v>4833.3762962962974</v>
      </c>
      <c r="AL16" s="104">
        <f>'Monthly Budget Data'!AT16</f>
        <v>2094.513148148148</v>
      </c>
      <c r="AM16" s="104">
        <f>'Monthly Budget Data'!AV16</f>
        <v>0</v>
      </c>
      <c r="AO16" s="104">
        <f>'Monthly Budget Data'!AY16</f>
        <v>0</v>
      </c>
      <c r="AP16" s="104">
        <f>'Monthly Budget Data'!AX16</f>
        <v>0</v>
      </c>
      <c r="AQ16" s="104">
        <f>'Monthly Budget Data'!AZ16</f>
        <v>0</v>
      </c>
    </row>
    <row r="17" spans="1:43">
      <c r="A17" s="166">
        <f>'Input Data'!A16</f>
        <v>41956</v>
      </c>
      <c r="B17" s="355">
        <f>'Monthly Budget Data'!G17</f>
        <v>94087.321901102085</v>
      </c>
      <c r="C17" s="105"/>
      <c r="D17" s="104">
        <f>'Monthly Budget Data'!K17</f>
        <v>67165.315583331685</v>
      </c>
      <c r="E17" s="104">
        <f>'Monthly Budget Data'!J17</f>
        <v>27085.281171122653</v>
      </c>
      <c r="F17" s="104">
        <f>'Monthly Budget Data'!L17</f>
        <v>0</v>
      </c>
      <c r="H17" s="355">
        <f>'Monthly Budget Data'!O17</f>
        <v>69201.616481481586</v>
      </c>
      <c r="I17" s="104">
        <f>'Monthly Budget Data'!N17</f>
        <v>28981.913148148178</v>
      </c>
      <c r="J17" s="106">
        <f>'Monthly Budget Data'!P17</f>
        <v>0</v>
      </c>
      <c r="L17" s="355">
        <f>'Monthly Budget Data'!S17</f>
        <v>4829.9087777777777</v>
      </c>
      <c r="M17" s="104">
        <f>'Monthly Budget Data'!R17</f>
        <v>929.95000000000016</v>
      </c>
      <c r="N17" s="106">
        <f>'Monthly Budget Data'!T17</f>
        <v>0</v>
      </c>
      <c r="P17" s="355">
        <f>'Monthly Budget Data'!AE17</f>
        <v>717.68888888888853</v>
      </c>
      <c r="Q17" s="104">
        <f>'Monthly Budget Data'!AD17</f>
        <v>234.40000000000003</v>
      </c>
      <c r="R17" s="106">
        <f>'Monthly Budget Data'!AF17</f>
        <v>0</v>
      </c>
      <c r="T17" s="355">
        <f>'Monthly Budget Data'!B17</f>
        <v>18.035968868842314</v>
      </c>
      <c r="U17" s="104">
        <f>'Monthly Budget Data'!C17</f>
        <v>0</v>
      </c>
      <c r="V17" s="104">
        <f>'Monthly Budget Data'!D17</f>
        <v>15.993744523415447</v>
      </c>
      <c r="W17" s="106">
        <f>'Monthly Budget Data'!E17</f>
        <v>0</v>
      </c>
      <c r="Y17" s="104">
        <f>'Monthly Budget Data'!AI17</f>
        <v>2266.8200000000006</v>
      </c>
      <c r="Z17" s="104">
        <f>'Monthly Budget Data'!AH17</f>
        <v>610.05000000000007</v>
      </c>
      <c r="AA17" s="104">
        <f>'Monthly Budget Data'!AJ17</f>
        <v>0</v>
      </c>
      <c r="AC17" s="104">
        <f>'Monthly Budget Data'!AM17</f>
        <v>1298.7738888888889</v>
      </c>
      <c r="AD17" s="104">
        <f>'Monthly Budget Data'!AL17</f>
        <v>78.288888888888891</v>
      </c>
      <c r="AE17" s="104">
        <f>'Monthly Budget Data'!AN17</f>
        <v>0</v>
      </c>
      <c r="AG17" s="104">
        <f>'Monthly Budget Data'!AQ17</f>
        <v>20.126666666666665</v>
      </c>
      <c r="AH17" s="104">
        <f>'Monthly Budget Data'!AP17</f>
        <v>1.1277777777777778</v>
      </c>
      <c r="AI17" s="104">
        <f>'Monthly Budget Data'!AR17</f>
        <v>0</v>
      </c>
      <c r="AJ17" s="223"/>
      <c r="AK17" s="104">
        <f>'Monthly Budget Data'!AU17</f>
        <v>4833.3762962962974</v>
      </c>
      <c r="AL17" s="104">
        <f>'Monthly Budget Data'!AT17</f>
        <v>2094.513148148148</v>
      </c>
      <c r="AM17" s="104">
        <f>'Monthly Budget Data'!AV17</f>
        <v>0</v>
      </c>
      <c r="AO17" s="104">
        <f>'Monthly Budget Data'!AY17</f>
        <v>0</v>
      </c>
      <c r="AP17" s="104">
        <f>'Monthly Budget Data'!AX17</f>
        <v>0</v>
      </c>
      <c r="AQ17" s="104">
        <f>'Monthly Budget Data'!AZ17</f>
        <v>0</v>
      </c>
    </row>
    <row r="18" spans="1:43">
      <c r="A18" s="166">
        <f>'Input Data'!A17</f>
        <v>41957</v>
      </c>
      <c r="B18" s="355">
        <f>'Monthly Budget Data'!G18</f>
        <v>92372.942166222172</v>
      </c>
      <c r="C18" s="105"/>
      <c r="D18" s="104">
        <f>'Monthly Budget Data'!K18</f>
        <v>67165.315583331685</v>
      </c>
      <c r="E18" s="104">
        <f>'Monthly Budget Data'!J18</f>
        <v>27085.281171122653</v>
      </c>
      <c r="F18" s="104">
        <f>'Monthly Budget Data'!L18</f>
        <v>0</v>
      </c>
      <c r="H18" s="355">
        <f>'Monthly Budget Data'!O18</f>
        <v>69201.616481481586</v>
      </c>
      <c r="I18" s="104">
        <f>'Monthly Budget Data'!N18</f>
        <v>28981.913148148178</v>
      </c>
      <c r="J18" s="106">
        <f>'Monthly Budget Data'!P18</f>
        <v>0</v>
      </c>
      <c r="L18" s="355">
        <f>'Monthly Budget Data'!S18</f>
        <v>4829.9087777777777</v>
      </c>
      <c r="M18" s="104">
        <f>'Monthly Budget Data'!R18</f>
        <v>929.95000000000016</v>
      </c>
      <c r="N18" s="106">
        <f>'Monthly Budget Data'!T18</f>
        <v>0</v>
      </c>
      <c r="P18" s="355">
        <f>'Monthly Budget Data'!AE18</f>
        <v>717.68888888888853</v>
      </c>
      <c r="Q18" s="104">
        <f>'Monthly Budget Data'!AD18</f>
        <v>234.40000000000003</v>
      </c>
      <c r="R18" s="106">
        <f>'Monthly Budget Data'!AF18</f>
        <v>0</v>
      </c>
      <c r="T18" s="355">
        <f>'Monthly Budget Data'!B18</f>
        <v>18.085791987264528</v>
      </c>
      <c r="U18" s="104">
        <f>'Monthly Budget Data'!C18</f>
        <v>0</v>
      </c>
      <c r="V18" s="104">
        <f>'Monthly Budget Data'!D18</f>
        <v>16.043569272709576</v>
      </c>
      <c r="W18" s="106">
        <f>'Monthly Budget Data'!E18</f>
        <v>0</v>
      </c>
      <c r="Y18" s="104">
        <f>'Monthly Budget Data'!AI18</f>
        <v>2266.8200000000006</v>
      </c>
      <c r="Z18" s="104">
        <f>'Monthly Budget Data'!AH18</f>
        <v>610.05000000000007</v>
      </c>
      <c r="AA18" s="104">
        <f>'Monthly Budget Data'!AJ18</f>
        <v>0</v>
      </c>
      <c r="AC18" s="104">
        <f>'Monthly Budget Data'!AM18</f>
        <v>1298.7738888888889</v>
      </c>
      <c r="AD18" s="104">
        <f>'Monthly Budget Data'!AL18</f>
        <v>78.288888888888891</v>
      </c>
      <c r="AE18" s="104">
        <f>'Monthly Budget Data'!AN18</f>
        <v>0</v>
      </c>
      <c r="AG18" s="104">
        <f>'Monthly Budget Data'!AQ18</f>
        <v>20.126666666666665</v>
      </c>
      <c r="AH18" s="104">
        <f>'Monthly Budget Data'!AP18</f>
        <v>1.1277777777777778</v>
      </c>
      <c r="AI18" s="104">
        <f>'Monthly Budget Data'!AR18</f>
        <v>0</v>
      </c>
      <c r="AJ18" s="223"/>
      <c r="AK18" s="104">
        <f>'Monthly Budget Data'!AU18</f>
        <v>4833.3762962962974</v>
      </c>
      <c r="AL18" s="104">
        <f>'Monthly Budget Data'!AT18</f>
        <v>2094.513148148148</v>
      </c>
      <c r="AM18" s="104">
        <f>'Monthly Budget Data'!AV18</f>
        <v>0</v>
      </c>
      <c r="AO18" s="104">
        <f>'Monthly Budget Data'!AY18</f>
        <v>0</v>
      </c>
      <c r="AP18" s="104">
        <f>'Monthly Budget Data'!AX18</f>
        <v>0</v>
      </c>
      <c r="AQ18" s="104">
        <f>'Monthly Budget Data'!AZ18</f>
        <v>0</v>
      </c>
    </row>
    <row r="19" spans="1:43">
      <c r="A19" s="166">
        <f>'Input Data'!A18</f>
        <v>41958</v>
      </c>
      <c r="B19" s="355">
        <f>'Monthly Budget Data'!G19</f>
        <v>83627.378561375619</v>
      </c>
      <c r="C19" s="105"/>
      <c r="D19" s="104">
        <f>'Monthly Budget Data'!K19</f>
        <v>0</v>
      </c>
      <c r="E19" s="104">
        <f>'Monthly Budget Data'!J19</f>
        <v>25630.268298864597</v>
      </c>
      <c r="F19" s="104">
        <f>'Monthly Budget Data'!L19</f>
        <v>57382.340307402774</v>
      </c>
      <c r="H19" s="355">
        <f>'Monthly Budget Data'!O19</f>
        <v>0</v>
      </c>
      <c r="I19" s="104">
        <f>'Monthly Budget Data'!N19</f>
        <v>26260.679166666698</v>
      </c>
      <c r="J19" s="106">
        <f>'Monthly Budget Data'!P19</f>
        <v>57086.461666666728</v>
      </c>
      <c r="L19" s="355">
        <f>'Monthly Budget Data'!S19</f>
        <v>0</v>
      </c>
      <c r="M19" s="104">
        <f>'Monthly Budget Data'!R19</f>
        <v>166.99166666666667</v>
      </c>
      <c r="N19" s="106">
        <f>'Monthly Budget Data'!T19</f>
        <v>2795.096</v>
      </c>
      <c r="P19" s="355">
        <f>'Monthly Budget Data'!AE19</f>
        <v>0</v>
      </c>
      <c r="Q19" s="104">
        <f>'Monthly Budget Data'!AD19</f>
        <v>234.40000000000006</v>
      </c>
      <c r="R19" s="106">
        <f>'Monthly Budget Data'!AF19</f>
        <v>468.80000000000007</v>
      </c>
      <c r="T19" s="355">
        <f>'Monthly Budget Data'!B19</f>
        <v>18.085791987264528</v>
      </c>
      <c r="U19" s="104">
        <f>'Monthly Budget Data'!C19</f>
        <v>0</v>
      </c>
      <c r="V19" s="104">
        <f>'Monthly Budget Data'!D19</f>
        <v>16.043569272709576</v>
      </c>
      <c r="W19" s="106">
        <f>'Monthly Budget Data'!E19</f>
        <v>0</v>
      </c>
      <c r="Y19" s="104">
        <f>'Monthly Budget Data'!AI19</f>
        <v>0</v>
      </c>
      <c r="Z19" s="104">
        <f>'Monthly Budget Data'!AH19</f>
        <v>516.15</v>
      </c>
      <c r="AA19" s="104">
        <f>'Monthly Budget Data'!AJ19</f>
        <v>1709.4399999999998</v>
      </c>
      <c r="AC19" s="104">
        <f>'Monthly Budget Data'!AM19</f>
        <v>0</v>
      </c>
      <c r="AD19" s="104">
        <f>'Monthly Budget Data'!AL19</f>
        <v>153.11666666666665</v>
      </c>
      <c r="AE19" s="104">
        <f>'Monthly Budget Data'!AN19</f>
        <v>859.36500000000012</v>
      </c>
      <c r="AG19" s="104">
        <f>'Monthly Budget Data'!AQ19</f>
        <v>0</v>
      </c>
      <c r="AH19" s="104">
        <f>'Monthly Budget Data'!AP19</f>
        <v>143.79166666666666</v>
      </c>
      <c r="AI19" s="104">
        <f>'Monthly Budget Data'!AR19</f>
        <v>22.46</v>
      </c>
      <c r="AJ19" s="223"/>
      <c r="AK19" s="104">
        <f>'Monthly Budget Data'!AU19</f>
        <v>0</v>
      </c>
      <c r="AL19" s="104">
        <f>'Monthly Budget Data'!AT19</f>
        <v>1914.3486111111113</v>
      </c>
      <c r="AM19" s="104">
        <f>'Monthly Budget Data'!AV19</f>
        <v>3348.6733333333332</v>
      </c>
      <c r="AO19" s="104">
        <f>'Monthly Budget Data'!AY19</f>
        <v>0</v>
      </c>
      <c r="AP19" s="104">
        <f>'Monthly Budget Data'!AX19</f>
        <v>0</v>
      </c>
      <c r="AQ19" s="104">
        <f>'Monthly Budget Data'!AZ19</f>
        <v>0</v>
      </c>
    </row>
    <row r="20" spans="1:43">
      <c r="A20" s="166">
        <f>'Input Data'!A19</f>
        <v>41959</v>
      </c>
      <c r="B20" s="355">
        <f>'Monthly Budget Data'!G20</f>
        <v>82092.581502078145</v>
      </c>
      <c r="C20" s="105"/>
      <c r="D20" s="104">
        <f>'Monthly Budget Data'!K20</f>
        <v>0</v>
      </c>
      <c r="E20" s="104">
        <f>'Monthly Budget Data'!J20</f>
        <v>25630.268298864597</v>
      </c>
      <c r="F20" s="104">
        <f>'Monthly Budget Data'!L20</f>
        <v>57382.340307402774</v>
      </c>
      <c r="H20" s="355">
        <f>'Monthly Budget Data'!O20</f>
        <v>0</v>
      </c>
      <c r="I20" s="104">
        <f>'Monthly Budget Data'!N20</f>
        <v>26260.679166666698</v>
      </c>
      <c r="J20" s="106">
        <f>'Monthly Budget Data'!P20</f>
        <v>57086.461666666728</v>
      </c>
      <c r="L20" s="355">
        <f>'Monthly Budget Data'!S20</f>
        <v>0</v>
      </c>
      <c r="M20" s="104">
        <f>'Monthly Budget Data'!R20</f>
        <v>166.99166666666667</v>
      </c>
      <c r="N20" s="106">
        <f>'Monthly Budget Data'!T20</f>
        <v>2795.096</v>
      </c>
      <c r="P20" s="355">
        <f>'Monthly Budget Data'!AE20</f>
        <v>0</v>
      </c>
      <c r="Q20" s="104">
        <f>'Monthly Budget Data'!AD20</f>
        <v>234.40000000000006</v>
      </c>
      <c r="R20" s="106">
        <f>'Monthly Budget Data'!AF20</f>
        <v>468.80000000000007</v>
      </c>
      <c r="T20" s="355">
        <f>'Monthly Budget Data'!B20</f>
        <v>18.285084460953396</v>
      </c>
      <c r="U20" s="104">
        <f>'Monthly Budget Data'!C20</f>
        <v>0</v>
      </c>
      <c r="V20" s="104">
        <f>'Monthly Budget Data'!D20</f>
        <v>16.39234251776848</v>
      </c>
      <c r="W20" s="106">
        <f>'Monthly Budget Data'!E20</f>
        <v>0</v>
      </c>
      <c r="Y20" s="104">
        <f>'Monthly Budget Data'!AI20</f>
        <v>0</v>
      </c>
      <c r="Z20" s="104">
        <f>'Monthly Budget Data'!AH20</f>
        <v>516.15</v>
      </c>
      <c r="AA20" s="104">
        <f>'Monthly Budget Data'!AJ20</f>
        <v>1709.4399999999998</v>
      </c>
      <c r="AC20" s="104">
        <f>'Monthly Budget Data'!AM20</f>
        <v>0</v>
      </c>
      <c r="AD20" s="104">
        <f>'Monthly Budget Data'!AL20</f>
        <v>153.11666666666665</v>
      </c>
      <c r="AE20" s="104">
        <f>'Monthly Budget Data'!AN20</f>
        <v>859.36500000000012</v>
      </c>
      <c r="AG20" s="104">
        <f>'Monthly Budget Data'!AQ20</f>
        <v>0</v>
      </c>
      <c r="AH20" s="104">
        <f>'Monthly Budget Data'!AP20</f>
        <v>143.79166666666666</v>
      </c>
      <c r="AI20" s="104">
        <f>'Monthly Budget Data'!AR20</f>
        <v>22.46</v>
      </c>
      <c r="AJ20" s="223"/>
      <c r="AK20" s="104">
        <f>'Monthly Budget Data'!AU20</f>
        <v>0</v>
      </c>
      <c r="AL20" s="104">
        <f>'Monthly Budget Data'!AT20</f>
        <v>1914.3486111111113</v>
      </c>
      <c r="AM20" s="104">
        <f>'Monthly Budget Data'!AV20</f>
        <v>3348.6733333333332</v>
      </c>
      <c r="AO20" s="104">
        <f>'Monthly Budget Data'!AY20</f>
        <v>0</v>
      </c>
      <c r="AP20" s="104">
        <f>'Monthly Budget Data'!AX20</f>
        <v>0</v>
      </c>
      <c r="AQ20" s="104">
        <f>'Monthly Budget Data'!AZ20</f>
        <v>0</v>
      </c>
    </row>
    <row r="21" spans="1:43">
      <c r="A21" s="166">
        <f>'Input Data'!A20</f>
        <v>41960</v>
      </c>
      <c r="B21" s="355">
        <f>'Monthly Budget Data'!G21</f>
        <v>93952.074754699468</v>
      </c>
      <c r="C21" s="105"/>
      <c r="D21" s="104">
        <f>'Monthly Budget Data'!K21</f>
        <v>67165.315583331685</v>
      </c>
      <c r="E21" s="104">
        <f>'Monthly Budget Data'!J21</f>
        <v>27085.281171122653</v>
      </c>
      <c r="F21" s="104">
        <f>'Monthly Budget Data'!L21</f>
        <v>0</v>
      </c>
      <c r="H21" s="355">
        <f>'Monthly Budget Data'!O21</f>
        <v>69201.616481481586</v>
      </c>
      <c r="I21" s="104">
        <f>'Monthly Budget Data'!N21</f>
        <v>28981.913148148178</v>
      </c>
      <c r="J21" s="106">
        <f>'Monthly Budget Data'!P21</f>
        <v>0</v>
      </c>
      <c r="L21" s="355">
        <f>'Monthly Budget Data'!S21</f>
        <v>4829.9087777777777</v>
      </c>
      <c r="M21" s="104">
        <f>'Monthly Budget Data'!R21</f>
        <v>929.95000000000016</v>
      </c>
      <c r="N21" s="106">
        <f>'Monthly Budget Data'!T21</f>
        <v>0</v>
      </c>
      <c r="P21" s="355">
        <f>'Monthly Budget Data'!AE21</f>
        <v>717.68888888888853</v>
      </c>
      <c r="Q21" s="104">
        <f>'Monthly Budget Data'!AD21</f>
        <v>234.40000000000003</v>
      </c>
      <c r="R21" s="106">
        <f>'Monthly Budget Data'!AF21</f>
        <v>0</v>
      </c>
      <c r="T21" s="355">
        <f>'Monthly Budget Data'!B21</f>
        <v>18.384730697797828</v>
      </c>
      <c r="U21" s="104">
        <f>'Monthly Budget Data'!C21</f>
        <v>0</v>
      </c>
      <c r="V21" s="104">
        <f>'Monthly Budget Data'!D21</f>
        <v>16.691291013533252</v>
      </c>
      <c r="W21" s="106">
        <f>'Monthly Budget Data'!E21</f>
        <v>0</v>
      </c>
      <c r="Y21" s="104">
        <f>'Monthly Budget Data'!AI21</f>
        <v>2266.8200000000006</v>
      </c>
      <c r="Z21" s="104">
        <f>'Monthly Budget Data'!AH21</f>
        <v>610.05000000000007</v>
      </c>
      <c r="AA21" s="104">
        <f>'Monthly Budget Data'!AJ21</f>
        <v>0</v>
      </c>
      <c r="AC21" s="104">
        <f>'Monthly Budget Data'!AM21</f>
        <v>1298.7738888888889</v>
      </c>
      <c r="AD21" s="104">
        <f>'Monthly Budget Data'!AL21</f>
        <v>78.288888888888891</v>
      </c>
      <c r="AE21" s="104">
        <f>'Monthly Budget Data'!AN21</f>
        <v>0</v>
      </c>
      <c r="AG21" s="104">
        <f>'Monthly Budget Data'!AQ21</f>
        <v>20.126666666666665</v>
      </c>
      <c r="AH21" s="104">
        <f>'Monthly Budget Data'!AP21</f>
        <v>1.1277777777777778</v>
      </c>
      <c r="AI21" s="104">
        <f>'Monthly Budget Data'!AR21</f>
        <v>0</v>
      </c>
      <c r="AJ21" s="223"/>
      <c r="AK21" s="104">
        <f>'Monthly Budget Data'!AU21</f>
        <v>4833.3762962962974</v>
      </c>
      <c r="AL21" s="104">
        <f>'Monthly Budget Data'!AT21</f>
        <v>2094.513148148148</v>
      </c>
      <c r="AM21" s="104">
        <f>'Monthly Budget Data'!AV21</f>
        <v>0</v>
      </c>
      <c r="AO21" s="104">
        <f>'Monthly Budget Data'!AY21</f>
        <v>0</v>
      </c>
      <c r="AP21" s="104">
        <f>'Monthly Budget Data'!AX21</f>
        <v>0</v>
      </c>
      <c r="AQ21" s="104">
        <f>'Monthly Budget Data'!AZ21</f>
        <v>0</v>
      </c>
    </row>
    <row r="22" spans="1:43">
      <c r="A22" s="166">
        <f>'Input Data'!A21</f>
        <v>41961</v>
      </c>
      <c r="B22" s="355">
        <f>'Monthly Budget Data'!G22</f>
        <v>96399.870874105953</v>
      </c>
      <c r="C22" s="105"/>
      <c r="D22" s="104">
        <f>'Monthly Budget Data'!K22</f>
        <v>67165.315583331685</v>
      </c>
      <c r="E22" s="104">
        <f>'Monthly Budget Data'!J22</f>
        <v>27085.281171122653</v>
      </c>
      <c r="F22" s="104">
        <f>'Monthly Budget Data'!L22</f>
        <v>0</v>
      </c>
      <c r="H22" s="355">
        <f>'Monthly Budget Data'!O22</f>
        <v>69201.616481481586</v>
      </c>
      <c r="I22" s="104">
        <f>'Monthly Budget Data'!N22</f>
        <v>28981.913148148178</v>
      </c>
      <c r="J22" s="106">
        <f>'Monthly Budget Data'!P22</f>
        <v>0</v>
      </c>
      <c r="L22" s="355">
        <f>'Monthly Budget Data'!S22</f>
        <v>4829.9087777777777</v>
      </c>
      <c r="M22" s="104">
        <f>'Monthly Budget Data'!R22</f>
        <v>929.95000000000016</v>
      </c>
      <c r="N22" s="106">
        <f>'Monthly Budget Data'!T22</f>
        <v>0</v>
      </c>
      <c r="P22" s="355">
        <f>'Monthly Budget Data'!AE22</f>
        <v>717.68888888888853</v>
      </c>
      <c r="Q22" s="104">
        <f>'Monthly Budget Data'!AD22</f>
        <v>234.40000000000003</v>
      </c>
      <c r="R22" s="106">
        <f>'Monthly Budget Data'!AF22</f>
        <v>0</v>
      </c>
      <c r="T22" s="355">
        <f>'Monthly Budget Data'!B22</f>
        <v>18.932785000442209</v>
      </c>
      <c r="U22" s="104">
        <f>'Monthly Budget Data'!C22</f>
        <v>0</v>
      </c>
      <c r="V22" s="104">
        <f>'Monthly Budget Data'!D22</f>
        <v>17.438662252945193</v>
      </c>
      <c r="W22" s="106">
        <f>'Monthly Budget Data'!E22</f>
        <v>0</v>
      </c>
      <c r="Y22" s="104">
        <f>'Monthly Budget Data'!AI22</f>
        <v>2266.8200000000006</v>
      </c>
      <c r="Z22" s="104">
        <f>'Monthly Budget Data'!AH22</f>
        <v>610.05000000000007</v>
      </c>
      <c r="AA22" s="104">
        <f>'Monthly Budget Data'!AJ22</f>
        <v>0</v>
      </c>
      <c r="AC22" s="104">
        <f>'Monthly Budget Data'!AM22</f>
        <v>1298.7738888888889</v>
      </c>
      <c r="AD22" s="104">
        <f>'Monthly Budget Data'!AL22</f>
        <v>78.288888888888891</v>
      </c>
      <c r="AE22" s="104">
        <f>'Monthly Budget Data'!AN22</f>
        <v>0</v>
      </c>
      <c r="AG22" s="104">
        <f>'Monthly Budget Data'!AQ22</f>
        <v>20.126666666666665</v>
      </c>
      <c r="AH22" s="104">
        <f>'Monthly Budget Data'!AP22</f>
        <v>1.1277777777777778</v>
      </c>
      <c r="AI22" s="104">
        <f>'Monthly Budget Data'!AR22</f>
        <v>0</v>
      </c>
      <c r="AJ22" s="223"/>
      <c r="AK22" s="104">
        <f>'Monthly Budget Data'!AU22</f>
        <v>4833.3762962962974</v>
      </c>
      <c r="AL22" s="104">
        <f>'Monthly Budget Data'!AT22</f>
        <v>2094.513148148148</v>
      </c>
      <c r="AM22" s="104">
        <f>'Monthly Budget Data'!AV22</f>
        <v>0</v>
      </c>
      <c r="AO22" s="104">
        <f>'Monthly Budget Data'!AY22</f>
        <v>0</v>
      </c>
      <c r="AP22" s="104">
        <f>'Monthly Budget Data'!AX22</f>
        <v>0</v>
      </c>
      <c r="AQ22" s="104">
        <f>'Monthly Budget Data'!AZ22</f>
        <v>0</v>
      </c>
    </row>
    <row r="23" spans="1:43">
      <c r="A23" s="166">
        <f>'Input Data'!A22</f>
        <v>41962</v>
      </c>
      <c r="B23" s="355">
        <f>'Monthly Budget Data'!G23</f>
        <v>97057.918756245257</v>
      </c>
      <c r="C23" s="105"/>
      <c r="D23" s="104">
        <f>'Monthly Budget Data'!K23</f>
        <v>67165.315583331685</v>
      </c>
      <c r="E23" s="104">
        <f>'Monthly Budget Data'!J23</f>
        <v>27085.281171122653</v>
      </c>
      <c r="F23" s="104">
        <f>'Monthly Budget Data'!L23</f>
        <v>0</v>
      </c>
      <c r="H23" s="355">
        <f>'Monthly Budget Data'!O23</f>
        <v>69201.616481481586</v>
      </c>
      <c r="I23" s="104">
        <f>'Monthly Budget Data'!N23</f>
        <v>28981.913148148178</v>
      </c>
      <c r="J23" s="106">
        <f>'Monthly Budget Data'!P23</f>
        <v>0</v>
      </c>
      <c r="L23" s="355">
        <f>'Monthly Budget Data'!S23</f>
        <v>4829.9087777777777</v>
      </c>
      <c r="M23" s="104">
        <f>'Monthly Budget Data'!R23</f>
        <v>929.95000000000016</v>
      </c>
      <c r="N23" s="106">
        <f>'Monthly Budget Data'!T23</f>
        <v>0</v>
      </c>
      <c r="P23" s="355">
        <f>'Monthly Budget Data'!AE23</f>
        <v>717.68888888888853</v>
      </c>
      <c r="Q23" s="104">
        <f>'Monthly Budget Data'!AD23</f>
        <v>234.40000000000003</v>
      </c>
      <c r="R23" s="106">
        <f>'Monthly Budget Data'!AF23</f>
        <v>0</v>
      </c>
      <c r="T23" s="355">
        <f>'Monthly Budget Data'!B23</f>
        <v>19.580485539931018</v>
      </c>
      <c r="U23" s="104">
        <f>'Monthly Budget Data'!C23</f>
        <v>0</v>
      </c>
      <c r="V23" s="104">
        <f>'Monthly Budget Data'!D23</f>
        <v>18.136208743062998</v>
      </c>
      <c r="W23" s="106">
        <f>'Monthly Budget Data'!E23</f>
        <v>0</v>
      </c>
      <c r="Y23" s="104">
        <f>'Monthly Budget Data'!AI23</f>
        <v>2266.8200000000006</v>
      </c>
      <c r="Z23" s="104">
        <f>'Monthly Budget Data'!AH23</f>
        <v>610.05000000000007</v>
      </c>
      <c r="AA23" s="104">
        <f>'Monthly Budget Data'!AJ23</f>
        <v>0</v>
      </c>
      <c r="AC23" s="104">
        <f>'Monthly Budget Data'!AM23</f>
        <v>1298.7738888888889</v>
      </c>
      <c r="AD23" s="104">
        <f>'Monthly Budget Data'!AL23</f>
        <v>78.288888888888891</v>
      </c>
      <c r="AE23" s="104">
        <f>'Monthly Budget Data'!AN23</f>
        <v>0</v>
      </c>
      <c r="AG23" s="104">
        <f>'Monthly Budget Data'!AQ23</f>
        <v>20.126666666666665</v>
      </c>
      <c r="AH23" s="104">
        <f>'Monthly Budget Data'!AP23</f>
        <v>1.1277777777777778</v>
      </c>
      <c r="AI23" s="104">
        <f>'Monthly Budget Data'!AR23</f>
        <v>0</v>
      </c>
      <c r="AJ23" s="223"/>
      <c r="AK23" s="104">
        <f>'Monthly Budget Data'!AU23</f>
        <v>4833.3762962962974</v>
      </c>
      <c r="AL23" s="104">
        <f>'Monthly Budget Data'!AT23</f>
        <v>2094.513148148148</v>
      </c>
      <c r="AM23" s="104">
        <f>'Monthly Budget Data'!AV23</f>
        <v>0</v>
      </c>
      <c r="AO23" s="104">
        <f>'Monthly Budget Data'!AY23</f>
        <v>0</v>
      </c>
      <c r="AP23" s="104">
        <f>'Monthly Budget Data'!AX23</f>
        <v>0</v>
      </c>
      <c r="AQ23" s="104">
        <f>'Monthly Budget Data'!AZ23</f>
        <v>0</v>
      </c>
    </row>
    <row r="24" spans="1:43">
      <c r="A24" s="166">
        <f>'Input Data'!A23</f>
        <v>41963</v>
      </c>
      <c r="B24" s="355">
        <f>'Monthly Budget Data'!G24</f>
        <v>97640.587458247988</v>
      </c>
      <c r="C24" s="105"/>
      <c r="D24" s="104">
        <f>'Monthly Budget Data'!K24</f>
        <v>67165.315583331685</v>
      </c>
      <c r="E24" s="104">
        <f>'Monthly Budget Data'!J24</f>
        <v>27085.281171122653</v>
      </c>
      <c r="F24" s="104">
        <f>'Monthly Budget Data'!L24</f>
        <v>0</v>
      </c>
      <c r="H24" s="355">
        <f>'Monthly Budget Data'!O24</f>
        <v>69201.616481481586</v>
      </c>
      <c r="I24" s="104">
        <f>'Monthly Budget Data'!N24</f>
        <v>28981.913148148178</v>
      </c>
      <c r="J24" s="106">
        <f>'Monthly Budget Data'!P24</f>
        <v>0</v>
      </c>
      <c r="L24" s="355">
        <f>'Monthly Budget Data'!S24</f>
        <v>4829.9087777777777</v>
      </c>
      <c r="M24" s="104">
        <f>'Monthly Budget Data'!R24</f>
        <v>929.95000000000016</v>
      </c>
      <c r="N24" s="106">
        <f>'Monthly Budget Data'!T24</f>
        <v>0</v>
      </c>
      <c r="P24" s="355">
        <f>'Monthly Budget Data'!AE24</f>
        <v>717.68888888888853</v>
      </c>
      <c r="Q24" s="104">
        <f>'Monthly Budget Data'!AD24</f>
        <v>234.40000000000003</v>
      </c>
      <c r="R24" s="106">
        <f>'Monthly Budget Data'!AF24</f>
        <v>0</v>
      </c>
      <c r="T24" s="355">
        <f>'Monthly Budget Data'!B24</f>
        <v>20.1285398425754</v>
      </c>
      <c r="U24" s="104">
        <f>'Monthly Budget Data'!C24</f>
        <v>0</v>
      </c>
      <c r="V24" s="104">
        <f>'Monthly Budget Data'!D24</f>
        <v>18.335507740239514</v>
      </c>
      <c r="W24" s="106">
        <f>'Monthly Budget Data'!E24</f>
        <v>0</v>
      </c>
      <c r="Y24" s="104">
        <f>'Monthly Budget Data'!AI24</f>
        <v>2266.8200000000006</v>
      </c>
      <c r="Z24" s="104">
        <f>'Monthly Budget Data'!AH24</f>
        <v>610.05000000000007</v>
      </c>
      <c r="AA24" s="104">
        <f>'Monthly Budget Data'!AJ24</f>
        <v>0</v>
      </c>
      <c r="AC24" s="104">
        <f>'Monthly Budget Data'!AM24</f>
        <v>1298.7738888888889</v>
      </c>
      <c r="AD24" s="104">
        <f>'Monthly Budget Data'!AL24</f>
        <v>78.288888888888891</v>
      </c>
      <c r="AE24" s="104">
        <f>'Monthly Budget Data'!AN24</f>
        <v>0</v>
      </c>
      <c r="AG24" s="104">
        <f>'Monthly Budget Data'!AQ24</f>
        <v>20.126666666666665</v>
      </c>
      <c r="AH24" s="104">
        <f>'Monthly Budget Data'!AP24</f>
        <v>1.1277777777777778</v>
      </c>
      <c r="AI24" s="104">
        <f>'Monthly Budget Data'!AR24</f>
        <v>0</v>
      </c>
      <c r="AJ24" s="223"/>
      <c r="AK24" s="104">
        <f>'Monthly Budget Data'!AU24</f>
        <v>4833.3762962962974</v>
      </c>
      <c r="AL24" s="104">
        <f>'Monthly Budget Data'!AT24</f>
        <v>2094.513148148148</v>
      </c>
      <c r="AM24" s="104">
        <f>'Monthly Budget Data'!AV24</f>
        <v>0</v>
      </c>
      <c r="AO24" s="104">
        <f>'Monthly Budget Data'!AY24</f>
        <v>0</v>
      </c>
      <c r="AP24" s="104">
        <f>'Monthly Budget Data'!AX24</f>
        <v>0</v>
      </c>
      <c r="AQ24" s="104">
        <f>'Monthly Budget Data'!AZ24</f>
        <v>0</v>
      </c>
    </row>
    <row r="25" spans="1:43">
      <c r="A25" s="166">
        <f>'Input Data'!A24</f>
        <v>41964</v>
      </c>
      <c r="B25" s="355">
        <f>'Monthly Budget Data'!G25</f>
        <v>95902.164039585768</v>
      </c>
      <c r="C25" s="105"/>
      <c r="D25" s="104">
        <f>'Monthly Budget Data'!K25</f>
        <v>67165.315583331685</v>
      </c>
      <c r="E25" s="104">
        <f>'Monthly Budget Data'!J25</f>
        <v>27085.281171122653</v>
      </c>
      <c r="F25" s="104">
        <f>'Monthly Budget Data'!L25</f>
        <v>0</v>
      </c>
      <c r="H25" s="355">
        <f>'Monthly Budget Data'!O25</f>
        <v>69201.616481481586</v>
      </c>
      <c r="I25" s="104">
        <f>'Monthly Budget Data'!N25</f>
        <v>28981.913148148178</v>
      </c>
      <c r="J25" s="106">
        <f>'Monthly Budget Data'!P25</f>
        <v>0</v>
      </c>
      <c r="L25" s="355">
        <f>'Monthly Budget Data'!S25</f>
        <v>4829.9087777777777</v>
      </c>
      <c r="M25" s="104">
        <f>'Monthly Budget Data'!R25</f>
        <v>929.95000000000016</v>
      </c>
      <c r="N25" s="106">
        <f>'Monthly Budget Data'!T25</f>
        <v>0</v>
      </c>
      <c r="P25" s="355">
        <f>'Monthly Budget Data'!AE25</f>
        <v>717.68888888888853</v>
      </c>
      <c r="Q25" s="104">
        <f>'Monthly Budget Data'!AD25</f>
        <v>234.40000000000003</v>
      </c>
      <c r="R25" s="106">
        <f>'Monthly Budget Data'!AF25</f>
        <v>0</v>
      </c>
      <c r="T25" s="355">
        <f>'Monthly Budget Data'!B25</f>
        <v>20.178362960997614</v>
      </c>
      <c r="U25" s="104">
        <f>'Monthly Budget Data'!C25</f>
        <v>0</v>
      </c>
      <c r="V25" s="104">
        <f>'Monthly Budget Data'!D25</f>
        <v>18.73410573459255</v>
      </c>
      <c r="W25" s="106">
        <f>'Monthly Budget Data'!E25</f>
        <v>0</v>
      </c>
      <c r="Y25" s="104">
        <f>'Monthly Budget Data'!AI25</f>
        <v>2266.8200000000006</v>
      </c>
      <c r="Z25" s="104">
        <f>'Monthly Budget Data'!AH25</f>
        <v>610.05000000000007</v>
      </c>
      <c r="AA25" s="104">
        <f>'Monthly Budget Data'!AJ25</f>
        <v>0</v>
      </c>
      <c r="AC25" s="104">
        <f>'Monthly Budget Data'!AM25</f>
        <v>1298.7738888888889</v>
      </c>
      <c r="AD25" s="104">
        <f>'Monthly Budget Data'!AL25</f>
        <v>78.288888888888891</v>
      </c>
      <c r="AE25" s="104">
        <f>'Monthly Budget Data'!AN25</f>
        <v>0</v>
      </c>
      <c r="AG25" s="104">
        <f>'Monthly Budget Data'!AQ25</f>
        <v>20.126666666666665</v>
      </c>
      <c r="AH25" s="104">
        <f>'Monthly Budget Data'!AP25</f>
        <v>1.1277777777777778</v>
      </c>
      <c r="AI25" s="104">
        <f>'Monthly Budget Data'!AR25</f>
        <v>0</v>
      </c>
      <c r="AJ25" s="223"/>
      <c r="AK25" s="104">
        <f>'Monthly Budget Data'!AU25</f>
        <v>4833.3762962962974</v>
      </c>
      <c r="AL25" s="104">
        <f>'Monthly Budget Data'!AT25</f>
        <v>2094.513148148148</v>
      </c>
      <c r="AM25" s="104">
        <f>'Monthly Budget Data'!AV25</f>
        <v>0</v>
      </c>
      <c r="AO25" s="104">
        <f>'Monthly Budget Data'!AY25</f>
        <v>0</v>
      </c>
      <c r="AP25" s="104">
        <f>'Monthly Budget Data'!AX25</f>
        <v>0</v>
      </c>
      <c r="AQ25" s="104">
        <f>'Monthly Budget Data'!AZ25</f>
        <v>0</v>
      </c>
    </row>
    <row r="26" spans="1:43">
      <c r="A26" s="166">
        <f>'Input Data'!A25</f>
        <v>41965</v>
      </c>
      <c r="B26" s="355">
        <f>'Monthly Budget Data'!G26</f>
        <v>87044.532396252311</v>
      </c>
      <c r="C26" s="105"/>
      <c r="D26" s="104">
        <f>'Monthly Budget Data'!K26</f>
        <v>0</v>
      </c>
      <c r="E26" s="104">
        <f>'Monthly Budget Data'!J26</f>
        <v>25630.268298864597</v>
      </c>
      <c r="F26" s="104">
        <f>'Monthly Budget Data'!L26</f>
        <v>57382.340307402774</v>
      </c>
      <c r="H26" s="355">
        <f>'Monthly Budget Data'!O26</f>
        <v>0</v>
      </c>
      <c r="I26" s="104">
        <f>'Monthly Budget Data'!N26</f>
        <v>26260.679166666698</v>
      </c>
      <c r="J26" s="106">
        <f>'Monthly Budget Data'!P26</f>
        <v>57086.461666666728</v>
      </c>
      <c r="L26" s="355">
        <f>'Monthly Budget Data'!S26</f>
        <v>0</v>
      </c>
      <c r="M26" s="104">
        <f>'Monthly Budget Data'!R26</f>
        <v>166.99166666666667</v>
      </c>
      <c r="N26" s="106">
        <f>'Monthly Budget Data'!T26</f>
        <v>2795.096</v>
      </c>
      <c r="P26" s="355">
        <f>'Monthly Budget Data'!AE26</f>
        <v>0</v>
      </c>
      <c r="Q26" s="104">
        <f>'Monthly Budget Data'!AD26</f>
        <v>234.40000000000006</v>
      </c>
      <c r="R26" s="106">
        <f>'Monthly Budget Data'!AF26</f>
        <v>468.80000000000007</v>
      </c>
      <c r="T26" s="355">
        <f>'Monthly Budget Data'!B26</f>
        <v>20.427478553108699</v>
      </c>
      <c r="U26" s="104">
        <f>'Monthly Budget Data'!C26</f>
        <v>0</v>
      </c>
      <c r="V26" s="104">
        <f>'Monthly Budget Data'!D26</f>
        <v>19.332002726122099</v>
      </c>
      <c r="W26" s="106">
        <f>'Monthly Budget Data'!E26</f>
        <v>0</v>
      </c>
      <c r="Y26" s="104">
        <f>'Monthly Budget Data'!AI26</f>
        <v>0</v>
      </c>
      <c r="Z26" s="104">
        <f>'Monthly Budget Data'!AH26</f>
        <v>516.15</v>
      </c>
      <c r="AA26" s="104">
        <f>'Monthly Budget Data'!AJ26</f>
        <v>1709.4399999999998</v>
      </c>
      <c r="AC26" s="104">
        <f>'Monthly Budget Data'!AM26</f>
        <v>0</v>
      </c>
      <c r="AD26" s="104">
        <f>'Monthly Budget Data'!AL26</f>
        <v>153.11666666666665</v>
      </c>
      <c r="AE26" s="104">
        <f>'Monthly Budget Data'!AN26</f>
        <v>859.36500000000012</v>
      </c>
      <c r="AG26" s="104">
        <f>'Monthly Budget Data'!AQ26</f>
        <v>0</v>
      </c>
      <c r="AH26" s="104">
        <f>'Monthly Budget Data'!AP26</f>
        <v>143.79166666666666</v>
      </c>
      <c r="AI26" s="104">
        <f>'Monthly Budget Data'!AR26</f>
        <v>22.46</v>
      </c>
      <c r="AJ26" s="223"/>
      <c r="AK26" s="104">
        <f>'Monthly Budget Data'!AU26</f>
        <v>0</v>
      </c>
      <c r="AL26" s="104">
        <f>'Monthly Budget Data'!AT26</f>
        <v>1914.3486111111113</v>
      </c>
      <c r="AM26" s="104">
        <f>'Monthly Budget Data'!AV26</f>
        <v>3348.6733333333332</v>
      </c>
      <c r="AO26" s="104">
        <f>'Monthly Budget Data'!AY26</f>
        <v>0</v>
      </c>
      <c r="AP26" s="104">
        <f>'Monthly Budget Data'!AX26</f>
        <v>0</v>
      </c>
      <c r="AQ26" s="104">
        <f>'Monthly Budget Data'!AZ26</f>
        <v>0</v>
      </c>
    </row>
    <row r="27" spans="1:43">
      <c r="A27" s="166">
        <f>'Input Data'!A26</f>
        <v>41966</v>
      </c>
      <c r="B27" s="355">
        <f>'Monthly Budget Data'!G27</f>
        <v>85606.636287763366</v>
      </c>
      <c r="C27" s="105"/>
      <c r="D27" s="104">
        <f>'Monthly Budget Data'!K27</f>
        <v>0</v>
      </c>
      <c r="E27" s="104">
        <f>'Monthly Budget Data'!J27</f>
        <v>25630.268298864597</v>
      </c>
      <c r="F27" s="104">
        <f>'Monthly Budget Data'!L27</f>
        <v>57382.340307402774</v>
      </c>
      <c r="H27" s="355">
        <f>'Monthly Budget Data'!O27</f>
        <v>0</v>
      </c>
      <c r="I27" s="104">
        <f>'Monthly Budget Data'!N27</f>
        <v>26260.679166666698</v>
      </c>
      <c r="J27" s="106">
        <f>'Monthly Budget Data'!P27</f>
        <v>57086.461666666728</v>
      </c>
      <c r="L27" s="355">
        <f>'Monthly Budget Data'!S27</f>
        <v>0</v>
      </c>
      <c r="M27" s="104">
        <f>'Monthly Budget Data'!R27</f>
        <v>166.99166666666667</v>
      </c>
      <c r="N27" s="106">
        <f>'Monthly Budget Data'!T27</f>
        <v>2795.096</v>
      </c>
      <c r="P27" s="355">
        <f>'Monthly Budget Data'!AE27</f>
        <v>0</v>
      </c>
      <c r="Q27" s="104">
        <f>'Monthly Budget Data'!AD27</f>
        <v>234.40000000000006</v>
      </c>
      <c r="R27" s="106">
        <f>'Monthly Budget Data'!AF27</f>
        <v>468.80000000000007</v>
      </c>
      <c r="T27" s="355">
        <f>'Monthly Budget Data'!B27</f>
        <v>21.075179092597512</v>
      </c>
      <c r="U27" s="104">
        <f>'Monthly Budget Data'!C27</f>
        <v>0</v>
      </c>
      <c r="V27" s="104">
        <f>'Monthly Budget Data'!D27</f>
        <v>19.581126472592743</v>
      </c>
      <c r="W27" s="106">
        <f>'Monthly Budget Data'!E27</f>
        <v>0</v>
      </c>
      <c r="Y27" s="104">
        <f>'Monthly Budget Data'!AI27</f>
        <v>0</v>
      </c>
      <c r="Z27" s="104">
        <f>'Monthly Budget Data'!AH27</f>
        <v>516.15</v>
      </c>
      <c r="AA27" s="104">
        <f>'Monthly Budget Data'!AJ27</f>
        <v>1709.4399999999998</v>
      </c>
      <c r="AC27" s="104">
        <f>'Monthly Budget Data'!AM27</f>
        <v>0</v>
      </c>
      <c r="AD27" s="104">
        <f>'Monthly Budget Data'!AL27</f>
        <v>153.11666666666665</v>
      </c>
      <c r="AE27" s="104">
        <f>'Monthly Budget Data'!AN27</f>
        <v>859.36500000000012</v>
      </c>
      <c r="AG27" s="104">
        <f>'Monthly Budget Data'!AQ27</f>
        <v>0</v>
      </c>
      <c r="AH27" s="104">
        <f>'Monthly Budget Data'!AP27</f>
        <v>143.79166666666666</v>
      </c>
      <c r="AI27" s="104">
        <f>'Monthly Budget Data'!AR27</f>
        <v>22.46</v>
      </c>
      <c r="AJ27" s="223"/>
      <c r="AK27" s="104">
        <f>'Monthly Budget Data'!AU27</f>
        <v>0</v>
      </c>
      <c r="AL27" s="104">
        <f>'Monthly Budget Data'!AT27</f>
        <v>1914.3486111111113</v>
      </c>
      <c r="AM27" s="104">
        <f>'Monthly Budget Data'!AV27</f>
        <v>3348.6733333333332</v>
      </c>
      <c r="AO27" s="104">
        <f>'Monthly Budget Data'!AY27</f>
        <v>0</v>
      </c>
      <c r="AP27" s="104">
        <f>'Monthly Budget Data'!AX27</f>
        <v>0</v>
      </c>
      <c r="AQ27" s="104">
        <f>'Monthly Budget Data'!AZ27</f>
        <v>0</v>
      </c>
    </row>
    <row r="28" spans="1:43">
      <c r="A28" s="166">
        <f>'Input Data'!A27</f>
        <v>41967</v>
      </c>
      <c r="B28" s="355"/>
      <c r="C28" s="105"/>
      <c r="D28" s="104"/>
      <c r="E28" s="104"/>
      <c r="F28" s="104"/>
      <c r="H28" s="355"/>
      <c r="I28" s="104"/>
      <c r="J28" s="106"/>
      <c r="L28" s="355"/>
      <c r="M28" s="104"/>
      <c r="N28" s="106"/>
      <c r="P28" s="355"/>
      <c r="Q28" s="104"/>
      <c r="R28" s="106"/>
      <c r="T28" s="355"/>
      <c r="U28" s="104"/>
      <c r="V28" s="104"/>
      <c r="W28" s="106"/>
      <c r="Y28" s="104"/>
      <c r="Z28" s="104"/>
      <c r="AA28" s="104"/>
      <c r="AC28" s="104"/>
      <c r="AD28" s="104"/>
      <c r="AE28" s="104"/>
      <c r="AG28" s="104"/>
      <c r="AH28" s="104"/>
      <c r="AI28" s="104"/>
      <c r="AJ28" s="223"/>
      <c r="AK28" s="104"/>
      <c r="AL28" s="104"/>
      <c r="AM28" s="104"/>
      <c r="AO28" s="104"/>
      <c r="AP28" s="104"/>
      <c r="AQ28" s="104"/>
    </row>
    <row r="29" spans="1:43">
      <c r="A29" s="166">
        <f>'Input Data'!A28</f>
        <v>41968</v>
      </c>
      <c r="B29" s="355"/>
      <c r="C29" s="105"/>
      <c r="D29" s="104"/>
      <c r="E29" s="104"/>
      <c r="F29" s="104"/>
      <c r="H29" s="355"/>
      <c r="I29" s="104"/>
      <c r="J29" s="106"/>
      <c r="L29" s="355"/>
      <c r="M29" s="104"/>
      <c r="N29" s="106"/>
      <c r="P29" s="355"/>
      <c r="Q29" s="104"/>
      <c r="R29" s="106"/>
      <c r="T29" s="355"/>
      <c r="U29" s="104"/>
      <c r="V29" s="104"/>
      <c r="W29" s="106"/>
      <c r="Y29" s="104"/>
      <c r="Z29" s="104"/>
      <c r="AA29" s="104"/>
      <c r="AC29" s="104"/>
      <c r="AD29" s="104"/>
      <c r="AE29" s="104"/>
      <c r="AG29" s="104"/>
      <c r="AH29" s="104"/>
      <c r="AI29" s="104"/>
      <c r="AJ29" s="223"/>
      <c r="AK29" s="104"/>
      <c r="AL29" s="104"/>
      <c r="AM29" s="104"/>
      <c r="AO29" s="104"/>
      <c r="AP29" s="104"/>
      <c r="AQ29" s="104"/>
    </row>
    <row r="30" spans="1:43">
      <c r="A30" s="166">
        <f>'Input Data'!A29</f>
        <v>41969</v>
      </c>
      <c r="B30" s="355"/>
      <c r="C30" s="105"/>
      <c r="D30" s="104"/>
      <c r="E30" s="104"/>
      <c r="F30" s="104"/>
      <c r="H30" s="355"/>
      <c r="I30" s="104"/>
      <c r="J30" s="106"/>
      <c r="L30" s="355"/>
      <c r="M30" s="104"/>
      <c r="N30" s="106"/>
      <c r="P30" s="355"/>
      <c r="Q30" s="104"/>
      <c r="R30" s="106"/>
      <c r="T30" s="355"/>
      <c r="U30" s="104"/>
      <c r="V30" s="104"/>
      <c r="W30" s="106"/>
      <c r="Y30" s="104"/>
      <c r="Z30" s="104"/>
      <c r="AA30" s="104"/>
      <c r="AC30" s="104"/>
      <c r="AD30" s="104"/>
      <c r="AE30" s="104"/>
      <c r="AG30" s="104"/>
      <c r="AH30" s="104"/>
      <c r="AI30" s="104"/>
      <c r="AJ30" s="223"/>
      <c r="AK30" s="104"/>
      <c r="AL30" s="104"/>
      <c r="AM30" s="104"/>
      <c r="AO30" s="104"/>
      <c r="AP30" s="104"/>
      <c r="AQ30" s="104"/>
    </row>
    <row r="31" spans="1:43">
      <c r="A31" s="166">
        <f>'Input Data'!A30</f>
        <v>41970</v>
      </c>
      <c r="B31" s="355"/>
      <c r="C31" s="105"/>
      <c r="D31" s="104"/>
      <c r="E31" s="104"/>
      <c r="F31" s="104"/>
      <c r="H31" s="355"/>
      <c r="I31" s="104"/>
      <c r="J31" s="106"/>
      <c r="L31" s="355"/>
      <c r="M31" s="104"/>
      <c r="N31" s="106"/>
      <c r="P31" s="355"/>
      <c r="Q31" s="104"/>
      <c r="R31" s="106"/>
      <c r="T31" s="355"/>
      <c r="U31" s="104"/>
      <c r="V31" s="104"/>
      <c r="W31" s="106"/>
      <c r="Y31" s="104"/>
      <c r="Z31" s="104"/>
      <c r="AA31" s="104"/>
      <c r="AC31" s="104"/>
      <c r="AD31" s="104"/>
      <c r="AE31" s="104"/>
      <c r="AG31" s="104"/>
      <c r="AH31" s="104"/>
      <c r="AI31" s="104"/>
      <c r="AJ31" s="223"/>
      <c r="AK31" s="104"/>
      <c r="AL31" s="104"/>
      <c r="AM31" s="104"/>
      <c r="AO31" s="104"/>
      <c r="AP31" s="104"/>
      <c r="AQ31" s="104"/>
    </row>
    <row r="32" spans="1:43">
      <c r="A32" s="166">
        <f>'Input Data'!A31</f>
        <v>41971</v>
      </c>
      <c r="B32" s="355"/>
      <c r="C32" s="105"/>
      <c r="D32" s="104"/>
      <c r="E32" s="104"/>
      <c r="F32" s="104"/>
      <c r="H32" s="355"/>
      <c r="I32" s="104"/>
      <c r="J32" s="106"/>
      <c r="L32" s="355"/>
      <c r="M32" s="104"/>
      <c r="N32" s="106"/>
      <c r="P32" s="355"/>
      <c r="Q32" s="104"/>
      <c r="R32" s="106"/>
      <c r="T32" s="355"/>
      <c r="U32" s="104"/>
      <c r="V32" s="104"/>
      <c r="W32" s="106"/>
      <c r="Y32" s="104"/>
      <c r="Z32" s="104"/>
      <c r="AA32" s="104"/>
      <c r="AC32" s="104"/>
      <c r="AD32" s="104"/>
      <c r="AE32" s="104"/>
      <c r="AG32" s="104"/>
      <c r="AH32" s="104"/>
      <c r="AI32" s="104"/>
      <c r="AJ32" s="223"/>
      <c r="AK32" s="104"/>
      <c r="AL32" s="104"/>
      <c r="AM32" s="104"/>
      <c r="AO32" s="104"/>
      <c r="AP32" s="104"/>
      <c r="AQ32" s="104"/>
    </row>
    <row r="33" spans="1:43">
      <c r="A33" s="166">
        <f>'Input Data'!A32</f>
        <v>41972</v>
      </c>
      <c r="B33" s="355"/>
      <c r="C33" s="105"/>
      <c r="D33" s="104"/>
      <c r="E33" s="104"/>
      <c r="F33" s="104"/>
      <c r="H33" s="355"/>
      <c r="I33" s="104"/>
      <c r="J33" s="106"/>
      <c r="L33" s="355"/>
      <c r="M33" s="104"/>
      <c r="N33" s="106"/>
      <c r="P33" s="355"/>
      <c r="Q33" s="104"/>
      <c r="R33" s="106"/>
      <c r="T33" s="355"/>
      <c r="U33" s="104"/>
      <c r="V33" s="104"/>
      <c r="W33" s="106"/>
      <c r="Y33" s="104"/>
      <c r="Z33" s="104"/>
      <c r="AA33" s="104"/>
      <c r="AC33" s="104"/>
      <c r="AD33" s="104"/>
      <c r="AE33" s="104"/>
      <c r="AG33" s="104"/>
      <c r="AH33" s="104"/>
      <c r="AI33" s="104"/>
      <c r="AJ33" s="223"/>
      <c r="AK33" s="104"/>
      <c r="AL33" s="104"/>
      <c r="AM33" s="104"/>
      <c r="AO33" s="104"/>
      <c r="AP33" s="104"/>
      <c r="AQ33" s="104"/>
    </row>
    <row r="34" spans="1:43">
      <c r="A34" s="166">
        <f>'Input Data'!A33</f>
        <v>41973</v>
      </c>
      <c r="B34" s="355"/>
      <c r="C34" s="105"/>
      <c r="D34" s="104"/>
      <c r="E34" s="104"/>
      <c r="F34" s="104"/>
      <c r="H34" s="355"/>
      <c r="I34" s="104"/>
      <c r="J34" s="106"/>
      <c r="L34" s="355"/>
      <c r="M34" s="104"/>
      <c r="N34" s="106"/>
      <c r="P34" s="355"/>
      <c r="Q34" s="104"/>
      <c r="R34" s="106"/>
      <c r="T34" s="355"/>
      <c r="U34" s="104"/>
      <c r="V34" s="104"/>
      <c r="W34" s="106"/>
      <c r="Y34" s="104"/>
      <c r="Z34" s="104"/>
      <c r="AA34" s="104"/>
      <c r="AC34" s="104"/>
      <c r="AD34" s="104"/>
      <c r="AE34" s="104"/>
      <c r="AG34" s="104"/>
      <c r="AH34" s="104"/>
      <c r="AI34" s="104"/>
      <c r="AJ34" s="223"/>
      <c r="AK34" s="104"/>
      <c r="AL34" s="104"/>
      <c r="AM34" s="104"/>
      <c r="AO34" s="104"/>
      <c r="AP34" s="104"/>
      <c r="AQ34" s="104"/>
    </row>
    <row r="35" spans="1:43">
      <c r="A35" s="166" t="str">
        <f>'Input Data'!A34</f>
        <v>-</v>
      </c>
      <c r="B35" s="355"/>
      <c r="C35" s="105"/>
      <c r="D35" s="104"/>
      <c r="E35" s="104"/>
      <c r="F35" s="104"/>
      <c r="H35" s="355"/>
      <c r="I35" s="104"/>
      <c r="J35" s="106"/>
      <c r="L35" s="355"/>
      <c r="M35" s="104"/>
      <c r="N35" s="106"/>
      <c r="P35" s="355"/>
      <c r="Q35" s="104"/>
      <c r="R35" s="106"/>
      <c r="T35" s="355"/>
      <c r="U35" s="104"/>
      <c r="V35" s="104"/>
      <c r="W35" s="106"/>
      <c r="Y35" s="104"/>
      <c r="Z35" s="104"/>
      <c r="AA35" s="104"/>
      <c r="AC35" s="104"/>
      <c r="AD35" s="104"/>
      <c r="AE35" s="104"/>
      <c r="AG35" s="104"/>
      <c r="AH35" s="104"/>
      <c r="AI35" s="104"/>
      <c r="AJ35" s="223"/>
      <c r="AK35" s="104"/>
      <c r="AL35" s="104"/>
      <c r="AM35" s="104"/>
      <c r="AO35" s="104"/>
      <c r="AP35" s="104"/>
      <c r="AQ35" s="104"/>
    </row>
    <row r="36" spans="1:43">
      <c r="B36" s="105"/>
      <c r="C36" s="105"/>
      <c r="D36" s="105"/>
      <c r="E36" s="105"/>
      <c r="F36" s="105"/>
      <c r="H36" s="105"/>
      <c r="I36" s="105"/>
      <c r="J36" s="105"/>
      <c r="L36" s="105"/>
      <c r="M36" s="105"/>
      <c r="N36" s="105"/>
      <c r="P36" s="105"/>
      <c r="Q36" s="105"/>
      <c r="R36" s="105"/>
      <c r="T36" s="105"/>
      <c r="U36" s="105"/>
      <c r="V36" s="105"/>
      <c r="W36" s="105"/>
      <c r="Y36" s="96"/>
      <c r="Z36" s="96"/>
      <c r="AA36" s="96"/>
      <c r="AC36" s="96"/>
      <c r="AD36" s="96"/>
      <c r="AE36" s="96"/>
      <c r="AG36" s="388"/>
      <c r="AH36" s="388"/>
      <c r="AI36" s="388"/>
      <c r="AK36" s="388"/>
      <c r="AL36" s="388"/>
      <c r="AM36" s="388"/>
      <c r="AO36" s="388"/>
      <c r="AP36" s="388"/>
      <c r="AQ36" s="388"/>
    </row>
    <row r="37" spans="1:43">
      <c r="B37" s="96">
        <f>SUM(B5:B35)</f>
        <v>2046882.2911240729</v>
      </c>
      <c r="C37" s="388"/>
      <c r="D37" s="388">
        <f>SUM(D5:D36)</f>
        <v>1007479.7337499757</v>
      </c>
      <c r="E37" s="388">
        <f>SUM(E5:E36)</f>
        <v>611321.36395775678</v>
      </c>
      <c r="F37" s="388">
        <f>SUM(F5:F36)</f>
        <v>459058.72245922219</v>
      </c>
      <c r="H37" s="96">
        <f>SUM(H5:H35)</f>
        <v>1038024.2472222238</v>
      </c>
      <c r="I37" s="96">
        <f>SUM(I5:I35)</f>
        <v>644814.13055555627</v>
      </c>
      <c r="J37" s="96">
        <f>SUM(J5:J35)</f>
        <v>456691.69333333382</v>
      </c>
      <c r="L37" s="96">
        <f>SUM(L5:L35)</f>
        <v>72448.631666666653</v>
      </c>
      <c r="M37" s="96">
        <f>SUM(M5:M35)</f>
        <v>15285.18333333334</v>
      </c>
      <c r="N37" s="96">
        <f>SUM(N5:N35)</f>
        <v>22360.768000000004</v>
      </c>
      <c r="P37" s="388">
        <f>SUM(P5:P35)</f>
        <v>10765.333333333328</v>
      </c>
      <c r="Q37" s="388">
        <f>SUM(Q5:Q35)</f>
        <v>5391.1999999999989</v>
      </c>
      <c r="R37" s="388">
        <f>SUM(R5:R35)</f>
        <v>3750.400000000001</v>
      </c>
      <c r="T37" s="96">
        <f>SUM(T5:T35)</f>
        <v>412.18665870699573</v>
      </c>
      <c r="U37" s="96">
        <f>SUM(U5:U35)</f>
        <v>0.4</v>
      </c>
      <c r="V37" s="96">
        <f>SUM(V5:V35)</f>
        <v>370.39718625255591</v>
      </c>
      <c r="W37" s="96">
        <f>SUM(W5:W35)</f>
        <v>1.2500000000000002</v>
      </c>
      <c r="Y37" s="105">
        <f>SUM(Y5:Y35)</f>
        <v>34002.300000000003</v>
      </c>
      <c r="Z37" s="105">
        <f>SUM(Z5:Z35)</f>
        <v>13279.949999999997</v>
      </c>
      <c r="AA37" s="105">
        <f>SUM(AA5:AA35)</f>
        <v>13675.52</v>
      </c>
      <c r="AC37" s="105">
        <f>SUM(AC5:AC35)</f>
        <v>19481.608333333334</v>
      </c>
      <c r="AD37" s="105">
        <f>SUM(AD5:AD35)</f>
        <v>2399.2666666666655</v>
      </c>
      <c r="AE37" s="105">
        <f>SUM(AE5:AE35)</f>
        <v>6874.92</v>
      </c>
      <c r="AG37" s="105">
        <f>SUM(AG5:AG35)</f>
        <v>301.89999999999998</v>
      </c>
      <c r="AH37" s="105">
        <f>SUM(AH5:AH35)</f>
        <v>1167.2499999999995</v>
      </c>
      <c r="AI37" s="105">
        <f>SUM(AI5:AI35)</f>
        <v>179.68000000000004</v>
      </c>
      <c r="AK37" s="105">
        <f>SUM(AK5:AK35)</f>
        <v>72500.644444444435</v>
      </c>
      <c r="AL37" s="105">
        <f>SUM(AL5:AL35)</f>
        <v>46732.486111111124</v>
      </c>
      <c r="AM37" s="105">
        <f>SUM(AM5:AM35)</f>
        <v>26789.386666666662</v>
      </c>
      <c r="AO37" s="105">
        <f>SUM(AO5:AO35)</f>
        <v>0</v>
      </c>
      <c r="AP37" s="105">
        <f>SUM(AP5:AP35)</f>
        <v>0</v>
      </c>
      <c r="AQ37" s="105">
        <f>SUM(AQ5:AQ35)</f>
        <v>0</v>
      </c>
    </row>
    <row r="38" spans="1:43" ht="14.25">
      <c r="V38" s="93"/>
      <c r="W38" s="93"/>
      <c r="AC38" s="122"/>
      <c r="AD38" s="122"/>
      <c r="AE38" s="122"/>
      <c r="AG38" s="122"/>
      <c r="AH38" s="122"/>
      <c r="AI38" s="122"/>
      <c r="AK38" s="122"/>
      <c r="AL38" s="122"/>
      <c r="AM38" s="122"/>
      <c r="AO38" s="122"/>
      <c r="AP38" s="122"/>
      <c r="AQ38" s="122"/>
    </row>
    <row r="39" spans="1:43">
      <c r="B39" s="276">
        <f>SUM(B5:B35)</f>
        <v>2046882.2911240729</v>
      </c>
      <c r="C39" s="427"/>
      <c r="D39" s="276"/>
      <c r="E39" s="276"/>
      <c r="F39" s="276">
        <f>D37+E37+F37</f>
        <v>2077859.8201669548</v>
      </c>
      <c r="J39" s="276">
        <f>H37+I37+J37</f>
        <v>2139530.0711111138</v>
      </c>
      <c r="N39" s="276">
        <f>L37+M37+N37</f>
        <v>110094.58299999998</v>
      </c>
      <c r="R39" s="276">
        <f>P37+Q37+R37</f>
        <v>19906.933333333327</v>
      </c>
      <c r="V39" s="93"/>
      <c r="W39" s="93"/>
      <c r="AA39" s="105">
        <f>Y37+Z37+AA37</f>
        <v>60957.770000000004</v>
      </c>
      <c r="AD39" s="93"/>
      <c r="AE39" s="105">
        <f>AC37+AD37+AE37</f>
        <v>28755.794999999998</v>
      </c>
      <c r="AG39"/>
      <c r="AH39" s="93"/>
      <c r="AI39" s="105">
        <f>AG37+AH37+AI37</f>
        <v>1648.8299999999997</v>
      </c>
      <c r="AK39"/>
      <c r="AL39" s="93"/>
      <c r="AM39" s="105">
        <f>AK37+AL37+AM37</f>
        <v>146022.51722222223</v>
      </c>
      <c r="AP39" s="93"/>
      <c r="AQ39" s="105">
        <f>AO37+AP37+AQ37</f>
        <v>0</v>
      </c>
    </row>
    <row r="40" spans="1:43" ht="14.25">
      <c r="T40" s="402">
        <f ca="1">OFFSET(T4,'Input Data'!$A$1,)</f>
        <v>21.075179092597512</v>
      </c>
      <c r="U40" s="402">
        <f ca="1">OFFSET(U4,'Input Data'!$A$1,)</f>
        <v>0</v>
      </c>
      <c r="V40" s="402">
        <f ca="1">OFFSET(V4,'Input Data'!$A$1,)</f>
        <v>19.581126472592743</v>
      </c>
      <c r="W40" s="402">
        <f ca="1">OFFSET(W4,'Input Data'!$A$1,)</f>
        <v>0</v>
      </c>
    </row>
  </sheetData>
  <mergeCells count="16">
    <mergeCell ref="H1:J1"/>
    <mergeCell ref="L1:N1"/>
    <mergeCell ref="T2:W2"/>
    <mergeCell ref="T1:W1"/>
    <mergeCell ref="D1:F1"/>
    <mergeCell ref="AK1:AM1"/>
    <mergeCell ref="AK2:AM2"/>
    <mergeCell ref="P1:R1"/>
    <mergeCell ref="AO1:AQ1"/>
    <mergeCell ref="AO2:AQ2"/>
    <mergeCell ref="AG1:AI1"/>
    <mergeCell ref="AG2:AI2"/>
    <mergeCell ref="Y2:AA2"/>
    <mergeCell ref="Y1:AA1"/>
    <mergeCell ref="AC2:AE2"/>
    <mergeCell ref="AC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Z47"/>
  <sheetViews>
    <sheetView zoomScale="89" zoomScaleNormal="89" workbookViewId="0">
      <pane xSplit="1" ySplit="3" topLeftCell="B4" activePane="bottomRight" state="frozen"/>
      <selection activeCell="M28" sqref="M28"/>
      <selection pane="topRight" activeCell="M28" sqref="M28"/>
      <selection pane="bottomLeft" activeCell="M28" sqref="M28"/>
      <selection pane="bottomRight" activeCell="G5" sqref="G5:G20"/>
    </sheetView>
  </sheetViews>
  <sheetFormatPr defaultRowHeight="12.75"/>
  <cols>
    <col min="2" max="3" width="10.42578125" style="393" customWidth="1"/>
    <col min="4" max="5" width="15.7109375" style="393" bestFit="1" customWidth="1"/>
    <col min="6" max="6" width="5.140625" customWidth="1"/>
    <col min="7" max="7" width="17.140625" customWidth="1"/>
    <col min="8" max="8" width="5" customWidth="1"/>
    <col min="9" max="9" width="0" hidden="1" customWidth="1"/>
    <col min="12" max="12" width="12.28515625" customWidth="1"/>
    <col min="13" max="13" width="4.140625" style="93" customWidth="1"/>
    <col min="14" max="15" width="10.5703125" customWidth="1"/>
    <col min="16" max="16" width="12.140625" customWidth="1"/>
    <col min="17" max="17" width="5" customWidth="1"/>
    <col min="18" max="20" width="10.5703125" customWidth="1"/>
    <col min="21" max="21" width="5" customWidth="1"/>
    <col min="22" max="24" width="10.5703125" hidden="1" customWidth="1"/>
    <col min="25" max="25" width="5" hidden="1" customWidth="1"/>
    <col min="26" max="28" width="10.5703125" hidden="1" customWidth="1"/>
    <col min="29" max="29" width="5" hidden="1" customWidth="1"/>
    <col min="30" max="32" width="10.7109375" customWidth="1"/>
    <col min="33" max="33" width="5" customWidth="1"/>
    <col min="37" max="37" width="5" customWidth="1"/>
    <col min="41" max="41" width="5.140625" customWidth="1"/>
  </cols>
  <sheetData>
    <row r="2" spans="1:52">
      <c r="B2" s="696" t="s">
        <v>186</v>
      </c>
      <c r="C2" s="696"/>
      <c r="D2" s="696"/>
      <c r="E2" s="696"/>
      <c r="F2" s="96"/>
      <c r="G2" s="551" t="s">
        <v>316</v>
      </c>
      <c r="H2" s="184"/>
      <c r="I2" s="285"/>
      <c r="J2" s="704" t="s">
        <v>289</v>
      </c>
      <c r="K2" s="696"/>
      <c r="L2" s="696"/>
      <c r="M2" s="430"/>
      <c r="N2" s="696" t="s">
        <v>255</v>
      </c>
      <c r="O2" s="696"/>
      <c r="P2" s="696"/>
      <c r="Q2" s="386"/>
      <c r="R2" s="696" t="s">
        <v>196</v>
      </c>
      <c r="S2" s="696"/>
      <c r="T2" s="696"/>
      <c r="U2" s="392"/>
      <c r="V2" s="696" t="s">
        <v>248</v>
      </c>
      <c r="W2" s="696"/>
      <c r="X2" s="696"/>
      <c r="Y2" s="387"/>
      <c r="Z2" s="696" t="s">
        <v>250</v>
      </c>
      <c r="AA2" s="696"/>
      <c r="AB2" s="696"/>
      <c r="AD2" s="696" t="s">
        <v>248</v>
      </c>
      <c r="AE2" s="696"/>
      <c r="AF2" s="696"/>
      <c r="AH2" s="696" t="s">
        <v>256</v>
      </c>
      <c r="AI2" s="696"/>
      <c r="AJ2" s="696"/>
      <c r="AL2" s="696" t="s">
        <v>257</v>
      </c>
      <c r="AM2" s="696"/>
      <c r="AN2" s="696"/>
      <c r="AP2" s="704" t="s">
        <v>261</v>
      </c>
      <c r="AQ2" s="696"/>
      <c r="AR2" s="696"/>
      <c r="AT2" s="704" t="s">
        <v>262</v>
      </c>
      <c r="AU2" s="696"/>
      <c r="AV2" s="696"/>
      <c r="AX2" s="704" t="s">
        <v>269</v>
      </c>
      <c r="AY2" s="696"/>
      <c r="AZ2" s="696"/>
    </row>
    <row r="3" spans="1:52" ht="25.5">
      <c r="B3" s="393" t="s">
        <v>184</v>
      </c>
      <c r="C3" s="393" t="s">
        <v>185</v>
      </c>
      <c r="D3" s="403" t="s">
        <v>400</v>
      </c>
      <c r="E3" s="403" t="s">
        <v>401</v>
      </c>
      <c r="F3" s="131"/>
      <c r="G3" s="550" t="s">
        <v>286</v>
      </c>
      <c r="H3" s="139"/>
      <c r="I3" s="139" t="s">
        <v>164</v>
      </c>
      <c r="J3" s="139" t="s">
        <v>76</v>
      </c>
      <c r="K3" s="139" t="s">
        <v>77</v>
      </c>
      <c r="L3" s="139" t="s">
        <v>78</v>
      </c>
      <c r="M3" s="139"/>
      <c r="N3" s="139" t="s">
        <v>79</v>
      </c>
      <c r="O3" s="139" t="s">
        <v>80</v>
      </c>
      <c r="P3" s="139" t="s">
        <v>81</v>
      </c>
      <c r="Q3" s="139"/>
      <c r="R3" s="139" t="s">
        <v>79</v>
      </c>
      <c r="S3" s="139" t="s">
        <v>80</v>
      </c>
      <c r="T3" s="139" t="s">
        <v>81</v>
      </c>
      <c r="U3" s="139"/>
      <c r="V3" s="139" t="s">
        <v>79</v>
      </c>
      <c r="W3" s="139" t="s">
        <v>80</v>
      </c>
      <c r="X3" s="139" t="s">
        <v>81</v>
      </c>
      <c r="Y3" s="139"/>
      <c r="Z3" s="139" t="s">
        <v>79</v>
      </c>
      <c r="AA3" s="139" t="s">
        <v>80</v>
      </c>
      <c r="AB3" s="139" t="s">
        <v>81</v>
      </c>
      <c r="AD3" s="139" t="s">
        <v>79</v>
      </c>
      <c r="AE3" s="139" t="s">
        <v>80</v>
      </c>
      <c r="AF3" s="139" t="s">
        <v>81</v>
      </c>
      <c r="AH3" s="132" t="s">
        <v>74</v>
      </c>
      <c r="AI3" s="132" t="s">
        <v>73</v>
      </c>
      <c r="AJ3" s="132" t="s">
        <v>75</v>
      </c>
      <c r="AL3" s="132" t="s">
        <v>74</v>
      </c>
      <c r="AM3" s="132" t="s">
        <v>73</v>
      </c>
      <c r="AN3" s="132" t="s">
        <v>75</v>
      </c>
      <c r="AP3" t="s">
        <v>74</v>
      </c>
      <c r="AQ3" t="s">
        <v>73</v>
      </c>
      <c r="AR3" t="s">
        <v>75</v>
      </c>
      <c r="AT3" t="s">
        <v>74</v>
      </c>
      <c r="AU3" t="s">
        <v>73</v>
      </c>
      <c r="AV3" t="s">
        <v>75</v>
      </c>
      <c r="AX3" t="s">
        <v>74</v>
      </c>
      <c r="AY3" t="s">
        <v>73</v>
      </c>
      <c r="AZ3" t="s">
        <v>75</v>
      </c>
    </row>
    <row r="4" spans="1:52" ht="14.25">
      <c r="B4" s="394"/>
      <c r="C4" s="394"/>
      <c r="D4" s="394"/>
      <c r="E4" s="394"/>
      <c r="F4" s="1"/>
      <c r="G4" s="5"/>
      <c r="H4" s="5"/>
      <c r="I4" s="5"/>
      <c r="J4" s="5"/>
      <c r="K4" s="5"/>
      <c r="L4" s="5"/>
      <c r="M4" s="303"/>
      <c r="N4" s="5"/>
      <c r="O4" s="5"/>
      <c r="P4" s="5"/>
      <c r="Q4" s="5"/>
      <c r="R4" s="5"/>
      <c r="S4" s="5"/>
      <c r="T4" s="100"/>
      <c r="U4" s="100"/>
      <c r="V4" s="5"/>
      <c r="W4" s="5"/>
      <c r="X4" s="100"/>
      <c r="Y4" s="100"/>
      <c r="Z4" s="100"/>
      <c r="AA4" s="100"/>
      <c r="AB4" s="100"/>
      <c r="AD4" s="5"/>
      <c r="AE4" s="5"/>
      <c r="AF4" s="100"/>
      <c r="AH4" s="118"/>
      <c r="AI4" s="118"/>
      <c r="AJ4" s="119"/>
      <c r="AL4" s="119"/>
      <c r="AM4" s="119"/>
      <c r="AN4" s="119"/>
    </row>
    <row r="5" spans="1:52">
      <c r="A5" s="166">
        <f>'Input Data'!A4</f>
        <v>41944</v>
      </c>
      <c r="B5" s="651">
        <v>14.897112408242684</v>
      </c>
      <c r="C5" s="652">
        <v>0.13333333333333333</v>
      </c>
      <c r="D5" s="652">
        <v>13.203558562944215</v>
      </c>
      <c r="E5" s="653">
        <v>0.17004773269689732</v>
      </c>
      <c r="F5" s="96"/>
      <c r="G5" s="305">
        <v>77742.633369188014</v>
      </c>
      <c r="H5" s="112"/>
      <c r="I5" s="102" t="e">
        <f>SUM(#REF!+G5+#REF!)-1037</f>
        <v>#REF!</v>
      </c>
      <c r="J5" s="305">
        <v>25630.268298864597</v>
      </c>
      <c r="K5" s="305">
        <v>0</v>
      </c>
      <c r="L5" s="306">
        <v>57382.340307402774</v>
      </c>
      <c r="M5" s="388"/>
      <c r="N5" s="324">
        <v>26260.679166666698</v>
      </c>
      <c r="O5" s="324">
        <v>0</v>
      </c>
      <c r="P5" s="324">
        <v>57086.461666666728</v>
      </c>
      <c r="Q5" s="389"/>
      <c r="R5" s="324">
        <v>166.99166666666667</v>
      </c>
      <c r="S5" s="324">
        <v>0</v>
      </c>
      <c r="T5" s="324">
        <v>2795.096</v>
      </c>
      <c r="U5" s="389"/>
      <c r="V5" s="324"/>
      <c r="W5" s="324"/>
      <c r="X5" s="324"/>
      <c r="Y5" s="389"/>
      <c r="Z5" s="324"/>
      <c r="AA5" s="324"/>
      <c r="AB5" s="324"/>
      <c r="AD5" s="324">
        <v>234.40000000000006</v>
      </c>
      <c r="AE5" s="324">
        <v>0</v>
      </c>
      <c r="AF5" s="324">
        <v>468.80000000000007</v>
      </c>
      <c r="AH5" s="373">
        <v>516.15</v>
      </c>
      <c r="AI5" s="373">
        <v>0</v>
      </c>
      <c r="AJ5" s="373">
        <v>1709.4399999999998</v>
      </c>
      <c r="AL5" s="324">
        <v>153.11666666666665</v>
      </c>
      <c r="AM5" s="324">
        <v>0</v>
      </c>
      <c r="AN5" s="324">
        <v>859.36500000000012</v>
      </c>
      <c r="AP5" s="674">
        <v>143.79166666666666</v>
      </c>
      <c r="AQ5" s="674">
        <v>0</v>
      </c>
      <c r="AR5" s="674">
        <v>22.46</v>
      </c>
      <c r="AT5" s="324">
        <v>1914.3486111111113</v>
      </c>
      <c r="AU5" s="324">
        <v>0</v>
      </c>
      <c r="AV5" s="324">
        <v>3348.6733333333332</v>
      </c>
      <c r="AX5" s="324">
        <v>0</v>
      </c>
      <c r="AY5" s="324">
        <v>0</v>
      </c>
      <c r="AZ5" s="324">
        <v>0</v>
      </c>
    </row>
    <row r="6" spans="1:52">
      <c r="A6" s="166">
        <f>'Input Data'!A5</f>
        <v>41945</v>
      </c>
      <c r="B6" s="654">
        <v>15.046581763509334</v>
      </c>
      <c r="C6" s="655">
        <v>0.13333333333333333</v>
      </c>
      <c r="D6" s="655">
        <v>13.602156557297249</v>
      </c>
      <c r="E6" s="656">
        <v>0.17004773269689732</v>
      </c>
      <c r="F6" s="96"/>
      <c r="G6" s="307">
        <v>76294.615678592934</v>
      </c>
      <c r="H6" s="112"/>
      <c r="I6" s="102" t="e">
        <f>SUM(#REF!+G6+#REF!)-1037</f>
        <v>#REF!</v>
      </c>
      <c r="J6" s="307">
        <v>25630.268298864597</v>
      </c>
      <c r="K6" s="307">
        <v>0</v>
      </c>
      <c r="L6" s="307">
        <v>57382.340307402774</v>
      </c>
      <c r="M6" s="388"/>
      <c r="N6" s="307">
        <v>26260.679166666698</v>
      </c>
      <c r="O6" s="307">
        <v>0</v>
      </c>
      <c r="P6" s="307">
        <v>57086.461666666728</v>
      </c>
      <c r="Q6" s="389"/>
      <c r="R6" s="307">
        <v>166.99166666666667</v>
      </c>
      <c r="S6" s="307">
        <v>0</v>
      </c>
      <c r="T6" s="307">
        <v>2795.096</v>
      </c>
      <c r="U6" s="389"/>
      <c r="V6" s="307"/>
      <c r="W6" s="307"/>
      <c r="X6" s="307"/>
      <c r="Y6" s="389"/>
      <c r="Z6" s="324"/>
      <c r="AA6" s="324"/>
      <c r="AB6" s="324"/>
      <c r="AD6" s="307">
        <v>234.40000000000006</v>
      </c>
      <c r="AE6" s="307">
        <v>0</v>
      </c>
      <c r="AF6" s="307">
        <v>468.80000000000007</v>
      </c>
      <c r="AH6" s="307">
        <v>516.15</v>
      </c>
      <c r="AI6" s="307">
        <v>0</v>
      </c>
      <c r="AJ6" s="307">
        <v>1709.4399999999998</v>
      </c>
      <c r="AL6" s="307">
        <v>153.11666666666665</v>
      </c>
      <c r="AM6" s="307">
        <v>0</v>
      </c>
      <c r="AN6" s="307">
        <v>859.36500000000012</v>
      </c>
      <c r="AP6" s="674">
        <v>143.79166666666666</v>
      </c>
      <c r="AQ6" s="674">
        <v>0</v>
      </c>
      <c r="AR6" s="674">
        <v>22.46</v>
      </c>
      <c r="AT6" s="324">
        <v>1914.3486111111113</v>
      </c>
      <c r="AU6" s="324">
        <v>0</v>
      </c>
      <c r="AV6" s="324">
        <v>3348.6733333333332</v>
      </c>
      <c r="AX6" s="324">
        <v>0</v>
      </c>
      <c r="AY6" s="324">
        <v>0</v>
      </c>
      <c r="AZ6" s="324">
        <v>0</v>
      </c>
    </row>
    <row r="7" spans="1:52">
      <c r="A7" s="166">
        <f>'Input Data'!A6</f>
        <v>41946</v>
      </c>
      <c r="B7" s="654">
        <v>16.242336605642524</v>
      </c>
      <c r="C7" s="655">
        <v>0.13333333333333333</v>
      </c>
      <c r="D7" s="655">
        <v>13.851280303767894</v>
      </c>
      <c r="E7" s="656">
        <v>0.17004773269689732</v>
      </c>
      <c r="F7" s="96"/>
      <c r="G7" s="308">
        <v>87853.704973689746</v>
      </c>
      <c r="H7" s="112"/>
      <c r="I7" s="102" t="e">
        <f>SUM(#REF!+G7+#REF!)-1037</f>
        <v>#REF!</v>
      </c>
      <c r="J7" s="308">
        <v>27085.281171122653</v>
      </c>
      <c r="K7" s="308">
        <v>67165.315583331685</v>
      </c>
      <c r="L7" s="308">
        <v>0</v>
      </c>
      <c r="M7" s="388"/>
      <c r="N7" s="307">
        <v>28981.913148148178</v>
      </c>
      <c r="O7" s="307">
        <v>69201.616481481586</v>
      </c>
      <c r="P7" s="307">
        <v>0</v>
      </c>
      <c r="Q7" s="389"/>
      <c r="R7" s="307">
        <v>929.95000000000016</v>
      </c>
      <c r="S7" s="307">
        <v>4829.9087777777777</v>
      </c>
      <c r="T7" s="307">
        <v>0</v>
      </c>
      <c r="U7" s="389"/>
      <c r="V7" s="307"/>
      <c r="W7" s="307"/>
      <c r="X7" s="307"/>
      <c r="Y7" s="389"/>
      <c r="Z7" s="324"/>
      <c r="AA7" s="324"/>
      <c r="AB7" s="324"/>
      <c r="AD7" s="307">
        <v>234.40000000000003</v>
      </c>
      <c r="AE7" s="307">
        <v>717.68888888888853</v>
      </c>
      <c r="AF7" s="307">
        <v>0</v>
      </c>
      <c r="AH7" s="307">
        <v>610.05000000000007</v>
      </c>
      <c r="AI7" s="307">
        <v>2266.8200000000006</v>
      </c>
      <c r="AJ7" s="307">
        <v>0</v>
      </c>
      <c r="AL7" s="307">
        <v>78.288888888888891</v>
      </c>
      <c r="AM7" s="307">
        <v>1298.7738888888889</v>
      </c>
      <c r="AN7" s="307">
        <v>0</v>
      </c>
      <c r="AP7" s="674">
        <v>1.1277777777777778</v>
      </c>
      <c r="AQ7" s="674">
        <v>20.126666666666665</v>
      </c>
      <c r="AR7" s="674">
        <v>0</v>
      </c>
      <c r="AT7" s="324">
        <v>2094.513148148148</v>
      </c>
      <c r="AU7" s="324">
        <v>4833.3762962962974</v>
      </c>
      <c r="AV7" s="324">
        <v>0</v>
      </c>
      <c r="AX7" s="324">
        <v>0</v>
      </c>
      <c r="AY7" s="324">
        <v>0</v>
      </c>
      <c r="AZ7" s="324">
        <v>0</v>
      </c>
    </row>
    <row r="8" spans="1:52">
      <c r="A8" s="166">
        <f>'Input Data'!A7</f>
        <v>41947</v>
      </c>
      <c r="B8" s="654">
        <v>16.292159724064742</v>
      </c>
      <c r="C8" s="655">
        <v>0</v>
      </c>
      <c r="D8" s="655">
        <v>14.449177295297444</v>
      </c>
      <c r="E8" s="656">
        <v>0.17004773269689732</v>
      </c>
      <c r="F8" s="96"/>
      <c r="G8" s="308">
        <v>90013.197680882906</v>
      </c>
      <c r="H8" s="112"/>
      <c r="I8" s="102" t="e">
        <f>SUM(#REF!+G8+#REF!)-1037</f>
        <v>#REF!</v>
      </c>
      <c r="J8" s="308">
        <v>27085.281171122653</v>
      </c>
      <c r="K8" s="308">
        <v>67165.315583331685</v>
      </c>
      <c r="L8" s="308">
        <v>0</v>
      </c>
      <c r="M8" s="388"/>
      <c r="N8" s="307">
        <v>28981.913148148178</v>
      </c>
      <c r="O8" s="307">
        <v>69201.616481481586</v>
      </c>
      <c r="P8" s="307">
        <v>0</v>
      </c>
      <c r="Q8" s="389"/>
      <c r="R8" s="307">
        <v>929.95000000000016</v>
      </c>
      <c r="S8" s="307">
        <v>4829.9087777777777</v>
      </c>
      <c r="T8" s="307">
        <v>0</v>
      </c>
      <c r="U8" s="389"/>
      <c r="V8" s="307"/>
      <c r="W8" s="307"/>
      <c r="X8" s="307"/>
      <c r="Y8" s="389"/>
      <c r="Z8" s="324"/>
      <c r="AA8" s="324"/>
      <c r="AB8" s="324"/>
      <c r="AD8" s="307">
        <v>234.40000000000003</v>
      </c>
      <c r="AE8" s="307">
        <v>717.68888888888853</v>
      </c>
      <c r="AF8" s="307">
        <v>0</v>
      </c>
      <c r="AH8" s="307">
        <v>610.05000000000007</v>
      </c>
      <c r="AI8" s="307">
        <v>2266.8200000000006</v>
      </c>
      <c r="AJ8" s="307">
        <v>0</v>
      </c>
      <c r="AL8" s="307">
        <v>78.288888888888891</v>
      </c>
      <c r="AM8" s="307">
        <v>1298.7738888888889</v>
      </c>
      <c r="AN8" s="307">
        <v>0</v>
      </c>
      <c r="AP8" s="674">
        <v>1.1277777777777778</v>
      </c>
      <c r="AQ8" s="674">
        <v>20.126666666666665</v>
      </c>
      <c r="AR8" s="674">
        <v>0</v>
      </c>
      <c r="AT8" s="324">
        <v>2094.513148148148</v>
      </c>
      <c r="AU8" s="324">
        <v>4833.3762962962974</v>
      </c>
      <c r="AV8" s="324">
        <v>0</v>
      </c>
      <c r="AX8" s="324">
        <v>0</v>
      </c>
      <c r="AY8" s="324">
        <v>0</v>
      </c>
      <c r="AZ8" s="324">
        <v>0</v>
      </c>
    </row>
    <row r="9" spans="1:52">
      <c r="A9" s="166">
        <f>'Input Data'!A8</f>
        <v>41948</v>
      </c>
      <c r="B9" s="654">
        <v>16.640921553020256</v>
      </c>
      <c r="C9" s="655">
        <v>0</v>
      </c>
      <c r="D9" s="655">
        <v>14.797950540356346</v>
      </c>
      <c r="E9" s="656">
        <v>0.1133651551312649</v>
      </c>
      <c r="F9" s="96"/>
      <c r="G9" s="308">
        <v>90527.382637702263</v>
      </c>
      <c r="H9" s="112"/>
      <c r="I9" s="102" t="e">
        <f>SUM(#REF!+G9+#REF!)-1037</f>
        <v>#REF!</v>
      </c>
      <c r="J9" s="308">
        <v>27085.281171122653</v>
      </c>
      <c r="K9" s="308">
        <v>67165.315583331685</v>
      </c>
      <c r="L9" s="308">
        <v>0</v>
      </c>
      <c r="M9" s="388"/>
      <c r="N9" s="307">
        <v>28981.913148148178</v>
      </c>
      <c r="O9" s="307">
        <v>69201.616481481586</v>
      </c>
      <c r="P9" s="307">
        <v>0</v>
      </c>
      <c r="Q9" s="389"/>
      <c r="R9" s="307">
        <v>929.95000000000016</v>
      </c>
      <c r="S9" s="307">
        <v>4829.9087777777777</v>
      </c>
      <c r="T9" s="307">
        <v>0</v>
      </c>
      <c r="U9" s="389"/>
      <c r="V9" s="307"/>
      <c r="W9" s="307"/>
      <c r="X9" s="307"/>
      <c r="Y9" s="389"/>
      <c r="Z9" s="324"/>
      <c r="AA9" s="324"/>
      <c r="AB9" s="324"/>
      <c r="AD9" s="307">
        <v>234.40000000000003</v>
      </c>
      <c r="AE9" s="307">
        <v>717.68888888888853</v>
      </c>
      <c r="AF9" s="307">
        <v>0</v>
      </c>
      <c r="AH9" s="307">
        <v>610.05000000000007</v>
      </c>
      <c r="AI9" s="307">
        <v>2266.8200000000006</v>
      </c>
      <c r="AJ9" s="307">
        <v>0</v>
      </c>
      <c r="AL9" s="307">
        <v>78.288888888888891</v>
      </c>
      <c r="AM9" s="307">
        <v>1298.7738888888889</v>
      </c>
      <c r="AN9" s="307">
        <v>0</v>
      </c>
      <c r="AP9" s="674">
        <v>1.1277777777777778</v>
      </c>
      <c r="AQ9" s="674">
        <v>20.126666666666665</v>
      </c>
      <c r="AR9" s="674">
        <v>0</v>
      </c>
      <c r="AT9" s="324">
        <v>2094.513148148148</v>
      </c>
      <c r="AU9" s="324">
        <v>4833.3762962962974</v>
      </c>
      <c r="AV9" s="324">
        <v>0</v>
      </c>
      <c r="AX9" s="324">
        <v>0</v>
      </c>
      <c r="AY9" s="324">
        <v>0</v>
      </c>
      <c r="AZ9" s="324">
        <v>0</v>
      </c>
    </row>
    <row r="10" spans="1:52">
      <c r="A10" s="166">
        <f>'Input Data'!A9</f>
        <v>41949</v>
      </c>
      <c r="B10" s="654">
        <v>16.790390908286906</v>
      </c>
      <c r="C10" s="655">
        <v>0</v>
      </c>
      <c r="D10" s="655">
        <v>14.897600038944605</v>
      </c>
      <c r="E10" s="656">
        <v>0.1133651551312649</v>
      </c>
      <c r="F10" s="96"/>
      <c r="G10" s="308">
        <v>90958.297824827125</v>
      </c>
      <c r="H10" s="112"/>
      <c r="I10" s="102" t="e">
        <f>SUM(#REF!+G10+#REF!)-1037</f>
        <v>#REF!</v>
      </c>
      <c r="J10" s="308">
        <v>27085.281171122653</v>
      </c>
      <c r="K10" s="308">
        <v>67165.315583331685</v>
      </c>
      <c r="L10" s="308">
        <v>0</v>
      </c>
      <c r="M10" s="388"/>
      <c r="N10" s="307">
        <v>28981.913148148178</v>
      </c>
      <c r="O10" s="307">
        <v>69201.616481481586</v>
      </c>
      <c r="P10" s="307">
        <v>0</v>
      </c>
      <c r="Q10" s="389"/>
      <c r="R10" s="307">
        <v>929.95000000000016</v>
      </c>
      <c r="S10" s="307">
        <v>4829.9087777777777</v>
      </c>
      <c r="T10" s="307">
        <v>0</v>
      </c>
      <c r="U10" s="389"/>
      <c r="V10" s="307"/>
      <c r="W10" s="307"/>
      <c r="X10" s="307"/>
      <c r="Y10" s="389"/>
      <c r="Z10" s="324"/>
      <c r="AA10" s="324"/>
      <c r="AB10" s="324"/>
      <c r="AD10" s="307">
        <v>234.40000000000003</v>
      </c>
      <c r="AE10" s="307">
        <v>717.68888888888853</v>
      </c>
      <c r="AF10" s="307">
        <v>0</v>
      </c>
      <c r="AH10" s="307">
        <v>610.05000000000007</v>
      </c>
      <c r="AI10" s="307">
        <v>2266.8200000000006</v>
      </c>
      <c r="AJ10" s="307">
        <v>0</v>
      </c>
      <c r="AL10" s="307">
        <v>78.288888888888891</v>
      </c>
      <c r="AM10" s="307">
        <v>1298.7738888888889</v>
      </c>
      <c r="AN10" s="307">
        <v>0</v>
      </c>
      <c r="AP10" s="674">
        <v>1.1277777777777778</v>
      </c>
      <c r="AQ10" s="674">
        <v>20.126666666666665</v>
      </c>
      <c r="AR10" s="674">
        <v>0</v>
      </c>
      <c r="AT10" s="324">
        <v>2094.513148148148</v>
      </c>
      <c r="AU10" s="324">
        <v>4833.3762962962974</v>
      </c>
      <c r="AV10" s="324">
        <v>0</v>
      </c>
      <c r="AX10" s="324">
        <v>0</v>
      </c>
      <c r="AY10" s="324">
        <v>0</v>
      </c>
      <c r="AZ10" s="324">
        <v>0</v>
      </c>
    </row>
    <row r="11" spans="1:52">
      <c r="A11" s="166">
        <f>'Input Data'!A10</f>
        <v>41950</v>
      </c>
      <c r="B11" s="654">
        <v>16.989683381975773</v>
      </c>
      <c r="C11" s="655">
        <v>0</v>
      </c>
      <c r="D11" s="655">
        <v>15.096899036121123</v>
      </c>
      <c r="E11" s="656">
        <v>5.9665871121718367E-2</v>
      </c>
      <c r="F11" s="96"/>
      <c r="G11" s="308">
        <v>89360.802877482085</v>
      </c>
      <c r="H11" s="112"/>
      <c r="I11" s="102" t="e">
        <f>SUM(#REF!+G11+#REF!)-1037</f>
        <v>#REF!</v>
      </c>
      <c r="J11" s="308">
        <v>27085.281171122653</v>
      </c>
      <c r="K11" s="308">
        <v>67165.315583331685</v>
      </c>
      <c r="L11" s="308">
        <v>0</v>
      </c>
      <c r="M11" s="388"/>
      <c r="N11" s="307">
        <v>28981.913148148178</v>
      </c>
      <c r="O11" s="307">
        <v>69201.616481481586</v>
      </c>
      <c r="P11" s="307">
        <v>0</v>
      </c>
      <c r="Q11" s="389"/>
      <c r="R11" s="307">
        <v>929.95000000000016</v>
      </c>
      <c r="S11" s="307">
        <v>4829.9087777777777</v>
      </c>
      <c r="T11" s="307">
        <v>0</v>
      </c>
      <c r="U11" s="389"/>
      <c r="V11" s="307"/>
      <c r="W11" s="307"/>
      <c r="X11" s="307"/>
      <c r="Y11" s="389"/>
      <c r="Z11" s="324"/>
      <c r="AA11" s="324"/>
      <c r="AB11" s="324"/>
      <c r="AD11" s="307">
        <v>234.40000000000003</v>
      </c>
      <c r="AE11" s="307">
        <v>717.68888888888853</v>
      </c>
      <c r="AF11" s="307">
        <v>0</v>
      </c>
      <c r="AH11" s="307">
        <v>610.05000000000007</v>
      </c>
      <c r="AI11" s="307">
        <v>2266.8200000000006</v>
      </c>
      <c r="AJ11" s="307">
        <v>0</v>
      </c>
      <c r="AL11" s="307">
        <v>78.288888888888891</v>
      </c>
      <c r="AM11" s="307">
        <v>1298.7738888888889</v>
      </c>
      <c r="AN11" s="307">
        <v>0</v>
      </c>
      <c r="AP11" s="674">
        <v>1.1277777777777778</v>
      </c>
      <c r="AQ11" s="674">
        <v>20.126666666666665</v>
      </c>
      <c r="AR11" s="674">
        <v>0</v>
      </c>
      <c r="AT11" s="324">
        <v>2094.513148148148</v>
      </c>
      <c r="AU11" s="324">
        <v>4833.3762962962974</v>
      </c>
      <c r="AV11" s="324">
        <v>0</v>
      </c>
      <c r="AX11" s="324">
        <v>0</v>
      </c>
      <c r="AY11" s="324">
        <v>0</v>
      </c>
      <c r="AZ11" s="324">
        <v>0</v>
      </c>
    </row>
    <row r="12" spans="1:52">
      <c r="A12" s="166">
        <f>'Input Data'!A11</f>
        <v>41951</v>
      </c>
      <c r="B12" s="654">
        <v>17.438091447775719</v>
      </c>
      <c r="C12" s="655">
        <v>0</v>
      </c>
      <c r="D12" s="655">
        <v>15.096899036121123</v>
      </c>
      <c r="E12" s="656">
        <v>5.6682577565632448E-2</v>
      </c>
      <c r="F12" s="96"/>
      <c r="G12" s="308">
        <v>81011.618279048853</v>
      </c>
      <c r="H12" s="112"/>
      <c r="I12" s="102"/>
      <c r="J12" s="308">
        <v>25630.268298864597</v>
      </c>
      <c r="K12" s="308">
        <v>0</v>
      </c>
      <c r="L12" s="308">
        <v>57382.340307402774</v>
      </c>
      <c r="M12" s="388"/>
      <c r="N12" s="307">
        <v>26260.679166666698</v>
      </c>
      <c r="O12" s="307">
        <v>0</v>
      </c>
      <c r="P12" s="307">
        <v>57086.461666666728</v>
      </c>
      <c r="Q12" s="389"/>
      <c r="R12" s="307">
        <v>166.99166666666667</v>
      </c>
      <c r="S12" s="307">
        <v>0</v>
      </c>
      <c r="T12" s="307">
        <v>2795.096</v>
      </c>
      <c r="U12" s="389"/>
      <c r="V12" s="307"/>
      <c r="W12" s="307"/>
      <c r="X12" s="307"/>
      <c r="Y12" s="389"/>
      <c r="Z12" s="324"/>
      <c r="AA12" s="324"/>
      <c r="AB12" s="324"/>
      <c r="AD12" s="307">
        <v>234.40000000000006</v>
      </c>
      <c r="AE12" s="307">
        <v>0</v>
      </c>
      <c r="AF12" s="307">
        <v>468.80000000000007</v>
      </c>
      <c r="AH12" s="307">
        <v>516.15</v>
      </c>
      <c r="AI12" s="307">
        <v>0</v>
      </c>
      <c r="AJ12" s="307">
        <v>1709.4399999999998</v>
      </c>
      <c r="AL12" s="307">
        <v>153.11666666666665</v>
      </c>
      <c r="AM12" s="307">
        <v>0</v>
      </c>
      <c r="AN12" s="307">
        <v>859.36500000000012</v>
      </c>
      <c r="AP12" s="674">
        <v>143.79166666666666</v>
      </c>
      <c r="AQ12" s="674">
        <v>0</v>
      </c>
      <c r="AR12" s="674">
        <v>22.46</v>
      </c>
      <c r="AT12" s="324">
        <v>1914.3486111111113</v>
      </c>
      <c r="AU12" s="324">
        <v>0</v>
      </c>
      <c r="AV12" s="324">
        <v>3348.6733333333332</v>
      </c>
      <c r="AX12" s="324">
        <v>0</v>
      </c>
      <c r="AY12" s="324">
        <v>0</v>
      </c>
      <c r="AZ12" s="324">
        <v>0</v>
      </c>
    </row>
    <row r="13" spans="1:52">
      <c r="A13" s="166">
        <f>'Input Data'!A12</f>
        <v>41952</v>
      </c>
      <c r="B13" s="654">
        <v>17.487914566197933</v>
      </c>
      <c r="C13" s="655">
        <v>0</v>
      </c>
      <c r="D13" s="655">
        <v>15.346022782591767</v>
      </c>
      <c r="E13" s="656">
        <v>5.6682577565632448E-2</v>
      </c>
      <c r="F13" s="96"/>
      <c r="G13" s="308">
        <v>79470.655571441021</v>
      </c>
      <c r="H13" s="112"/>
      <c r="I13" s="102"/>
      <c r="J13" s="308">
        <v>25630.268298864597</v>
      </c>
      <c r="K13" s="308">
        <v>0</v>
      </c>
      <c r="L13" s="308">
        <v>57382.340307402774</v>
      </c>
      <c r="M13" s="388"/>
      <c r="N13" s="307">
        <v>26260.679166666698</v>
      </c>
      <c r="O13" s="307">
        <v>0</v>
      </c>
      <c r="P13" s="307">
        <v>57086.461666666728</v>
      </c>
      <c r="Q13" s="389"/>
      <c r="R13" s="307">
        <v>166.99166666666667</v>
      </c>
      <c r="S13" s="307">
        <v>0</v>
      </c>
      <c r="T13" s="307">
        <v>2795.096</v>
      </c>
      <c r="U13" s="389"/>
      <c r="V13" s="307"/>
      <c r="W13" s="307"/>
      <c r="X13" s="307"/>
      <c r="Y13" s="389"/>
      <c r="Z13" s="324"/>
      <c r="AA13" s="324"/>
      <c r="AB13" s="324"/>
      <c r="AD13" s="307">
        <v>234.40000000000006</v>
      </c>
      <c r="AE13" s="307">
        <v>0</v>
      </c>
      <c r="AF13" s="307">
        <v>468.80000000000007</v>
      </c>
      <c r="AH13" s="307">
        <v>516.15</v>
      </c>
      <c r="AI13" s="307">
        <v>0</v>
      </c>
      <c r="AJ13" s="307">
        <v>1709.4399999999998</v>
      </c>
      <c r="AL13" s="307">
        <v>153.11666666666665</v>
      </c>
      <c r="AM13" s="307">
        <v>0</v>
      </c>
      <c r="AN13" s="307">
        <v>859.36500000000012</v>
      </c>
      <c r="AP13" s="674">
        <v>143.79166666666666</v>
      </c>
      <c r="AQ13" s="674">
        <v>0</v>
      </c>
      <c r="AR13" s="674">
        <v>22.46</v>
      </c>
      <c r="AT13" s="324">
        <v>1914.3486111111113</v>
      </c>
      <c r="AU13" s="324">
        <v>0</v>
      </c>
      <c r="AV13" s="324">
        <v>3348.6733333333332</v>
      </c>
      <c r="AX13" s="324">
        <v>0</v>
      </c>
      <c r="AY13" s="324">
        <v>0</v>
      </c>
      <c r="AZ13" s="324">
        <v>0</v>
      </c>
    </row>
    <row r="14" spans="1:52">
      <c r="A14" s="166">
        <f>'Input Data'!A13</f>
        <v>41953</v>
      </c>
      <c r="B14" s="654">
        <v>17.587560803042365</v>
      </c>
      <c r="C14" s="655">
        <v>0</v>
      </c>
      <c r="D14" s="655">
        <v>15.694796027650671</v>
      </c>
      <c r="E14" s="656">
        <v>5.6682577565632448E-2</v>
      </c>
      <c r="F14" s="96"/>
      <c r="G14" s="308">
        <v>91014.453079502418</v>
      </c>
      <c r="H14" s="112"/>
      <c r="I14" s="102"/>
      <c r="J14" s="308">
        <v>27085.281171122653</v>
      </c>
      <c r="K14" s="308">
        <v>67165.315583331685</v>
      </c>
      <c r="L14" s="308">
        <v>0</v>
      </c>
      <c r="M14" s="388"/>
      <c r="N14" s="307">
        <v>28981.913148148178</v>
      </c>
      <c r="O14" s="307">
        <v>69201.616481481586</v>
      </c>
      <c r="P14" s="307">
        <v>0</v>
      </c>
      <c r="Q14" s="389"/>
      <c r="R14" s="307">
        <v>929.95000000000016</v>
      </c>
      <c r="S14" s="307">
        <v>4829.9087777777777</v>
      </c>
      <c r="T14" s="307">
        <v>0</v>
      </c>
      <c r="U14" s="389"/>
      <c r="V14" s="307"/>
      <c r="W14" s="307"/>
      <c r="X14" s="307"/>
      <c r="Y14" s="389"/>
      <c r="Z14" s="324"/>
      <c r="AA14" s="324"/>
      <c r="AB14" s="324"/>
      <c r="AD14" s="307">
        <v>234.40000000000003</v>
      </c>
      <c r="AE14" s="307">
        <v>717.68888888888853</v>
      </c>
      <c r="AF14" s="307">
        <v>0</v>
      </c>
      <c r="AH14" s="307">
        <v>610.05000000000007</v>
      </c>
      <c r="AI14" s="307">
        <v>2266.8200000000006</v>
      </c>
      <c r="AJ14" s="307">
        <v>0</v>
      </c>
      <c r="AL14" s="307">
        <v>78.288888888888891</v>
      </c>
      <c r="AM14" s="307">
        <v>1298.7738888888889</v>
      </c>
      <c r="AN14" s="307">
        <v>0</v>
      </c>
      <c r="AP14" s="674">
        <v>1.1277777777777778</v>
      </c>
      <c r="AQ14" s="674">
        <v>20.126666666666665</v>
      </c>
      <c r="AR14" s="674">
        <v>0</v>
      </c>
      <c r="AT14" s="324">
        <v>2094.513148148148</v>
      </c>
      <c r="AU14" s="324">
        <v>4833.3762962962974</v>
      </c>
      <c r="AV14" s="324">
        <v>0</v>
      </c>
      <c r="AX14" s="324">
        <v>0</v>
      </c>
      <c r="AY14" s="324">
        <v>0</v>
      </c>
      <c r="AZ14" s="324">
        <v>0</v>
      </c>
    </row>
    <row r="15" spans="1:52">
      <c r="A15" s="166">
        <f>'Input Data'!A14</f>
        <v>41954</v>
      </c>
      <c r="B15" s="654">
        <v>17.737030158309015</v>
      </c>
      <c r="C15" s="655">
        <v>0</v>
      </c>
      <c r="D15" s="655">
        <v>15.694796027650671</v>
      </c>
      <c r="E15" s="656">
        <v>5.6682577565632448E-2</v>
      </c>
      <c r="F15" s="96"/>
      <c r="G15" s="308">
        <v>93210.212862650355</v>
      </c>
      <c r="H15" s="112"/>
      <c r="I15" s="102"/>
      <c r="J15" s="308">
        <v>27085.281171122653</v>
      </c>
      <c r="K15" s="308">
        <v>67165.315583331685</v>
      </c>
      <c r="L15" s="308">
        <v>0</v>
      </c>
      <c r="M15" s="388"/>
      <c r="N15" s="307">
        <v>28981.913148148178</v>
      </c>
      <c r="O15" s="307">
        <v>69201.616481481586</v>
      </c>
      <c r="P15" s="307">
        <v>0</v>
      </c>
      <c r="Q15" s="389"/>
      <c r="R15" s="307">
        <v>929.95000000000016</v>
      </c>
      <c r="S15" s="307">
        <v>4829.9087777777777</v>
      </c>
      <c r="T15" s="307">
        <v>0</v>
      </c>
      <c r="U15" s="389"/>
      <c r="V15" s="307"/>
      <c r="W15" s="307"/>
      <c r="X15" s="307"/>
      <c r="Y15" s="389"/>
      <c r="Z15" s="324"/>
      <c r="AA15" s="324"/>
      <c r="AB15" s="324"/>
      <c r="AD15" s="307">
        <v>234.40000000000003</v>
      </c>
      <c r="AE15" s="307">
        <v>717.68888888888853</v>
      </c>
      <c r="AF15" s="307">
        <v>0</v>
      </c>
      <c r="AH15" s="307">
        <v>610.05000000000007</v>
      </c>
      <c r="AI15" s="307">
        <v>2266.8200000000006</v>
      </c>
      <c r="AJ15" s="307">
        <v>0</v>
      </c>
      <c r="AL15" s="307">
        <v>78.288888888888891</v>
      </c>
      <c r="AM15" s="307">
        <v>1298.7738888888889</v>
      </c>
      <c r="AN15" s="307">
        <v>0</v>
      </c>
      <c r="AP15" s="674">
        <v>1.1277777777777778</v>
      </c>
      <c r="AQ15" s="674">
        <v>20.126666666666665</v>
      </c>
      <c r="AR15" s="674">
        <v>0</v>
      </c>
      <c r="AT15" s="324">
        <v>2094.513148148148</v>
      </c>
      <c r="AU15" s="324">
        <v>4833.3762962962974</v>
      </c>
      <c r="AV15" s="324">
        <v>0</v>
      </c>
      <c r="AX15" s="324">
        <v>0</v>
      </c>
      <c r="AY15" s="324">
        <v>0</v>
      </c>
      <c r="AZ15" s="324">
        <v>0</v>
      </c>
    </row>
    <row r="16" spans="1:52">
      <c r="A16" s="166">
        <f>'Input Data'!A15</f>
        <v>41955</v>
      </c>
      <c r="B16" s="654">
        <v>17.836676395153447</v>
      </c>
      <c r="C16" s="655">
        <v>0</v>
      </c>
      <c r="D16" s="655">
        <v>15.943919774121317</v>
      </c>
      <c r="E16" s="656">
        <v>5.6682577565632448E-2</v>
      </c>
      <c r="F16" s="96"/>
      <c r="G16" s="308">
        <v>93640.70759138705</v>
      </c>
      <c r="H16" s="112"/>
      <c r="I16" s="102"/>
      <c r="J16" s="308">
        <v>27085.281171122653</v>
      </c>
      <c r="K16" s="308">
        <v>67165.315583331685</v>
      </c>
      <c r="L16" s="308">
        <v>0</v>
      </c>
      <c r="M16" s="388"/>
      <c r="N16" s="307">
        <v>28981.913148148178</v>
      </c>
      <c r="O16" s="307">
        <v>69201.616481481586</v>
      </c>
      <c r="P16" s="307">
        <v>0</v>
      </c>
      <c r="Q16" s="389"/>
      <c r="R16" s="307">
        <v>929.95000000000016</v>
      </c>
      <c r="S16" s="307">
        <v>4829.9087777777777</v>
      </c>
      <c r="T16" s="307">
        <v>0</v>
      </c>
      <c r="U16" s="389"/>
      <c r="V16" s="307"/>
      <c r="W16" s="307"/>
      <c r="X16" s="307"/>
      <c r="Y16" s="389"/>
      <c r="Z16" s="324"/>
      <c r="AA16" s="324"/>
      <c r="AB16" s="324"/>
      <c r="AD16" s="307">
        <v>234.40000000000003</v>
      </c>
      <c r="AE16" s="307">
        <v>717.68888888888853</v>
      </c>
      <c r="AF16" s="307">
        <v>0</v>
      </c>
      <c r="AH16" s="307">
        <v>610.05000000000007</v>
      </c>
      <c r="AI16" s="307">
        <v>2266.8200000000006</v>
      </c>
      <c r="AJ16" s="307">
        <v>0</v>
      </c>
      <c r="AL16" s="307">
        <v>78.288888888888891</v>
      </c>
      <c r="AM16" s="307">
        <v>1298.7738888888889</v>
      </c>
      <c r="AN16" s="307">
        <v>0</v>
      </c>
      <c r="AP16" s="674">
        <v>1.1277777777777778</v>
      </c>
      <c r="AQ16" s="674">
        <v>20.126666666666665</v>
      </c>
      <c r="AR16" s="674">
        <v>0</v>
      </c>
      <c r="AT16" s="324">
        <v>2094.513148148148</v>
      </c>
      <c r="AU16" s="324">
        <v>4833.3762962962974</v>
      </c>
      <c r="AV16" s="324">
        <v>0</v>
      </c>
      <c r="AX16" s="324">
        <v>0</v>
      </c>
      <c r="AY16" s="324">
        <v>0</v>
      </c>
      <c r="AZ16" s="324">
        <v>0</v>
      </c>
    </row>
    <row r="17" spans="1:52">
      <c r="A17" s="166">
        <f>'Input Data'!A16</f>
        <v>41956</v>
      </c>
      <c r="B17" s="654">
        <v>18.035968868842314</v>
      </c>
      <c r="C17" s="655">
        <v>0</v>
      </c>
      <c r="D17" s="655">
        <v>15.993744523415447</v>
      </c>
      <c r="E17" s="656">
        <v>0</v>
      </c>
      <c r="F17" s="96"/>
      <c r="G17" s="308">
        <v>94087.321901102085</v>
      </c>
      <c r="H17" s="112"/>
      <c r="I17" s="102"/>
      <c r="J17" s="308">
        <v>27085.281171122653</v>
      </c>
      <c r="K17" s="308">
        <v>67165.315583331685</v>
      </c>
      <c r="L17" s="308">
        <v>0</v>
      </c>
      <c r="M17" s="388"/>
      <c r="N17" s="307">
        <v>28981.913148148178</v>
      </c>
      <c r="O17" s="307">
        <v>69201.616481481586</v>
      </c>
      <c r="P17" s="307">
        <v>0</v>
      </c>
      <c r="Q17" s="389"/>
      <c r="R17" s="307">
        <v>929.95000000000016</v>
      </c>
      <c r="S17" s="307">
        <v>4829.9087777777777</v>
      </c>
      <c r="T17" s="307">
        <v>0</v>
      </c>
      <c r="U17" s="389"/>
      <c r="V17" s="307"/>
      <c r="W17" s="307"/>
      <c r="X17" s="307"/>
      <c r="Y17" s="389"/>
      <c r="Z17" s="324"/>
      <c r="AA17" s="324"/>
      <c r="AB17" s="324"/>
      <c r="AD17" s="307">
        <v>234.40000000000003</v>
      </c>
      <c r="AE17" s="307">
        <v>717.68888888888853</v>
      </c>
      <c r="AF17" s="307">
        <v>0</v>
      </c>
      <c r="AH17" s="307">
        <v>610.05000000000007</v>
      </c>
      <c r="AI17" s="307">
        <v>2266.8200000000006</v>
      </c>
      <c r="AJ17" s="307">
        <v>0</v>
      </c>
      <c r="AL17" s="307">
        <v>78.288888888888891</v>
      </c>
      <c r="AM17" s="307">
        <v>1298.7738888888889</v>
      </c>
      <c r="AN17" s="307">
        <v>0</v>
      </c>
      <c r="AP17" s="674">
        <v>1.1277777777777778</v>
      </c>
      <c r="AQ17" s="674">
        <v>20.126666666666665</v>
      </c>
      <c r="AR17" s="674">
        <v>0</v>
      </c>
      <c r="AT17" s="324">
        <v>2094.513148148148</v>
      </c>
      <c r="AU17" s="324">
        <v>4833.3762962962974</v>
      </c>
      <c r="AV17" s="324">
        <v>0</v>
      </c>
      <c r="AX17" s="324">
        <v>0</v>
      </c>
      <c r="AY17" s="324">
        <v>0</v>
      </c>
      <c r="AZ17" s="324">
        <v>0</v>
      </c>
    </row>
    <row r="18" spans="1:52">
      <c r="A18" s="166">
        <f>'Input Data'!A17</f>
        <v>41957</v>
      </c>
      <c r="B18" s="654">
        <v>18.085791987264528</v>
      </c>
      <c r="C18" s="655">
        <v>0</v>
      </c>
      <c r="D18" s="655">
        <v>16.043569272709576</v>
      </c>
      <c r="E18" s="656">
        <v>0</v>
      </c>
      <c r="F18" s="96"/>
      <c r="G18" s="308">
        <v>92372.942166222172</v>
      </c>
      <c r="H18" s="112"/>
      <c r="I18" s="102"/>
      <c r="J18" s="308">
        <v>27085.281171122653</v>
      </c>
      <c r="K18" s="308">
        <v>67165.315583331685</v>
      </c>
      <c r="L18" s="308">
        <v>0</v>
      </c>
      <c r="M18" s="388"/>
      <c r="N18" s="307">
        <v>28981.913148148178</v>
      </c>
      <c r="O18" s="307">
        <v>69201.616481481586</v>
      </c>
      <c r="P18" s="307">
        <v>0</v>
      </c>
      <c r="Q18" s="389"/>
      <c r="R18" s="307">
        <v>929.95000000000016</v>
      </c>
      <c r="S18" s="307">
        <v>4829.9087777777777</v>
      </c>
      <c r="T18" s="307">
        <v>0</v>
      </c>
      <c r="U18" s="389"/>
      <c r="V18" s="307"/>
      <c r="W18" s="307"/>
      <c r="X18" s="307"/>
      <c r="Y18" s="389"/>
      <c r="Z18" s="324"/>
      <c r="AA18" s="324"/>
      <c r="AB18" s="324"/>
      <c r="AD18" s="307">
        <v>234.40000000000003</v>
      </c>
      <c r="AE18" s="307">
        <v>717.68888888888853</v>
      </c>
      <c r="AF18" s="307">
        <v>0</v>
      </c>
      <c r="AH18" s="307">
        <v>610.05000000000007</v>
      </c>
      <c r="AI18" s="307">
        <v>2266.8200000000006</v>
      </c>
      <c r="AJ18" s="307">
        <v>0</v>
      </c>
      <c r="AL18" s="307">
        <v>78.288888888888891</v>
      </c>
      <c r="AM18" s="307">
        <v>1298.7738888888889</v>
      </c>
      <c r="AN18" s="307">
        <v>0</v>
      </c>
      <c r="AP18" s="674">
        <v>1.1277777777777778</v>
      </c>
      <c r="AQ18" s="674">
        <v>20.126666666666665</v>
      </c>
      <c r="AR18" s="674">
        <v>0</v>
      </c>
      <c r="AT18" s="324">
        <v>2094.513148148148</v>
      </c>
      <c r="AU18" s="324">
        <v>4833.3762962962974</v>
      </c>
      <c r="AV18" s="324">
        <v>0</v>
      </c>
      <c r="AX18" s="324">
        <v>0</v>
      </c>
      <c r="AY18" s="324">
        <v>0</v>
      </c>
      <c r="AZ18" s="324">
        <v>0</v>
      </c>
    </row>
    <row r="19" spans="1:52">
      <c r="A19" s="166">
        <f>'Input Data'!A18</f>
        <v>41958</v>
      </c>
      <c r="B19" s="654">
        <v>18.085791987264528</v>
      </c>
      <c r="C19" s="655">
        <v>0</v>
      </c>
      <c r="D19" s="655">
        <v>16.043569272709576</v>
      </c>
      <c r="E19" s="656">
        <v>0</v>
      </c>
      <c r="F19" s="96"/>
      <c r="G19" s="308">
        <v>83627.378561375619</v>
      </c>
      <c r="H19" s="112"/>
      <c r="I19" s="102"/>
      <c r="J19" s="308">
        <v>25630.268298864597</v>
      </c>
      <c r="K19" s="308">
        <v>0</v>
      </c>
      <c r="L19" s="308">
        <v>57382.340307402774</v>
      </c>
      <c r="M19" s="388"/>
      <c r="N19" s="307">
        <v>26260.679166666698</v>
      </c>
      <c r="O19" s="307">
        <v>0</v>
      </c>
      <c r="P19" s="307">
        <v>57086.461666666728</v>
      </c>
      <c r="Q19" s="389"/>
      <c r="R19" s="307">
        <v>166.99166666666667</v>
      </c>
      <c r="S19" s="307">
        <v>0</v>
      </c>
      <c r="T19" s="307">
        <v>2795.096</v>
      </c>
      <c r="U19" s="389"/>
      <c r="V19" s="307"/>
      <c r="W19" s="307"/>
      <c r="X19" s="307"/>
      <c r="Y19" s="389"/>
      <c r="Z19" s="324"/>
      <c r="AA19" s="324"/>
      <c r="AB19" s="324"/>
      <c r="AD19" s="307">
        <v>234.40000000000006</v>
      </c>
      <c r="AE19" s="307">
        <v>0</v>
      </c>
      <c r="AF19" s="307">
        <v>468.80000000000007</v>
      </c>
      <c r="AH19" s="307">
        <v>516.15</v>
      </c>
      <c r="AI19" s="307">
        <v>0</v>
      </c>
      <c r="AJ19" s="307">
        <v>1709.4399999999998</v>
      </c>
      <c r="AL19" s="307">
        <v>153.11666666666665</v>
      </c>
      <c r="AM19" s="307">
        <v>0</v>
      </c>
      <c r="AN19" s="307">
        <v>859.36500000000012</v>
      </c>
      <c r="AP19" s="674">
        <v>143.79166666666666</v>
      </c>
      <c r="AQ19" s="674">
        <v>0</v>
      </c>
      <c r="AR19" s="674">
        <v>22.46</v>
      </c>
      <c r="AT19" s="324">
        <v>1914.3486111111113</v>
      </c>
      <c r="AU19" s="324">
        <v>0</v>
      </c>
      <c r="AV19" s="324">
        <v>3348.6733333333332</v>
      </c>
      <c r="AX19" s="324">
        <v>0</v>
      </c>
      <c r="AY19" s="324">
        <v>0</v>
      </c>
      <c r="AZ19" s="324">
        <v>0</v>
      </c>
    </row>
    <row r="20" spans="1:52">
      <c r="A20" s="166">
        <f>'Input Data'!A19</f>
        <v>41959</v>
      </c>
      <c r="B20" s="654">
        <v>18.285084460953396</v>
      </c>
      <c r="C20" s="655">
        <v>0</v>
      </c>
      <c r="D20" s="655">
        <v>16.39234251776848</v>
      </c>
      <c r="E20" s="656">
        <v>0</v>
      </c>
      <c r="F20" s="96"/>
      <c r="G20" s="308">
        <v>82092.581502078145</v>
      </c>
      <c r="H20" s="112"/>
      <c r="I20" s="102"/>
      <c r="J20" s="308">
        <v>25630.268298864597</v>
      </c>
      <c r="K20" s="308">
        <v>0</v>
      </c>
      <c r="L20" s="308">
        <v>57382.340307402774</v>
      </c>
      <c r="M20" s="388"/>
      <c r="N20" s="307">
        <v>26260.679166666698</v>
      </c>
      <c r="O20" s="307">
        <v>0</v>
      </c>
      <c r="P20" s="307">
        <v>57086.461666666728</v>
      </c>
      <c r="Q20" s="389"/>
      <c r="R20" s="307">
        <v>166.99166666666667</v>
      </c>
      <c r="S20" s="307">
        <v>0</v>
      </c>
      <c r="T20" s="307">
        <v>2795.096</v>
      </c>
      <c r="U20" s="389"/>
      <c r="V20" s="307"/>
      <c r="W20" s="307"/>
      <c r="X20" s="307"/>
      <c r="Y20" s="389"/>
      <c r="Z20" s="324"/>
      <c r="AA20" s="324"/>
      <c r="AB20" s="324"/>
      <c r="AD20" s="307">
        <v>234.40000000000006</v>
      </c>
      <c r="AE20" s="307">
        <v>0</v>
      </c>
      <c r="AF20" s="307">
        <v>468.80000000000007</v>
      </c>
      <c r="AH20" s="307">
        <v>516.15</v>
      </c>
      <c r="AI20" s="307">
        <v>0</v>
      </c>
      <c r="AJ20" s="307">
        <v>1709.4399999999998</v>
      </c>
      <c r="AL20" s="307">
        <v>153.11666666666665</v>
      </c>
      <c r="AM20" s="307">
        <v>0</v>
      </c>
      <c r="AN20" s="307">
        <v>859.36500000000012</v>
      </c>
      <c r="AP20" s="674">
        <v>143.79166666666666</v>
      </c>
      <c r="AQ20" s="674">
        <v>0</v>
      </c>
      <c r="AR20" s="674">
        <v>22.46</v>
      </c>
      <c r="AT20" s="324">
        <v>1914.3486111111113</v>
      </c>
      <c r="AU20" s="324">
        <v>0</v>
      </c>
      <c r="AV20" s="324">
        <v>3348.6733333333332</v>
      </c>
      <c r="AX20" s="324">
        <v>0</v>
      </c>
      <c r="AY20" s="324">
        <v>0</v>
      </c>
      <c r="AZ20" s="324">
        <v>0</v>
      </c>
    </row>
    <row r="21" spans="1:52">
      <c r="A21" s="166">
        <f>'Input Data'!A20</f>
        <v>41960</v>
      </c>
      <c r="B21" s="654">
        <v>18.384730697797828</v>
      </c>
      <c r="C21" s="655">
        <v>0</v>
      </c>
      <c r="D21" s="655">
        <v>16.691291013533252</v>
      </c>
      <c r="E21" s="656">
        <v>0</v>
      </c>
      <c r="F21" s="96"/>
      <c r="G21" s="308">
        <v>93952.074754699468</v>
      </c>
      <c r="H21" s="112"/>
      <c r="I21" s="102"/>
      <c r="J21" s="308">
        <v>27085.281171122653</v>
      </c>
      <c r="K21" s="308">
        <v>67165.315583331685</v>
      </c>
      <c r="L21" s="308">
        <v>0</v>
      </c>
      <c r="M21" s="388"/>
      <c r="N21" s="307">
        <v>28981.913148148178</v>
      </c>
      <c r="O21" s="307">
        <v>69201.616481481586</v>
      </c>
      <c r="P21" s="307">
        <v>0</v>
      </c>
      <c r="Q21" s="389"/>
      <c r="R21" s="307">
        <v>929.95000000000016</v>
      </c>
      <c r="S21" s="307">
        <v>4829.9087777777777</v>
      </c>
      <c r="T21" s="307">
        <v>0</v>
      </c>
      <c r="U21" s="389"/>
      <c r="V21" s="307"/>
      <c r="W21" s="307"/>
      <c r="X21" s="307"/>
      <c r="Y21" s="389"/>
      <c r="Z21" s="324"/>
      <c r="AA21" s="324"/>
      <c r="AB21" s="324"/>
      <c r="AD21" s="307">
        <v>234.40000000000003</v>
      </c>
      <c r="AE21" s="307">
        <v>717.68888888888853</v>
      </c>
      <c r="AF21" s="307">
        <v>0</v>
      </c>
      <c r="AH21" s="307">
        <v>610.05000000000007</v>
      </c>
      <c r="AI21" s="307">
        <v>2266.8200000000006</v>
      </c>
      <c r="AJ21" s="307">
        <v>0</v>
      </c>
      <c r="AL21" s="307">
        <v>78.288888888888891</v>
      </c>
      <c r="AM21" s="307">
        <v>1298.7738888888889</v>
      </c>
      <c r="AN21" s="307">
        <v>0</v>
      </c>
      <c r="AP21" s="674">
        <v>1.1277777777777778</v>
      </c>
      <c r="AQ21" s="674">
        <v>20.126666666666665</v>
      </c>
      <c r="AR21" s="674">
        <v>0</v>
      </c>
      <c r="AT21" s="324">
        <v>2094.513148148148</v>
      </c>
      <c r="AU21" s="324">
        <v>4833.3762962962974</v>
      </c>
      <c r="AV21" s="324">
        <v>0</v>
      </c>
      <c r="AX21" s="324">
        <v>0</v>
      </c>
      <c r="AY21" s="324">
        <v>0</v>
      </c>
      <c r="AZ21" s="324">
        <v>0</v>
      </c>
    </row>
    <row r="22" spans="1:52">
      <c r="A22" s="166">
        <f>'Input Data'!A21</f>
        <v>41961</v>
      </c>
      <c r="B22" s="654">
        <v>18.932785000442209</v>
      </c>
      <c r="C22" s="655">
        <v>0</v>
      </c>
      <c r="D22" s="655">
        <v>17.438662252945193</v>
      </c>
      <c r="E22" s="656">
        <v>0</v>
      </c>
      <c r="F22" s="96"/>
      <c r="G22" s="308">
        <v>96399.870874105953</v>
      </c>
      <c r="H22" s="112"/>
      <c r="I22" s="102"/>
      <c r="J22" s="308">
        <v>27085.281171122653</v>
      </c>
      <c r="K22" s="308">
        <v>67165.315583331685</v>
      </c>
      <c r="L22" s="308">
        <v>0</v>
      </c>
      <c r="M22" s="388"/>
      <c r="N22" s="307">
        <v>28981.913148148178</v>
      </c>
      <c r="O22" s="307">
        <v>69201.616481481586</v>
      </c>
      <c r="P22" s="307">
        <v>0</v>
      </c>
      <c r="Q22" s="389"/>
      <c r="R22" s="307">
        <v>929.95000000000016</v>
      </c>
      <c r="S22" s="307">
        <v>4829.9087777777777</v>
      </c>
      <c r="T22" s="307">
        <v>0</v>
      </c>
      <c r="U22" s="389"/>
      <c r="V22" s="307"/>
      <c r="W22" s="307"/>
      <c r="X22" s="307"/>
      <c r="Y22" s="389"/>
      <c r="Z22" s="324"/>
      <c r="AA22" s="324"/>
      <c r="AB22" s="324"/>
      <c r="AD22" s="307">
        <v>234.40000000000003</v>
      </c>
      <c r="AE22" s="307">
        <v>717.68888888888853</v>
      </c>
      <c r="AF22" s="307">
        <v>0</v>
      </c>
      <c r="AH22" s="307">
        <v>610.05000000000007</v>
      </c>
      <c r="AI22" s="307">
        <v>2266.8200000000006</v>
      </c>
      <c r="AJ22" s="307">
        <v>0</v>
      </c>
      <c r="AL22" s="307">
        <v>78.288888888888891</v>
      </c>
      <c r="AM22" s="307">
        <v>1298.7738888888889</v>
      </c>
      <c r="AN22" s="307">
        <v>0</v>
      </c>
      <c r="AP22" s="674">
        <v>1.1277777777777778</v>
      </c>
      <c r="AQ22" s="674">
        <v>20.126666666666665</v>
      </c>
      <c r="AR22" s="674">
        <v>0</v>
      </c>
      <c r="AT22" s="324">
        <v>2094.513148148148</v>
      </c>
      <c r="AU22" s="324">
        <v>4833.3762962962974</v>
      </c>
      <c r="AV22" s="324">
        <v>0</v>
      </c>
      <c r="AX22" s="324">
        <v>0</v>
      </c>
      <c r="AY22" s="324">
        <v>0</v>
      </c>
      <c r="AZ22" s="324">
        <v>0</v>
      </c>
    </row>
    <row r="23" spans="1:52">
      <c r="A23" s="166">
        <f>'Input Data'!A22</f>
        <v>41962</v>
      </c>
      <c r="B23" s="654">
        <v>19.580485539931018</v>
      </c>
      <c r="C23" s="655">
        <v>0</v>
      </c>
      <c r="D23" s="655">
        <v>18.136208743062998</v>
      </c>
      <c r="E23" s="656">
        <v>0</v>
      </c>
      <c r="F23" s="96"/>
      <c r="G23" s="308">
        <v>97057.918756245257</v>
      </c>
      <c r="H23" s="112"/>
      <c r="I23" s="102"/>
      <c r="J23" s="308">
        <v>27085.281171122653</v>
      </c>
      <c r="K23" s="308">
        <v>67165.315583331685</v>
      </c>
      <c r="L23" s="308">
        <v>0</v>
      </c>
      <c r="M23" s="388"/>
      <c r="N23" s="307">
        <v>28981.913148148178</v>
      </c>
      <c r="O23" s="307">
        <v>69201.616481481586</v>
      </c>
      <c r="P23" s="307">
        <v>0</v>
      </c>
      <c r="Q23" s="389"/>
      <c r="R23" s="307">
        <v>929.95000000000016</v>
      </c>
      <c r="S23" s="307">
        <v>4829.9087777777777</v>
      </c>
      <c r="T23" s="307">
        <v>0</v>
      </c>
      <c r="U23" s="389"/>
      <c r="V23" s="307"/>
      <c r="W23" s="307"/>
      <c r="X23" s="307"/>
      <c r="Y23" s="389"/>
      <c r="Z23" s="324"/>
      <c r="AA23" s="324"/>
      <c r="AB23" s="324"/>
      <c r="AD23" s="307">
        <v>234.40000000000003</v>
      </c>
      <c r="AE23" s="307">
        <v>717.68888888888853</v>
      </c>
      <c r="AF23" s="307">
        <v>0</v>
      </c>
      <c r="AH23" s="307">
        <v>610.05000000000007</v>
      </c>
      <c r="AI23" s="307">
        <v>2266.8200000000006</v>
      </c>
      <c r="AJ23" s="307">
        <v>0</v>
      </c>
      <c r="AL23" s="307">
        <v>78.288888888888891</v>
      </c>
      <c r="AM23" s="307">
        <v>1298.7738888888889</v>
      </c>
      <c r="AN23" s="307">
        <v>0</v>
      </c>
      <c r="AP23" s="674">
        <v>1.1277777777777778</v>
      </c>
      <c r="AQ23" s="674">
        <v>20.126666666666665</v>
      </c>
      <c r="AR23" s="674">
        <v>0</v>
      </c>
      <c r="AT23" s="324">
        <v>2094.513148148148</v>
      </c>
      <c r="AU23" s="324">
        <v>4833.3762962962974</v>
      </c>
      <c r="AV23" s="324">
        <v>0</v>
      </c>
      <c r="AX23" s="324">
        <v>0</v>
      </c>
      <c r="AY23" s="324">
        <v>0</v>
      </c>
      <c r="AZ23" s="324">
        <v>0</v>
      </c>
    </row>
    <row r="24" spans="1:52">
      <c r="A24" s="166">
        <f>'Input Data'!A23</f>
        <v>41963</v>
      </c>
      <c r="B24" s="654">
        <v>20.1285398425754</v>
      </c>
      <c r="C24" s="655">
        <v>0</v>
      </c>
      <c r="D24" s="655">
        <v>18.335507740239514</v>
      </c>
      <c r="E24" s="656">
        <v>0</v>
      </c>
      <c r="F24" s="96"/>
      <c r="G24" s="308">
        <v>97640.587458247988</v>
      </c>
      <c r="H24" s="112"/>
      <c r="I24" s="102"/>
      <c r="J24" s="308">
        <v>27085.281171122653</v>
      </c>
      <c r="K24" s="308">
        <v>67165.315583331685</v>
      </c>
      <c r="L24" s="308">
        <v>0</v>
      </c>
      <c r="M24" s="388"/>
      <c r="N24" s="307">
        <v>28981.913148148178</v>
      </c>
      <c r="O24" s="307">
        <v>69201.616481481586</v>
      </c>
      <c r="P24" s="307">
        <v>0</v>
      </c>
      <c r="Q24" s="389"/>
      <c r="R24" s="307">
        <v>929.95000000000016</v>
      </c>
      <c r="S24" s="307">
        <v>4829.9087777777777</v>
      </c>
      <c r="T24" s="307">
        <v>0</v>
      </c>
      <c r="U24" s="389"/>
      <c r="V24" s="307"/>
      <c r="W24" s="307"/>
      <c r="X24" s="307"/>
      <c r="Y24" s="389"/>
      <c r="Z24" s="324"/>
      <c r="AA24" s="324"/>
      <c r="AB24" s="324"/>
      <c r="AD24" s="307">
        <v>234.40000000000003</v>
      </c>
      <c r="AE24" s="307">
        <v>717.68888888888853</v>
      </c>
      <c r="AF24" s="307">
        <v>0</v>
      </c>
      <c r="AH24" s="307">
        <v>610.05000000000007</v>
      </c>
      <c r="AI24" s="307">
        <v>2266.8200000000006</v>
      </c>
      <c r="AJ24" s="307">
        <v>0</v>
      </c>
      <c r="AL24" s="307">
        <v>78.288888888888891</v>
      </c>
      <c r="AM24" s="307">
        <v>1298.7738888888889</v>
      </c>
      <c r="AN24" s="307">
        <v>0</v>
      </c>
      <c r="AP24" s="674">
        <v>1.1277777777777778</v>
      </c>
      <c r="AQ24" s="674">
        <v>20.126666666666665</v>
      </c>
      <c r="AR24" s="674">
        <v>0</v>
      </c>
      <c r="AT24" s="324">
        <v>2094.513148148148</v>
      </c>
      <c r="AU24" s="324">
        <v>4833.3762962962974</v>
      </c>
      <c r="AV24" s="324">
        <v>0</v>
      </c>
      <c r="AX24" s="324">
        <v>0</v>
      </c>
      <c r="AY24" s="324">
        <v>0</v>
      </c>
      <c r="AZ24" s="324">
        <v>0</v>
      </c>
    </row>
    <row r="25" spans="1:52">
      <c r="A25" s="166">
        <f>'Input Data'!A24</f>
        <v>41964</v>
      </c>
      <c r="B25" s="654">
        <v>20.178362960997614</v>
      </c>
      <c r="C25" s="655">
        <v>0</v>
      </c>
      <c r="D25" s="655">
        <v>18.73410573459255</v>
      </c>
      <c r="E25" s="656">
        <v>0</v>
      </c>
      <c r="F25" s="96"/>
      <c r="G25" s="308">
        <v>95902.164039585768</v>
      </c>
      <c r="H25" s="112"/>
      <c r="I25" s="102"/>
      <c r="J25" s="308">
        <v>27085.281171122653</v>
      </c>
      <c r="K25" s="308">
        <v>67165.315583331685</v>
      </c>
      <c r="L25" s="308">
        <v>0</v>
      </c>
      <c r="M25" s="388"/>
      <c r="N25" s="307">
        <v>28981.913148148178</v>
      </c>
      <c r="O25" s="307">
        <v>69201.616481481586</v>
      </c>
      <c r="P25" s="307">
        <v>0</v>
      </c>
      <c r="Q25" s="389"/>
      <c r="R25" s="307">
        <v>929.95000000000016</v>
      </c>
      <c r="S25" s="307">
        <v>4829.9087777777777</v>
      </c>
      <c r="T25" s="307">
        <v>0</v>
      </c>
      <c r="U25" s="389"/>
      <c r="V25" s="307"/>
      <c r="W25" s="307"/>
      <c r="X25" s="307"/>
      <c r="Y25" s="389"/>
      <c r="Z25" s="324"/>
      <c r="AA25" s="324"/>
      <c r="AB25" s="324"/>
      <c r="AD25" s="307">
        <v>234.40000000000003</v>
      </c>
      <c r="AE25" s="307">
        <v>717.68888888888853</v>
      </c>
      <c r="AF25" s="307">
        <v>0</v>
      </c>
      <c r="AH25" s="307">
        <v>610.05000000000007</v>
      </c>
      <c r="AI25" s="307">
        <v>2266.8200000000006</v>
      </c>
      <c r="AJ25" s="307">
        <v>0</v>
      </c>
      <c r="AL25" s="307">
        <v>78.288888888888891</v>
      </c>
      <c r="AM25" s="307">
        <v>1298.7738888888889</v>
      </c>
      <c r="AN25" s="307">
        <v>0</v>
      </c>
      <c r="AP25" s="674">
        <v>1.1277777777777778</v>
      </c>
      <c r="AQ25" s="674">
        <v>20.126666666666665</v>
      </c>
      <c r="AR25" s="674">
        <v>0</v>
      </c>
      <c r="AT25" s="324">
        <v>2094.513148148148</v>
      </c>
      <c r="AU25" s="324">
        <v>4833.3762962962974</v>
      </c>
      <c r="AV25" s="324">
        <v>0</v>
      </c>
      <c r="AX25" s="324">
        <v>0</v>
      </c>
      <c r="AY25" s="324">
        <v>0</v>
      </c>
      <c r="AZ25" s="324">
        <v>0</v>
      </c>
    </row>
    <row r="26" spans="1:52">
      <c r="A26" s="166">
        <f>'Input Data'!A25</f>
        <v>41965</v>
      </c>
      <c r="B26" s="654">
        <v>20.427478553108699</v>
      </c>
      <c r="C26" s="655">
        <v>0</v>
      </c>
      <c r="D26" s="655">
        <v>19.332002726122099</v>
      </c>
      <c r="E26" s="656">
        <v>0</v>
      </c>
      <c r="F26" s="96"/>
      <c r="G26" s="308">
        <v>87044.532396252311</v>
      </c>
      <c r="H26" s="112"/>
      <c r="I26" s="102"/>
      <c r="J26" s="308">
        <v>25630.268298864597</v>
      </c>
      <c r="K26" s="308">
        <v>0</v>
      </c>
      <c r="L26" s="308">
        <v>57382.340307402774</v>
      </c>
      <c r="M26" s="388"/>
      <c r="N26" s="307">
        <v>26260.679166666698</v>
      </c>
      <c r="O26" s="307">
        <v>0</v>
      </c>
      <c r="P26" s="307">
        <v>57086.461666666728</v>
      </c>
      <c r="Q26" s="389"/>
      <c r="R26" s="307">
        <v>166.99166666666667</v>
      </c>
      <c r="S26" s="307">
        <v>0</v>
      </c>
      <c r="T26" s="307">
        <v>2795.096</v>
      </c>
      <c r="U26" s="389"/>
      <c r="V26" s="307"/>
      <c r="W26" s="307"/>
      <c r="X26" s="307"/>
      <c r="Y26" s="389"/>
      <c r="Z26" s="324"/>
      <c r="AA26" s="324"/>
      <c r="AB26" s="324"/>
      <c r="AD26" s="307">
        <v>234.40000000000006</v>
      </c>
      <c r="AE26" s="307">
        <v>0</v>
      </c>
      <c r="AF26" s="307">
        <v>468.80000000000007</v>
      </c>
      <c r="AH26" s="307">
        <v>516.15</v>
      </c>
      <c r="AI26" s="307">
        <v>0</v>
      </c>
      <c r="AJ26" s="307">
        <v>1709.4399999999998</v>
      </c>
      <c r="AL26" s="307">
        <v>153.11666666666665</v>
      </c>
      <c r="AM26" s="307">
        <v>0</v>
      </c>
      <c r="AN26" s="307">
        <v>859.36500000000012</v>
      </c>
      <c r="AP26" s="674">
        <v>143.79166666666666</v>
      </c>
      <c r="AQ26" s="674">
        <v>0</v>
      </c>
      <c r="AR26" s="674">
        <v>22.46</v>
      </c>
      <c r="AT26" s="324">
        <v>1914.3486111111113</v>
      </c>
      <c r="AU26" s="324">
        <v>0</v>
      </c>
      <c r="AV26" s="324">
        <v>3348.6733333333332</v>
      </c>
      <c r="AX26" s="324">
        <v>0</v>
      </c>
      <c r="AY26" s="324">
        <v>0</v>
      </c>
      <c r="AZ26" s="324">
        <v>0</v>
      </c>
    </row>
    <row r="27" spans="1:52">
      <c r="A27" s="166">
        <f>'Input Data'!A26</f>
        <v>41966</v>
      </c>
      <c r="B27" s="654">
        <v>21.075179092597512</v>
      </c>
      <c r="C27" s="655">
        <v>0</v>
      </c>
      <c r="D27" s="655">
        <v>19.581126472592743</v>
      </c>
      <c r="E27" s="656">
        <v>0</v>
      </c>
      <c r="F27" s="96"/>
      <c r="G27" s="308">
        <v>85606.636287763366</v>
      </c>
      <c r="H27" s="112"/>
      <c r="I27" s="102"/>
      <c r="J27" s="308">
        <v>25630.268298864597</v>
      </c>
      <c r="K27" s="308">
        <v>0</v>
      </c>
      <c r="L27" s="308">
        <v>57382.340307402774</v>
      </c>
      <c r="M27" s="388"/>
      <c r="N27" s="307">
        <v>26260.679166666698</v>
      </c>
      <c r="O27" s="307">
        <v>0</v>
      </c>
      <c r="P27" s="307">
        <v>57086.461666666728</v>
      </c>
      <c r="Q27" s="389"/>
      <c r="R27" s="307">
        <v>166.99166666666667</v>
      </c>
      <c r="S27" s="307">
        <v>0</v>
      </c>
      <c r="T27" s="307">
        <v>2795.096</v>
      </c>
      <c r="U27" s="389"/>
      <c r="V27" s="307"/>
      <c r="W27" s="307"/>
      <c r="X27" s="307"/>
      <c r="Y27" s="389"/>
      <c r="Z27" s="324"/>
      <c r="AA27" s="324"/>
      <c r="AB27" s="324"/>
      <c r="AD27" s="307">
        <v>234.40000000000006</v>
      </c>
      <c r="AE27" s="307">
        <v>0</v>
      </c>
      <c r="AF27" s="307">
        <v>468.80000000000007</v>
      </c>
      <c r="AH27" s="307">
        <v>516.15</v>
      </c>
      <c r="AI27" s="307">
        <v>0</v>
      </c>
      <c r="AJ27" s="307">
        <v>1709.4399999999998</v>
      </c>
      <c r="AL27" s="307">
        <v>153.11666666666665</v>
      </c>
      <c r="AM27" s="307">
        <v>0</v>
      </c>
      <c r="AN27" s="307">
        <v>859.36500000000012</v>
      </c>
      <c r="AP27" s="674">
        <v>143.79166666666666</v>
      </c>
      <c r="AQ27" s="674">
        <v>0</v>
      </c>
      <c r="AR27" s="674">
        <v>22.46</v>
      </c>
      <c r="AT27" s="324">
        <v>1914.3486111111113</v>
      </c>
      <c r="AU27" s="324">
        <v>0</v>
      </c>
      <c r="AV27" s="324">
        <v>3348.6733333333332</v>
      </c>
      <c r="AX27" s="324">
        <v>0</v>
      </c>
      <c r="AY27" s="324">
        <v>0</v>
      </c>
      <c r="AZ27" s="324">
        <v>0</v>
      </c>
    </row>
    <row r="28" spans="1:52">
      <c r="A28" s="166">
        <f>'Input Data'!A27</f>
        <v>41967</v>
      </c>
      <c r="B28" s="654">
        <v>21.174825329441941</v>
      </c>
      <c r="C28" s="655">
        <v>0</v>
      </c>
      <c r="D28" s="655">
        <v>19.830250219063387</v>
      </c>
      <c r="E28" s="656">
        <v>0</v>
      </c>
      <c r="F28" s="96"/>
      <c r="G28" s="308">
        <v>97784.947576284045</v>
      </c>
      <c r="H28" s="112"/>
      <c r="I28" s="102"/>
      <c r="J28" s="308">
        <v>27085.281171122653</v>
      </c>
      <c r="K28" s="308">
        <v>67165.315583331685</v>
      </c>
      <c r="L28" s="308">
        <v>0</v>
      </c>
      <c r="M28" s="388"/>
      <c r="N28" s="307">
        <v>28981.913148148178</v>
      </c>
      <c r="O28" s="307">
        <v>69201.616481481586</v>
      </c>
      <c r="P28" s="307">
        <v>0</v>
      </c>
      <c r="Q28" s="389"/>
      <c r="R28" s="307">
        <v>929.95000000000016</v>
      </c>
      <c r="S28" s="307">
        <v>4829.9087777777777</v>
      </c>
      <c r="T28" s="307">
        <v>0</v>
      </c>
      <c r="U28" s="389"/>
      <c r="V28" s="307"/>
      <c r="W28" s="307"/>
      <c r="X28" s="307"/>
      <c r="Y28" s="389"/>
      <c r="Z28" s="324"/>
      <c r="AA28" s="324"/>
      <c r="AB28" s="324"/>
      <c r="AD28" s="307">
        <v>234.40000000000003</v>
      </c>
      <c r="AE28" s="307">
        <v>717.68888888888853</v>
      </c>
      <c r="AF28" s="307">
        <v>0</v>
      </c>
      <c r="AH28" s="307">
        <v>610.05000000000007</v>
      </c>
      <c r="AI28" s="307">
        <v>2266.8200000000006</v>
      </c>
      <c r="AJ28" s="307">
        <v>0</v>
      </c>
      <c r="AL28" s="307">
        <v>78.288888888888891</v>
      </c>
      <c r="AM28" s="307">
        <v>1298.7738888888889</v>
      </c>
      <c r="AN28" s="307">
        <v>0</v>
      </c>
      <c r="AP28" s="674">
        <v>1.1277777777777778</v>
      </c>
      <c r="AQ28" s="674">
        <v>20.126666666666665</v>
      </c>
      <c r="AR28" s="674">
        <v>0</v>
      </c>
      <c r="AT28" s="324">
        <v>2094.513148148148</v>
      </c>
      <c r="AU28" s="324">
        <v>4833.3762962962974</v>
      </c>
      <c r="AV28" s="324">
        <v>0</v>
      </c>
      <c r="AX28" s="324">
        <v>0</v>
      </c>
      <c r="AY28" s="324">
        <v>0</v>
      </c>
      <c r="AZ28" s="324">
        <v>0</v>
      </c>
    </row>
    <row r="29" spans="1:52">
      <c r="A29" s="166">
        <f>'Input Data'!A28</f>
        <v>41968</v>
      </c>
      <c r="B29" s="654">
        <v>21.174825329441941</v>
      </c>
      <c r="C29" s="655">
        <v>0</v>
      </c>
      <c r="D29" s="655">
        <v>19.880074968357516</v>
      </c>
      <c r="E29" s="656">
        <v>0</v>
      </c>
      <c r="F29" s="96"/>
      <c r="G29" s="308">
        <v>100043.14269111304</v>
      </c>
      <c r="H29" s="112"/>
      <c r="I29" s="102"/>
      <c r="J29" s="308">
        <v>27085.281171122653</v>
      </c>
      <c r="K29" s="308">
        <v>67165.315583331685</v>
      </c>
      <c r="L29" s="308">
        <v>0</v>
      </c>
      <c r="M29" s="388"/>
      <c r="N29" s="307">
        <v>28981.913148148178</v>
      </c>
      <c r="O29" s="307">
        <v>69201.616481481586</v>
      </c>
      <c r="P29" s="307">
        <v>0</v>
      </c>
      <c r="Q29" s="389"/>
      <c r="R29" s="307">
        <v>929.95000000000016</v>
      </c>
      <c r="S29" s="307">
        <v>4829.9087777777777</v>
      </c>
      <c r="T29" s="307">
        <v>0</v>
      </c>
      <c r="U29" s="389"/>
      <c r="V29" s="307"/>
      <c r="W29" s="307"/>
      <c r="X29" s="307"/>
      <c r="Y29" s="389"/>
      <c r="Z29" s="324"/>
      <c r="AA29" s="324"/>
      <c r="AB29" s="324"/>
      <c r="AD29" s="307">
        <v>234.40000000000003</v>
      </c>
      <c r="AE29" s="307">
        <v>717.68888888888853</v>
      </c>
      <c r="AF29" s="307">
        <v>0</v>
      </c>
      <c r="AH29" s="307">
        <v>610.05000000000007</v>
      </c>
      <c r="AI29" s="307">
        <v>2266.8200000000006</v>
      </c>
      <c r="AJ29" s="307">
        <v>0</v>
      </c>
      <c r="AL29" s="307">
        <v>78.288888888888891</v>
      </c>
      <c r="AM29" s="307">
        <v>1298.7738888888889</v>
      </c>
      <c r="AN29" s="307">
        <v>0</v>
      </c>
      <c r="AP29" s="674">
        <v>1.1277777777777778</v>
      </c>
      <c r="AQ29" s="674">
        <v>20.126666666666665</v>
      </c>
      <c r="AR29" s="674">
        <v>0</v>
      </c>
      <c r="AT29" s="324">
        <v>2094.513148148148</v>
      </c>
      <c r="AU29" s="324">
        <v>4833.3762962962974</v>
      </c>
      <c r="AV29" s="324">
        <v>0</v>
      </c>
      <c r="AX29" s="324">
        <v>0</v>
      </c>
      <c r="AY29" s="324">
        <v>0</v>
      </c>
      <c r="AZ29" s="324">
        <v>0</v>
      </c>
    </row>
    <row r="30" spans="1:52">
      <c r="A30" s="166">
        <f>'Input Data'!A29</f>
        <v>41969</v>
      </c>
      <c r="B30" s="654">
        <v>21.32429468470859</v>
      </c>
      <c r="C30" s="655">
        <v>0</v>
      </c>
      <c r="D30" s="655">
        <v>20.079373965534032</v>
      </c>
      <c r="E30" s="656">
        <v>0</v>
      </c>
      <c r="F30" s="96"/>
      <c r="G30" s="308">
        <v>100495.38335352983</v>
      </c>
      <c r="H30" s="112"/>
      <c r="I30" s="102"/>
      <c r="J30" s="308">
        <v>27085.281171122653</v>
      </c>
      <c r="K30" s="308">
        <v>67165.315583331685</v>
      </c>
      <c r="L30" s="308">
        <v>0</v>
      </c>
      <c r="M30" s="388"/>
      <c r="N30" s="307">
        <v>28981.913148148178</v>
      </c>
      <c r="O30" s="307">
        <v>69201.616481481586</v>
      </c>
      <c r="P30" s="307">
        <v>0</v>
      </c>
      <c r="Q30" s="389"/>
      <c r="R30" s="307">
        <v>929.95000000000016</v>
      </c>
      <c r="S30" s="307">
        <v>4829.9087777777777</v>
      </c>
      <c r="T30" s="307">
        <v>0</v>
      </c>
      <c r="U30" s="389"/>
      <c r="V30" s="307"/>
      <c r="W30" s="307"/>
      <c r="X30" s="307"/>
      <c r="Y30" s="389"/>
      <c r="Z30" s="324"/>
      <c r="AA30" s="324"/>
      <c r="AB30" s="324"/>
      <c r="AD30" s="307">
        <v>234.40000000000003</v>
      </c>
      <c r="AE30" s="307">
        <v>717.68888888888853</v>
      </c>
      <c r="AF30" s="307">
        <v>0</v>
      </c>
      <c r="AH30" s="307">
        <v>610.05000000000007</v>
      </c>
      <c r="AI30" s="307">
        <v>2266.8200000000006</v>
      </c>
      <c r="AJ30" s="307">
        <v>0</v>
      </c>
      <c r="AL30" s="307">
        <v>78.288888888888891</v>
      </c>
      <c r="AM30" s="307">
        <v>1298.7738888888889</v>
      </c>
      <c r="AN30" s="307">
        <v>0</v>
      </c>
      <c r="AP30" s="674">
        <v>1.1277777777777778</v>
      </c>
      <c r="AQ30" s="674">
        <v>20.126666666666665</v>
      </c>
      <c r="AR30" s="674">
        <v>0</v>
      </c>
      <c r="AT30" s="324">
        <v>2094.513148148148</v>
      </c>
      <c r="AU30" s="324">
        <v>4833.3762962962974</v>
      </c>
      <c r="AV30" s="324">
        <v>0</v>
      </c>
      <c r="AX30" s="324">
        <v>0</v>
      </c>
      <c r="AY30" s="324">
        <v>0</v>
      </c>
      <c r="AZ30" s="324">
        <v>0</v>
      </c>
    </row>
    <row r="31" spans="1:52">
      <c r="A31" s="166">
        <f>'Input Data'!A30</f>
        <v>41970</v>
      </c>
      <c r="B31" s="654">
        <v>21.423940921553026</v>
      </c>
      <c r="C31" s="655">
        <v>0</v>
      </c>
      <c r="D31" s="655">
        <v>20.12919871482816</v>
      </c>
      <c r="E31" s="656">
        <v>0</v>
      </c>
      <c r="F31" s="96"/>
      <c r="G31" s="308">
        <v>80729.742889161673</v>
      </c>
      <c r="H31" s="112"/>
      <c r="I31" s="102"/>
      <c r="J31" s="308">
        <v>25630.268298864597</v>
      </c>
      <c r="K31" s="308">
        <v>57382.340307402774</v>
      </c>
      <c r="L31" s="308">
        <v>0</v>
      </c>
      <c r="M31" s="388"/>
      <c r="N31" s="307">
        <v>26260.679166666698</v>
      </c>
      <c r="O31" s="307">
        <v>57086.461666666728</v>
      </c>
      <c r="P31" s="307">
        <v>0</v>
      </c>
      <c r="Q31" s="389"/>
      <c r="R31" s="307">
        <v>166.99166666666667</v>
      </c>
      <c r="S31" s="307">
        <v>2795.096</v>
      </c>
      <c r="T31" s="307">
        <v>0</v>
      </c>
      <c r="U31" s="389"/>
      <c r="V31" s="307"/>
      <c r="W31" s="307"/>
      <c r="X31" s="307"/>
      <c r="Y31" s="389"/>
      <c r="Z31" s="324"/>
      <c r="AA31" s="324"/>
      <c r="AB31" s="324"/>
      <c r="AD31" s="307">
        <v>234.40000000000006</v>
      </c>
      <c r="AE31" s="307">
        <v>468.80000000000007</v>
      </c>
      <c r="AF31" s="307">
        <v>0</v>
      </c>
      <c r="AH31" s="307">
        <v>516.15</v>
      </c>
      <c r="AI31" s="307">
        <v>1709.4399999999998</v>
      </c>
      <c r="AJ31" s="307">
        <v>0</v>
      </c>
      <c r="AL31" s="307">
        <v>153.11666666666665</v>
      </c>
      <c r="AM31" s="307">
        <v>859.36500000000012</v>
      </c>
      <c r="AN31" s="307">
        <v>0</v>
      </c>
      <c r="AP31" s="674">
        <v>143.79166666666666</v>
      </c>
      <c r="AQ31" s="674">
        <v>22.46</v>
      </c>
      <c r="AR31" s="674">
        <v>0</v>
      </c>
      <c r="AT31" s="324">
        <v>1914.3486111111113</v>
      </c>
      <c r="AU31" s="324">
        <v>3348.6733333333332</v>
      </c>
      <c r="AV31" s="324">
        <v>0</v>
      </c>
      <c r="AX31" s="324">
        <v>0</v>
      </c>
      <c r="AY31" s="324">
        <v>0</v>
      </c>
      <c r="AZ31" s="324">
        <v>0</v>
      </c>
    </row>
    <row r="32" spans="1:52">
      <c r="A32" s="166">
        <f>'Input Data'!A31</f>
        <v>41971</v>
      </c>
      <c r="B32" s="654">
        <v>21.573410276819672</v>
      </c>
      <c r="C32" s="655">
        <v>0</v>
      </c>
      <c r="D32" s="655">
        <v>20.228848213416423</v>
      </c>
      <c r="E32" s="656">
        <v>0</v>
      </c>
      <c r="F32" s="96"/>
      <c r="G32" s="308">
        <v>88152.233245465701</v>
      </c>
      <c r="H32" s="112"/>
      <c r="I32" s="102"/>
      <c r="J32" s="308">
        <v>25630.268298864597</v>
      </c>
      <c r="K32" s="308">
        <v>57382.340307402774</v>
      </c>
      <c r="L32" s="308">
        <v>0</v>
      </c>
      <c r="M32" s="388"/>
      <c r="N32" s="307">
        <v>26260.679166666698</v>
      </c>
      <c r="O32" s="307">
        <v>57086.461666666728</v>
      </c>
      <c r="P32" s="307">
        <v>0</v>
      </c>
      <c r="Q32" s="389"/>
      <c r="R32" s="307">
        <v>166.99166666666667</v>
      </c>
      <c r="S32" s="307">
        <v>2795.096</v>
      </c>
      <c r="T32" s="307">
        <v>0</v>
      </c>
      <c r="U32" s="389"/>
      <c r="V32" s="307"/>
      <c r="W32" s="307"/>
      <c r="X32" s="307"/>
      <c r="Y32" s="389"/>
      <c r="Z32" s="324"/>
      <c r="AA32" s="324"/>
      <c r="AB32" s="324"/>
      <c r="AD32" s="307">
        <v>234.40000000000006</v>
      </c>
      <c r="AE32" s="307">
        <v>468.80000000000007</v>
      </c>
      <c r="AF32" s="307">
        <v>0</v>
      </c>
      <c r="AH32" s="307">
        <v>516.15</v>
      </c>
      <c r="AI32" s="307">
        <v>1709.4399999999998</v>
      </c>
      <c r="AJ32" s="307">
        <v>0</v>
      </c>
      <c r="AL32" s="307">
        <v>153.11666666666665</v>
      </c>
      <c r="AM32" s="307">
        <v>859.36500000000012</v>
      </c>
      <c r="AN32" s="307">
        <v>0</v>
      </c>
      <c r="AP32" s="674">
        <v>143.79166666666666</v>
      </c>
      <c r="AQ32" s="674">
        <v>22.46</v>
      </c>
      <c r="AR32" s="674">
        <v>0</v>
      </c>
      <c r="AT32" s="324">
        <v>1914.3486111111113</v>
      </c>
      <c r="AU32" s="324">
        <v>3348.6733333333332</v>
      </c>
      <c r="AV32" s="324">
        <v>0</v>
      </c>
      <c r="AX32" s="324">
        <v>0</v>
      </c>
      <c r="AY32" s="324">
        <v>0</v>
      </c>
      <c r="AZ32" s="324">
        <v>0</v>
      </c>
    </row>
    <row r="33" spans="1:52">
      <c r="A33" s="166">
        <f>'Input Data'!A32</f>
        <v>41972</v>
      </c>
      <c r="B33" s="654">
        <v>22.221110816308485</v>
      </c>
      <c r="C33" s="655">
        <v>0</v>
      </c>
      <c r="D33" s="655">
        <v>20.42814721059294</v>
      </c>
      <c r="E33" s="656">
        <v>0</v>
      </c>
      <c r="F33" s="96"/>
      <c r="G33" s="308">
        <v>90129.084981541135</v>
      </c>
      <c r="H33" s="112"/>
      <c r="I33" s="102"/>
      <c r="J33" s="308">
        <v>25630.268298864597</v>
      </c>
      <c r="K33" s="308">
        <v>0</v>
      </c>
      <c r="L33" s="308">
        <v>57382.340307402774</v>
      </c>
      <c r="M33" s="388"/>
      <c r="N33" s="307">
        <v>26260.679166666698</v>
      </c>
      <c r="O33" s="307">
        <v>0</v>
      </c>
      <c r="P33" s="307">
        <v>57086.461666666728</v>
      </c>
      <c r="Q33" s="389"/>
      <c r="R33" s="307">
        <v>166.99166666666667</v>
      </c>
      <c r="S33" s="307">
        <v>0</v>
      </c>
      <c r="T33" s="307">
        <v>2795.096</v>
      </c>
      <c r="U33" s="389"/>
      <c r="V33" s="307"/>
      <c r="W33" s="307"/>
      <c r="X33" s="307"/>
      <c r="Y33" s="389"/>
      <c r="Z33" s="324"/>
      <c r="AA33" s="324"/>
      <c r="AB33" s="324"/>
      <c r="AD33" s="307">
        <v>234.40000000000006</v>
      </c>
      <c r="AE33" s="307">
        <v>0</v>
      </c>
      <c r="AF33" s="307">
        <v>468.80000000000007</v>
      </c>
      <c r="AH33" s="307">
        <v>516.15</v>
      </c>
      <c r="AI33" s="307">
        <v>0</v>
      </c>
      <c r="AJ33" s="307">
        <v>1709.4399999999998</v>
      </c>
      <c r="AL33" s="307">
        <v>153.11666666666665</v>
      </c>
      <c r="AM33" s="307">
        <v>0</v>
      </c>
      <c r="AN33" s="307">
        <v>859.36500000000012</v>
      </c>
      <c r="AP33" s="674">
        <v>143.79166666666666</v>
      </c>
      <c r="AQ33" s="674">
        <v>0</v>
      </c>
      <c r="AR33" s="674">
        <v>22.46</v>
      </c>
      <c r="AT33" s="324">
        <v>1914.3486111111113</v>
      </c>
      <c r="AU33" s="324">
        <v>0</v>
      </c>
      <c r="AV33" s="324">
        <v>3348.6733333333332</v>
      </c>
      <c r="AX33" s="324">
        <v>0</v>
      </c>
      <c r="AY33" s="324">
        <v>0</v>
      </c>
      <c r="AZ33" s="324">
        <v>0</v>
      </c>
    </row>
    <row r="34" spans="1:52">
      <c r="A34" s="166">
        <f>'Input Data'!A33</f>
        <v>41973</v>
      </c>
      <c r="B34" s="654">
        <v>22.270933934730706</v>
      </c>
      <c r="C34" s="655">
        <v>0</v>
      </c>
      <c r="D34" s="655">
        <v>20.77692045565184</v>
      </c>
      <c r="E34" s="656">
        <v>0</v>
      </c>
      <c r="F34" s="105"/>
      <c r="G34" s="308">
        <v>88445.218994218347</v>
      </c>
      <c r="H34" s="112"/>
      <c r="I34" s="104"/>
      <c r="J34" s="308">
        <v>25630.268298864597</v>
      </c>
      <c r="K34" s="308">
        <v>0</v>
      </c>
      <c r="L34" s="308">
        <v>57382.340307402774</v>
      </c>
      <c r="M34" s="388"/>
      <c r="N34" s="307">
        <v>26260.679166666698</v>
      </c>
      <c r="O34" s="307">
        <v>0</v>
      </c>
      <c r="P34" s="307">
        <v>57086.461666666728</v>
      </c>
      <c r="Q34" s="389"/>
      <c r="R34" s="307">
        <v>166.99166666666667</v>
      </c>
      <c r="S34" s="307">
        <v>0</v>
      </c>
      <c r="T34" s="307">
        <v>2795.096</v>
      </c>
      <c r="U34" s="389"/>
      <c r="V34" s="307"/>
      <c r="W34" s="307"/>
      <c r="X34" s="307"/>
      <c r="Y34" s="389"/>
      <c r="Z34" s="324"/>
      <c r="AA34" s="324"/>
      <c r="AB34" s="324"/>
      <c r="AD34" s="307">
        <v>234.40000000000006</v>
      </c>
      <c r="AE34" s="307">
        <v>0</v>
      </c>
      <c r="AF34" s="307">
        <v>468.80000000000007</v>
      </c>
      <c r="AH34" s="307">
        <v>516.15</v>
      </c>
      <c r="AI34" s="307">
        <v>0</v>
      </c>
      <c r="AJ34" s="307">
        <v>1709.4399999999998</v>
      </c>
      <c r="AL34" s="307">
        <v>153.11666666666665</v>
      </c>
      <c r="AM34" s="307">
        <v>0</v>
      </c>
      <c r="AN34" s="307">
        <v>859.36500000000012</v>
      </c>
      <c r="AP34" s="674">
        <v>143.79166666666666</v>
      </c>
      <c r="AQ34" s="674">
        <v>0</v>
      </c>
      <c r="AR34" s="674">
        <v>22.46</v>
      </c>
      <c r="AT34" s="324">
        <v>1914.3486111111113</v>
      </c>
      <c r="AU34" s="324">
        <v>0</v>
      </c>
      <c r="AV34" s="324">
        <v>3348.6733333333332</v>
      </c>
      <c r="AX34" s="324">
        <v>0</v>
      </c>
      <c r="AY34" s="324">
        <v>0</v>
      </c>
      <c r="AZ34" s="324">
        <v>0</v>
      </c>
    </row>
    <row r="35" spans="1:52">
      <c r="A35" s="166" t="str">
        <f>'Input Data'!A34</f>
        <v>-</v>
      </c>
      <c r="B35" s="657"/>
      <c r="C35" s="395"/>
      <c r="D35" s="395"/>
      <c r="E35" s="658"/>
      <c r="F35" s="130"/>
      <c r="G35" s="340"/>
      <c r="H35" s="139"/>
      <c r="I35" s="333"/>
      <c r="J35" s="340"/>
      <c r="K35" s="340"/>
      <c r="L35" s="340"/>
      <c r="M35" s="130"/>
      <c r="N35" s="341"/>
      <c r="O35" s="341"/>
      <c r="P35" s="342"/>
      <c r="Q35" s="390"/>
      <c r="R35" s="341"/>
      <c r="S35" s="341"/>
      <c r="T35" s="341"/>
      <c r="U35" s="390"/>
      <c r="V35" s="341"/>
      <c r="W35" s="341"/>
      <c r="X35" s="341"/>
      <c r="Y35" s="390"/>
      <c r="Z35" s="324"/>
      <c r="AA35" s="324"/>
      <c r="AB35" s="324"/>
      <c r="AD35" s="341"/>
      <c r="AE35" s="341"/>
      <c r="AF35" s="341"/>
      <c r="AH35" s="341"/>
      <c r="AI35" s="341"/>
      <c r="AJ35" s="341"/>
      <c r="AL35" s="341"/>
      <c r="AM35" s="341"/>
      <c r="AN35" s="341"/>
      <c r="AP35" s="324"/>
      <c r="AQ35" s="324"/>
      <c r="AR35" s="324"/>
      <c r="AT35" s="324"/>
      <c r="AU35" s="324"/>
      <c r="AV35" s="324"/>
      <c r="AX35" s="324"/>
      <c r="AY35" s="324"/>
      <c r="AZ35" s="324"/>
    </row>
    <row r="36" spans="1:52" ht="14.25">
      <c r="B36" s="396"/>
      <c r="C36" s="396"/>
      <c r="D36" s="396"/>
      <c r="E36" s="396"/>
      <c r="F36" s="105"/>
      <c r="G36" s="112"/>
      <c r="H36" s="112"/>
      <c r="I36" s="112"/>
      <c r="J36" s="112"/>
      <c r="K36" s="112"/>
      <c r="L36" s="112"/>
      <c r="M36" s="112"/>
      <c r="N36" s="113"/>
      <c r="O36" s="113"/>
      <c r="P36" s="114"/>
      <c r="Q36" s="114"/>
      <c r="R36" s="95"/>
      <c r="S36" s="95"/>
      <c r="T36" s="107"/>
      <c r="U36" s="107"/>
      <c r="V36" s="95"/>
      <c r="W36" s="95"/>
      <c r="X36" s="107"/>
      <c r="Y36" s="107"/>
      <c r="Z36" s="107"/>
      <c r="AA36" s="107"/>
      <c r="AB36" s="107"/>
      <c r="AD36" s="95"/>
      <c r="AE36" s="95"/>
      <c r="AF36" s="107"/>
      <c r="AH36" s="121"/>
      <c r="AI36" s="121"/>
      <c r="AJ36" s="121"/>
      <c r="AL36" s="121"/>
      <c r="AM36" s="121"/>
      <c r="AN36" s="121"/>
    </row>
    <row r="37" spans="1:52">
      <c r="B37" s="397"/>
      <c r="C37" s="397"/>
      <c r="D37" s="397"/>
      <c r="E37" s="397">
        <f>SUM(B5:E35)</f>
        <v>1076.7500000000002</v>
      </c>
      <c r="G37" s="286">
        <f>SUM(G5:G35)</f>
        <v>2692662.044855387</v>
      </c>
      <c r="H37" s="286"/>
      <c r="I37" s="286" t="e">
        <f>SUM(I5:I36)</f>
        <v>#REF!</v>
      </c>
      <c r="J37" s="309"/>
      <c r="K37" s="428"/>
      <c r="L37" s="286">
        <f>SUM(J5:L35)</f>
        <v>2692662.0448553865</v>
      </c>
      <c r="M37" s="310"/>
      <c r="P37" s="286">
        <f>SUM(N5:P35)</f>
        <v>2767469.2233333373</v>
      </c>
      <c r="Q37" s="286"/>
      <c r="T37" s="286">
        <f>SUM(R5:T35)</f>
        <v>139222.50999999995</v>
      </c>
      <c r="U37" s="286"/>
      <c r="X37" s="286">
        <f>SUM(V5:X35)</f>
        <v>0</v>
      </c>
      <c r="Y37" s="286"/>
      <c r="Z37" s="286"/>
      <c r="AA37" s="286"/>
      <c r="AB37" s="286">
        <f>SUM(Z5:AB32)</f>
        <v>0</v>
      </c>
      <c r="AD37" s="123">
        <f>SUM(AD5:AD35)</f>
        <v>7031.9999999999964</v>
      </c>
      <c r="AE37" s="123">
        <f>SUM(AE5:AE35)</f>
        <v>13855.999999999991</v>
      </c>
      <c r="AF37" s="123">
        <f>SUM(AF5:AF35)</f>
        <v>4688.0000000000009</v>
      </c>
      <c r="AH37" s="123">
        <f>SUM(AH5:AH35)</f>
        <v>17174.699999999997</v>
      </c>
      <c r="AI37" s="123">
        <f>SUM(AI5:AI35)</f>
        <v>44221.640000000007</v>
      </c>
      <c r="AJ37" s="123">
        <f>SUM(AJ5:AJ35)</f>
        <v>17094.400000000001</v>
      </c>
      <c r="AL37" s="123">
        <f>SUM(AL5:AL35)</f>
        <v>3246.599999999999</v>
      </c>
      <c r="AM37" s="123">
        <f>SUM(AM5:AM35)</f>
        <v>25096.660000000003</v>
      </c>
      <c r="AN37" s="123">
        <f>SUM(AN5:AN35)</f>
        <v>8593.65</v>
      </c>
      <c r="AP37" s="123">
        <f>SUM(AP5:AP35)</f>
        <v>1745.7999999999997</v>
      </c>
      <c r="AQ37" s="123">
        <f>SUM(AQ5:AQ35)</f>
        <v>407.19999999999993</v>
      </c>
      <c r="AR37" s="123">
        <f>SUM(AR5:AR35)</f>
        <v>224.60000000000005</v>
      </c>
      <c r="AT37" s="123">
        <f>SUM(AT5:AT35)</f>
        <v>60673.420000000027</v>
      </c>
      <c r="AU37" s="123">
        <f>SUM(AU5:AU35)</f>
        <v>93698.12</v>
      </c>
      <c r="AV37" s="123">
        <f>SUM(AV5:AV35)</f>
        <v>33486.73333333333</v>
      </c>
      <c r="AX37" s="123">
        <f>SUM(AX5:AX35)</f>
        <v>0</v>
      </c>
      <c r="AY37" s="123">
        <f>SUM(AY5:AY35)</f>
        <v>0</v>
      </c>
      <c r="AZ37" s="123">
        <f>SUM(AZ5:AZ35)</f>
        <v>0</v>
      </c>
    </row>
    <row r="38" spans="1:52" ht="15" thickBot="1">
      <c r="B38" s="394"/>
      <c r="C38" s="394"/>
      <c r="D38" s="394"/>
      <c r="H38" s="93"/>
      <c r="I38" s="93"/>
      <c r="J38" s="93"/>
      <c r="K38" s="93"/>
      <c r="L38" s="93"/>
      <c r="O38" s="99"/>
      <c r="P38" s="1"/>
      <c r="Q38" s="386"/>
      <c r="AD38" s="122"/>
      <c r="AE38" s="122"/>
      <c r="AF38" s="122"/>
      <c r="AH38" s="122"/>
      <c r="AI38" s="122"/>
      <c r="AJ38" s="122"/>
      <c r="AL38" s="122"/>
      <c r="AM38" s="122"/>
      <c r="AN38" s="122"/>
    </row>
    <row r="39" spans="1:52" ht="14.25">
      <c r="B39" s="394"/>
      <c r="C39" s="394"/>
      <c r="D39" s="700" t="s">
        <v>317</v>
      </c>
      <c r="E39" s="701"/>
      <c r="F39" s="701"/>
      <c r="G39" s="545">
        <f>(HLOOKUP('OSS Summary'!$F$2,'2014 Budget'!$D$6:$P111,56,0))</f>
        <v>26.773564728805223</v>
      </c>
      <c r="H39" s="93"/>
      <c r="I39" s="93"/>
      <c r="J39" s="93"/>
      <c r="K39" s="93"/>
      <c r="L39" s="93"/>
      <c r="O39" s="99"/>
      <c r="P39" s="1"/>
      <c r="Q39" s="386"/>
      <c r="AE39" s="122"/>
      <c r="AF39" s="123">
        <f>AD37+AE37+AF37</f>
        <v>25575.999999999985</v>
      </c>
      <c r="AI39" s="122"/>
      <c r="AJ39" s="123">
        <f>AH37+AI37+AJ37</f>
        <v>78490.740000000005</v>
      </c>
      <c r="AM39" s="93"/>
      <c r="AN39" s="123">
        <f>AL37+AM37+AN37</f>
        <v>36936.910000000003</v>
      </c>
      <c r="AR39" s="123">
        <f>AP37+AQ37+AR37</f>
        <v>2377.5999999999995</v>
      </c>
      <c r="AV39" s="123">
        <f>AT37+AU37+AV37</f>
        <v>187858.27333333337</v>
      </c>
      <c r="AZ39" s="123">
        <f>AX37+AY37+AZ37</f>
        <v>0</v>
      </c>
    </row>
    <row r="40" spans="1:52" ht="15" thickBot="1">
      <c r="B40" s="398"/>
      <c r="C40" s="398"/>
      <c r="D40" s="702" t="s">
        <v>318</v>
      </c>
      <c r="E40" s="703"/>
      <c r="F40" s="703"/>
      <c r="G40" s="546">
        <f>(HLOOKUP('OSS Summary'!$F$2,'2014 Budget'!$D$6:$P111,60,0))</f>
        <v>26.69177170724614</v>
      </c>
      <c r="H40" s="302"/>
      <c r="I40" s="302"/>
      <c r="J40" s="429"/>
      <c r="K40" s="429"/>
      <c r="L40" s="429"/>
      <c r="M40" s="429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</row>
    <row r="42" spans="1:52">
      <c r="G42" s="276"/>
    </row>
    <row r="43" spans="1:52">
      <c r="G43" s="276"/>
    </row>
    <row r="44" spans="1:52">
      <c r="J44" s="276"/>
    </row>
    <row r="45" spans="1:52">
      <c r="G45" s="276"/>
    </row>
    <row r="46" spans="1:52">
      <c r="G46" s="660"/>
    </row>
    <row r="47" spans="1:52">
      <c r="G47" s="660"/>
    </row>
  </sheetData>
  <sortState ref="D5:D34">
    <sortCondition descending="1" ref="D5"/>
  </sortState>
  <mergeCells count="14">
    <mergeCell ref="D39:F39"/>
    <mergeCell ref="D40:F40"/>
    <mergeCell ref="AT2:AV2"/>
    <mergeCell ref="AD2:AF2"/>
    <mergeCell ref="AX2:AZ2"/>
    <mergeCell ref="AP2:AR2"/>
    <mergeCell ref="B2:E2"/>
    <mergeCell ref="Z2:AB2"/>
    <mergeCell ref="AH2:AJ2"/>
    <mergeCell ref="AL2:AN2"/>
    <mergeCell ref="N2:P2"/>
    <mergeCell ref="V2:X2"/>
    <mergeCell ref="R2:T2"/>
    <mergeCell ref="J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103"/>
  <sheetViews>
    <sheetView tabSelected="1" zoomScale="79" zoomScaleNormal="79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50.7109375" style="160" bestFit="1" customWidth="1"/>
    <col min="2" max="4" width="18.140625" style="1" customWidth="1"/>
    <col min="5" max="5" width="12.140625" style="1" customWidth="1"/>
    <col min="6" max="8" width="18.140625" style="1" customWidth="1"/>
    <col min="9" max="9" width="12.140625" style="1" customWidth="1"/>
    <col min="10" max="12" width="18.140625" style="1" customWidth="1"/>
    <col min="13" max="13" width="12.140625" customWidth="1"/>
    <col min="15" max="15" width="13.7109375" customWidth="1"/>
    <col min="16" max="16" width="12.140625" customWidth="1"/>
    <col min="17" max="17" width="15.28515625" customWidth="1"/>
  </cols>
  <sheetData>
    <row r="1" spans="1:16" s="159" customFormat="1" ht="23.25">
      <c r="B1" s="195"/>
      <c r="C1" s="195"/>
      <c r="D1" s="195"/>
      <c r="E1" s="195"/>
      <c r="F1" s="705" t="s">
        <v>239</v>
      </c>
      <c r="G1" s="705"/>
      <c r="H1" s="705"/>
      <c r="I1" s="705"/>
      <c r="J1" s="195"/>
      <c r="K1" s="195"/>
      <c r="L1" s="195"/>
      <c r="M1" s="195"/>
      <c r="N1" s="193"/>
    </row>
    <row r="2" spans="1:16" s="159" customFormat="1" ht="20.25">
      <c r="A2" s="369"/>
      <c r="B2" s="194"/>
      <c r="C2" s="194"/>
      <c r="D2" s="194"/>
      <c r="E2" s="194"/>
      <c r="F2" s="706" t="s">
        <v>16</v>
      </c>
      <c r="G2" s="706"/>
      <c r="H2" s="706"/>
      <c r="I2" s="706"/>
      <c r="J2" s="194"/>
      <c r="K2" s="194"/>
      <c r="L2" s="194"/>
      <c r="M2" s="194"/>
      <c r="N2" s="193"/>
    </row>
    <row r="3" spans="1:16" s="159" customFormat="1" ht="21" customHeight="1">
      <c r="B3" s="194"/>
      <c r="C3" s="194"/>
      <c r="D3" s="194"/>
      <c r="E3" s="194"/>
      <c r="F3" s="707">
        <v>2014</v>
      </c>
      <c r="G3" s="707"/>
      <c r="H3" s="707"/>
      <c r="I3" s="707"/>
      <c r="J3" s="194"/>
      <c r="K3" s="194"/>
      <c r="L3" s="194"/>
      <c r="M3" s="194"/>
      <c r="N3" s="193"/>
    </row>
    <row r="4" spans="1:16" s="159" customFormat="1" ht="16.5" customHeight="1">
      <c r="B4" s="194"/>
      <c r="C4" s="194"/>
      <c r="D4" s="194"/>
      <c r="E4" s="194"/>
      <c r="F4" s="212"/>
      <c r="G4" s="212"/>
      <c r="H4" s="212"/>
      <c r="I4" s="212"/>
      <c r="J4" s="194"/>
      <c r="K4" s="194"/>
      <c r="L4" s="194"/>
      <c r="M4" s="194"/>
      <c r="N4" s="193"/>
    </row>
    <row r="5" spans="1:16" s="159" customFormat="1" ht="18.75" customHeight="1">
      <c r="A5" s="369"/>
      <c r="B5" s="194"/>
      <c r="C5" s="716" t="str">
        <f>'Chart Data'!$E$37</f>
        <v>Sunday</v>
      </c>
      <c r="D5" s="716"/>
      <c r="E5" s="194"/>
      <c r="F5" s="212"/>
      <c r="G5" s="212"/>
      <c r="H5" s="212"/>
      <c r="I5" s="212"/>
      <c r="J5" s="194"/>
      <c r="K5" s="194"/>
      <c r="L5" s="194"/>
      <c r="M5" s="194"/>
      <c r="N5" s="193"/>
    </row>
    <row r="6" spans="1:16" s="159" customFormat="1" ht="18">
      <c r="A6" s="195"/>
      <c r="B6" s="575" t="s">
        <v>324</v>
      </c>
      <c r="C6" s="715">
        <f>'Chart Data'!D37</f>
        <v>41966</v>
      </c>
      <c r="D6" s="715"/>
      <c r="E6" s="571"/>
      <c r="F6" s="708" t="str">
        <f>"Month to Date as of "&amp; TEXT(DATE($F$3,MONTH('Input Data'!$A$4),'Input Data'!$A$1),"M/D")</f>
        <v>Month to Date as of 11/23</v>
      </c>
      <c r="G6" s="709"/>
      <c r="H6" s="709"/>
      <c r="I6" s="710"/>
      <c r="J6" s="712" t="str">
        <f>"Year to Date as of "&amp; TEXT(DATE($F$3,MONTH('Input Data'!$A$4),'Input Data'!$A$1),"M/D")</f>
        <v>Year to Date as of 11/23</v>
      </c>
      <c r="K6" s="713"/>
      <c r="L6" s="713"/>
      <c r="M6" s="714"/>
      <c r="N6" s="193"/>
    </row>
    <row r="7" spans="1:16" s="159" customFormat="1" ht="18" customHeight="1">
      <c r="A7" s="196"/>
      <c r="B7" s="292" t="s">
        <v>50</v>
      </c>
      <c r="C7" s="293" t="s">
        <v>405</v>
      </c>
      <c r="D7" s="293" t="s">
        <v>104</v>
      </c>
      <c r="E7" s="298" t="s">
        <v>127</v>
      </c>
      <c r="F7" s="294" t="s">
        <v>50</v>
      </c>
      <c r="G7" s="295" t="s">
        <v>405</v>
      </c>
      <c r="H7" s="295" t="s">
        <v>104</v>
      </c>
      <c r="I7" s="299" t="s">
        <v>127</v>
      </c>
      <c r="J7" s="296" t="s">
        <v>50</v>
      </c>
      <c r="K7" s="297" t="s">
        <v>405</v>
      </c>
      <c r="L7" s="297" t="s">
        <v>104</v>
      </c>
      <c r="M7" s="300" t="s">
        <v>127</v>
      </c>
      <c r="N7" s="193"/>
    </row>
    <row r="8" spans="1:16" s="93" customFormat="1" ht="15" customHeight="1">
      <c r="A8" s="197"/>
      <c r="B8" s="572"/>
      <c r="C8" s="573"/>
      <c r="D8" s="573"/>
      <c r="E8" s="574" t="s">
        <v>128</v>
      </c>
      <c r="F8" s="361"/>
      <c r="G8" s="362"/>
      <c r="H8" s="362"/>
      <c r="I8" s="299" t="s">
        <v>128</v>
      </c>
      <c r="J8" s="365"/>
      <c r="K8" s="366"/>
      <c r="L8" s="366"/>
      <c r="M8" s="300" t="s">
        <v>128</v>
      </c>
    </row>
    <row r="9" spans="1:16" ht="16.5" customHeight="1">
      <c r="A9" s="570" t="s">
        <v>221</v>
      </c>
      <c r="B9" s="202">
        <f>(VLOOKUP($C$6,'Input Data'!A4:AH34,2,0))</f>
        <v>18512.580000000002</v>
      </c>
      <c r="C9" s="202">
        <f>(HLOOKUP($F$2,'2014 Budget'!$D$6:$P$111,8,0)/HLOOKUP($F$2,'2014 Budget'!$D$6:$P$111,2,0))</f>
        <v>2932.8733333333334</v>
      </c>
      <c r="D9" s="202">
        <f>B9-C9</f>
        <v>15579.706666666669</v>
      </c>
      <c r="E9" s="204"/>
      <c r="F9" s="198">
        <f>'Input Data'!I36</f>
        <v>871243.77999999991</v>
      </c>
      <c r="G9" s="199">
        <f>C9*'Input Data'!A1</f>
        <v>67456.08666666667</v>
      </c>
      <c r="H9" s="199">
        <f>F9-G9</f>
        <v>803787.69333333324</v>
      </c>
      <c r="I9" s="199"/>
      <c r="J9" s="198">
        <f>'Year to Date'!G20+F9</f>
        <v>31392714.780000001</v>
      </c>
      <c r="K9" s="199">
        <f>'Year to Date'!G59+G9</f>
        <v>10578550.786666665</v>
      </c>
      <c r="L9" s="199">
        <f>J9-K9</f>
        <v>20814163.993333336</v>
      </c>
      <c r="M9" s="200"/>
      <c r="N9" s="93"/>
      <c r="O9" s="223"/>
    </row>
    <row r="10" spans="1:16" ht="16.5" customHeight="1">
      <c r="A10" s="379" t="s">
        <v>222</v>
      </c>
      <c r="B10" s="202">
        <f>(VLOOKUP($C$6,'Input Data'!A4:AH34,20,0))</f>
        <v>0</v>
      </c>
      <c r="C10" s="202">
        <f>(HLOOKUP($F$2,'2014 Budget'!$D$6:$P$111,13,0)/HLOOKUP($F$2,'2014 Budget'!$D$6:$P$111,2,0))</f>
        <v>0</v>
      </c>
      <c r="D10" s="202">
        <f>C10-B10</f>
        <v>0</v>
      </c>
      <c r="E10" s="204"/>
      <c r="F10" s="201">
        <f>'Input Data'!T36</f>
        <v>4602.1399999999921</v>
      </c>
      <c r="G10" s="202">
        <f>C10*'Input Data'!A1</f>
        <v>0</v>
      </c>
      <c r="H10" s="202">
        <f>G10-F10</f>
        <v>-4602.1399999999921</v>
      </c>
      <c r="I10" s="202"/>
      <c r="J10" s="201">
        <f>'Year to Date'!Y20+F10</f>
        <v>131102.61222699968</v>
      </c>
      <c r="K10" s="202">
        <f>'Year to Date'!J59+G10</f>
        <v>26655.3</v>
      </c>
      <c r="L10" s="202">
        <f>K10-J10</f>
        <v>-104447.31222699968</v>
      </c>
      <c r="M10" s="203"/>
      <c r="N10" s="93"/>
      <c r="O10" s="223"/>
    </row>
    <row r="11" spans="1:16" ht="16.5" customHeight="1">
      <c r="A11" s="379" t="s">
        <v>223</v>
      </c>
      <c r="B11" s="202">
        <f>(VLOOKUP($C$6,'Input Data'!A4:AH34,25,0))</f>
        <v>14211.6846625</v>
      </c>
      <c r="C11" s="202">
        <f>(HLOOKUP($F$2,'2014 Budget'!$D$6:$P$111,28,0)/HLOOKUP($F$2,'2014 Budget'!$D$6:$P$111,2,0))</f>
        <v>2256.5766666666668</v>
      </c>
      <c r="D11" s="202">
        <f>C11-B11</f>
        <v>-11955.107995833332</v>
      </c>
      <c r="E11" s="204"/>
      <c r="F11" s="201">
        <f>'Input Data'!Y36</f>
        <v>618481.59110638907</v>
      </c>
      <c r="G11" s="202">
        <f>C11*'Input Data'!A1</f>
        <v>51901.263333333336</v>
      </c>
      <c r="H11" s="202">
        <f>G11-F11</f>
        <v>-566580.32777305576</v>
      </c>
      <c r="I11" s="202"/>
      <c r="J11" s="201">
        <f>'Year to Date'!X20+F11</f>
        <v>16936123.77250639</v>
      </c>
      <c r="K11" s="202">
        <f>'Year to Date'!I59+G11</f>
        <v>7303083.0633333344</v>
      </c>
      <c r="L11" s="202">
        <f>K11-J11</f>
        <v>-9633040.7091730554</v>
      </c>
      <c r="M11" s="203"/>
      <c r="N11" s="93"/>
      <c r="O11" s="223"/>
    </row>
    <row r="12" spans="1:16" ht="16.5" customHeight="1">
      <c r="A12" s="379" t="s">
        <v>273</v>
      </c>
      <c r="B12" s="202">
        <f>(VLOOKUP($C$6,'Input Data'!A4:AH34,19,0))</f>
        <v>169.5</v>
      </c>
      <c r="C12" s="202">
        <f>(HLOOKUP($F$2,'2014 Budget'!$D$6:$P$111,17,0)/HLOOKUP($F$2,'2014 Budget'!$D$6:$P$111,2,0))</f>
        <v>0</v>
      </c>
      <c r="D12" s="202">
        <f>C12-B12</f>
        <v>-169.5</v>
      </c>
      <c r="E12" s="204" t="s">
        <v>68</v>
      </c>
      <c r="F12" s="201">
        <f>'Input Data'!S36</f>
        <v>9154.5</v>
      </c>
      <c r="G12" s="202">
        <f>C12*'Input Data'!A1</f>
        <v>0</v>
      </c>
      <c r="H12" s="202">
        <f>G12-F12</f>
        <v>-9154.5</v>
      </c>
      <c r="I12" s="202"/>
      <c r="J12" s="201">
        <f>'Year to Date'!H20+'Year to Date'!W20+F12</f>
        <v>299350.5</v>
      </c>
      <c r="K12" s="202">
        <f>'Year to Date'!L59+G12</f>
        <v>0</v>
      </c>
      <c r="L12" s="202">
        <f>K12-J12</f>
        <v>-299350.5</v>
      </c>
      <c r="M12" s="203"/>
      <c r="N12" s="93"/>
      <c r="O12" s="223"/>
    </row>
    <row r="13" spans="1:16" ht="16.5" customHeight="1">
      <c r="A13" s="379" t="s">
        <v>224</v>
      </c>
      <c r="B13" s="202">
        <f>(VLOOKUP($C$6,'Input Data'!A4:AH34,18,0))</f>
        <v>0</v>
      </c>
      <c r="C13" s="202">
        <f>(HLOOKUP($F$2,'2014 Budget'!$D$6:$P$111,21,0)/HLOOKUP($F$2,'2014 Budget'!$D$6:$P$111,2,0))</f>
        <v>100.76</v>
      </c>
      <c r="D13" s="202">
        <f>C13-B13</f>
        <v>100.76</v>
      </c>
      <c r="E13" s="204"/>
      <c r="F13" s="201">
        <f>'Input Data'!R36</f>
        <v>10085.521238000001</v>
      </c>
      <c r="G13" s="202">
        <f>C13*'Input Data'!A1</f>
        <v>2317.48</v>
      </c>
      <c r="H13" s="202">
        <f>G13-F13</f>
        <v>-7768.0412380000016</v>
      </c>
      <c r="I13" s="202"/>
      <c r="J13" s="201">
        <f>'Year to Date'!I20+F13</f>
        <v>1500575.5212379999</v>
      </c>
      <c r="K13" s="202">
        <f>'Year to Date'!K59+G13</f>
        <v>434006.58</v>
      </c>
      <c r="L13" s="202">
        <f>K13-J13</f>
        <v>-1066568.9412379998</v>
      </c>
      <c r="M13" s="203"/>
      <c r="N13" s="93"/>
      <c r="O13" s="223"/>
    </row>
    <row r="14" spans="1:16" ht="16.5" customHeight="1">
      <c r="A14" s="379" t="s">
        <v>225</v>
      </c>
      <c r="B14" s="202">
        <f>(VLOOKUP($C$6,'Input Data'!A4:AH34,6,0))</f>
        <v>0</v>
      </c>
      <c r="C14" s="202">
        <f>(HLOOKUP($F$2,'2014 Budget'!$D$6:$P$111,23,0)/HLOOKUP($F$2,'2014 Budget'!$D$6:$P$111,2,0))</f>
        <v>194.62946666666664</v>
      </c>
      <c r="D14" s="202">
        <f>C14-B14</f>
        <v>194.62946666666664</v>
      </c>
      <c r="E14" s="204"/>
      <c r="F14" s="201">
        <f>'Input Data'!F36</f>
        <v>54630.186199999989</v>
      </c>
      <c r="G14" s="202">
        <f>C14*'Input Data'!A1</f>
        <v>4476.4777333333332</v>
      </c>
      <c r="H14" s="202">
        <f>G14-F14</f>
        <v>-50153.708466666656</v>
      </c>
      <c r="I14" s="202"/>
      <c r="J14" s="201">
        <f>'Year to Date'!Q20+F14</f>
        <v>1638086.1861999999</v>
      </c>
      <c r="K14" s="202">
        <f>'Year to Date'!M59+G14</f>
        <v>781818.1917333334</v>
      </c>
      <c r="L14" s="202">
        <f>K14-J14</f>
        <v>-856267.99446666648</v>
      </c>
      <c r="M14" s="203"/>
      <c r="N14" s="93"/>
      <c r="O14" s="317"/>
      <c r="P14" s="317"/>
    </row>
    <row r="15" spans="1:16" ht="16.5" customHeight="1">
      <c r="A15" s="379"/>
      <c r="B15" s="201"/>
      <c r="C15" s="202"/>
      <c r="D15" s="202"/>
      <c r="E15" s="210"/>
      <c r="F15" s="201"/>
      <c r="G15" s="202"/>
      <c r="H15" s="202"/>
      <c r="I15" s="202"/>
      <c r="J15" s="201"/>
      <c r="K15" s="202"/>
      <c r="L15" s="202"/>
      <c r="M15" s="203"/>
      <c r="N15" s="93"/>
    </row>
    <row r="16" spans="1:16" ht="16.5" customHeight="1">
      <c r="A16" s="380" t="s">
        <v>247</v>
      </c>
      <c r="B16" s="201">
        <f>B9-B10-B11-B12-B13-B14</f>
        <v>4131.3953375000019</v>
      </c>
      <c r="C16" s="202">
        <f>C9-C10-C11-C12-C13-C14</f>
        <v>380.90719999999999</v>
      </c>
      <c r="D16" s="202">
        <f>B16-C16</f>
        <v>3750.4881375000018</v>
      </c>
      <c r="E16" s="211">
        <f>IFERROR((B16/C16)-1,"-")</f>
        <v>9.8461991201531553</v>
      </c>
      <c r="F16" s="201">
        <f>F9-F10-F11-F12-F13-F14</f>
        <v>174289.84145561082</v>
      </c>
      <c r="G16" s="202">
        <f>G9-G10-G11-G12-G13-G14</f>
        <v>8760.865600000001</v>
      </c>
      <c r="H16" s="202">
        <f>F16-G16</f>
        <v>165528.97585561083</v>
      </c>
      <c r="I16" s="272">
        <f>IFERROR((F16/G16)-1,"-")</f>
        <v>18.894134827911387</v>
      </c>
      <c r="J16" s="201">
        <f>J9-J10-J11-J12-J13-J14</f>
        <v>10887476.187828612</v>
      </c>
      <c r="K16" s="202">
        <f>K9-K10-K11-K12-K13-K14</f>
        <v>2032987.6515999967</v>
      </c>
      <c r="L16" s="202">
        <f>J16-K16</f>
        <v>8854488.5362286158</v>
      </c>
      <c r="M16" s="211">
        <f>(J16/K16)-1</f>
        <v>4.3554069446806416</v>
      </c>
      <c r="N16" s="93"/>
      <c r="O16" s="223"/>
    </row>
    <row r="17" spans="1:15" ht="16.5" customHeight="1">
      <c r="A17" s="527" t="s">
        <v>406</v>
      </c>
      <c r="B17" s="528">
        <f>B16</f>
        <v>4131.3953375000019</v>
      </c>
      <c r="C17" s="529">
        <f>(HLOOKUP($F$2,'2014 Budget'!$D$6:$P$111,64,0)/HLOOKUP($F$2,'2014 Budget'!$D$6:$P$111,2,0))</f>
        <v>1102.0333333333299</v>
      </c>
      <c r="D17" s="529">
        <f>B17-C17</f>
        <v>3029.3620041666718</v>
      </c>
      <c r="E17" s="531">
        <f>IFERROR((B17/C17)-1,"-")</f>
        <v>2.7488841875623979</v>
      </c>
      <c r="F17" s="528">
        <f>F16</f>
        <v>174289.84145561082</v>
      </c>
      <c r="G17" s="529">
        <f>C17*'Input Data'!A1</f>
        <v>25346.766666666586</v>
      </c>
      <c r="H17" s="529">
        <f>F17-G17</f>
        <v>148943.07478894424</v>
      </c>
      <c r="I17" s="531">
        <f>(F17/G17)-1</f>
        <v>5.8762159587328577</v>
      </c>
      <c r="J17" s="528">
        <f>J16</f>
        <v>10887476.187828612</v>
      </c>
      <c r="K17" s="529">
        <f>'Year to Date'!V40+G17</f>
        <v>10472064.913039668</v>
      </c>
      <c r="L17" s="529">
        <f>J17-K17</f>
        <v>415411.27478894405</v>
      </c>
      <c r="M17" s="530">
        <f>(J17/K17)-1</f>
        <v>3.9668516022248745E-2</v>
      </c>
      <c r="N17" s="93"/>
      <c r="O17" s="223"/>
    </row>
    <row r="18" spans="1:15" ht="16.5" customHeight="1">
      <c r="A18" s="379"/>
      <c r="B18" s="201"/>
      <c r="C18" s="202"/>
      <c r="D18" s="202"/>
      <c r="E18" s="211"/>
      <c r="F18" s="201"/>
      <c r="G18" s="202"/>
      <c r="H18" s="202"/>
      <c r="I18" s="272"/>
      <c r="J18" s="201"/>
      <c r="K18" s="202"/>
      <c r="L18" s="202"/>
      <c r="M18" s="211"/>
      <c r="N18" s="93"/>
      <c r="O18" s="223"/>
    </row>
    <row r="19" spans="1:15" ht="16.5" customHeight="1">
      <c r="A19" s="379"/>
      <c r="B19" s="201"/>
      <c r="C19" s="208"/>
      <c r="D19" s="208"/>
      <c r="E19" s="204"/>
      <c r="F19" s="201"/>
      <c r="G19" s="202"/>
      <c r="H19" s="202"/>
      <c r="I19" s="272"/>
      <c r="J19" s="218"/>
      <c r="K19" s="202"/>
      <c r="L19" s="202"/>
      <c r="M19" s="211"/>
      <c r="N19" s="93"/>
    </row>
    <row r="20" spans="1:15" ht="16.5" customHeight="1">
      <c r="A20" s="380" t="s">
        <v>226</v>
      </c>
      <c r="B20" s="207"/>
      <c r="C20" s="208"/>
      <c r="D20" s="208"/>
      <c r="E20" s="204"/>
      <c r="F20" s="219"/>
      <c r="G20" s="209"/>
      <c r="H20" s="209"/>
      <c r="I20" s="209"/>
      <c r="J20" s="201"/>
      <c r="K20" s="209"/>
      <c r="L20" s="209"/>
      <c r="M20" s="220"/>
      <c r="N20" s="93"/>
    </row>
    <row r="21" spans="1:15" ht="16.5" customHeight="1">
      <c r="A21" s="379" t="s">
        <v>227</v>
      </c>
      <c r="B21" s="202">
        <f>(VLOOKUP($C$6,'Input Data'!A4:AH34,24,0))</f>
        <v>339</v>
      </c>
      <c r="C21" s="202">
        <f>(HLOOKUP($F$2,'2014 Budget'!$D$6:$P$111,26,0)/HLOOKUP($F$2,'2014 Budget'!$D$6:$P$111,2,0))</f>
        <v>79.253333333333345</v>
      </c>
      <c r="D21" s="216">
        <f>B21-C21</f>
        <v>259.74666666666667</v>
      </c>
      <c r="E21" s="211">
        <f>IFERROR((B21/C21)-1,"-")</f>
        <v>3.2774226110363385</v>
      </c>
      <c r="F21" s="201">
        <f>'Input Data'!X36</f>
        <v>18309</v>
      </c>
      <c r="G21" s="202">
        <f>C21*'Input Data'!A1</f>
        <v>1822.8266666666668</v>
      </c>
      <c r="H21" s="216">
        <f>F21-G21</f>
        <v>16486.173333333332</v>
      </c>
      <c r="I21" s="272">
        <f>IFERROR((F21/G21)-1,"-")</f>
        <v>9.0442901866697873</v>
      </c>
      <c r="J21" s="201">
        <f>'Year to Date'!U20+F21</f>
        <v>462257</v>
      </c>
      <c r="K21" s="202">
        <f>'Year to Date'!C59+G21</f>
        <v>252843.12666666662</v>
      </c>
      <c r="L21" s="216">
        <f>J21-K21</f>
        <v>209413.87333333338</v>
      </c>
      <c r="M21" s="211">
        <f>(J21/K21)-1</f>
        <v>0.82823636969737446</v>
      </c>
      <c r="N21" s="93"/>
    </row>
    <row r="22" spans="1:15" ht="16.5" customHeight="1">
      <c r="A22" s="379" t="s">
        <v>228</v>
      </c>
      <c r="B22" s="202">
        <f>(VLOOKUP($C$6,'Input Data'!A4:AH34,23,0))</f>
        <v>0</v>
      </c>
      <c r="C22" s="202">
        <f>(HLOOKUP($F$2,'2014 Budget'!$D$6:$P$111,77,0)/HLOOKUP($F$2,'2014 Budget'!$D$6:$P$111,2,0))</f>
        <v>0</v>
      </c>
      <c r="D22" s="202">
        <f>B22-C22</f>
        <v>0</v>
      </c>
      <c r="E22" s="211"/>
      <c r="F22" s="201">
        <f>'Input Data'!W36</f>
        <v>101</v>
      </c>
      <c r="G22" s="202">
        <f>C22*'Input Data'!A1</f>
        <v>0</v>
      </c>
      <c r="H22" s="202">
        <f>F22-G22</f>
        <v>101</v>
      </c>
      <c r="I22" s="272"/>
      <c r="J22" s="201">
        <f>'Year to Date'!P59+F22</f>
        <v>3052</v>
      </c>
      <c r="K22" s="202">
        <f>'Year to Date'!D59+G22</f>
        <v>485.20000000000005</v>
      </c>
      <c r="L22" s="202">
        <f>J22-K22</f>
        <v>2566.8000000000002</v>
      </c>
      <c r="M22" s="211"/>
      <c r="N22" s="93"/>
    </row>
    <row r="23" spans="1:15" ht="16.5" customHeight="1">
      <c r="A23" s="379" t="s">
        <v>229</v>
      </c>
      <c r="B23" s="201">
        <f>SUM(B21:B22)</f>
        <v>339</v>
      </c>
      <c r="C23" s="202">
        <f>SUM(C21:C22)</f>
        <v>79.253333333333345</v>
      </c>
      <c r="D23" s="202">
        <f>B23-C23</f>
        <v>259.74666666666667</v>
      </c>
      <c r="E23" s="211">
        <f>IFERROR((B23/C23)-1,"-")</f>
        <v>3.2774226110363385</v>
      </c>
      <c r="F23" s="201">
        <f>SUM(F21:F22)</f>
        <v>18410</v>
      </c>
      <c r="G23" s="202">
        <f>C23*'Input Data'!A1</f>
        <v>1822.8266666666668</v>
      </c>
      <c r="H23" s="202">
        <f>F23-G23</f>
        <v>16587.173333333332</v>
      </c>
      <c r="I23" s="272">
        <f>IFERROR((F23/G23)-1,"-")</f>
        <v>9.0996986365498262</v>
      </c>
      <c r="J23" s="201">
        <f>SUM(J21:J22)</f>
        <v>465309</v>
      </c>
      <c r="K23" s="202">
        <f>SUM(K21:K22)</f>
        <v>253328.32666666663</v>
      </c>
      <c r="L23" s="202">
        <f>J23-K23</f>
        <v>211980.67333333337</v>
      </c>
      <c r="M23" s="211">
        <f>(J23/K23)-1</f>
        <v>0.83678235325124484</v>
      </c>
      <c r="N23" s="93"/>
    </row>
    <row r="24" spans="1:15" ht="16.5" customHeight="1">
      <c r="A24" s="379"/>
      <c r="B24" s="201"/>
      <c r="C24" s="202"/>
      <c r="D24" s="202"/>
      <c r="E24" s="211"/>
      <c r="F24" s="201"/>
      <c r="G24" s="202"/>
      <c r="H24" s="202"/>
      <c r="I24" s="272"/>
      <c r="J24" s="201"/>
      <c r="K24" s="202"/>
      <c r="L24" s="202"/>
      <c r="M24" s="211"/>
      <c r="N24" s="93"/>
    </row>
    <row r="25" spans="1:15" ht="16.5" customHeight="1">
      <c r="A25" s="379" t="s">
        <v>230</v>
      </c>
      <c r="B25" s="218">
        <f>IFERROR(B9/B23,"-")</f>
        <v>54.609380530973453</v>
      </c>
      <c r="C25" s="217">
        <f>IFERROR(C9/C23,"-")</f>
        <v>37.006308882907128</v>
      </c>
      <c r="D25" s="217">
        <f>IFERROR(B25-C25,"-")</f>
        <v>17.603071648066326</v>
      </c>
      <c r="E25" s="211">
        <f>IFERROR((B25/C25)-1,"-")</f>
        <v>0.4756775852399866</v>
      </c>
      <c r="F25" s="218">
        <f>IFERROR(F9/F23,"-")</f>
        <v>47.324485605649102</v>
      </c>
      <c r="G25" s="217">
        <f>IFERROR(G9/G23,"-")</f>
        <v>37.006308882907135</v>
      </c>
      <c r="H25" s="217">
        <f>IFERROR(F25-G25,"-")</f>
        <v>10.318176722741967</v>
      </c>
      <c r="I25" s="272">
        <f>IFERROR((F25/G25)-1,"-")</f>
        <v>0.27882209910180578</v>
      </c>
      <c r="J25" s="218">
        <f>J9/J23</f>
        <v>67.466382081584499</v>
      </c>
      <c r="K25" s="217">
        <f>K9/K23</f>
        <v>41.758262590926471</v>
      </c>
      <c r="L25" s="217">
        <f>J25-K25</f>
        <v>25.708119490658028</v>
      </c>
      <c r="M25" s="211">
        <f>(J25/K25)-1</f>
        <v>0.61564150171908905</v>
      </c>
      <c r="N25" s="93"/>
    </row>
    <row r="26" spans="1:15" ht="16.5" customHeight="1">
      <c r="A26" s="379" t="s">
        <v>231</v>
      </c>
      <c r="B26" s="218">
        <f>IFERROR((B9-B13-B14)/B23,"-")</f>
        <v>54.609380530973453</v>
      </c>
      <c r="C26" s="217">
        <f>IFERROR((C9-C13-C14)/C23,"-")</f>
        <v>33.279153768506049</v>
      </c>
      <c r="D26" s="217">
        <f>IFERROR(B26-C26,"-")</f>
        <v>21.330226762467404</v>
      </c>
      <c r="E26" s="210"/>
      <c r="F26" s="218">
        <f>IFERROR((F9-F13-F14)/F23,"-")</f>
        <v>43.809238053340572</v>
      </c>
      <c r="G26" s="217">
        <f>IFERROR((G9-G13-G14)/G23,"-")</f>
        <v>33.279153768506056</v>
      </c>
      <c r="H26" s="217">
        <f>IFERROR(F26-G26,"-")</f>
        <v>10.530084284834516</v>
      </c>
      <c r="I26" s="272"/>
      <c r="J26" s="218">
        <f>(J9-J13-J14)/J23</f>
        <v>60.721054337143705</v>
      </c>
      <c r="K26" s="217">
        <f>(K9-K13-K14)/K23</f>
        <v>36.958859430090314</v>
      </c>
      <c r="L26" s="217">
        <f>J26-K26</f>
        <v>23.762194907053392</v>
      </c>
      <c r="M26" s="211"/>
      <c r="N26" s="93"/>
    </row>
    <row r="27" spans="1:15" ht="16.5" customHeight="1">
      <c r="A27" s="379" t="s">
        <v>232</v>
      </c>
      <c r="B27" s="218">
        <f>IFERROR((B11+B12+B30)/(B23),"-")</f>
        <v>42.422373635693212</v>
      </c>
      <c r="C27" s="217">
        <f>IFERROR((C11+C12+C30)/(C23),"-")</f>
        <v>28.472955921938087</v>
      </c>
      <c r="D27" s="217">
        <f>IFERROR(C27-B27,"-")</f>
        <v>-13.949417713755125</v>
      </c>
      <c r="E27" s="210"/>
      <c r="F27" s="218">
        <f>IFERROR((F11+F12+F30)/(F23),"-")</f>
        <v>34.342109239890767</v>
      </c>
      <c r="G27" s="217">
        <f>IFERROR((G11+G12+G30)/(G23),"-")</f>
        <v>28.472955921938087</v>
      </c>
      <c r="H27" s="217">
        <f>IFERROR(G27-F27,"-")</f>
        <v>-5.86915331795268</v>
      </c>
      <c r="I27" s="272"/>
      <c r="J27" s="218">
        <f>(J11+J12+J30)/(J23)</f>
        <v>37.322675651520584</v>
      </c>
      <c r="K27" s="217">
        <f>(K11+K12+K13+K30)/(K23)</f>
        <v>30.646967299274792</v>
      </c>
      <c r="L27" s="217">
        <f>K27-J27</f>
        <v>-6.6757083522457918</v>
      </c>
      <c r="M27" s="211"/>
      <c r="N27" s="93"/>
    </row>
    <row r="28" spans="1:15" ht="16.5" customHeight="1">
      <c r="A28" s="379"/>
      <c r="B28" s="201"/>
      <c r="C28" s="202"/>
      <c r="D28" s="202"/>
      <c r="E28" s="203"/>
      <c r="F28" s="201"/>
      <c r="G28" s="202"/>
      <c r="H28" s="202"/>
      <c r="I28" s="202"/>
      <c r="J28" s="201"/>
      <c r="K28" s="202"/>
      <c r="L28" s="202"/>
      <c r="M28" s="203"/>
      <c r="N28" s="93"/>
    </row>
    <row r="29" spans="1:15" ht="16.5" customHeight="1">
      <c r="A29" s="379" t="s">
        <v>233</v>
      </c>
      <c r="B29" s="217">
        <f>(IFERROR(B11/B21,"-"))</f>
        <v>41.922373635693212</v>
      </c>
      <c r="C29" s="217">
        <f>IFERROR(C11/C21,"-")</f>
        <v>28.472955921938087</v>
      </c>
      <c r="D29" s="217">
        <f>(IFERROR(C29-B29,"-"))</f>
        <v>-13.449417713755125</v>
      </c>
      <c r="E29" s="211">
        <f>IFERROR((B29/C29)-1,"-")</f>
        <v>0.47235762070605758</v>
      </c>
      <c r="F29" s="218">
        <f>IFERROR('Input Data'!Z36,"-")</f>
        <v>33.78019504650112</v>
      </c>
      <c r="G29" s="217">
        <f>IFERROR(G11/G21,"-")</f>
        <v>28.472955921938087</v>
      </c>
      <c r="H29" s="217">
        <f>IFERROR(G29-F29,"-")</f>
        <v>-5.3072391245630328</v>
      </c>
      <c r="I29" s="272">
        <f>IFERROR((F29/G29)-1,"-")</f>
        <v>0.18639579041647258</v>
      </c>
      <c r="J29" s="218">
        <f>J11/J21</f>
        <v>36.637895743074502</v>
      </c>
      <c r="K29" s="217">
        <f>K11/K21</f>
        <v>28.883850471289598</v>
      </c>
      <c r="L29" s="217">
        <f>K29-J29</f>
        <v>-7.7540452717849035</v>
      </c>
      <c r="M29" s="211">
        <f>(K29/J29)-1</f>
        <v>-0.21164002775051882</v>
      </c>
      <c r="N29" s="93"/>
    </row>
    <row r="30" spans="1:15" ht="16.5" customHeight="1">
      <c r="A30" s="381" t="s">
        <v>234</v>
      </c>
      <c r="B30" s="202">
        <f>(VLOOKUP($C$6,'Input Data'!A4:AH34,22,0))</f>
        <v>0</v>
      </c>
      <c r="C30" s="206">
        <f>(HLOOKUP($F$2,'2014 Budget'!$D$6:$P$111,79,0)/HLOOKUP($F$2,'2014 Budget'!$D$6:$P$111,2,0))</f>
        <v>0</v>
      </c>
      <c r="D30" s="206">
        <f>C30-B30</f>
        <v>0</v>
      </c>
      <c r="E30" s="211" t="str">
        <f>IFERROR((B30/C30)-1,"-")</f>
        <v>-</v>
      </c>
      <c r="F30" s="205">
        <f>'Input Data'!V36</f>
        <v>4602.1399999999921</v>
      </c>
      <c r="G30" s="206">
        <f>C30*'Input Data'!A1</f>
        <v>0</v>
      </c>
      <c r="H30" s="206">
        <f>G30-F30</f>
        <v>-4602.1399999999921</v>
      </c>
      <c r="I30" s="272" t="str">
        <f>IFERROR((F30/G30)-1,"-")</f>
        <v>-</v>
      </c>
      <c r="J30" s="205">
        <f>'Year to Date'!Q59+F30</f>
        <v>131102.61222699968</v>
      </c>
      <c r="K30" s="206">
        <f>'Year to Date'!F59+G30</f>
        <v>26655.3</v>
      </c>
      <c r="L30" s="206">
        <f>K30-J30</f>
        <v>-104447.31222699968</v>
      </c>
      <c r="M30" s="213">
        <f>IFERROR((J30/K30)-1,"-")</f>
        <v>3.9184444454573644</v>
      </c>
      <c r="N30" s="93"/>
    </row>
    <row r="31" spans="1:15" ht="16.5" customHeight="1">
      <c r="A31" s="363"/>
      <c r="B31" s="198"/>
      <c r="C31" s="199"/>
      <c r="D31" s="199"/>
      <c r="E31" s="235"/>
      <c r="F31" s="198"/>
      <c r="G31" s="199"/>
      <c r="H31" s="199"/>
      <c r="I31" s="235"/>
      <c r="J31" s="202"/>
      <c r="K31" s="202"/>
      <c r="L31" s="202"/>
      <c r="M31" s="211"/>
      <c r="N31" s="93"/>
    </row>
    <row r="32" spans="1:15" ht="16.5" customHeight="1">
      <c r="A32" s="380" t="s">
        <v>353</v>
      </c>
      <c r="B32" s="201"/>
      <c r="C32" s="202"/>
      <c r="D32" s="202"/>
      <c r="E32" s="211"/>
      <c r="F32" s="201"/>
      <c r="G32" s="202"/>
      <c r="H32" s="202"/>
      <c r="I32" s="211"/>
      <c r="J32" s="217"/>
      <c r="K32" s="202"/>
      <c r="L32" s="202"/>
      <c r="M32" s="211"/>
      <c r="N32" s="93"/>
    </row>
    <row r="33" spans="1:17" ht="16.5" customHeight="1">
      <c r="A33" s="661" t="s">
        <v>402</v>
      </c>
      <c r="B33" s="201"/>
      <c r="C33" s="202"/>
      <c r="D33" s="202"/>
      <c r="E33" s="211"/>
      <c r="F33" s="201"/>
      <c r="G33" s="202"/>
      <c r="H33" s="202"/>
      <c r="I33" s="211"/>
      <c r="J33" s="202"/>
      <c r="K33" s="202"/>
      <c r="L33" s="202"/>
      <c r="M33" s="211"/>
      <c r="N33" s="93"/>
    </row>
    <row r="34" spans="1:17" ht="16.5" customHeight="1">
      <c r="A34" s="379" t="s">
        <v>240</v>
      </c>
      <c r="B34" s="202">
        <f>(VLOOKUP($C$6,'Input Data'!A4:AH34,33,0))</f>
        <v>81106</v>
      </c>
      <c r="C34" s="202">
        <f>(VLOOKUP($C$6,'Input Data'!A4:AH34,34,0))</f>
        <v>85606.636287763366</v>
      </c>
      <c r="D34" s="202">
        <f>B34-C34</f>
        <v>-4500.6362877633655</v>
      </c>
      <c r="E34" s="211">
        <f>(B34/C34)-1</f>
        <v>-5.2573450878675487E-2</v>
      </c>
      <c r="F34" s="201">
        <f>'Input Data'!AG36</f>
        <v>2222479</v>
      </c>
      <c r="G34" s="202">
        <f>'Input Data'!AH36</f>
        <v>2046882.2911240729</v>
      </c>
      <c r="H34" s="202">
        <f>F34-G34</f>
        <v>175596.70887592714</v>
      </c>
      <c r="I34" s="211">
        <f>(F34/G34)-1</f>
        <v>8.5787399518462815E-2</v>
      </c>
      <c r="J34" s="202">
        <f>'Year to Date'!L40+F34</f>
        <v>31907793.876342773</v>
      </c>
      <c r="K34" s="202">
        <f>'Year to Date'!M40+G34</f>
        <v>31972703.139374934</v>
      </c>
      <c r="L34" s="202">
        <f>J34-K34</f>
        <v>-64909.263032160699</v>
      </c>
      <c r="M34" s="679">
        <f>(J34/K34)-1</f>
        <v>-2.0301462390968084E-3</v>
      </c>
      <c r="N34" s="93"/>
      <c r="O34" s="223"/>
      <c r="P34" s="223"/>
      <c r="Q34" s="523"/>
    </row>
    <row r="35" spans="1:17" ht="16.5" customHeight="1">
      <c r="A35" s="379" t="s">
        <v>246</v>
      </c>
      <c r="B35" s="201">
        <f>(B34*0.94)*'Monthly Budget Data'!G39</f>
        <v>2041206.9364408078</v>
      </c>
      <c r="C35" s="202">
        <f>(C34*0.94)*'Monthly Budget Data'!G39</f>
        <v>2154475.1287937756</v>
      </c>
      <c r="D35" s="202">
        <f>B35-C35</f>
        <v>-113268.1923529678</v>
      </c>
      <c r="E35" s="211">
        <f>(B35/C35)-1</f>
        <v>-5.2573450878675598E-2</v>
      </c>
      <c r="F35" s="201">
        <f>(F34*0.94)*'Monthly Budget Data'!G39</f>
        <v>55933464.243015677</v>
      </c>
      <c r="G35" s="202">
        <f>(G34*0.94)*'Monthly Budget Data'!G39</f>
        <v>51514195.38283617</v>
      </c>
      <c r="H35" s="202">
        <f>F35-G35</f>
        <v>4419268.8601795062</v>
      </c>
      <c r="I35" s="211">
        <f>(F35/G35)-1</f>
        <v>8.5787399518462593E-2</v>
      </c>
      <c r="J35" s="202">
        <f>'Year to Date'!N40+F35</f>
        <v>834623026.41509628</v>
      </c>
      <c r="K35" s="202">
        <f>'Year to Date'!O40+G35</f>
        <v>841829709.41002429</v>
      </c>
      <c r="L35" s="202">
        <f>J35-K35</f>
        <v>-7206682.9949280024</v>
      </c>
      <c r="M35" s="211">
        <f>(J35/K35)-1</f>
        <v>-8.5607373015840205E-3</v>
      </c>
      <c r="N35" s="93"/>
      <c r="O35" s="223"/>
      <c r="P35" s="223"/>
      <c r="Q35" s="317"/>
    </row>
    <row r="36" spans="1:17" ht="16.5" customHeight="1">
      <c r="A36" s="379"/>
      <c r="B36" s="201"/>
      <c r="C36" s="202"/>
      <c r="D36" s="202"/>
      <c r="E36" s="211"/>
      <c r="F36" s="201"/>
      <c r="G36" s="202"/>
      <c r="H36" s="202"/>
      <c r="I36" s="211"/>
      <c r="J36" s="202"/>
      <c r="K36" s="202"/>
      <c r="L36" s="202"/>
      <c r="M36" s="211"/>
      <c r="N36" s="93"/>
      <c r="O36" s="223"/>
      <c r="P36" s="223"/>
      <c r="Q36" s="317"/>
    </row>
    <row r="37" spans="1:17" ht="16.5" customHeight="1">
      <c r="A37" s="662" t="s">
        <v>407</v>
      </c>
      <c r="B37" s="201"/>
      <c r="C37" s="202"/>
      <c r="D37" s="202"/>
      <c r="E37" s="211"/>
      <c r="F37" s="201"/>
      <c r="G37" s="202"/>
      <c r="H37" s="202"/>
      <c r="I37" s="211"/>
      <c r="J37" s="202"/>
      <c r="K37" s="202"/>
      <c r="L37" s="202"/>
      <c r="M37" s="211"/>
      <c r="N37" s="93"/>
    </row>
    <row r="38" spans="1:17" ht="16.5" customHeight="1">
      <c r="A38" s="527" t="s">
        <v>304</v>
      </c>
      <c r="B38" s="528">
        <f>(VLOOKUP($C$6,'Input Data'!A4:AH34,33,0))</f>
        <v>81106</v>
      </c>
      <c r="C38" s="529">
        <f>(VLOOKUP($C$6,'Input Data'!A4:AH34,29,0))</f>
        <v>84751.291588829641</v>
      </c>
      <c r="D38" s="529">
        <f>B38-C38</f>
        <v>-3645.2915888296411</v>
      </c>
      <c r="E38" s="532">
        <f>(B38/C38)-1</f>
        <v>-4.3011634636965224E-2</v>
      </c>
      <c r="F38" s="528">
        <f>'Input Data'!AG36</f>
        <v>2222479</v>
      </c>
      <c r="G38" s="529">
        <f>'Input Data'!AC36</f>
        <v>2026430.7234305467</v>
      </c>
      <c r="H38" s="529">
        <f>F38-G38</f>
        <v>196048.2765694533</v>
      </c>
      <c r="I38" s="533">
        <f>(F38/G38)-1</f>
        <v>9.6745610053504905E-2</v>
      </c>
      <c r="J38" s="529">
        <f>'Year to Date'!L40+F38</f>
        <v>31907793.876342773</v>
      </c>
      <c r="K38" s="529">
        <f>'Year to Date'!S40+G38</f>
        <v>31780997.74757985</v>
      </c>
      <c r="L38" s="529">
        <f>J38-K38</f>
        <v>126796.12876292318</v>
      </c>
      <c r="M38" s="680">
        <f>(J38/K38)-1</f>
        <v>3.9896837025068521E-3</v>
      </c>
      <c r="N38" s="93"/>
    </row>
    <row r="39" spans="1:17" ht="16.5" customHeight="1">
      <c r="A39" s="527" t="s">
        <v>305</v>
      </c>
      <c r="B39" s="528">
        <f>(B38*0.94)*'Monthly Budget Data'!G39</f>
        <v>2041206.9364408078</v>
      </c>
      <c r="C39" s="529">
        <f>(C38*0.94)*'Monthly Budget Data'!G40</f>
        <v>2126432.3993642931</v>
      </c>
      <c r="D39" s="529">
        <f>B39-C39</f>
        <v>-85225.46292348532</v>
      </c>
      <c r="E39" s="532">
        <f>(B39/C39)-1</f>
        <v>-4.0079084079495675E-2</v>
      </c>
      <c r="F39" s="528">
        <f>(F38*0.94)*'Monthly Budget Data'!G39</f>
        <v>55933464.243015677</v>
      </c>
      <c r="G39" s="529">
        <f>(G38*0.94)*'Monthly Budget Data'!G40</f>
        <v>50843684.675336324</v>
      </c>
      <c r="H39" s="529">
        <f>F39-G39</f>
        <v>5089779.5676793531</v>
      </c>
      <c r="I39" s="533">
        <f>(F39/G39)-1</f>
        <v>0.10010642619983723</v>
      </c>
      <c r="J39" s="528">
        <f>'Year to Date'!N40+F39</f>
        <v>834623026.41509628</v>
      </c>
      <c r="K39" s="529">
        <f>'Year to Date'!T40+G39</f>
        <v>834071179.72143269</v>
      </c>
      <c r="L39" s="529">
        <f>J39-K39</f>
        <v>551846.69366359711</v>
      </c>
      <c r="M39" s="533">
        <f>(J39/K39)-1</f>
        <v>6.6163021463938598E-4</v>
      </c>
      <c r="N39" s="93"/>
    </row>
    <row r="40" spans="1:17" s="93" customFormat="1" ht="16.5" customHeight="1">
      <c r="A40" s="379"/>
      <c r="B40" s="201"/>
      <c r="C40" s="202"/>
      <c r="D40" s="202"/>
      <c r="E40" s="667"/>
      <c r="F40" s="201"/>
      <c r="G40" s="202"/>
      <c r="H40" s="202"/>
      <c r="I40" s="210"/>
      <c r="J40" s="202"/>
      <c r="K40" s="202"/>
      <c r="L40" s="202"/>
      <c r="M40" s="210"/>
    </row>
    <row r="41" spans="1:17" ht="16.5" customHeight="1">
      <c r="A41" s="662" t="s">
        <v>402</v>
      </c>
      <c r="B41" s="201"/>
      <c r="C41" s="202"/>
      <c r="D41" s="202"/>
      <c r="E41" s="211"/>
      <c r="F41" s="201"/>
      <c r="G41" s="202"/>
      <c r="H41" s="202"/>
      <c r="I41" s="211"/>
      <c r="J41" s="202"/>
      <c r="K41" s="202"/>
      <c r="L41" s="202"/>
      <c r="M41" s="211"/>
      <c r="N41" s="93"/>
    </row>
    <row r="42" spans="1:17" ht="16.5" customHeight="1">
      <c r="A42" s="379" t="s">
        <v>325</v>
      </c>
      <c r="B42" s="201">
        <f>(HLOOKUP($F$2,'2014 Budget'!$D$6:$P$111,61,0)/HLOOKUP($F$2,'2014 Budget'!$D$6:$P$111,2,0))</f>
        <v>1927169.2830715261</v>
      </c>
      <c r="C42" s="202">
        <f>(HLOOKUP($F$2,'2014 Budget'!$D$6:$P$111,61,0)/HLOOKUP($F$2,'2014 Budget'!$D$6:$P$111,2,0))</f>
        <v>1927169.2830715261</v>
      </c>
      <c r="D42" s="202">
        <f>B42-C42</f>
        <v>0</v>
      </c>
      <c r="E42" s="211">
        <f>(B42/C42)-1</f>
        <v>0</v>
      </c>
      <c r="F42" s="201">
        <f>B42*'Input Data'!A1</f>
        <v>44324893.510645099</v>
      </c>
      <c r="G42" s="202">
        <f>C42*'Input Data'!A1</f>
        <v>44324893.510645099</v>
      </c>
      <c r="H42" s="202">
        <f>F42-G42</f>
        <v>0</v>
      </c>
      <c r="I42" s="211">
        <f>(F42/G42)-1</f>
        <v>0</v>
      </c>
      <c r="J42" s="202">
        <f>'Year to Date'!P40+F42</f>
        <v>662419341.19761288</v>
      </c>
      <c r="K42" s="202">
        <f>'Year to Date'!Q40+G42</f>
        <v>648184795.39391685</v>
      </c>
      <c r="L42" s="202">
        <f>J42-K42</f>
        <v>14234545.803696036</v>
      </c>
      <c r="M42" s="211">
        <f>(J42/K42)-1</f>
        <v>2.1960628982426789E-2</v>
      </c>
      <c r="N42" s="93"/>
      <c r="O42" s="223"/>
    </row>
    <row r="43" spans="1:17" ht="16.5" customHeight="1">
      <c r="A43" s="379"/>
      <c r="B43" s="201"/>
      <c r="C43" s="202"/>
      <c r="D43" s="202"/>
      <c r="E43" s="272"/>
      <c r="F43" s="201"/>
      <c r="G43" s="202"/>
      <c r="H43" s="202"/>
      <c r="I43" s="211"/>
      <c r="J43" s="202"/>
      <c r="K43" s="202"/>
      <c r="L43" s="202"/>
      <c r="M43" s="211"/>
      <c r="N43" s="93"/>
      <c r="O43" s="223"/>
    </row>
    <row r="44" spans="1:17" ht="16.5" customHeight="1">
      <c r="A44" s="662" t="s">
        <v>407</v>
      </c>
      <c r="B44" s="201"/>
      <c r="C44" s="202"/>
      <c r="D44" s="202"/>
      <c r="E44" s="272"/>
      <c r="F44" s="201"/>
      <c r="G44" s="202"/>
      <c r="H44" s="202"/>
      <c r="I44" s="211"/>
      <c r="J44" s="202"/>
      <c r="K44" s="202"/>
      <c r="L44" s="202"/>
      <c r="M44" s="211"/>
      <c r="N44" s="93"/>
      <c r="O44" s="223"/>
    </row>
    <row r="45" spans="1:17" ht="16.5" customHeight="1">
      <c r="A45" s="527" t="s">
        <v>306</v>
      </c>
      <c r="B45" s="528">
        <f>(HLOOKUP($F$2,'2014 Budget'!$D$6:$P$111,61,0)/HLOOKUP($F$2,'2014 Budget'!$D$6:$P$111,2,0))</f>
        <v>1927169.2830715261</v>
      </c>
      <c r="C45" s="529">
        <f>(HLOOKUP($F$2,'2014 Budget'!$D$6:$P$111,57,0)/HLOOKUP($F$2,'2014 Budget'!$D$6:$P$111,2,0))</f>
        <v>1933399.3998445733</v>
      </c>
      <c r="D45" s="529">
        <f>B45-C45</f>
        <v>-6230.1167730472516</v>
      </c>
      <c r="E45" s="532">
        <f>(B45/C45)-1</f>
        <v>-3.2223640772558459E-3</v>
      </c>
      <c r="F45" s="528">
        <f>B45*'Input Data'!A1</f>
        <v>44324893.510645099</v>
      </c>
      <c r="G45" s="529">
        <f>C45*'Input Data'!A1</f>
        <v>44468186.196425185</v>
      </c>
      <c r="H45" s="529">
        <f>F45-G45</f>
        <v>-143292.68578008562</v>
      </c>
      <c r="I45" s="533">
        <f>(F45/G45)-1</f>
        <v>-3.2223640772558459E-3</v>
      </c>
      <c r="J45" s="529">
        <f>'Year to Date'!P40+F45</f>
        <v>662419341.19761288</v>
      </c>
      <c r="K45" s="529">
        <f>'Year to Date'!U40+G45</f>
        <v>657745840.23860228</v>
      </c>
      <c r="L45" s="529">
        <f>J45-K45</f>
        <v>4673500.959010601</v>
      </c>
      <c r="M45" s="530">
        <f>IFERROR((J45/K45)-1,"-")</f>
        <v>7.1053295560412622E-3</v>
      </c>
      <c r="N45" s="93"/>
    </row>
    <row r="46" spans="1:17" ht="16.5" customHeight="1">
      <c r="A46" s="379"/>
      <c r="B46" s="201"/>
      <c r="C46" s="202"/>
      <c r="D46" s="202"/>
      <c r="E46" s="211"/>
      <c r="F46" s="201"/>
      <c r="G46" s="202"/>
      <c r="H46" s="202"/>
      <c r="I46" s="211"/>
      <c r="J46" s="202"/>
      <c r="K46" s="202"/>
      <c r="L46" s="202"/>
      <c r="M46" s="211"/>
      <c r="N46" s="93"/>
    </row>
    <row r="47" spans="1:17" ht="16.5" customHeight="1">
      <c r="A47" s="663" t="s">
        <v>403</v>
      </c>
      <c r="B47" s="202">
        <f>B35+B45</f>
        <v>3968376.2195123341</v>
      </c>
      <c r="C47" s="202">
        <f>C35+C42</f>
        <v>4081644.4118653014</v>
      </c>
      <c r="D47" s="202">
        <f>B47-C47</f>
        <v>-113268.19235296734</v>
      </c>
      <c r="E47" s="211">
        <f>(B47/C47)-1</f>
        <v>-2.7750627179500942E-2</v>
      </c>
      <c r="F47" s="202">
        <f>F35+F45</f>
        <v>100258357.75366077</v>
      </c>
      <c r="G47" s="202">
        <f>G35+G42</f>
        <v>95839088.893481269</v>
      </c>
      <c r="H47" s="202">
        <f>F47-G47</f>
        <v>4419268.8601794988</v>
      </c>
      <c r="I47" s="211">
        <f>(F47/G47)-1</f>
        <v>4.611134048959098E-2</v>
      </c>
      <c r="J47" s="202">
        <f>J35+J42</f>
        <v>1497042367.612709</v>
      </c>
      <c r="K47" s="202">
        <f>K35+K42</f>
        <v>1490014504.8039412</v>
      </c>
      <c r="L47" s="202">
        <f>J47-K47</f>
        <v>7027862.8087677956</v>
      </c>
      <c r="M47" s="211">
        <f>(J47/K47)-1</f>
        <v>4.716640533437344E-3</v>
      </c>
      <c r="N47" s="93"/>
      <c r="O47" s="223"/>
    </row>
    <row r="48" spans="1:17" ht="16.5" customHeight="1">
      <c r="A48" s="664" t="s">
        <v>408</v>
      </c>
      <c r="B48" s="534">
        <f>B39+B45</f>
        <v>3968376.2195123341</v>
      </c>
      <c r="C48" s="535">
        <f>C39+C45</f>
        <v>4059831.7992088664</v>
      </c>
      <c r="D48" s="535">
        <f>B48-C48</f>
        <v>-91455.579696532339</v>
      </c>
      <c r="E48" s="536">
        <f>(B48/C48)-1</f>
        <v>-2.2526938114617034E-2</v>
      </c>
      <c r="F48" s="534">
        <f>F39+F45</f>
        <v>100258357.75366077</v>
      </c>
      <c r="G48" s="535">
        <f>G39+G45</f>
        <v>95311870.871761501</v>
      </c>
      <c r="H48" s="535">
        <f>F48-G48</f>
        <v>4946486.8818992674</v>
      </c>
      <c r="I48" s="536">
        <f>(F48/G48)-1</f>
        <v>5.1897909847500312E-2</v>
      </c>
      <c r="J48" s="535">
        <f>J39+J45</f>
        <v>1497042367.612709</v>
      </c>
      <c r="K48" s="535">
        <f>K39+K45</f>
        <v>1491817019.9600348</v>
      </c>
      <c r="L48" s="535">
        <f>J48-K48</f>
        <v>5225347.6526741982</v>
      </c>
      <c r="M48" s="536">
        <f>(J48/K48)-1</f>
        <v>3.5026733056136017E-3</v>
      </c>
      <c r="N48" s="93"/>
    </row>
    <row r="49" spans="1:14" ht="16.5" customHeight="1">
      <c r="A49" s="364"/>
      <c r="B49" s="201"/>
      <c r="C49" s="202"/>
      <c r="D49" s="202"/>
      <c r="E49" s="211"/>
      <c r="F49" s="201"/>
      <c r="G49" s="202"/>
      <c r="H49" s="202"/>
      <c r="I49" s="211"/>
      <c r="J49" s="201"/>
      <c r="K49" s="202"/>
      <c r="L49" s="202"/>
      <c r="M49" s="211"/>
      <c r="N49" s="93"/>
    </row>
    <row r="50" spans="1:14" ht="16.5" customHeight="1">
      <c r="A50" s="382" t="s">
        <v>358</v>
      </c>
      <c r="B50" s="201"/>
      <c r="C50" s="202"/>
      <c r="D50" s="202"/>
      <c r="E50" s="211"/>
      <c r="F50" s="201"/>
      <c r="G50" s="202"/>
      <c r="H50" s="202"/>
      <c r="I50" s="211"/>
      <c r="J50" s="201"/>
      <c r="K50" s="202"/>
      <c r="L50" s="202"/>
      <c r="M50" s="211"/>
      <c r="N50" s="93"/>
    </row>
    <row r="51" spans="1:14" ht="16.5" customHeight="1">
      <c r="A51" s="615" t="s">
        <v>381</v>
      </c>
      <c r="B51" s="202">
        <f>IFERROR(IF(OR(MONTH('Input Data'!$A$4)&lt;=4,MONTH('Input Data'!$A$4)&gt;=11),INDEX('Input Data'!$CI$4:$CI$34,DAY($C$6)),"-"),"-")</f>
        <v>52.982986111111124</v>
      </c>
      <c r="C51" s="202">
        <f>IFERROR(IF(OR(MONTH('Input Data'!$A$4)&lt;=4,MONTH('Input Data'!$A$4)&gt;=11),AVERAGEIFS('Daily Historical Avg Temp'!$F$4:$F$369,'Daily Historical Avg Temp'!$B$4:$B$369,MONTH('Input Data'!$A$4),'Daily Historical Avg Temp'!$C$4:$C$369,DAY($C$6)),"-"),"-")</f>
        <v>44.8</v>
      </c>
      <c r="D51" s="202">
        <f>IFERROR(IF(OR(MONTH('Input Data'!$A$4)&lt;=4,MONTH('Input Data'!$A$4)&gt;=11),(C51-B51)*IF(AND(MONTH('Input Data'!$A$4)=4,C51-B51&lt;0,D34&gt;0),-1,1),"-"),"-")</f>
        <v>-8.1829861111111271</v>
      </c>
      <c r="E51" s="607"/>
      <c r="F51" s="202">
        <f>IFERROR(IF(OR(MONTH('Input Data'!$A$4)&lt;=4,MONTH('Input Data'!$A$4)&gt;=11),'Input Data'!$CI$36,"-"),"-")</f>
        <v>39.284724003810723</v>
      </c>
      <c r="G51" s="202">
        <f>IFERROR(IF(OR(MONTH('Input Data'!$A$4)&lt;=4,MONTH('Input Data'!$A$4)&gt;=11),AVERAGEIFS('Daily Historical Avg Temp'!$F$4:$F$369,'Daily Historical Avg Temp'!$B$4:$B$369,MONTH('Input Data'!$A$4),'Daily Historical Avg Temp'!$C$4:$C$369,"&lt;="&amp;'Input Data'!$A$1),"-"),"-")</f>
        <v>47.132608695652173</v>
      </c>
      <c r="H51" s="202">
        <f>IF(OR(MONTH('Input Data'!$A$4)&lt;=4,MONTH('Input Data'!$A$4)&gt;=11),(G51-F51)*IF(AND(MONTH('Input Data'!$A$4)=4,G51-F51&lt;0,H34&gt;0),-1,1),"-")</f>
        <v>7.8478846918414504</v>
      </c>
      <c r="I51" s="607"/>
      <c r="J51" s="201">
        <f>('Year to Date'!$AJ$60+IF(F51="-",0,(F51*'Input Data'!$A$1)))/('Year to Date'!$AF$60+IF(F51="-",0,'Input Data'!$A$1))</f>
        <v>39.332508056556968</v>
      </c>
      <c r="K51" s="202">
        <f>AVERAGEIFS('Daily Historical Avg Temp'!$F$4:$F$369,'Daily Historical Avg Temp'!$J$4:$J$369,"H",'Daily Historical Avg Temp'!$A$4:$A$369,"&lt;="&amp;DATE(YEAR('Input Data'!$A$4),MONTH('Input Data'!$A$4),'Input Data'!$A$1))</f>
        <v>43.536013986014005</v>
      </c>
      <c r="L51" s="202">
        <f>K51-J51</f>
        <v>4.2035059294570374</v>
      </c>
      <c r="M51" s="607"/>
      <c r="N51" s="93"/>
    </row>
    <row r="52" spans="1:14" ht="16.5" customHeight="1">
      <c r="A52" s="615" t="s">
        <v>384</v>
      </c>
      <c r="B52" s="202">
        <f>IFERROR(IF(OR(MONTH('Input Data'!$A$4)&lt;=4,MONTH('Input Data'!$A$4)&gt;=11),INDEX('Input Data'!$CJ$4:$CJ$34,DAY($C$6)),"-"),"-")</f>
        <v>54.997916666666669</v>
      </c>
      <c r="C52" s="202">
        <f>IFERROR(IF(OR(MONTH('Input Data'!$A$4)&lt;=4,MONTH('Input Data'!$A$4)&gt;=11),AVERAGEIFS('Daily Historical Avg Temp'!$G$4:$G$369,'Daily Historical Avg Temp'!$B$4:$B$369,MONTH('Input Data'!$A$4),'Daily Historical Avg Temp'!$C$4:$C$369,DAY($C$6)),"-"),"-")</f>
        <v>46.6</v>
      </c>
      <c r="D52" s="202">
        <f>IFERROR(IF(OR(MONTH('Input Data'!$A$4)&lt;=4,MONTH('Input Data'!$A$4)&gt;=11),(C52-B52)*IF(AND(MONTH('Input Data'!$A$4)=4,C52-B52&lt;0,D35&gt;0),-1,1),"-"),"-")</f>
        <v>-8.3979166666666671</v>
      </c>
      <c r="E52" s="607"/>
      <c r="F52" s="202">
        <f>IFERROR(IF(OR(MONTH('Input Data'!$A$4)&lt;=4,MONTH('Input Data'!$A$4)&gt;=11),'Input Data'!$CJ$36,"-"),"-")</f>
        <v>40.656239366729679</v>
      </c>
      <c r="G52" s="202">
        <f>IFERROR(IF(OR(MONTH('Input Data'!$A$4)&lt;=4,MONTH('Input Data'!$A$4)&gt;=11),AVERAGEIFS('Daily Historical Avg Temp'!$G$4:$G$369,'Daily Historical Avg Temp'!$B$4:$B$369,MONTH('Input Data'!$A$4),'Daily Historical Avg Temp'!$C$4:$C$369,"&lt;="&amp;'Input Data'!$A$1),"-"),"-")</f>
        <v>49.017391304347832</v>
      </c>
      <c r="H52" s="202">
        <f>IF(OR(MONTH('Input Data'!$A$4)&lt;=4,MONTH('Input Data'!$A$4)&gt;=11),(G52-F52)*IF(AND(MONTH('Input Data'!$A$4)=4,G52-F52&lt;0,H35&gt;0),-1,1),"-")</f>
        <v>8.3611519376181533</v>
      </c>
      <c r="I52" s="607"/>
      <c r="J52" s="201">
        <f>('Year to Date'!$AK$60+IF(F52="-",0,(F52*'Input Data'!$A$1)))/('Year to Date'!$AF$60+IF(F52="-",0,'Input Data'!$A$1))</f>
        <v>40.515339198844636</v>
      </c>
      <c r="K52" s="202">
        <f>AVERAGEIFS('Daily Historical Avg Temp'!$G$4:$G$369,'Daily Historical Avg Temp'!$J$4:$J$369,"H",'Daily Historical Avg Temp'!$A$4:$A$369,"&lt;="&amp;DATE(YEAR('Input Data'!$A$4),MONTH('Input Data'!$A$4),'Input Data'!$A$1))</f>
        <v>45.296153846153857</v>
      </c>
      <c r="L52" s="202">
        <f>K52-J52</f>
        <v>4.7808146473092208</v>
      </c>
      <c r="M52" s="607"/>
      <c r="N52" s="93"/>
    </row>
    <row r="53" spans="1:14" ht="16.5" customHeight="1">
      <c r="A53" s="615"/>
      <c r="B53" s="202"/>
      <c r="C53" s="202"/>
      <c r="D53" s="202"/>
      <c r="E53" s="607"/>
      <c r="F53" s="201"/>
      <c r="G53" s="202"/>
      <c r="H53" s="202"/>
      <c r="I53" s="607"/>
      <c r="J53" s="201"/>
      <c r="K53" s="202"/>
      <c r="L53" s="202"/>
      <c r="M53" s="607"/>
      <c r="N53" s="93"/>
    </row>
    <row r="54" spans="1:14" ht="16.5" customHeight="1">
      <c r="A54" s="615" t="s">
        <v>382</v>
      </c>
      <c r="B54" s="202" t="str">
        <f>IFERROR(IF(AND(MONTH('Input Data'!$A$4)&gt;=5,MONTH('Input Data'!$A$4)&lt;=10),INDEX('Input Data'!$CI$4:$CI$34,DAY($C$6)),"-"),"-")</f>
        <v>-</v>
      </c>
      <c r="C54" s="202" t="str">
        <f>IFERROR(IF(AND(MONTH('Input Data'!$A$4)&gt;=5,MONTH('Input Data'!$A$4)&lt;=10),AVERAGEIFS('Daily Historical Avg Temp'!$F$4:$F$369,'Daily Historical Avg Temp'!$B$4:$B$369,MONTH('Input Data'!$A$4),'Daily Historical Avg Temp'!$C$4:$C$369,DAY($C$6)),"-"),"-")</f>
        <v>-</v>
      </c>
      <c r="D54" s="202" t="str">
        <f>IFERROR(IF(AND(MONTH('Input Data'!$A$4)&gt;=5,MONTH('Input Data'!$A$4)&lt;10),(B54-C54)*IF(AND(MONTH('Input Data'!$A$4)=10,B54-C54&lt;0,D34&gt;0),-1,1),"-"),"-")</f>
        <v>-</v>
      </c>
      <c r="E54" s="607"/>
      <c r="F54" s="202" t="str">
        <f>IFERROR(IF(AND(MONTH('Input Data'!$A$4)&gt;=5,MONTH('Input Data'!$A$4)&lt;=10),'Input Data'!$CI$36,"-"),"-")</f>
        <v>-</v>
      </c>
      <c r="G54" s="202" t="str">
        <f>IFERROR(IF(AND(MONTH('Input Data'!$A$4)&gt;=5,MONTH('Input Data'!$A$4)&lt;=10),AVERAGEIFS('Daily Historical Avg Temp'!$F$4:$F$369,'Daily Historical Avg Temp'!$B$4:$B$369,MONTH('Input Data'!$A$4),'Daily Historical Avg Temp'!$C$4:$C$369,"&lt;="&amp;'Input Data'!$A$1),"-"),"-")</f>
        <v>-</v>
      </c>
      <c r="H54" s="202" t="str">
        <f>IF(AND(MONTH('Input Data'!$A$4)&gt;=5,MONTH('Input Data'!$A$4)&lt;=10),(F54-G54)*IF(AND(MONTH('Input Data'!$A$4)=10,F54-G54&lt;0,H34&gt;0),-1,1),"-")</f>
        <v>-</v>
      </c>
      <c r="I54" s="607"/>
      <c r="J54" s="201">
        <f>IFERROR(('Year to Date'!$AJ$61+IF(F54="-",0,F54*'Input Data'!$A$1))/('Year to Date'!$AF$61+IF(F54="-",0,'Input Data'!$A$1)),"-")</f>
        <v>69.472826086956516</v>
      </c>
      <c r="K54" s="202">
        <f>IFERROR(AVERAGEIFS('Daily Historical Avg Temp'!$F$4:$F$369,'Daily Historical Avg Temp'!$J$4:$J$369,"C",'Daily Historical Avg Temp'!$A$4:$A$369,"&lt;="&amp;DATE(YEAR($C$6),MONTH($C$6),'Input Data'!$A$1)),"-")</f>
        <v>68.929219107551475</v>
      </c>
      <c r="L54" s="202">
        <f>IFERROR(J54-K54,"-")</f>
        <v>0.5436069794050411</v>
      </c>
      <c r="M54" s="607"/>
      <c r="N54" s="93"/>
    </row>
    <row r="55" spans="1:14" ht="15">
      <c r="A55" s="615" t="s">
        <v>383</v>
      </c>
      <c r="B55" s="202" t="str">
        <f>IFERROR(IF(AND(MONTH('Input Data'!$A$4)&gt;=5,MONTH('Input Data'!$A$4)&lt;=10),INDEX('Input Data'!$CJ$4:$CJ$34,DAY($C$6)),"-"),"-")</f>
        <v>-</v>
      </c>
      <c r="C55" s="202" t="str">
        <f>IFERROR(IF(AND(MONTH('Input Data'!$A$4)&gt;=5,MONTH('Input Data'!$A$4)&lt;=10),AVERAGEIFS('Daily Historical Avg Temp'!$G$4:$G$369,'Daily Historical Avg Temp'!$B$4:$B$369,MONTH('Input Data'!$A$4),'Daily Historical Avg Temp'!$C$4:$C$369,DAY($C$6)),"-"),"-")</f>
        <v>-</v>
      </c>
      <c r="D55" s="202" t="str">
        <f>IFERROR(IF(AND(MONTH('Input Data'!$A$4)&gt;=5,MONTH('Input Data'!$A$4)&lt;10),(B55-C55)*IF(AND(MONTH('Input Data'!$A$4)=10,B55-C55&lt;0,D35&gt;0),-1,1),"-"),"-")</f>
        <v>-</v>
      </c>
      <c r="E55" s="607"/>
      <c r="F55" s="202" t="str">
        <f>IFERROR(IF(AND(MONTH('Input Data'!$A$4)&gt;=5,MONTH('Input Data'!$A$4)&lt;=10),'Input Data'!$CJ$36,"-"),"-")</f>
        <v>-</v>
      </c>
      <c r="G55" s="202" t="str">
        <f>IFERROR(IF(AND(MONTH('Input Data'!$A$4)&gt;=5,MONTH('Input Data'!$A$4)&lt;=10),AVERAGEIFS('Daily Historical Avg Temp'!$G$4:$G$369,'Daily Historical Avg Temp'!$B$4:$B$369,MONTH('Input Data'!$A$4),'Daily Historical Avg Temp'!$C$4:$C$369,"&lt;="&amp;'Input Data'!$A$1),"-"),"-")</f>
        <v>-</v>
      </c>
      <c r="H55" s="202" t="str">
        <f>IF(AND(MONTH('Input Data'!$A$4)&gt;=5,MONTH('Input Data'!$A$4)&lt;=10),(F55-G55)*IF(AND(MONTH('Input Data'!$A$4)=10,F55-G55&lt;0,H35&gt;0),-1,1),"-")</f>
        <v>-</v>
      </c>
      <c r="I55" s="607"/>
      <c r="J55" s="201">
        <f>IFERROR(('Year to Date'!$AK$61+IF(F55="-",0,F55*'Input Data'!$A$1))/('Year to Date'!$AF$61+IF(F55="-",0,'Input Data'!$A$1)),"-")</f>
        <v>71.141304347826093</v>
      </c>
      <c r="K55" s="202">
        <f>IFERROR(AVERAGEIFS('Daily Historical Avg Temp'!$G$4:$G$369,'Daily Historical Avg Temp'!$J$4:$J$369,"C",'Daily Historical Avg Temp'!$A$4:$A$369,"&lt;="&amp;DATE(YEAR($C$6),MONTH($C$6),'Input Data'!$A$1)),"-")</f>
        <v>70.84184782608699</v>
      </c>
      <c r="L55" s="202">
        <f>IFERROR(J55-K55,"-")</f>
        <v>0.29945652173910275</v>
      </c>
      <c r="M55" s="607"/>
      <c r="N55" s="93"/>
    </row>
    <row r="56" spans="1:14" ht="16.5" customHeight="1">
      <c r="A56" s="383"/>
      <c r="B56" s="202"/>
      <c r="C56" s="202"/>
      <c r="D56" s="202"/>
      <c r="E56" s="211"/>
      <c r="F56" s="201"/>
      <c r="G56" s="202"/>
      <c r="H56" s="202"/>
      <c r="I56" s="211"/>
      <c r="J56" s="201"/>
      <c r="K56" s="202"/>
      <c r="L56" s="202"/>
      <c r="M56" s="211"/>
      <c r="N56" s="93"/>
    </row>
    <row r="57" spans="1:14" ht="16.5" customHeight="1">
      <c r="A57" s="382" t="s">
        <v>354</v>
      </c>
      <c r="B57" s="202"/>
      <c r="C57" s="202"/>
      <c r="D57" s="202"/>
      <c r="E57" s="211"/>
      <c r="F57" s="201"/>
      <c r="G57" s="202"/>
      <c r="H57" s="202"/>
      <c r="I57" s="211"/>
      <c r="J57" s="201"/>
      <c r="K57" s="202"/>
      <c r="L57" s="202"/>
      <c r="M57" s="211"/>
      <c r="N57" s="93"/>
    </row>
    <row r="58" spans="1:14" ht="16.5" customHeight="1">
      <c r="A58" s="383" t="s">
        <v>235</v>
      </c>
      <c r="B58" s="202">
        <f>(VLOOKUP($C$6,'Input Data'!A4:BY34,74,0))</f>
        <v>12</v>
      </c>
      <c r="C58" s="202">
        <f>(VLOOKUP($C$6,'Daily Budget Data'!A5:W35,20,0))</f>
        <v>21.075179092597512</v>
      </c>
      <c r="D58" s="202">
        <f>IFERROR(B58-C58,"-")</f>
        <v>-9.0751790925975122</v>
      </c>
      <c r="E58" s="211"/>
      <c r="F58" s="201">
        <f>'Input Data'!BV36</f>
        <v>597</v>
      </c>
      <c r="G58" s="202">
        <f>'Daily Budget Data'!T37</f>
        <v>412.18665870699573</v>
      </c>
      <c r="H58" s="202">
        <f>F58-G58</f>
        <v>184.81334129300427</v>
      </c>
      <c r="I58" s="211">
        <f>IFERROR((F58/G58)-1,"-")</f>
        <v>0.44837293344901652</v>
      </c>
      <c r="J58" s="201">
        <f>'Year to Date'!U59+F58</f>
        <v>3942</v>
      </c>
      <c r="K58" s="202">
        <f>'Year to Date'!Y59+G58</f>
        <v>3582.1866587069958</v>
      </c>
      <c r="L58" s="202">
        <f>J58-K58</f>
        <v>359.81334129300421</v>
      </c>
      <c r="M58" s="211">
        <f>(J58/K58)-1</f>
        <v>0.10044516815404592</v>
      </c>
      <c r="N58" s="93"/>
    </row>
    <row r="59" spans="1:14" ht="16.5" customHeight="1">
      <c r="A59" s="383" t="s">
        <v>236</v>
      </c>
      <c r="B59" s="202">
        <f>(VLOOKUP($C$6,'Input Data'!A4:BY34,76,0))</f>
        <v>12</v>
      </c>
      <c r="C59" s="202">
        <f>(VLOOKUP($C$6,'Daily Budget Data'!A5:W35,22,0))</f>
        <v>19.581126472592743</v>
      </c>
      <c r="D59" s="202">
        <f>IFERROR(B59-C59,"-")</f>
        <v>-7.581126472592743</v>
      </c>
      <c r="E59" s="211"/>
      <c r="F59" s="201">
        <f>'Input Data'!BX36</f>
        <v>566</v>
      </c>
      <c r="G59" s="202">
        <f>'Daily Budget Data'!V37</f>
        <v>370.39718625255591</v>
      </c>
      <c r="H59" s="202">
        <f>F59-G59</f>
        <v>195.60281374744409</v>
      </c>
      <c r="I59" s="211">
        <f>IFERROR((F59/G59)-1,"-")</f>
        <v>0.52808936192639422</v>
      </c>
      <c r="J59" s="201">
        <f>'Year to Date'!W59+F59</f>
        <v>3787</v>
      </c>
      <c r="K59" s="202">
        <f>'Year to Date'!AA59+G59</f>
        <v>3255.3971862525559</v>
      </c>
      <c r="L59" s="202">
        <f>J59-K59</f>
        <v>531.60281374744409</v>
      </c>
      <c r="M59" s="211">
        <f>(J59/K59)-1</f>
        <v>0.16329891049620193</v>
      </c>
      <c r="N59" s="93"/>
    </row>
    <row r="60" spans="1:14" ht="16.5" customHeight="1">
      <c r="A60" s="383"/>
      <c r="B60" s="201"/>
      <c r="C60" s="202"/>
      <c r="D60" s="202"/>
      <c r="E60" s="211"/>
      <c r="F60" s="201"/>
      <c r="G60" s="202"/>
      <c r="H60" s="202"/>
      <c r="I60" s="211"/>
      <c r="J60" s="201"/>
      <c r="K60" s="202"/>
      <c r="L60" s="202"/>
      <c r="M60" s="211"/>
      <c r="N60" s="93"/>
    </row>
    <row r="61" spans="1:14" ht="16.5" customHeight="1">
      <c r="A61" s="383" t="s">
        <v>237</v>
      </c>
      <c r="B61" s="202">
        <f>(VLOOKUP($C$6,'Input Data'!A4:BY34,75,0))</f>
        <v>0</v>
      </c>
      <c r="C61" s="202">
        <f>(VLOOKUP($C$6,'Daily Budget Data'!A5:W35,21,0))</f>
        <v>0</v>
      </c>
      <c r="D61" s="202">
        <f>IFERROR(B61-C61,"-")</f>
        <v>0</v>
      </c>
      <c r="E61" s="211"/>
      <c r="F61" s="201">
        <f>'Input Data'!BW36</f>
        <v>0</v>
      </c>
      <c r="G61" s="202">
        <f>'Daily Budget Data'!U37</f>
        <v>0.4</v>
      </c>
      <c r="H61" s="202">
        <f>F61-G61</f>
        <v>-0.4</v>
      </c>
      <c r="I61" s="211">
        <f>IFERROR((F61/G61)-1,"-")</f>
        <v>-1</v>
      </c>
      <c r="J61" s="201">
        <f>'Year to Date'!V59+F61</f>
        <v>1273</v>
      </c>
      <c r="K61" s="202">
        <f>'Year to Date'!Z59++G61</f>
        <v>1195.4000000000001</v>
      </c>
      <c r="L61" s="202">
        <f>J61-K61</f>
        <v>77.599999999999909</v>
      </c>
      <c r="M61" s="211">
        <f>IFERROR((J61/K61)-1,"-")</f>
        <v>6.4915509452902809E-2</v>
      </c>
      <c r="N61" s="93"/>
    </row>
    <row r="62" spans="1:14" ht="16.5" customHeight="1">
      <c r="A62" s="384" t="s">
        <v>238</v>
      </c>
      <c r="B62" s="205">
        <f>(VLOOKUP($C$6,'Input Data'!A4:BY34,77,0))</f>
        <v>0</v>
      </c>
      <c r="C62" s="206">
        <f>(VLOOKUP($C$6,'Daily Budget Data'!A5:W35,23,0))</f>
        <v>0</v>
      </c>
      <c r="D62" s="206">
        <f>IFERROR(B62-C62,"-")</f>
        <v>0</v>
      </c>
      <c r="E62" s="213"/>
      <c r="F62" s="205">
        <f>'Input Data'!BY36</f>
        <v>0</v>
      </c>
      <c r="G62" s="206">
        <f>'Daily Budget Data'!W37</f>
        <v>1.2500000000000002</v>
      </c>
      <c r="H62" s="206">
        <f>F62-G62</f>
        <v>-1.2500000000000002</v>
      </c>
      <c r="I62" s="213">
        <f>IFERROR((F62/G62)-1,"-")</f>
        <v>-1</v>
      </c>
      <c r="J62" s="205">
        <f>'Year to Date'!X59+F62</f>
        <v>1515</v>
      </c>
      <c r="K62" s="206">
        <f>'Year to Date'!AB59+G62</f>
        <v>1473.25</v>
      </c>
      <c r="L62" s="206">
        <f>J62-K62</f>
        <v>41.75</v>
      </c>
      <c r="M62" s="213">
        <f>IFERROR((J62/K62)-1,"-")</f>
        <v>2.8338706940437719E-2</v>
      </c>
      <c r="N62" s="93"/>
    </row>
    <row r="63" spans="1:14" ht="16.5" customHeight="1">
      <c r="A63" s="301"/>
      <c r="B63" s="202"/>
      <c r="C63" s="202"/>
      <c r="D63" s="202"/>
      <c r="E63" s="272"/>
      <c r="F63" s="202"/>
      <c r="G63" s="202"/>
      <c r="H63" s="202"/>
      <c r="I63" s="272"/>
      <c r="J63" s="202"/>
      <c r="K63" s="202"/>
      <c r="L63" s="202"/>
      <c r="M63" s="272"/>
      <c r="N63" s="93"/>
    </row>
    <row r="64" spans="1:14" ht="16.5" customHeight="1">
      <c r="A64" s="711" t="s">
        <v>241</v>
      </c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93"/>
    </row>
    <row r="65" spans="1:14" ht="15.75">
      <c r="A65" s="711" t="s">
        <v>242</v>
      </c>
      <c r="B65" s="711"/>
      <c r="C65" s="711"/>
      <c r="D65" s="711"/>
      <c r="E65" s="711"/>
      <c r="F65" s="711"/>
      <c r="G65" s="711"/>
      <c r="H65" s="711"/>
      <c r="I65" s="711"/>
      <c r="J65" s="711"/>
      <c r="K65" s="711"/>
      <c r="L65" s="711"/>
      <c r="M65" s="711"/>
      <c r="N65" s="93"/>
    </row>
    <row r="66" spans="1:14" ht="15.75">
      <c r="A66" s="711" t="s">
        <v>243</v>
      </c>
      <c r="B66" s="711"/>
      <c r="C66" s="711"/>
      <c r="D66" s="711"/>
      <c r="E66" s="711"/>
      <c r="F66" s="711"/>
      <c r="G66" s="711"/>
      <c r="H66" s="711"/>
      <c r="I66" s="711"/>
      <c r="J66" s="711"/>
      <c r="K66" s="711"/>
      <c r="L66" s="711"/>
      <c r="M66" s="711"/>
      <c r="N66" s="93"/>
    </row>
    <row r="67" spans="1:14" ht="15.75">
      <c r="A67" s="711"/>
      <c r="B67" s="711"/>
      <c r="C67" s="711"/>
      <c r="D67" s="711"/>
      <c r="E67" s="711"/>
      <c r="F67" s="711"/>
      <c r="G67" s="711"/>
      <c r="H67" s="711"/>
      <c r="I67" s="711"/>
      <c r="J67" s="711"/>
      <c r="K67" s="711"/>
      <c r="L67" s="711"/>
      <c r="M67" s="711"/>
      <c r="N67" s="93"/>
    </row>
    <row r="68" spans="1:14" ht="18">
      <c r="A68" s="718" t="s">
        <v>327</v>
      </c>
      <c r="B68" s="718"/>
      <c r="C68" s="718"/>
      <c r="D68" s="718"/>
      <c r="E68" s="718"/>
      <c r="F68" s="718"/>
      <c r="G68" s="718"/>
      <c r="H68" s="718"/>
      <c r="I68" s="718"/>
      <c r="J68" s="718"/>
      <c r="K68" s="718"/>
      <c r="L68" s="718"/>
      <c r="M68" s="718"/>
      <c r="N68" s="93"/>
    </row>
    <row r="69" spans="1:14" ht="14.25" customHeight="1">
      <c r="A69" s="711"/>
      <c r="B69" s="711"/>
      <c r="C69" s="711"/>
      <c r="D69" s="711"/>
      <c r="E69" s="711"/>
      <c r="F69" s="711"/>
      <c r="G69" s="711"/>
      <c r="H69" s="711"/>
      <c r="I69" s="711"/>
      <c r="J69" s="711"/>
      <c r="K69" s="711"/>
      <c r="L69" s="711"/>
      <c r="M69" s="711"/>
      <c r="N69" s="93"/>
    </row>
    <row r="70" spans="1:14" ht="18">
      <c r="A70" s="718" t="s">
        <v>244</v>
      </c>
      <c r="B70" s="718"/>
      <c r="C70" s="718"/>
      <c r="D70" s="718"/>
      <c r="E70" s="718"/>
      <c r="F70" s="718"/>
      <c r="G70" s="718"/>
      <c r="H70" s="718"/>
      <c r="I70" s="718"/>
      <c r="J70" s="718"/>
      <c r="K70" s="718"/>
      <c r="L70" s="718"/>
      <c r="M70" s="718"/>
      <c r="N70" s="93"/>
    </row>
    <row r="71" spans="1:14" ht="15">
      <c r="A71" s="717" t="s">
        <v>398</v>
      </c>
      <c r="B71" s="717"/>
      <c r="C71" s="717"/>
      <c r="D71" s="717"/>
      <c r="E71" s="717"/>
      <c r="F71" s="717"/>
      <c r="G71" s="717"/>
      <c r="H71" s="717"/>
      <c r="I71" s="717"/>
      <c r="J71" s="717"/>
      <c r="K71" s="717"/>
      <c r="L71" s="717"/>
      <c r="M71" s="717"/>
      <c r="N71" s="93"/>
    </row>
    <row r="72" spans="1:14" ht="15" customHeight="1">
      <c r="A72" s="720"/>
      <c r="B72" s="720"/>
      <c r="C72" s="720"/>
      <c r="D72" s="720"/>
      <c r="E72" s="720"/>
      <c r="F72" s="720"/>
      <c r="G72" s="720"/>
      <c r="H72" s="720"/>
      <c r="I72" s="720"/>
      <c r="J72" s="720"/>
      <c r="K72" s="720"/>
      <c r="L72" s="720"/>
      <c r="M72" s="720"/>
      <c r="N72" s="93"/>
    </row>
    <row r="73" spans="1:14" ht="15" customHeight="1">
      <c r="A73" s="718" t="s">
        <v>359</v>
      </c>
      <c r="B73" s="718"/>
      <c r="C73" s="718"/>
      <c r="D73" s="718"/>
      <c r="E73" s="718"/>
      <c r="F73" s="718"/>
      <c r="G73" s="718"/>
      <c r="H73" s="718"/>
      <c r="I73" s="718"/>
      <c r="J73" s="718"/>
      <c r="K73" s="718"/>
      <c r="L73" s="718"/>
      <c r="M73" s="718"/>
      <c r="N73" s="93"/>
    </row>
    <row r="74" spans="1:14" ht="15" customHeight="1">
      <c r="A74" s="717" t="s">
        <v>245</v>
      </c>
      <c r="B74" s="717"/>
      <c r="C74" s="717"/>
      <c r="D74" s="717"/>
      <c r="E74" s="717"/>
      <c r="F74" s="717"/>
      <c r="G74" s="717"/>
      <c r="H74" s="717"/>
      <c r="I74" s="717"/>
      <c r="J74" s="717"/>
      <c r="K74" s="717"/>
      <c r="L74" s="717"/>
      <c r="M74" s="717"/>
      <c r="N74" s="93"/>
    </row>
    <row r="75" spans="1:14" ht="15" customHeight="1">
      <c r="A75" s="721"/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93"/>
    </row>
    <row r="76" spans="1:14" ht="15" customHeight="1">
      <c r="A76" s="718" t="s">
        <v>378</v>
      </c>
      <c r="B76" s="718"/>
      <c r="C76" s="718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93"/>
    </row>
    <row r="77" spans="1:14" ht="15" customHeight="1">
      <c r="A77" s="717" t="s">
        <v>396</v>
      </c>
      <c r="B77" s="717"/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93"/>
    </row>
    <row r="78" spans="1:14" ht="15" customHeight="1">
      <c r="A78" s="717" t="s">
        <v>397</v>
      </c>
      <c r="B78" s="717"/>
      <c r="C78" s="717"/>
      <c r="D78" s="717"/>
      <c r="E78" s="717"/>
      <c r="F78" s="717"/>
      <c r="G78" s="717"/>
      <c r="H78" s="717"/>
      <c r="I78" s="717"/>
      <c r="J78" s="717"/>
      <c r="K78" s="717"/>
      <c r="L78" s="717"/>
      <c r="M78" s="717"/>
      <c r="N78" s="93"/>
    </row>
    <row r="79" spans="1:14" ht="15" customHeight="1">
      <c r="A79" s="717"/>
      <c r="B79" s="717"/>
      <c r="C79" s="717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93"/>
    </row>
    <row r="80" spans="1:14" ht="15" customHeight="1">
      <c r="A80" s="719" t="s">
        <v>410</v>
      </c>
      <c r="B80" s="719"/>
      <c r="C80" s="719"/>
      <c r="D80" s="192"/>
      <c r="E80" s="192"/>
      <c r="F80" s="192"/>
      <c r="G80" s="192"/>
      <c r="H80" s="192"/>
      <c r="I80" s="192"/>
      <c r="J80" s="192"/>
      <c r="K80" s="192"/>
      <c r="L80" s="192"/>
      <c r="M80" s="93"/>
      <c r="N80" s="93"/>
    </row>
    <row r="81" spans="1:14" ht="15" customHeight="1">
      <c r="A81" s="191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93"/>
      <c r="N81" s="93"/>
    </row>
    <row r="82" spans="1:14" ht="15" customHeight="1"/>
    <row r="83" spans="1:14" ht="15" customHeight="1"/>
    <row r="84" spans="1:14" ht="15" customHeight="1"/>
    <row r="85" spans="1:14" ht="15" customHeight="1"/>
    <row r="86" spans="1:14" ht="15" customHeight="1"/>
    <row r="87" spans="1:14" ht="15" customHeight="1"/>
    <row r="88" spans="1:14" ht="15" customHeight="1"/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mergeCells count="24">
    <mergeCell ref="A79:M79"/>
    <mergeCell ref="A77:M77"/>
    <mergeCell ref="A76:M76"/>
    <mergeCell ref="A80:C80"/>
    <mergeCell ref="A68:M68"/>
    <mergeCell ref="A69:M69"/>
    <mergeCell ref="A70:M70"/>
    <mergeCell ref="A71:M71"/>
    <mergeCell ref="A72:M72"/>
    <mergeCell ref="A73:M73"/>
    <mergeCell ref="A74:M74"/>
    <mergeCell ref="A75:M75"/>
    <mergeCell ref="A78:M78"/>
    <mergeCell ref="F1:I1"/>
    <mergeCell ref="F2:I2"/>
    <mergeCell ref="F3:I3"/>
    <mergeCell ref="F6:I6"/>
    <mergeCell ref="A67:M67"/>
    <mergeCell ref="J6:M6"/>
    <mergeCell ref="C6:D6"/>
    <mergeCell ref="A64:M64"/>
    <mergeCell ref="A65:M65"/>
    <mergeCell ref="A66:M66"/>
    <mergeCell ref="C5:D5"/>
  </mergeCells>
  <phoneticPr fontId="0" type="noConversion"/>
  <pageMargins left="0.25" right="0.25" top="0.75" bottom="0.75" header="0.3" footer="0.3"/>
  <pageSetup scale="49" orientation="landscape" r:id="rId1"/>
  <headerFooter alignWithMargins="0"/>
  <rowBreaks count="1" manualBreakCount="1">
    <brk id="6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Spinner 5">
              <controlPr defaultSize="0" autoPict="0">
                <anchor moveWithCells="1" sizeWithCells="1">
                  <from>
                    <xdr:col>3</xdr:col>
                    <xdr:colOff>914400</xdr:colOff>
                    <xdr:row>4</xdr:row>
                    <xdr:rowOff>180975</xdr:rowOff>
                  </from>
                  <to>
                    <xdr:col>3</xdr:col>
                    <xdr:colOff>1200150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L174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21.75" customHeight="1"/>
  <cols>
    <col min="1" max="1" width="12.5703125" style="434" bestFit="1" customWidth="1"/>
    <col min="2" max="2" width="10.42578125" style="369" bestFit="1" customWidth="1"/>
    <col min="3" max="3" width="18.85546875" style="369" customWidth="1"/>
    <col min="4" max="4" width="17.5703125" style="369" bestFit="1" customWidth="1"/>
    <col min="5" max="5" width="14.85546875" style="369" customWidth="1"/>
    <col min="6" max="6" width="2.85546875" style="439" customWidth="1"/>
    <col min="7" max="7" width="15.7109375" style="369" customWidth="1"/>
    <col min="8" max="8" width="17.140625" style="369" customWidth="1"/>
    <col min="9" max="9" width="14.7109375" style="369" customWidth="1"/>
    <col min="10" max="10" width="2.7109375" style="439" customWidth="1"/>
    <col min="11" max="13" width="14.85546875" style="439" customWidth="1"/>
    <col min="14" max="14" width="2.7109375" style="439" customWidth="1"/>
    <col min="15" max="17" width="14.7109375" style="369" customWidth="1"/>
    <col min="18" max="18" width="2" style="439" bestFit="1" customWidth="1"/>
    <col min="19" max="21" width="14.7109375" style="439" customWidth="1"/>
    <col min="22" max="22" width="5.85546875" style="439" customWidth="1"/>
    <col min="23" max="25" width="18" style="369" customWidth="1"/>
    <col min="26" max="26" width="2.5703125" style="369" customWidth="1"/>
    <col min="27" max="29" width="14.7109375" style="369" customWidth="1"/>
    <col min="30" max="30" width="2.85546875" style="369" customWidth="1"/>
    <col min="31" max="33" width="14.7109375" style="369" customWidth="1"/>
    <col min="34" max="34" width="2.85546875" style="440" customWidth="1"/>
    <col min="35" max="35" width="15.85546875" style="369" customWidth="1"/>
    <col min="36" max="36" width="16.28515625" style="369" customWidth="1"/>
    <col min="37" max="37" width="14.7109375" style="369" customWidth="1"/>
    <col min="38" max="38" width="5.7109375" style="439" customWidth="1"/>
    <col min="39" max="41" width="18" style="439" customWidth="1"/>
    <col min="42" max="42" width="2.85546875" style="369" customWidth="1"/>
    <col min="43" max="45" width="18" style="439" customWidth="1"/>
    <col min="46" max="46" width="2.85546875" style="369" customWidth="1"/>
    <col min="47" max="49" width="18" style="439" customWidth="1"/>
    <col min="50" max="50" width="6" style="439" customWidth="1"/>
    <col min="51" max="51" width="30.140625" style="439" hidden="1" customWidth="1"/>
    <col min="52" max="53" width="19.85546875" style="403" hidden="1" customWidth="1"/>
    <col min="54" max="54" width="19.85546875" style="439" hidden="1" customWidth="1"/>
    <col min="55" max="56" width="16" style="439" hidden="1" customWidth="1"/>
    <col min="57" max="58" width="0" style="439" hidden="1" customWidth="1"/>
    <col min="59" max="104" width="9.140625" style="439"/>
    <col min="105" max="16384" width="9.140625" style="369"/>
  </cols>
  <sheetData>
    <row r="1" spans="1:104" ht="21.75" customHeight="1">
      <c r="A1" s="432"/>
      <c r="C1" s="437"/>
      <c r="D1" s="437"/>
      <c r="E1" s="214"/>
      <c r="F1" s="30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731" t="s">
        <v>320</v>
      </c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P1" s="438"/>
      <c r="AT1" s="438"/>
    </row>
    <row r="2" spans="1:104" s="25" customFormat="1" ht="33" customHeight="1" thickBot="1">
      <c r="A2" s="478"/>
      <c r="B2" s="479"/>
      <c r="C2" s="730" t="s">
        <v>319</v>
      </c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480"/>
      <c r="W2" s="730"/>
      <c r="X2" s="730"/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0"/>
      <c r="AJ2" s="730"/>
      <c r="AK2" s="730"/>
      <c r="AL2" s="438"/>
      <c r="AM2" s="730" t="s">
        <v>321</v>
      </c>
      <c r="AN2" s="730"/>
      <c r="AO2" s="730"/>
      <c r="AP2" s="730"/>
      <c r="AQ2" s="730"/>
      <c r="AR2" s="730"/>
      <c r="AS2" s="730"/>
      <c r="AT2" s="730"/>
      <c r="AU2" s="730"/>
      <c r="AV2" s="730"/>
      <c r="AW2" s="730"/>
      <c r="AX2" s="481"/>
      <c r="AY2" s="481"/>
      <c r="AZ2" s="482"/>
      <c r="BA2" s="482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</row>
    <row r="3" spans="1:104" s="439" customFormat="1" ht="15.75" customHeight="1" thickTop="1">
      <c r="A3" s="432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499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438"/>
      <c r="AM3" s="438"/>
      <c r="AN3" s="438"/>
      <c r="AO3" s="438"/>
      <c r="AP3" s="500"/>
      <c r="AQ3" s="438"/>
      <c r="AR3" s="438"/>
      <c r="AS3" s="438"/>
      <c r="AT3" s="500"/>
      <c r="AZ3" s="403"/>
      <c r="BA3" s="403"/>
    </row>
    <row r="4" spans="1:104" ht="27.75" customHeight="1">
      <c r="A4" s="433"/>
      <c r="B4" s="399"/>
      <c r="C4" s="724" t="s">
        <v>294</v>
      </c>
      <c r="D4" s="725"/>
      <c r="E4" s="726"/>
      <c r="G4" s="724" t="s">
        <v>252</v>
      </c>
      <c r="H4" s="725"/>
      <c r="I4" s="726"/>
      <c r="K4" s="724" t="s">
        <v>267</v>
      </c>
      <c r="L4" s="725"/>
      <c r="M4" s="726"/>
      <c r="O4" s="724" t="s">
        <v>256</v>
      </c>
      <c r="P4" s="725"/>
      <c r="Q4" s="726"/>
      <c r="S4" s="724" t="s">
        <v>295</v>
      </c>
      <c r="T4" s="725"/>
      <c r="U4" s="726"/>
      <c r="V4" s="419"/>
      <c r="W4" s="724" t="s">
        <v>146</v>
      </c>
      <c r="X4" s="725"/>
      <c r="Y4" s="726"/>
      <c r="AA4" s="724" t="s">
        <v>296</v>
      </c>
      <c r="AB4" s="725"/>
      <c r="AC4" s="726"/>
      <c r="AE4" s="724" t="s">
        <v>298</v>
      </c>
      <c r="AF4" s="725"/>
      <c r="AG4" s="726"/>
      <c r="AH4" s="508"/>
      <c r="AI4" s="724" t="s">
        <v>297</v>
      </c>
      <c r="AJ4" s="725"/>
      <c r="AK4" s="726"/>
      <c r="AL4" s="419"/>
      <c r="AM4" s="724" t="s">
        <v>292</v>
      </c>
      <c r="AN4" s="725"/>
      <c r="AO4" s="726"/>
      <c r="AP4" s="440"/>
      <c r="AQ4" s="724" t="s">
        <v>282</v>
      </c>
      <c r="AR4" s="725"/>
      <c r="AS4" s="726"/>
      <c r="AT4" s="440"/>
      <c r="AU4" s="724" t="s">
        <v>301</v>
      </c>
      <c r="AV4" s="725"/>
      <c r="AW4" s="726"/>
      <c r="AZ4" s="722" t="s">
        <v>283</v>
      </c>
      <c r="BA4" s="722"/>
      <c r="BB4" s="722"/>
    </row>
    <row r="5" spans="1:104" ht="21.75" customHeight="1">
      <c r="A5" s="433"/>
      <c r="B5" s="399"/>
      <c r="C5" s="727"/>
      <c r="D5" s="728"/>
      <c r="E5" s="729"/>
      <c r="F5" s="441"/>
      <c r="G5" s="727" t="s">
        <v>290</v>
      </c>
      <c r="H5" s="728"/>
      <c r="I5" s="729"/>
      <c r="J5" s="441"/>
      <c r="K5" s="727" t="s">
        <v>290</v>
      </c>
      <c r="L5" s="728"/>
      <c r="M5" s="729"/>
      <c r="N5" s="441"/>
      <c r="O5" s="727" t="s">
        <v>290</v>
      </c>
      <c r="P5" s="728"/>
      <c r="Q5" s="729"/>
      <c r="R5" s="439" t="s">
        <v>68</v>
      </c>
      <c r="S5" s="727" t="s">
        <v>290</v>
      </c>
      <c r="T5" s="728"/>
      <c r="U5" s="729"/>
      <c r="V5" s="419"/>
      <c r="W5" s="727" t="s">
        <v>290</v>
      </c>
      <c r="X5" s="728"/>
      <c r="Y5" s="729"/>
      <c r="AA5" s="727" t="s">
        <v>290</v>
      </c>
      <c r="AB5" s="728"/>
      <c r="AC5" s="729"/>
      <c r="AE5" s="727" t="s">
        <v>290</v>
      </c>
      <c r="AF5" s="728"/>
      <c r="AG5" s="729"/>
      <c r="AH5" s="508"/>
      <c r="AI5" s="727" t="s">
        <v>290</v>
      </c>
      <c r="AJ5" s="728"/>
      <c r="AK5" s="729"/>
      <c r="AL5" s="419"/>
      <c r="AM5" s="727" t="s">
        <v>299</v>
      </c>
      <c r="AN5" s="728"/>
      <c r="AO5" s="729"/>
      <c r="AP5" s="442"/>
      <c r="AQ5" s="727" t="s">
        <v>299</v>
      </c>
      <c r="AR5" s="728"/>
      <c r="AS5" s="729"/>
      <c r="AT5" s="442"/>
      <c r="AU5" s="727" t="s">
        <v>299</v>
      </c>
      <c r="AV5" s="728"/>
      <c r="AW5" s="729"/>
    </row>
    <row r="6" spans="1:104" ht="21.75" customHeight="1">
      <c r="A6" s="433"/>
      <c r="B6" s="399"/>
      <c r="C6" s="577" t="s">
        <v>50</v>
      </c>
      <c r="D6" s="577" t="s">
        <v>67</v>
      </c>
      <c r="E6" s="578" t="s">
        <v>0</v>
      </c>
      <c r="F6" s="443"/>
      <c r="G6" s="577" t="s">
        <v>50</v>
      </c>
      <c r="H6" s="577" t="s">
        <v>67</v>
      </c>
      <c r="I6" s="578" t="s">
        <v>0</v>
      </c>
      <c r="J6" s="443"/>
      <c r="K6" s="577" t="s">
        <v>50</v>
      </c>
      <c r="L6" s="577" t="s">
        <v>67</v>
      </c>
      <c r="M6" s="578" t="s">
        <v>0</v>
      </c>
      <c r="N6" s="443"/>
      <c r="O6" s="577" t="s">
        <v>50</v>
      </c>
      <c r="P6" s="577" t="s">
        <v>67</v>
      </c>
      <c r="Q6" s="577" t="s">
        <v>0</v>
      </c>
      <c r="R6" s="435"/>
      <c r="S6" s="577" t="s">
        <v>50</v>
      </c>
      <c r="T6" s="577" t="s">
        <v>67</v>
      </c>
      <c r="U6" s="577" t="s">
        <v>0</v>
      </c>
      <c r="V6" s="419"/>
      <c r="W6" s="577" t="s">
        <v>168</v>
      </c>
      <c r="X6" s="577" t="s">
        <v>67</v>
      </c>
      <c r="Y6" s="577" t="s">
        <v>0</v>
      </c>
      <c r="AA6" s="577" t="s">
        <v>168</v>
      </c>
      <c r="AB6" s="577" t="s">
        <v>291</v>
      </c>
      <c r="AC6" s="577" t="s">
        <v>0</v>
      </c>
      <c r="AE6" s="577" t="s">
        <v>168</v>
      </c>
      <c r="AF6" s="577" t="s">
        <v>263</v>
      </c>
      <c r="AG6" s="577" t="s">
        <v>0</v>
      </c>
      <c r="AH6" s="443"/>
      <c r="AI6" s="577" t="s">
        <v>168</v>
      </c>
      <c r="AJ6" s="577" t="s">
        <v>263</v>
      </c>
      <c r="AK6" s="577" t="s">
        <v>0</v>
      </c>
      <c r="AL6" s="419"/>
      <c r="AM6" s="577" t="s">
        <v>168</v>
      </c>
      <c r="AN6" s="577" t="s">
        <v>263</v>
      </c>
      <c r="AO6" s="577" t="s">
        <v>0</v>
      </c>
      <c r="AP6" s="443"/>
      <c r="AQ6" s="577" t="s">
        <v>168</v>
      </c>
      <c r="AR6" s="577" t="s">
        <v>263</v>
      </c>
      <c r="AS6" s="577" t="s">
        <v>0</v>
      </c>
      <c r="AT6" s="443"/>
      <c r="AU6" s="577" t="s">
        <v>264</v>
      </c>
      <c r="AV6" s="577" t="s">
        <v>265</v>
      </c>
      <c r="AW6" s="577" t="s">
        <v>302</v>
      </c>
      <c r="AZ6" s="498" t="s">
        <v>50</v>
      </c>
      <c r="BA6" s="498" t="s">
        <v>67</v>
      </c>
      <c r="BB6" s="498" t="s">
        <v>0</v>
      </c>
    </row>
    <row r="7" spans="1:104" ht="26.25">
      <c r="A7" s="444" t="s">
        <v>286</v>
      </c>
      <c r="B7" s="445" t="s">
        <v>87</v>
      </c>
      <c r="C7" s="446">
        <f t="shared" ref="C7:D17" si="0">SUM(C23,C39,C55)</f>
        <v>3528246.2321777344</v>
      </c>
      <c r="D7" s="447">
        <f t="shared" si="0"/>
        <v>3340700.0866666683</v>
      </c>
      <c r="E7" s="507">
        <f t="shared" ref="E7:E12" si="1">C7-D7</f>
        <v>187546.14551106608</v>
      </c>
      <c r="F7" s="449"/>
      <c r="G7" s="446">
        <f t="shared" ref="G7:H17" si="2">SUM(G23,G39,G55)</f>
        <v>294938</v>
      </c>
      <c r="H7" s="447">
        <f t="shared" si="2"/>
        <v>47627.839999999997</v>
      </c>
      <c r="I7" s="507">
        <f t="shared" ref="I7:I12" si="3">G7-H7</f>
        <v>247310.16</v>
      </c>
      <c r="J7" s="449"/>
      <c r="K7" s="446">
        <f t="shared" ref="K7:L17" si="4">SUM(K23,K39,K55)</f>
        <v>22480</v>
      </c>
      <c r="L7" s="447">
        <f t="shared" si="4"/>
        <v>29579.820000000003</v>
      </c>
      <c r="M7" s="507">
        <f t="shared" ref="M7:M12" si="5">K7-L7</f>
        <v>-7099.8200000000033</v>
      </c>
      <c r="N7" s="449"/>
      <c r="O7" s="446">
        <f t="shared" ref="O7:P17" si="6">SUM(O23,O39,O55)</f>
        <v>93210</v>
      </c>
      <c r="P7" s="447">
        <f t="shared" si="6"/>
        <v>54846.910000000025</v>
      </c>
      <c r="Q7" s="507">
        <f t="shared" ref="Q7:Q12" si="7">O7-P7</f>
        <v>38363.089999999975</v>
      </c>
      <c r="R7" s="449"/>
      <c r="S7" s="446">
        <f t="shared" ref="S7:T17" si="8">SUM(S23,S39,S55)</f>
        <v>3188</v>
      </c>
      <c r="T7" s="447">
        <f t="shared" si="8"/>
        <v>14299.140000000009</v>
      </c>
      <c r="U7" s="507">
        <f t="shared" ref="U7:U12" si="9">S7-T7</f>
        <v>-11111.140000000009</v>
      </c>
      <c r="V7" s="450"/>
      <c r="W7" s="446">
        <f t="shared" ref="W7:X17" si="10">SUM(W23,W39,W55)</f>
        <v>3631675.2310791016</v>
      </c>
      <c r="X7" s="447">
        <f t="shared" si="10"/>
        <v>3204054.0259430013</v>
      </c>
      <c r="Y7" s="507">
        <f t="shared" ref="Y7:Y12" si="11">W7-X7</f>
        <v>427621.2051361003</v>
      </c>
      <c r="Z7" s="214"/>
      <c r="AA7" s="446">
        <f t="shared" ref="AA7:AB17" si="12">SUM(AA23,AA39,AA55)</f>
        <v>86039</v>
      </c>
      <c r="AB7" s="447">
        <f t="shared" si="12"/>
        <v>83395.929999999993</v>
      </c>
      <c r="AC7" s="507">
        <f t="shared" ref="AC7:AC12" si="13">AA7-AB7</f>
        <v>2643.070000000007</v>
      </c>
      <c r="AD7" s="214"/>
      <c r="AE7" s="446">
        <f t="shared" ref="AE7:AF17" si="14">SUM(AE23,AE39,AE55)</f>
        <v>1433</v>
      </c>
      <c r="AF7" s="447">
        <f t="shared" si="14"/>
        <v>0</v>
      </c>
      <c r="AG7" s="507">
        <f t="shared" ref="AG7:AG12" si="15">AE7-AF7</f>
        <v>1433</v>
      </c>
      <c r="AH7" s="214"/>
      <c r="AI7" s="446">
        <f t="shared" ref="AI7:AJ17" si="16">SUM(AI23,AI39,AI55)</f>
        <v>220871</v>
      </c>
      <c r="AJ7" s="447">
        <f t="shared" si="16"/>
        <v>199592.83000000002</v>
      </c>
      <c r="AK7" s="507">
        <f t="shared" ref="AK7:AK12" si="17">AI7-AJ7</f>
        <v>21278.169999999984</v>
      </c>
      <c r="AL7" s="450"/>
      <c r="AM7" s="446">
        <f t="shared" ref="AM7:AN9" si="18">SUM(C7,G7,K7,O7,S7)</f>
        <v>3942062.2321777344</v>
      </c>
      <c r="AN7" s="447">
        <f t="shared" si="18"/>
        <v>3487053.7966666683</v>
      </c>
      <c r="AO7" s="507">
        <f t="shared" ref="AO7:AO12" si="19">AM7-AN7</f>
        <v>455008.43551106611</v>
      </c>
      <c r="AP7" s="214"/>
      <c r="AQ7" s="446">
        <f t="shared" ref="AQ7:AR9" si="20">SUM(W7,AA7,AE7,AI7)</f>
        <v>3940018.2310791016</v>
      </c>
      <c r="AR7" s="447">
        <f t="shared" si="20"/>
        <v>3487042.7859430015</v>
      </c>
      <c r="AS7" s="507">
        <f t="shared" ref="AS7:AS12" si="21">AQ7-AR7</f>
        <v>452975.44513610005</v>
      </c>
      <c r="AT7" s="214"/>
      <c r="AU7" s="446">
        <f t="shared" ref="AU7:AU12" si="22">AM7</f>
        <v>3942062.2321777344</v>
      </c>
      <c r="AV7" s="447">
        <f t="shared" ref="AV7:AV12" si="23">AQ7</f>
        <v>3940018.2310791016</v>
      </c>
      <c r="AW7" s="507">
        <f t="shared" ref="AW7:AW12" si="24">AU7-AV7</f>
        <v>2044.0010986328125</v>
      </c>
      <c r="AY7" s="493" t="s">
        <v>132</v>
      </c>
      <c r="AZ7" s="410"/>
      <c r="BA7" s="408"/>
      <c r="BB7" s="407"/>
      <c r="BC7" s="436"/>
      <c r="BG7" s="466"/>
      <c r="BH7" s="466"/>
      <c r="BI7" s="466"/>
    </row>
    <row r="8" spans="1:104" ht="21.75" customHeight="1">
      <c r="A8" s="433"/>
      <c r="B8" s="445" t="s">
        <v>88</v>
      </c>
      <c r="C8" s="451">
        <f t="shared" si="0"/>
        <v>2952836.1096191406</v>
      </c>
      <c r="D8" s="214">
        <f t="shared" si="0"/>
        <v>2734921.9700000021</v>
      </c>
      <c r="E8" s="448">
        <f t="shared" si="1"/>
        <v>217914.13961913856</v>
      </c>
      <c r="F8" s="449"/>
      <c r="G8" s="451">
        <f t="shared" si="2"/>
        <v>149552</v>
      </c>
      <c r="H8" s="214">
        <f t="shared" si="2"/>
        <v>103217.18000000001</v>
      </c>
      <c r="I8" s="448">
        <f t="shared" si="3"/>
        <v>46334.819999999992</v>
      </c>
      <c r="J8" s="449"/>
      <c r="K8" s="451">
        <f t="shared" si="4"/>
        <v>29729</v>
      </c>
      <c r="L8" s="214">
        <f t="shared" si="4"/>
        <v>29120</v>
      </c>
      <c r="M8" s="448">
        <f t="shared" si="5"/>
        <v>609</v>
      </c>
      <c r="N8" s="449"/>
      <c r="O8" s="451">
        <f t="shared" si="6"/>
        <v>84956</v>
      </c>
      <c r="P8" s="214">
        <f t="shared" si="6"/>
        <v>68294.350000000006</v>
      </c>
      <c r="Q8" s="448">
        <f t="shared" si="7"/>
        <v>16661.649999999994</v>
      </c>
      <c r="R8" s="449"/>
      <c r="S8" s="451">
        <f t="shared" si="8"/>
        <v>1054</v>
      </c>
      <c r="T8" s="214">
        <f t="shared" si="8"/>
        <v>20001.680000000004</v>
      </c>
      <c r="U8" s="448">
        <f t="shared" si="9"/>
        <v>-18947.680000000004</v>
      </c>
      <c r="V8" s="450"/>
      <c r="W8" s="451">
        <f t="shared" si="10"/>
        <v>3023658.1121826172</v>
      </c>
      <c r="X8" s="214">
        <f t="shared" si="10"/>
        <v>2859365.5968515174</v>
      </c>
      <c r="Y8" s="448">
        <f t="shared" si="11"/>
        <v>164292.51533109974</v>
      </c>
      <c r="Z8" s="214"/>
      <c r="AA8" s="451">
        <f t="shared" si="12"/>
        <v>76012</v>
      </c>
      <c r="AB8" s="214">
        <f t="shared" si="12"/>
        <v>23253.000000000007</v>
      </c>
      <c r="AC8" s="448">
        <f t="shared" si="13"/>
        <v>52758.999999999993</v>
      </c>
      <c r="AD8" s="214"/>
      <c r="AE8" s="451">
        <f t="shared" si="14"/>
        <v>50</v>
      </c>
      <c r="AF8" s="214">
        <f t="shared" si="14"/>
        <v>0</v>
      </c>
      <c r="AG8" s="448">
        <f t="shared" si="15"/>
        <v>50</v>
      </c>
      <c r="AH8" s="214"/>
      <c r="AI8" s="451">
        <f t="shared" si="16"/>
        <v>117520</v>
      </c>
      <c r="AJ8" s="214">
        <f t="shared" si="16"/>
        <v>73456.5</v>
      </c>
      <c r="AK8" s="448">
        <f t="shared" si="17"/>
        <v>44063.5</v>
      </c>
      <c r="AL8" s="450"/>
      <c r="AM8" s="451">
        <f t="shared" si="18"/>
        <v>3218127.1096191406</v>
      </c>
      <c r="AN8" s="214">
        <f t="shared" si="18"/>
        <v>2955555.1800000025</v>
      </c>
      <c r="AO8" s="448">
        <f t="shared" si="19"/>
        <v>262571.92961913813</v>
      </c>
      <c r="AP8" s="214"/>
      <c r="AQ8" s="451">
        <f t="shared" si="20"/>
        <v>3217240.1121826172</v>
      </c>
      <c r="AR8" s="214">
        <f t="shared" si="20"/>
        <v>2956075.0968515174</v>
      </c>
      <c r="AS8" s="448">
        <f t="shared" si="21"/>
        <v>261165.01533109974</v>
      </c>
      <c r="AT8" s="214"/>
      <c r="AU8" s="451">
        <f t="shared" si="22"/>
        <v>3218127.1096191406</v>
      </c>
      <c r="AV8" s="214">
        <f t="shared" si="23"/>
        <v>3217240.1121826172</v>
      </c>
      <c r="AW8" s="448">
        <f t="shared" si="24"/>
        <v>886.9974365234375</v>
      </c>
      <c r="AY8" s="492" t="s">
        <v>274</v>
      </c>
      <c r="AZ8" s="411">
        <f>C20/1000</f>
        <v>31481.200033569337</v>
      </c>
      <c r="BA8" s="414">
        <f>D20/1000</f>
        <v>30972.340024777794</v>
      </c>
      <c r="BB8" s="409">
        <f>AZ8-BA8</f>
        <v>508.86000879154381</v>
      </c>
      <c r="BC8" s="436"/>
      <c r="BG8" s="466"/>
      <c r="BH8" s="466"/>
      <c r="BI8" s="466"/>
    </row>
    <row r="9" spans="1:104" ht="21.75" customHeight="1">
      <c r="A9" s="433"/>
      <c r="B9" s="445" t="s">
        <v>89</v>
      </c>
      <c r="C9" s="451">
        <f t="shared" si="0"/>
        <v>2767738.4473876953</v>
      </c>
      <c r="D9" s="214">
        <f t="shared" si="0"/>
        <v>2515053.6266666697</v>
      </c>
      <c r="E9" s="448">
        <f t="shared" si="1"/>
        <v>252684.82072102558</v>
      </c>
      <c r="F9" s="449"/>
      <c r="G9" s="451">
        <f t="shared" si="2"/>
        <v>188512</v>
      </c>
      <c r="H9" s="214">
        <f t="shared" si="2"/>
        <v>220380.00999999995</v>
      </c>
      <c r="I9" s="448">
        <f t="shared" si="3"/>
        <v>-31868.009999999951</v>
      </c>
      <c r="J9" s="449"/>
      <c r="K9" s="451">
        <f t="shared" si="4"/>
        <v>31672</v>
      </c>
      <c r="L9" s="214">
        <f t="shared" si="4"/>
        <v>22154.570000000003</v>
      </c>
      <c r="M9" s="448">
        <f t="shared" si="5"/>
        <v>9517.4299999999967</v>
      </c>
      <c r="N9" s="449"/>
      <c r="O9" s="451">
        <f t="shared" si="6"/>
        <v>79167</v>
      </c>
      <c r="P9" s="214">
        <f t="shared" si="6"/>
        <v>93764.139999999985</v>
      </c>
      <c r="Q9" s="448">
        <f t="shared" si="7"/>
        <v>-14597.139999999985</v>
      </c>
      <c r="R9" s="449"/>
      <c r="S9" s="451">
        <f t="shared" si="8"/>
        <v>12046</v>
      </c>
      <c r="T9" s="214">
        <f t="shared" si="8"/>
        <v>45724.300000000017</v>
      </c>
      <c r="U9" s="448">
        <f t="shared" si="9"/>
        <v>-33678.300000000017</v>
      </c>
      <c r="V9" s="450"/>
      <c r="W9" s="451">
        <f t="shared" si="10"/>
        <v>2935640.4561157227</v>
      </c>
      <c r="X9" s="214">
        <f t="shared" si="10"/>
        <v>2811469.8371906099</v>
      </c>
      <c r="Y9" s="448">
        <f t="shared" si="11"/>
        <v>124170.61892511277</v>
      </c>
      <c r="Z9" s="214"/>
      <c r="AA9" s="451">
        <f t="shared" si="12"/>
        <v>51852</v>
      </c>
      <c r="AB9" s="214">
        <f t="shared" si="12"/>
        <v>1387.3800000000003</v>
      </c>
      <c r="AC9" s="448">
        <f t="shared" si="13"/>
        <v>50464.62</v>
      </c>
      <c r="AD9" s="214"/>
      <c r="AE9" s="451">
        <f t="shared" si="14"/>
        <v>958</v>
      </c>
      <c r="AF9" s="214">
        <f t="shared" si="14"/>
        <v>0</v>
      </c>
      <c r="AG9" s="448">
        <f t="shared" si="15"/>
        <v>958</v>
      </c>
      <c r="AH9" s="214"/>
      <c r="AI9" s="451">
        <f t="shared" si="16"/>
        <v>92533</v>
      </c>
      <c r="AJ9" s="214">
        <f t="shared" si="16"/>
        <v>84196.286666666667</v>
      </c>
      <c r="AK9" s="448">
        <f t="shared" si="17"/>
        <v>8336.7133333333331</v>
      </c>
      <c r="AL9" s="450"/>
      <c r="AM9" s="451">
        <f t="shared" si="18"/>
        <v>3079135.4473876953</v>
      </c>
      <c r="AN9" s="214">
        <f t="shared" si="18"/>
        <v>2897076.6466666693</v>
      </c>
      <c r="AO9" s="448">
        <f t="shared" si="19"/>
        <v>182058.80072102603</v>
      </c>
      <c r="AP9" s="214"/>
      <c r="AQ9" s="451">
        <f t="shared" si="20"/>
        <v>3080983.4561157227</v>
      </c>
      <c r="AR9" s="214">
        <f t="shared" si="20"/>
        <v>2897053.5038572764</v>
      </c>
      <c r="AS9" s="448">
        <f t="shared" si="21"/>
        <v>183929.95225844625</v>
      </c>
      <c r="AT9" s="214"/>
      <c r="AU9" s="451">
        <f t="shared" si="22"/>
        <v>3079135.4473876953</v>
      </c>
      <c r="AV9" s="214">
        <f t="shared" si="23"/>
        <v>3080983.4561157227</v>
      </c>
      <c r="AW9" s="448">
        <f t="shared" si="24"/>
        <v>-1848.0087280273437</v>
      </c>
      <c r="AY9" s="492" t="s">
        <v>275</v>
      </c>
      <c r="AZ9" s="411">
        <f>G20/1000</f>
        <v>1420.152</v>
      </c>
      <c r="BA9" s="414">
        <f>H20/1000</f>
        <v>1497.8465629999996</v>
      </c>
      <c r="BB9" s="409">
        <f>AZ9-BA9</f>
        <v>-77.694562999999562</v>
      </c>
      <c r="BC9" s="436"/>
      <c r="BG9" s="466"/>
      <c r="BH9" s="466"/>
      <c r="BI9" s="466"/>
    </row>
    <row r="10" spans="1:104" ht="21.75" customHeight="1">
      <c r="A10" s="433"/>
      <c r="B10" s="445" t="s">
        <v>90</v>
      </c>
      <c r="C10" s="451">
        <f t="shared" si="0"/>
        <v>2131632.3068847656</v>
      </c>
      <c r="D10" s="214">
        <f t="shared" si="0"/>
        <v>2190151.5900000008</v>
      </c>
      <c r="E10" s="448">
        <f t="shared" si="1"/>
        <v>-58519.283115235157</v>
      </c>
      <c r="F10" s="449"/>
      <c r="G10" s="451">
        <f t="shared" si="2"/>
        <v>289564</v>
      </c>
      <c r="H10" s="214">
        <f t="shared" si="2"/>
        <v>226177.70000000007</v>
      </c>
      <c r="I10" s="448">
        <f t="shared" si="3"/>
        <v>63386.29999999993</v>
      </c>
      <c r="J10" s="449"/>
      <c r="K10" s="451">
        <f t="shared" si="4"/>
        <v>22481</v>
      </c>
      <c r="L10" s="214">
        <f t="shared" si="4"/>
        <v>28557.809999999998</v>
      </c>
      <c r="M10" s="448">
        <f t="shared" si="5"/>
        <v>-6076.8099999999977</v>
      </c>
      <c r="N10" s="449"/>
      <c r="O10" s="451">
        <f t="shared" si="6"/>
        <v>54993</v>
      </c>
      <c r="P10" s="214">
        <f t="shared" si="6"/>
        <v>78846.820000000007</v>
      </c>
      <c r="Q10" s="448">
        <f t="shared" si="7"/>
        <v>-23853.820000000007</v>
      </c>
      <c r="R10" s="449"/>
      <c r="S10" s="451">
        <f t="shared" si="8"/>
        <v>51482</v>
      </c>
      <c r="T10" s="214">
        <f t="shared" si="8"/>
        <v>48697.17</v>
      </c>
      <c r="U10" s="448">
        <f t="shared" si="9"/>
        <v>2784.8300000000017</v>
      </c>
      <c r="V10" s="450"/>
      <c r="W10" s="451">
        <f t="shared" si="10"/>
        <v>2468114.3041381836</v>
      </c>
      <c r="X10" s="214">
        <f t="shared" si="10"/>
        <v>2517254.3277377072</v>
      </c>
      <c r="Y10" s="448">
        <f t="shared" si="11"/>
        <v>-49140.023599523585</v>
      </c>
      <c r="Z10" s="214"/>
      <c r="AA10" s="451">
        <f t="shared" si="12"/>
        <v>519</v>
      </c>
      <c r="AB10" s="214">
        <f t="shared" si="12"/>
        <v>0</v>
      </c>
      <c r="AC10" s="448">
        <f t="shared" si="13"/>
        <v>519</v>
      </c>
      <c r="AD10" s="214"/>
      <c r="AE10" s="451">
        <f t="shared" si="14"/>
        <v>414</v>
      </c>
      <c r="AF10" s="214">
        <f t="shared" si="14"/>
        <v>0</v>
      </c>
      <c r="AG10" s="448">
        <f t="shared" si="15"/>
        <v>414</v>
      </c>
      <c r="AH10" s="214"/>
      <c r="AI10" s="451">
        <f t="shared" si="16"/>
        <v>81941</v>
      </c>
      <c r="AJ10" s="214">
        <f t="shared" si="16"/>
        <v>55201.090000000011</v>
      </c>
      <c r="AK10" s="448">
        <f t="shared" si="17"/>
        <v>26739.909999999989</v>
      </c>
      <c r="AL10" s="450"/>
      <c r="AM10" s="451">
        <f t="shared" ref="AM10" si="25">SUM(C10,G10,K10,O10,S10)</f>
        <v>2550152.3068847656</v>
      </c>
      <c r="AN10" s="214">
        <f t="shared" ref="AN10" si="26">SUM(D10,H10,L10,P10,T10)</f>
        <v>2572431.0900000008</v>
      </c>
      <c r="AO10" s="448">
        <f t="shared" si="19"/>
        <v>-22278.783115235157</v>
      </c>
      <c r="AP10" s="214"/>
      <c r="AQ10" s="451">
        <f t="shared" ref="AQ10" si="27">SUM(W10,AA10,AE10,AI10)</f>
        <v>2550988.3041381836</v>
      </c>
      <c r="AR10" s="214">
        <f t="shared" ref="AR10" si="28">SUM(X10,AB10,AF10,AJ10)</f>
        <v>2572455.417737707</v>
      </c>
      <c r="AS10" s="448">
        <f t="shared" si="21"/>
        <v>-21467.113599523436</v>
      </c>
      <c r="AT10" s="214"/>
      <c r="AU10" s="451">
        <f t="shared" si="22"/>
        <v>2550152.3068847656</v>
      </c>
      <c r="AV10" s="214">
        <f t="shared" si="23"/>
        <v>2550988.3041381836</v>
      </c>
      <c r="AW10" s="448">
        <f t="shared" si="24"/>
        <v>-835.99725341796875</v>
      </c>
      <c r="AY10" s="492" t="s">
        <v>276</v>
      </c>
      <c r="AZ10" s="411">
        <f>K20/1000</f>
        <v>312.18700000000001</v>
      </c>
      <c r="BA10" s="414">
        <f>L20/1000</f>
        <v>277.33621333333332</v>
      </c>
      <c r="BB10" s="409">
        <f>AZ10-BA10</f>
        <v>34.850786666666693</v>
      </c>
      <c r="BC10" s="436"/>
      <c r="BG10" s="466"/>
      <c r="BH10" s="466"/>
      <c r="BI10" s="466"/>
    </row>
    <row r="11" spans="1:104" ht="21.75" customHeight="1">
      <c r="A11" s="433"/>
      <c r="B11" s="445" t="s">
        <v>10</v>
      </c>
      <c r="C11" s="451">
        <f t="shared" si="0"/>
        <v>2766758.9864501953</v>
      </c>
      <c r="D11" s="214">
        <f t="shared" si="0"/>
        <v>2751594.4700000011</v>
      </c>
      <c r="E11" s="448">
        <f t="shared" si="1"/>
        <v>15164.516450194176</v>
      </c>
      <c r="F11" s="449"/>
      <c r="G11" s="451">
        <f t="shared" si="2"/>
        <v>72685</v>
      </c>
      <c r="H11" s="214">
        <f t="shared" si="2"/>
        <v>33437.699999999997</v>
      </c>
      <c r="I11" s="448">
        <f t="shared" si="3"/>
        <v>39247.300000000003</v>
      </c>
      <c r="J11" s="449"/>
      <c r="K11" s="451">
        <f t="shared" si="4"/>
        <v>17693</v>
      </c>
      <c r="L11" s="214">
        <f t="shared" si="4"/>
        <v>25285.789999999986</v>
      </c>
      <c r="M11" s="448">
        <f t="shared" si="5"/>
        <v>-7592.7899999999863</v>
      </c>
      <c r="N11" s="449"/>
      <c r="O11" s="451">
        <f t="shared" si="6"/>
        <v>56336</v>
      </c>
      <c r="P11" s="214">
        <f t="shared" si="6"/>
        <v>54328.9</v>
      </c>
      <c r="Q11" s="448">
        <f t="shared" si="7"/>
        <v>2007.0999999999985</v>
      </c>
      <c r="R11" s="449"/>
      <c r="S11" s="451">
        <f t="shared" si="8"/>
        <v>1432</v>
      </c>
      <c r="T11" s="214">
        <f t="shared" si="8"/>
        <v>21586.18</v>
      </c>
      <c r="U11" s="448">
        <f t="shared" si="9"/>
        <v>-20154.18</v>
      </c>
      <c r="V11" s="450"/>
      <c r="W11" s="451">
        <f t="shared" si="10"/>
        <v>2783204.9895629883</v>
      </c>
      <c r="X11" s="214">
        <f t="shared" si="10"/>
        <v>2701843.5086360862</v>
      </c>
      <c r="Y11" s="448">
        <f t="shared" si="11"/>
        <v>81361.480926902033</v>
      </c>
      <c r="Z11" s="214"/>
      <c r="AA11" s="451">
        <f t="shared" si="12"/>
        <v>42870</v>
      </c>
      <c r="AB11" s="214">
        <f t="shared" si="12"/>
        <v>65482.609999999979</v>
      </c>
      <c r="AC11" s="448">
        <f t="shared" si="13"/>
        <v>-22612.609999999979</v>
      </c>
      <c r="AD11" s="214"/>
      <c r="AE11" s="451">
        <f t="shared" si="14"/>
        <v>1185</v>
      </c>
      <c r="AF11" s="214">
        <f t="shared" si="14"/>
        <v>0</v>
      </c>
      <c r="AG11" s="448">
        <f t="shared" si="15"/>
        <v>1185</v>
      </c>
      <c r="AH11" s="214"/>
      <c r="AI11" s="451">
        <f t="shared" si="16"/>
        <v>88402</v>
      </c>
      <c r="AJ11" s="214">
        <f t="shared" si="16"/>
        <v>118896.42666666668</v>
      </c>
      <c r="AK11" s="448">
        <f t="shared" si="17"/>
        <v>-30494.426666666681</v>
      </c>
      <c r="AL11" s="450"/>
      <c r="AM11" s="451">
        <f t="shared" ref="AM11" si="29">SUM(C11,G11,K11,O11,S11)</f>
        <v>2914904.9864501953</v>
      </c>
      <c r="AN11" s="214">
        <f t="shared" ref="AN11" si="30">SUM(D11,H11,L11,P11,T11)</f>
        <v>2886233.0400000014</v>
      </c>
      <c r="AO11" s="448">
        <f t="shared" si="19"/>
        <v>28671.946450193878</v>
      </c>
      <c r="AP11" s="214"/>
      <c r="AQ11" s="451">
        <f t="shared" ref="AQ11" si="31">SUM(W11,AA11,AE11,AI11)</f>
        <v>2915661.9895629883</v>
      </c>
      <c r="AR11" s="214">
        <f t="shared" ref="AR11" si="32">SUM(X11,AB11,AF11,AJ11)</f>
        <v>2886222.5453027529</v>
      </c>
      <c r="AS11" s="448">
        <f t="shared" si="21"/>
        <v>29439.44426023541</v>
      </c>
      <c r="AT11" s="214"/>
      <c r="AU11" s="451">
        <f t="shared" si="22"/>
        <v>2914904.9864501953</v>
      </c>
      <c r="AV11" s="214">
        <f t="shared" si="23"/>
        <v>2915661.9895629883</v>
      </c>
      <c r="AW11" s="448">
        <f t="shared" si="24"/>
        <v>-757.00311279296875</v>
      </c>
      <c r="AY11" s="491"/>
      <c r="AZ11" s="411"/>
      <c r="BA11" s="415"/>
      <c r="BB11" s="407"/>
      <c r="BC11" s="436"/>
      <c r="BG11" s="466"/>
      <c r="BH11" s="466"/>
      <c r="BI11" s="466"/>
    </row>
    <row r="12" spans="1:104" ht="21.75" customHeight="1">
      <c r="A12" s="433"/>
      <c r="B12" s="445" t="s">
        <v>91</v>
      </c>
      <c r="C12" s="451">
        <f t="shared" si="0"/>
        <v>3177168.9470214844</v>
      </c>
      <c r="D12" s="214">
        <f t="shared" si="0"/>
        <v>3124643.8133333353</v>
      </c>
      <c r="E12" s="448">
        <f t="shared" si="1"/>
        <v>52525.133688149042</v>
      </c>
      <c r="F12" s="449"/>
      <c r="G12" s="451">
        <f t="shared" si="2"/>
        <v>64491</v>
      </c>
      <c r="H12" s="214">
        <f t="shared" si="2"/>
        <v>118087.71000000002</v>
      </c>
      <c r="I12" s="448">
        <f t="shared" si="3"/>
        <v>-53596.710000000021</v>
      </c>
      <c r="J12" s="449"/>
      <c r="K12" s="451">
        <f t="shared" si="4"/>
        <v>29889</v>
      </c>
      <c r="L12" s="214">
        <f t="shared" si="4"/>
        <v>23151.990000000009</v>
      </c>
      <c r="M12" s="448">
        <f t="shared" si="5"/>
        <v>6737.0099999999911</v>
      </c>
      <c r="N12" s="449"/>
      <c r="O12" s="451">
        <f t="shared" si="6"/>
        <v>76797</v>
      </c>
      <c r="P12" s="214">
        <f t="shared" si="6"/>
        <v>68708.39999999998</v>
      </c>
      <c r="Q12" s="448">
        <f t="shared" si="7"/>
        <v>8088.6000000000204</v>
      </c>
      <c r="R12" s="449"/>
      <c r="S12" s="451">
        <f t="shared" si="8"/>
        <v>552</v>
      </c>
      <c r="T12" s="214">
        <f t="shared" si="8"/>
        <v>23936.92</v>
      </c>
      <c r="U12" s="448">
        <f t="shared" si="9"/>
        <v>-23384.92</v>
      </c>
      <c r="V12" s="450"/>
      <c r="W12" s="451">
        <f t="shared" si="10"/>
        <v>3108632.9465332031</v>
      </c>
      <c r="X12" s="214">
        <f t="shared" si="10"/>
        <v>3153619.9342092043</v>
      </c>
      <c r="Y12" s="448">
        <f t="shared" si="11"/>
        <v>-44986.987676001154</v>
      </c>
      <c r="Z12" s="214"/>
      <c r="AA12" s="451">
        <f t="shared" si="12"/>
        <v>45337</v>
      </c>
      <c r="AB12" s="214">
        <f t="shared" si="12"/>
        <v>21972.269999999993</v>
      </c>
      <c r="AC12" s="448">
        <f t="shared" si="13"/>
        <v>23364.730000000007</v>
      </c>
      <c r="AD12" s="214"/>
      <c r="AE12" s="451">
        <f t="shared" si="14"/>
        <v>290</v>
      </c>
      <c r="AF12" s="214">
        <f t="shared" si="14"/>
        <v>0</v>
      </c>
      <c r="AG12" s="448">
        <f t="shared" si="15"/>
        <v>290</v>
      </c>
      <c r="AH12" s="214"/>
      <c r="AI12" s="451">
        <f t="shared" si="16"/>
        <v>195622</v>
      </c>
      <c r="AJ12" s="214">
        <f t="shared" si="16"/>
        <v>182922.57666666666</v>
      </c>
      <c r="AK12" s="448">
        <f t="shared" si="17"/>
        <v>12699.42333333334</v>
      </c>
      <c r="AL12" s="450"/>
      <c r="AM12" s="451">
        <f t="shared" ref="AM12" si="33">SUM(C12,G12,K12,O12,S12)</f>
        <v>3348897.9470214844</v>
      </c>
      <c r="AN12" s="214">
        <f t="shared" ref="AN12" si="34">SUM(D12,H12,L12,P12,T12)</f>
        <v>3358528.8333333354</v>
      </c>
      <c r="AO12" s="448">
        <f t="shared" si="19"/>
        <v>-9630.8863118509762</v>
      </c>
      <c r="AP12" s="214"/>
      <c r="AQ12" s="451">
        <f t="shared" ref="AQ12" si="35">SUM(W12,AA12,AE12,AI12)</f>
        <v>3349881.9465332031</v>
      </c>
      <c r="AR12" s="214">
        <f t="shared" ref="AR12" si="36">SUM(X12,AB12,AF12,AJ12)</f>
        <v>3358514.780875871</v>
      </c>
      <c r="AS12" s="448">
        <f t="shared" si="21"/>
        <v>-8632.834342667833</v>
      </c>
      <c r="AT12" s="214"/>
      <c r="AU12" s="451">
        <f t="shared" si="22"/>
        <v>3348897.9470214844</v>
      </c>
      <c r="AV12" s="214">
        <f t="shared" si="23"/>
        <v>3349881.9465332031</v>
      </c>
      <c r="AW12" s="448">
        <f t="shared" si="24"/>
        <v>-983.99951171875</v>
      </c>
      <c r="AY12" s="493" t="s">
        <v>249</v>
      </c>
      <c r="AZ12" s="411"/>
      <c r="BA12" s="415"/>
      <c r="BB12" s="407"/>
      <c r="BC12" s="407"/>
      <c r="BG12" s="466"/>
      <c r="BH12" s="466"/>
      <c r="BI12" s="466"/>
    </row>
    <row r="13" spans="1:104" ht="21.75" customHeight="1">
      <c r="A13" s="433"/>
      <c r="B13" s="445" t="s">
        <v>92</v>
      </c>
      <c r="C13" s="451">
        <f t="shared" si="0"/>
        <v>3076794.4439697266</v>
      </c>
      <c r="D13" s="214">
        <f t="shared" si="0"/>
        <v>3411388.9733333346</v>
      </c>
      <c r="E13" s="448">
        <f t="shared" ref="E13" si="37">C13-D13</f>
        <v>-334594.52936360799</v>
      </c>
      <c r="F13" s="449"/>
      <c r="G13" s="451">
        <f t="shared" si="2"/>
        <v>86835</v>
      </c>
      <c r="H13" s="214">
        <f t="shared" si="2"/>
        <v>217839.62999999989</v>
      </c>
      <c r="I13" s="448">
        <f t="shared" ref="I13" si="38">G13-H13</f>
        <v>-131004.62999999989</v>
      </c>
      <c r="J13" s="449"/>
      <c r="K13" s="451">
        <f t="shared" si="4"/>
        <v>34786</v>
      </c>
      <c r="L13" s="214">
        <f t="shared" si="4"/>
        <v>27961.109999999993</v>
      </c>
      <c r="M13" s="448">
        <f t="shared" ref="M13" si="39">K13-L13</f>
        <v>6824.8900000000067</v>
      </c>
      <c r="N13" s="449"/>
      <c r="O13" s="451">
        <f t="shared" si="6"/>
        <v>84804</v>
      </c>
      <c r="P13" s="214">
        <f t="shared" si="6"/>
        <v>78951.260000000009</v>
      </c>
      <c r="Q13" s="448">
        <f t="shared" ref="Q13" si="40">O13-P13</f>
        <v>5852.7399999999907</v>
      </c>
      <c r="R13" s="449"/>
      <c r="S13" s="451">
        <f t="shared" si="8"/>
        <v>1158</v>
      </c>
      <c r="T13" s="214">
        <f t="shared" si="8"/>
        <v>14921.309999999998</v>
      </c>
      <c r="U13" s="448">
        <f t="shared" ref="U13" si="41">S13-T13</f>
        <v>-13763.309999999998</v>
      </c>
      <c r="V13" s="450"/>
      <c r="W13" s="451">
        <f t="shared" si="10"/>
        <v>3118297.9225463867</v>
      </c>
      <c r="X13" s="214">
        <f t="shared" si="10"/>
        <v>3542809.3258800958</v>
      </c>
      <c r="Y13" s="448">
        <f t="shared" ref="Y13" si="42">W13-X13</f>
        <v>-424511.40333370911</v>
      </c>
      <c r="Z13" s="214"/>
      <c r="AA13" s="451">
        <f t="shared" si="12"/>
        <v>14611</v>
      </c>
      <c r="AB13" s="214">
        <f t="shared" si="12"/>
        <v>13529.950000000004</v>
      </c>
      <c r="AC13" s="448">
        <f t="shared" ref="AC13" si="43">AA13-AB13</f>
        <v>1081.0499999999956</v>
      </c>
      <c r="AD13" s="214"/>
      <c r="AE13" s="451">
        <f t="shared" si="14"/>
        <v>330</v>
      </c>
      <c r="AF13" s="214">
        <f t="shared" si="14"/>
        <v>0</v>
      </c>
      <c r="AG13" s="448">
        <f t="shared" ref="AG13" si="44">AE13-AF13</f>
        <v>330</v>
      </c>
      <c r="AH13" s="214"/>
      <c r="AI13" s="451">
        <f t="shared" si="16"/>
        <v>151490</v>
      </c>
      <c r="AJ13" s="214">
        <f t="shared" si="16"/>
        <v>195675.63000000003</v>
      </c>
      <c r="AK13" s="448">
        <f t="shared" ref="AK13" si="45">AI13-AJ13</f>
        <v>-44185.630000000034</v>
      </c>
      <c r="AL13" s="450"/>
      <c r="AM13" s="451">
        <f t="shared" ref="AM13" si="46">SUM(C13,G13,K13,O13,S13)</f>
        <v>3284377.4439697266</v>
      </c>
      <c r="AN13" s="214">
        <f t="shared" ref="AN13" si="47">SUM(D13,H13,L13,P13,T13)</f>
        <v>3751062.2833333346</v>
      </c>
      <c r="AO13" s="448">
        <f t="shared" ref="AO13" si="48">AM13-AN13</f>
        <v>-466684.83936360804</v>
      </c>
      <c r="AP13" s="214"/>
      <c r="AQ13" s="451">
        <f t="shared" ref="AQ13" si="49">SUM(W13,AA13,AE13,AI13)</f>
        <v>3284728.9225463867</v>
      </c>
      <c r="AR13" s="214">
        <f t="shared" ref="AR13" si="50">SUM(X13,AB13,AF13,AJ13)</f>
        <v>3752014.9058800959</v>
      </c>
      <c r="AS13" s="448">
        <f t="shared" ref="AS13" si="51">AQ13-AR13</f>
        <v>-467285.98333370918</v>
      </c>
      <c r="AT13" s="214"/>
      <c r="AU13" s="451">
        <f t="shared" ref="AU13" si="52">AM13</f>
        <v>3284377.4439697266</v>
      </c>
      <c r="AV13" s="214">
        <f t="shared" ref="AV13" si="53">AQ13</f>
        <v>3284728.9225463867</v>
      </c>
      <c r="AW13" s="448">
        <f t="shared" ref="AW13" si="54">AU13-AV13</f>
        <v>-351.47857666015625</v>
      </c>
      <c r="AY13" s="492" t="s">
        <v>277</v>
      </c>
      <c r="AZ13" s="411">
        <f>O20/1000</f>
        <v>788.90499999999997</v>
      </c>
      <c r="BA13" s="414">
        <f>P20/1000</f>
        <v>782.82134000000008</v>
      </c>
      <c r="BB13" s="409">
        <f>AZ13-BA13</f>
        <v>6.0836599999998953</v>
      </c>
      <c r="BC13" s="407"/>
      <c r="BG13" s="466"/>
      <c r="BH13" s="466"/>
    </row>
    <row r="14" spans="1:104" ht="21.75" customHeight="1">
      <c r="A14" s="433"/>
      <c r="B14" s="445" t="s">
        <v>93</v>
      </c>
      <c r="C14" s="451">
        <f t="shared" si="0"/>
        <v>3327184</v>
      </c>
      <c r="D14" s="214">
        <f t="shared" si="0"/>
        <v>3435942.0566666694</v>
      </c>
      <c r="E14" s="448">
        <f t="shared" ref="E14" si="55">C14-D14</f>
        <v>-108758.05666666944</v>
      </c>
      <c r="F14" s="449"/>
      <c r="G14" s="451">
        <f t="shared" si="2"/>
        <v>67402</v>
      </c>
      <c r="H14" s="214">
        <f t="shared" si="2"/>
        <v>212157.27000000005</v>
      </c>
      <c r="I14" s="448">
        <f t="shared" ref="I14" si="56">G14-H14</f>
        <v>-144755.27000000005</v>
      </c>
      <c r="J14" s="449"/>
      <c r="K14" s="451">
        <f t="shared" si="4"/>
        <v>34393</v>
      </c>
      <c r="L14" s="214">
        <f t="shared" si="4"/>
        <v>22686.519999999986</v>
      </c>
      <c r="M14" s="448">
        <f t="shared" ref="M14" si="57">K14-L14</f>
        <v>11706.480000000014</v>
      </c>
      <c r="N14" s="449"/>
      <c r="O14" s="451">
        <f t="shared" si="6"/>
        <v>74767</v>
      </c>
      <c r="P14" s="214">
        <f t="shared" si="6"/>
        <v>79935.780000000013</v>
      </c>
      <c r="Q14" s="448">
        <f t="shared" ref="Q14" si="58">O14-P14</f>
        <v>-5168.7800000000134</v>
      </c>
      <c r="R14" s="449"/>
      <c r="S14" s="451">
        <f t="shared" si="8"/>
        <v>427</v>
      </c>
      <c r="T14" s="214">
        <f t="shared" si="8"/>
        <v>23724.720000000001</v>
      </c>
      <c r="U14" s="448">
        <f t="shared" ref="U14" si="59">S14-T14</f>
        <v>-23297.72</v>
      </c>
      <c r="V14" s="450"/>
      <c r="W14" s="451">
        <f t="shared" si="10"/>
        <v>3259009</v>
      </c>
      <c r="X14" s="214">
        <f t="shared" si="10"/>
        <v>3569094.2982098637</v>
      </c>
      <c r="Y14" s="448">
        <f t="shared" ref="Y14" si="60">W14-X14</f>
        <v>-310085.29820986371</v>
      </c>
      <c r="Z14" s="214"/>
      <c r="AA14" s="451">
        <f t="shared" si="12"/>
        <v>39727</v>
      </c>
      <c r="AB14" s="214">
        <f t="shared" si="12"/>
        <v>8207.7099999999991</v>
      </c>
      <c r="AC14" s="448">
        <f t="shared" ref="AC14" si="61">AA14-AB14</f>
        <v>31519.29</v>
      </c>
      <c r="AD14" s="214"/>
      <c r="AE14" s="451">
        <f t="shared" si="14"/>
        <v>390</v>
      </c>
      <c r="AF14" s="214">
        <f t="shared" si="14"/>
        <v>0</v>
      </c>
      <c r="AG14" s="448">
        <f t="shared" ref="AG14" si="62">AE14-AF14</f>
        <v>390</v>
      </c>
      <c r="AH14" s="214"/>
      <c r="AI14" s="451">
        <f t="shared" si="16"/>
        <v>206224</v>
      </c>
      <c r="AJ14" s="214">
        <f t="shared" si="16"/>
        <v>198067.82333333328</v>
      </c>
      <c r="AK14" s="448">
        <f t="shared" ref="AK14" si="63">AI14-AJ14</f>
        <v>8156.1766666667245</v>
      </c>
      <c r="AL14" s="450"/>
      <c r="AM14" s="451">
        <f t="shared" ref="AM14" si="64">SUM(C14,G14,K14,O14,S14)</f>
        <v>3504173</v>
      </c>
      <c r="AN14" s="214">
        <f t="shared" ref="AN14" si="65">SUM(D14,H14,L14,P14,T14)</f>
        <v>3774446.3466666695</v>
      </c>
      <c r="AO14" s="448">
        <f t="shared" ref="AO14" si="66">AM14-AN14</f>
        <v>-270273.34666666947</v>
      </c>
      <c r="AP14" s="214"/>
      <c r="AQ14" s="451">
        <f t="shared" ref="AQ14" si="67">SUM(W14,AA14,AE14,AI14)</f>
        <v>3505350</v>
      </c>
      <c r="AR14" s="214">
        <f t="shared" ref="AR14" si="68">SUM(X14,AB14,AF14,AJ14)</f>
        <v>3775369.8315431969</v>
      </c>
      <c r="AS14" s="448">
        <f t="shared" ref="AS14" si="69">AQ14-AR14</f>
        <v>-270019.83154319692</v>
      </c>
      <c r="AT14" s="214"/>
      <c r="AU14" s="451">
        <f t="shared" ref="AU14" si="70">AM14</f>
        <v>3504173</v>
      </c>
      <c r="AV14" s="214">
        <f t="shared" ref="AV14" si="71">AQ14</f>
        <v>3505350</v>
      </c>
      <c r="AW14" s="448">
        <f t="shared" ref="AW14" si="72">AU14-AV14</f>
        <v>-1177</v>
      </c>
      <c r="AY14" s="492" t="s">
        <v>278</v>
      </c>
      <c r="AZ14" s="412">
        <f>S20/1000</f>
        <v>75.504999999999995</v>
      </c>
      <c r="BA14" s="416">
        <f>T20/1000</f>
        <v>312.49595500000004</v>
      </c>
      <c r="BB14" s="413">
        <f>AZ14-BA14</f>
        <v>-236.99095500000004</v>
      </c>
      <c r="BC14" s="407"/>
      <c r="BH14" s="466"/>
    </row>
    <row r="15" spans="1:104" ht="21.75" customHeight="1">
      <c r="A15" s="433"/>
      <c r="B15" s="445" t="s">
        <v>94</v>
      </c>
      <c r="C15" s="451">
        <f t="shared" si="0"/>
        <v>2892279</v>
      </c>
      <c r="D15" s="214">
        <f t="shared" si="0"/>
        <v>2986000</v>
      </c>
      <c r="E15" s="448">
        <f t="shared" ref="E15" si="73">C15-D15</f>
        <v>-93721</v>
      </c>
      <c r="F15" s="449"/>
      <c r="G15" s="451">
        <f t="shared" si="2"/>
        <v>38193</v>
      </c>
      <c r="H15" s="214">
        <f t="shared" si="2"/>
        <v>41030</v>
      </c>
      <c r="I15" s="448">
        <f t="shared" ref="I15" si="74">G15-H15</f>
        <v>-2837</v>
      </c>
      <c r="J15" s="449"/>
      <c r="K15" s="451">
        <f t="shared" si="4"/>
        <v>24396</v>
      </c>
      <c r="L15" s="214">
        <f t="shared" si="4"/>
        <v>22051</v>
      </c>
      <c r="M15" s="448">
        <f t="shared" ref="M15" si="75">K15-L15</f>
        <v>2345</v>
      </c>
      <c r="N15" s="449"/>
      <c r="O15" s="451">
        <f t="shared" si="6"/>
        <v>76281</v>
      </c>
      <c r="P15" s="214">
        <f t="shared" si="6"/>
        <v>54294</v>
      </c>
      <c r="Q15" s="448">
        <f t="shared" ref="Q15" si="76">O15-P15</f>
        <v>21987</v>
      </c>
      <c r="R15" s="449"/>
      <c r="S15" s="451">
        <f t="shared" si="8"/>
        <v>1176</v>
      </c>
      <c r="T15" s="214">
        <f t="shared" si="8"/>
        <v>20304</v>
      </c>
      <c r="U15" s="448">
        <f t="shared" ref="U15" si="77">S15-T15</f>
        <v>-19128</v>
      </c>
      <c r="V15" s="450"/>
      <c r="W15" s="451">
        <f t="shared" si="10"/>
        <v>2797868</v>
      </c>
      <c r="X15" s="214">
        <f t="shared" si="10"/>
        <v>2907225</v>
      </c>
      <c r="Y15" s="448">
        <f t="shared" ref="Y15" si="78">W15-X15</f>
        <v>-109357</v>
      </c>
      <c r="Z15" s="214"/>
      <c r="AA15" s="451">
        <f t="shared" si="12"/>
        <v>44568</v>
      </c>
      <c r="AB15" s="214">
        <f t="shared" si="12"/>
        <v>33545</v>
      </c>
      <c r="AC15" s="448">
        <f t="shared" ref="AC15" si="79">AA15-AB15</f>
        <v>11023</v>
      </c>
      <c r="AD15" s="214"/>
      <c r="AE15" s="451">
        <f t="shared" si="14"/>
        <v>187</v>
      </c>
      <c r="AF15" s="214">
        <f t="shared" si="14"/>
        <v>0</v>
      </c>
      <c r="AG15" s="448">
        <f t="shared" ref="AG15" si="80">AE15-AF15</f>
        <v>187</v>
      </c>
      <c r="AH15" s="214"/>
      <c r="AI15" s="451">
        <f t="shared" si="16"/>
        <v>189267</v>
      </c>
      <c r="AJ15" s="214">
        <f t="shared" si="16"/>
        <v>182902</v>
      </c>
      <c r="AK15" s="448">
        <f t="shared" ref="AK15" si="81">AI15-AJ15</f>
        <v>6365</v>
      </c>
      <c r="AL15" s="450"/>
      <c r="AM15" s="451">
        <f t="shared" ref="AM15" si="82">SUM(C15,G15,K15,O15,S15)</f>
        <v>3032325</v>
      </c>
      <c r="AN15" s="214">
        <f t="shared" ref="AN15" si="83">SUM(D15,H15,L15,P15,T15)</f>
        <v>3123679</v>
      </c>
      <c r="AO15" s="448">
        <f t="shared" ref="AO15" si="84">AM15-AN15</f>
        <v>-91354</v>
      </c>
      <c r="AP15" s="214"/>
      <c r="AQ15" s="451">
        <f t="shared" ref="AQ15" si="85">SUM(W15,AA15,AE15,AI15)</f>
        <v>3031890</v>
      </c>
      <c r="AR15" s="214">
        <f t="shared" ref="AR15" si="86">SUM(X15,AB15,AF15,AJ15)</f>
        <v>3123672</v>
      </c>
      <c r="AS15" s="448">
        <f t="shared" ref="AS15" si="87">AQ15-AR15</f>
        <v>-91782</v>
      </c>
      <c r="AT15" s="214"/>
      <c r="AU15" s="451">
        <f t="shared" ref="AU15" si="88">AM15</f>
        <v>3032325</v>
      </c>
      <c r="AV15" s="214">
        <f t="shared" ref="AV15" si="89">AQ15</f>
        <v>3031890</v>
      </c>
      <c r="AW15" s="448">
        <f t="shared" ref="AW15" si="90">AU15-AV15</f>
        <v>435</v>
      </c>
      <c r="AY15" s="491"/>
      <c r="AZ15" s="411"/>
      <c r="BA15" s="415"/>
      <c r="BB15" s="407"/>
      <c r="BC15" s="407"/>
      <c r="BH15" s="466"/>
    </row>
    <row r="16" spans="1:104" ht="21.75" customHeight="1">
      <c r="A16" s="433"/>
      <c r="B16" s="445" t="s">
        <v>95</v>
      </c>
      <c r="C16" s="451">
        <f t="shared" si="0"/>
        <v>2681124.5600585938</v>
      </c>
      <c r="D16" s="214">
        <f t="shared" si="0"/>
        <v>2472414.8833333356</v>
      </c>
      <c r="E16" s="448">
        <f t="shared" ref="E16" si="91">C16-D16</f>
        <v>208709.67672525812</v>
      </c>
      <c r="F16" s="449"/>
      <c r="G16" s="451">
        <f t="shared" si="2"/>
        <v>28589</v>
      </c>
      <c r="H16" s="214">
        <f t="shared" si="2"/>
        <v>167796.94</v>
      </c>
      <c r="I16" s="448">
        <f t="shared" ref="I16" si="92">G16-H16</f>
        <v>-139207.94</v>
      </c>
      <c r="J16" s="449"/>
      <c r="K16" s="451">
        <f t="shared" si="4"/>
        <v>34792</v>
      </c>
      <c r="L16" s="214">
        <f t="shared" si="4"/>
        <v>26880.670000000002</v>
      </c>
      <c r="M16" s="448">
        <f t="shared" ref="M16" si="93">K16-L16</f>
        <v>7911.3299999999981</v>
      </c>
      <c r="N16" s="449"/>
      <c r="O16" s="451">
        <f t="shared" si="6"/>
        <v>54586</v>
      </c>
      <c r="P16" s="214">
        <f t="shared" si="6"/>
        <v>89893.01</v>
      </c>
      <c r="Q16" s="448">
        <f t="shared" ref="Q16" si="94">O16-P16</f>
        <v>-35307.009999999995</v>
      </c>
      <c r="R16" s="449"/>
      <c r="S16" s="451">
        <f t="shared" si="8"/>
        <v>2314</v>
      </c>
      <c r="T16" s="214">
        <f t="shared" si="8"/>
        <v>50544.740000000013</v>
      </c>
      <c r="U16" s="448">
        <f t="shared" ref="U16" si="95">S16-T16</f>
        <v>-48230.740000000013</v>
      </c>
      <c r="V16" s="450"/>
      <c r="W16" s="451">
        <f t="shared" si="10"/>
        <v>2559209.5591430664</v>
      </c>
      <c r="X16" s="214">
        <f t="shared" si="10"/>
        <v>2659084.817937742</v>
      </c>
      <c r="Y16" s="448">
        <f t="shared" ref="Y16" si="96">W16-X16</f>
        <v>-99875.258794675581</v>
      </c>
      <c r="Z16" s="214"/>
      <c r="AA16" s="451">
        <f t="shared" si="12"/>
        <v>36497</v>
      </c>
      <c r="AB16" s="214">
        <f t="shared" si="12"/>
        <v>732.38</v>
      </c>
      <c r="AC16" s="448">
        <f t="shared" ref="AC16" si="97">AA16-AB16</f>
        <v>35764.620000000003</v>
      </c>
      <c r="AD16" s="214"/>
      <c r="AE16" s="451">
        <f t="shared" si="14"/>
        <v>677</v>
      </c>
      <c r="AF16" s="214">
        <f t="shared" si="14"/>
        <v>0</v>
      </c>
      <c r="AG16" s="448">
        <f t="shared" ref="AG16" si="98">AE16-AF16</f>
        <v>677</v>
      </c>
      <c r="AH16" s="214"/>
      <c r="AI16" s="451">
        <f t="shared" si="16"/>
        <v>206867</v>
      </c>
      <c r="AJ16" s="214">
        <f t="shared" si="16"/>
        <v>147750.87333333329</v>
      </c>
      <c r="AK16" s="448">
        <f t="shared" ref="AK16" si="99">AI16-AJ16</f>
        <v>59116.126666666707</v>
      </c>
      <c r="AL16" s="450"/>
      <c r="AM16" s="451">
        <f t="shared" ref="AM16" si="100">SUM(C16,G16,K16,O16,S16)</f>
        <v>2801405.5600585937</v>
      </c>
      <c r="AN16" s="214">
        <f t="shared" ref="AN16" si="101">SUM(D16,H16,L16,P16,T16)</f>
        <v>2807530.2433333355</v>
      </c>
      <c r="AO16" s="448">
        <f t="shared" ref="AO16" si="102">AM16-AN16</f>
        <v>-6124.6832747417502</v>
      </c>
      <c r="AP16" s="214"/>
      <c r="AQ16" s="451">
        <f t="shared" ref="AQ16" si="103">SUM(W16,AA16,AE16,AI16)</f>
        <v>2803250.5591430664</v>
      </c>
      <c r="AR16" s="214">
        <f t="shared" ref="AR16" si="104">SUM(X16,AB16,AF16,AJ16)</f>
        <v>2807568.0712710749</v>
      </c>
      <c r="AS16" s="448">
        <f t="shared" ref="AS16" si="105">AQ16-AR16</f>
        <v>-4317.5121280085295</v>
      </c>
      <c r="AT16" s="214"/>
      <c r="AU16" s="451">
        <f t="shared" ref="AU16" si="106">AM16</f>
        <v>2801405.5600585937</v>
      </c>
      <c r="AV16" s="214">
        <f t="shared" ref="AV16" si="107">AQ16</f>
        <v>2803250.5591430664</v>
      </c>
      <c r="AW16" s="448">
        <f t="shared" ref="AW16" si="108">AU16-AV16</f>
        <v>-1844.9990844726562</v>
      </c>
      <c r="AY16" s="493" t="s">
        <v>292</v>
      </c>
      <c r="AZ16" s="487">
        <f>SUM(AZ8:AZ14)</f>
        <v>34077.949033569334</v>
      </c>
      <c r="BA16" s="488">
        <f>SUM(BA8:BA14)</f>
        <v>33842.840096111126</v>
      </c>
      <c r="BB16" s="489">
        <f>AZ16-BA16</f>
        <v>235.10893745820795</v>
      </c>
      <c r="BC16" s="407"/>
      <c r="BH16" s="466"/>
    </row>
    <row r="17" spans="1:104" ht="21.75" customHeight="1">
      <c r="A17" s="433"/>
      <c r="B17" s="445" t="s">
        <v>96</v>
      </c>
      <c r="C17" s="451">
        <f t="shared" si="0"/>
        <v>2179437</v>
      </c>
      <c r="D17" s="214">
        <f t="shared" si="0"/>
        <v>2009528.5547777805</v>
      </c>
      <c r="E17" s="448">
        <f t="shared" ref="E17" si="109">C17-D17</f>
        <v>169908.44522221945</v>
      </c>
      <c r="F17" s="449"/>
      <c r="G17" s="451">
        <f t="shared" si="2"/>
        <v>139391</v>
      </c>
      <c r="H17" s="214">
        <f t="shared" si="2"/>
        <v>110094.58299999998</v>
      </c>
      <c r="I17" s="448">
        <f t="shared" ref="I17" si="110">G17-H17</f>
        <v>29296.417000000016</v>
      </c>
      <c r="J17" s="449"/>
      <c r="K17" s="451">
        <f t="shared" si="4"/>
        <v>29876</v>
      </c>
      <c r="L17" s="214">
        <f t="shared" si="4"/>
        <v>19906.933333333327</v>
      </c>
      <c r="M17" s="448">
        <f t="shared" ref="M17" si="111">K17-L17</f>
        <v>9969.066666666673</v>
      </c>
      <c r="N17" s="449"/>
      <c r="O17" s="451">
        <f t="shared" si="6"/>
        <v>53008</v>
      </c>
      <c r="P17" s="214">
        <f t="shared" si="6"/>
        <v>60957.770000000004</v>
      </c>
      <c r="Q17" s="448">
        <f t="shared" ref="Q17" si="112">O17-P17</f>
        <v>-7949.7700000000041</v>
      </c>
      <c r="R17" s="449"/>
      <c r="S17" s="451">
        <f t="shared" si="8"/>
        <v>676</v>
      </c>
      <c r="T17" s="214">
        <f t="shared" si="8"/>
        <v>28755.794999999998</v>
      </c>
      <c r="U17" s="448">
        <f t="shared" ref="U17" si="113">S17-T17</f>
        <v>-28079.794999999998</v>
      </c>
      <c r="V17" s="450"/>
      <c r="W17" s="451">
        <f t="shared" si="10"/>
        <v>2222479</v>
      </c>
      <c r="X17" s="214">
        <f t="shared" si="10"/>
        <v>2077859.8201669548</v>
      </c>
      <c r="Y17" s="448">
        <f t="shared" ref="Y17" si="114">W17-X17</f>
        <v>144619.17983304523</v>
      </c>
      <c r="Z17" s="214"/>
      <c r="AA17" s="451">
        <f t="shared" si="12"/>
        <v>16140</v>
      </c>
      <c r="AB17" s="214">
        <f t="shared" si="12"/>
        <v>1648.8299999999997</v>
      </c>
      <c r="AC17" s="448">
        <f t="shared" ref="AC17" si="115">AA17-AB17</f>
        <v>14491.17</v>
      </c>
      <c r="AD17" s="214"/>
      <c r="AE17" s="451">
        <f t="shared" si="14"/>
        <v>2270</v>
      </c>
      <c r="AF17" s="214">
        <f t="shared" si="14"/>
        <v>0</v>
      </c>
      <c r="AG17" s="448">
        <f t="shared" ref="AG17" si="116">AE17-AF17</f>
        <v>2270</v>
      </c>
      <c r="AH17" s="214"/>
      <c r="AI17" s="451">
        <f t="shared" si="16"/>
        <v>160070</v>
      </c>
      <c r="AJ17" s="214">
        <f t="shared" si="16"/>
        <v>146022.51722222223</v>
      </c>
      <c r="AK17" s="448">
        <f t="shared" ref="AK17" si="117">AI17-AJ17</f>
        <v>14047.482777777768</v>
      </c>
      <c r="AL17" s="450"/>
      <c r="AM17" s="451">
        <f t="shared" ref="AM17" si="118">SUM(C17,G17,K17,O17,S17)</f>
        <v>2402388</v>
      </c>
      <c r="AN17" s="214">
        <f t="shared" ref="AN17" si="119">SUM(D17,H17,L17,P17,T17)</f>
        <v>2229243.6361111137</v>
      </c>
      <c r="AO17" s="448">
        <f t="shared" ref="AO17" si="120">AM17-AN17</f>
        <v>173144.36388888629</v>
      </c>
      <c r="AP17" s="214"/>
      <c r="AQ17" s="451">
        <f t="shared" ref="AQ17" si="121">SUM(W17,AA17,AE17,AI17)</f>
        <v>2400959</v>
      </c>
      <c r="AR17" s="214">
        <f t="shared" ref="AR17" si="122">SUM(X17,AB17,AF17,AJ17)</f>
        <v>2225531.1673891773</v>
      </c>
      <c r="AS17" s="448">
        <f t="shared" ref="AS17" si="123">AQ17-AR17</f>
        <v>175427.83261082275</v>
      </c>
      <c r="AT17" s="214"/>
      <c r="AU17" s="451">
        <f t="shared" ref="AU17" si="124">AM17</f>
        <v>2402388</v>
      </c>
      <c r="AV17" s="214">
        <f t="shared" ref="AV17" si="125">AQ17</f>
        <v>2400959</v>
      </c>
      <c r="AW17" s="448">
        <f t="shared" ref="AW17" si="126">AU17-AV17</f>
        <v>1429</v>
      </c>
      <c r="AY17" s="491"/>
      <c r="AZ17" s="411"/>
      <c r="BA17" s="415"/>
      <c r="BB17" s="407"/>
      <c r="BC17" s="407"/>
      <c r="BH17" s="466"/>
    </row>
    <row r="18" spans="1:104" ht="21.75" customHeight="1">
      <c r="A18" s="433"/>
      <c r="B18" s="445" t="s">
        <v>97</v>
      </c>
      <c r="C18" s="452"/>
      <c r="D18" s="453"/>
      <c r="E18" s="454"/>
      <c r="F18" s="449"/>
      <c r="G18" s="452"/>
      <c r="H18" s="453"/>
      <c r="I18" s="454"/>
      <c r="J18" s="449"/>
      <c r="K18" s="452"/>
      <c r="L18" s="453"/>
      <c r="M18" s="454"/>
      <c r="N18" s="449"/>
      <c r="O18" s="452"/>
      <c r="P18" s="453"/>
      <c r="Q18" s="454"/>
      <c r="R18" s="449"/>
      <c r="S18" s="452"/>
      <c r="T18" s="453"/>
      <c r="U18" s="454"/>
      <c r="V18" s="450"/>
      <c r="W18" s="452"/>
      <c r="X18" s="453"/>
      <c r="Y18" s="454"/>
      <c r="Z18" s="214"/>
      <c r="AA18" s="452"/>
      <c r="AB18" s="453"/>
      <c r="AC18" s="454"/>
      <c r="AD18" s="214"/>
      <c r="AE18" s="452"/>
      <c r="AF18" s="453"/>
      <c r="AG18" s="454"/>
      <c r="AH18" s="214"/>
      <c r="AI18" s="452"/>
      <c r="AJ18" s="453"/>
      <c r="AK18" s="454"/>
      <c r="AL18" s="450"/>
      <c r="AM18" s="452"/>
      <c r="AN18" s="453"/>
      <c r="AO18" s="454"/>
      <c r="AP18" s="214"/>
      <c r="AQ18" s="452"/>
      <c r="AR18" s="453"/>
      <c r="AS18" s="454"/>
      <c r="AT18" s="214"/>
      <c r="AU18" s="452"/>
      <c r="AV18" s="453"/>
      <c r="AW18" s="454"/>
      <c r="AY18" s="491"/>
      <c r="AZ18" s="411"/>
      <c r="BA18" s="415"/>
      <c r="BB18" s="407"/>
      <c r="BC18" s="407"/>
    </row>
    <row r="19" spans="1:104" ht="21.75" customHeight="1">
      <c r="A19" s="433"/>
      <c r="B19" s="445"/>
      <c r="C19" s="214"/>
      <c r="D19" s="214"/>
      <c r="E19" s="214"/>
      <c r="F19" s="449"/>
      <c r="G19" s="214"/>
      <c r="H19" s="214"/>
      <c r="I19" s="214"/>
      <c r="J19" s="449"/>
      <c r="K19" s="214"/>
      <c r="L19" s="214"/>
      <c r="M19" s="214"/>
      <c r="N19" s="449"/>
      <c r="O19" s="214"/>
      <c r="P19" s="214"/>
      <c r="Q19" s="214"/>
      <c r="R19" s="449"/>
      <c r="S19" s="214"/>
      <c r="T19" s="214"/>
      <c r="U19" s="214"/>
      <c r="V19" s="450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450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Y19" s="493" t="s">
        <v>265</v>
      </c>
      <c r="AZ19" s="411"/>
      <c r="BA19" s="415"/>
      <c r="BB19" s="407"/>
      <c r="BC19" s="407"/>
    </row>
    <row r="20" spans="1:104" ht="21.75" customHeight="1">
      <c r="A20" s="433"/>
      <c r="B20" s="457" t="s">
        <v>99</v>
      </c>
      <c r="C20" s="483">
        <f>SUM(C7:C19)</f>
        <v>31481200.033569336</v>
      </c>
      <c r="D20" s="483">
        <f>SUM(D7:D19)</f>
        <v>30972340.024777792</v>
      </c>
      <c r="E20" s="483">
        <f>C20-D20</f>
        <v>508860.00879154354</v>
      </c>
      <c r="F20" s="484"/>
      <c r="G20" s="483">
        <f>SUM(G7:G19)</f>
        <v>1420152</v>
      </c>
      <c r="H20" s="483">
        <f>SUM(H7:H19)</f>
        <v>1497846.5629999996</v>
      </c>
      <c r="I20" s="483">
        <f>G20-H20</f>
        <v>-77694.562999999616</v>
      </c>
      <c r="J20" s="484"/>
      <c r="K20" s="483">
        <f>SUM(K7:K19)</f>
        <v>312187</v>
      </c>
      <c r="L20" s="483">
        <f>SUM(L7:L19)</f>
        <v>277336.21333333332</v>
      </c>
      <c r="M20" s="483">
        <f>K20-L20</f>
        <v>34850.786666666681</v>
      </c>
      <c r="N20" s="484"/>
      <c r="O20" s="483">
        <f>SUM(O7:O19)</f>
        <v>788905</v>
      </c>
      <c r="P20" s="483">
        <f>SUM(P7:P19)</f>
        <v>782821.34000000008</v>
      </c>
      <c r="Q20" s="483">
        <f>O20-P20</f>
        <v>6083.6599999999162</v>
      </c>
      <c r="R20" s="503"/>
      <c r="S20" s="483">
        <f>SUM(S7:S19)</f>
        <v>75505</v>
      </c>
      <c r="T20" s="483">
        <f>SUM(T7:T19)</f>
        <v>312495.95500000002</v>
      </c>
      <c r="U20" s="483">
        <f>S20-T20</f>
        <v>-236990.95500000002</v>
      </c>
      <c r="V20" s="485"/>
      <c r="W20" s="483">
        <f>SUM(W7:W19)</f>
        <v>31907789.52130127</v>
      </c>
      <c r="X20" s="483">
        <f>SUM(X7:X19)</f>
        <v>32003680.492762782</v>
      </c>
      <c r="Y20" s="483">
        <f>W20-X20</f>
        <v>-95890.971461512148</v>
      </c>
      <c r="Z20" s="483"/>
      <c r="AA20" s="483">
        <f>SUM(AA7:AA19)</f>
        <v>454172</v>
      </c>
      <c r="AB20" s="483">
        <f>SUM(AB7:AB19)</f>
        <v>253155.05999999997</v>
      </c>
      <c r="AC20" s="483">
        <f>AA20-AB20</f>
        <v>201016.94000000003</v>
      </c>
      <c r="AD20" s="483"/>
      <c r="AE20" s="483">
        <f>SUM(AE7:AE19)</f>
        <v>8184</v>
      </c>
      <c r="AF20" s="483">
        <f>SUM(AF7:AF19)</f>
        <v>0</v>
      </c>
      <c r="AG20" s="483">
        <f>AE20-AF20</f>
        <v>8184</v>
      </c>
      <c r="AH20" s="483"/>
      <c r="AI20" s="483">
        <f>SUM(AI7:AI19)</f>
        <v>1710807</v>
      </c>
      <c r="AJ20" s="483">
        <f>SUM(AJ7:AJ19)</f>
        <v>1584684.5538888888</v>
      </c>
      <c r="AK20" s="483">
        <f>AI20-AJ20</f>
        <v>126122.4461111112</v>
      </c>
      <c r="AL20" s="485"/>
      <c r="AM20" s="483">
        <f>SUM(AM7:AM19)</f>
        <v>34077949.033569336</v>
      </c>
      <c r="AN20" s="483">
        <f>SUM(AN7:AN19)</f>
        <v>33842840.096111126</v>
      </c>
      <c r="AO20" s="483">
        <f>AM20-AN20</f>
        <v>235108.93745820969</v>
      </c>
      <c r="AP20" s="483"/>
      <c r="AQ20" s="483">
        <f>SUM(AQ7:AQ19)</f>
        <v>34080952.52130127</v>
      </c>
      <c r="AR20" s="483">
        <f>SUM(AR7:AR19)</f>
        <v>33841520.106651671</v>
      </c>
      <c r="AS20" s="483">
        <f>AQ20-AR20</f>
        <v>239432.4146495983</v>
      </c>
      <c r="AT20" s="483"/>
      <c r="AU20" s="483">
        <f>SUM(AU7:AU19)</f>
        <v>34077949.033569336</v>
      </c>
      <c r="AV20" s="483">
        <f>SUM(AV7:AV19)</f>
        <v>34080952.52130127</v>
      </c>
      <c r="AW20" s="483">
        <f>AU20-AV20</f>
        <v>-3003.4877319335937</v>
      </c>
      <c r="AY20" s="493"/>
      <c r="AZ20" s="411"/>
      <c r="BA20" s="415"/>
      <c r="BB20" s="407"/>
      <c r="BC20" s="407"/>
    </row>
    <row r="21" spans="1:104" s="25" customFormat="1" ht="21.75" customHeight="1">
      <c r="A21" s="444"/>
      <c r="B21" s="457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56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56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81"/>
      <c r="AY21" s="492" t="s">
        <v>146</v>
      </c>
      <c r="AZ21" s="411">
        <f>W20/1000</f>
        <v>31907.789521301271</v>
      </c>
      <c r="BA21" s="414">
        <f>X20/1000</f>
        <v>32003.680492762782</v>
      </c>
      <c r="BB21" s="409">
        <f>AZ21-BA21</f>
        <v>-95.890971461511072</v>
      </c>
      <c r="BC21" s="490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81"/>
      <c r="CK21" s="481"/>
      <c r="CL21" s="481"/>
      <c r="CM21" s="481"/>
      <c r="CN21" s="481"/>
      <c r="CO21" s="481"/>
      <c r="CP21" s="481"/>
      <c r="CQ21" s="481"/>
      <c r="CR21" s="481"/>
      <c r="CS21" s="481"/>
      <c r="CT21" s="481"/>
      <c r="CU21" s="481"/>
      <c r="CV21" s="481"/>
      <c r="CW21" s="481"/>
      <c r="CX21" s="481"/>
      <c r="CY21" s="481"/>
      <c r="CZ21" s="481"/>
    </row>
    <row r="22" spans="1:104" ht="21.75" customHeight="1">
      <c r="A22" s="433"/>
      <c r="B22" s="445"/>
      <c r="C22" s="458"/>
      <c r="D22" s="459"/>
      <c r="E22" s="460"/>
      <c r="F22" s="455"/>
      <c r="G22" s="458"/>
      <c r="H22" s="459"/>
      <c r="I22" s="460"/>
      <c r="J22" s="455"/>
      <c r="K22" s="458"/>
      <c r="L22" s="459"/>
      <c r="M22" s="460"/>
      <c r="N22" s="455"/>
      <c r="O22" s="458"/>
      <c r="P22" s="459"/>
      <c r="Q22" s="460"/>
      <c r="S22" s="458"/>
      <c r="T22" s="459"/>
      <c r="U22" s="460"/>
      <c r="V22" s="456"/>
      <c r="W22" s="458"/>
      <c r="X22" s="459"/>
      <c r="Y22" s="460"/>
      <c r="Z22" s="449"/>
      <c r="AA22" s="458"/>
      <c r="AB22" s="459"/>
      <c r="AC22" s="460"/>
      <c r="AD22" s="449"/>
      <c r="AE22" s="458"/>
      <c r="AF22" s="459"/>
      <c r="AG22" s="460"/>
      <c r="AH22" s="449"/>
      <c r="AI22" s="458"/>
      <c r="AJ22" s="459"/>
      <c r="AK22" s="460"/>
      <c r="AL22" s="456"/>
      <c r="AM22" s="458"/>
      <c r="AN22" s="459"/>
      <c r="AO22" s="460"/>
      <c r="AP22" s="449"/>
      <c r="AQ22" s="458"/>
      <c r="AR22" s="459"/>
      <c r="AS22" s="460"/>
      <c r="AT22" s="449"/>
      <c r="AU22" s="458"/>
      <c r="AV22" s="459"/>
      <c r="AW22" s="460"/>
      <c r="AY22" s="492" t="s">
        <v>279</v>
      </c>
      <c r="AZ22" s="411">
        <f>AI20/1000</f>
        <v>1710.807</v>
      </c>
      <c r="BA22" s="414">
        <f>AJ20/1000</f>
        <v>1584.6845538888888</v>
      </c>
      <c r="BB22" s="409">
        <f>AZ22-BA22</f>
        <v>126.12244611111123</v>
      </c>
      <c r="BC22" s="407"/>
    </row>
    <row r="23" spans="1:104" ht="26.25">
      <c r="A23" s="444" t="s">
        <v>83</v>
      </c>
      <c r="B23" s="445" t="s">
        <v>87</v>
      </c>
      <c r="C23" s="451">
        <v>1864697.1453857422</v>
      </c>
      <c r="D23" s="214">
        <v>1756062.8266666683</v>
      </c>
      <c r="E23" s="448">
        <v>98611.418719075387</v>
      </c>
      <c r="F23" s="449"/>
      <c r="G23" s="451">
        <v>182162</v>
      </c>
      <c r="H23" s="214">
        <v>39846.639999999992</v>
      </c>
      <c r="I23" s="448">
        <v>142315.36000000002</v>
      </c>
      <c r="J23" s="449"/>
      <c r="K23" s="451">
        <v>11752</v>
      </c>
      <c r="L23" s="214">
        <v>18707.7</v>
      </c>
      <c r="M23" s="448">
        <f>K23-L23</f>
        <v>-6955.7000000000007</v>
      </c>
      <c r="N23" s="449"/>
      <c r="O23" s="451">
        <v>47273</v>
      </c>
      <c r="P23" s="214">
        <v>33795.910000000018</v>
      </c>
      <c r="Q23" s="448">
        <v>13477.089999999982</v>
      </c>
      <c r="R23" s="449"/>
      <c r="S23" s="451">
        <v>2425</v>
      </c>
      <c r="T23" s="214">
        <v>12738.740000000007</v>
      </c>
      <c r="U23" s="448">
        <v>-10313.740000000007</v>
      </c>
      <c r="V23" s="450"/>
      <c r="W23" s="451">
        <v>1938449.1440429688</v>
      </c>
      <c r="X23" s="214">
        <v>1721518.1070379713</v>
      </c>
      <c r="Y23" s="448">
        <v>216931.03700499749</v>
      </c>
      <c r="Z23" s="214"/>
      <c r="AA23" s="451">
        <v>57758</v>
      </c>
      <c r="AB23" s="214">
        <v>38861.659999999989</v>
      </c>
      <c r="AC23" s="448">
        <v>18896.340000000011</v>
      </c>
      <c r="AD23" s="214"/>
      <c r="AE23" s="451">
        <v>1078</v>
      </c>
      <c r="AF23" s="214">
        <v>0</v>
      </c>
      <c r="AG23" s="448">
        <v>1078</v>
      </c>
      <c r="AH23" s="214"/>
      <c r="AI23" s="451">
        <v>109655</v>
      </c>
      <c r="AJ23" s="214">
        <v>100290.12000000007</v>
      </c>
      <c r="AK23" s="448">
        <v>9364.8799999999319</v>
      </c>
      <c r="AL23" s="450"/>
      <c r="AM23" s="451">
        <f t="shared" ref="AM23:AN25" si="127">SUM(C23,G23,K23,O23,S23)</f>
        <v>2108309.1453857422</v>
      </c>
      <c r="AN23" s="214">
        <f t="shared" si="127"/>
        <v>1861151.816666668</v>
      </c>
      <c r="AO23" s="448">
        <f t="shared" ref="AO23:AO27" si="128">AM23-AN23</f>
        <v>247157.32871907414</v>
      </c>
      <c r="AP23" s="214"/>
      <c r="AQ23" s="451">
        <f t="shared" ref="AQ23:AR25" si="129">SUM(W23,AA23,AE23,AI23)</f>
        <v>2106940.1440429687</v>
      </c>
      <c r="AR23" s="214">
        <f t="shared" si="129"/>
        <v>1860669.8870379713</v>
      </c>
      <c r="AS23" s="448">
        <f t="shared" ref="AS23:AS27" si="130">AQ23-AR23</f>
        <v>246270.25700499746</v>
      </c>
      <c r="AT23" s="214"/>
      <c r="AU23" s="451">
        <f t="shared" ref="AU23:AU27" si="131">AM23</f>
        <v>2108309.1453857422</v>
      </c>
      <c r="AV23" s="214">
        <f t="shared" ref="AV23:AV27" si="132">AQ23</f>
        <v>2106940.1440429687</v>
      </c>
      <c r="AW23" s="448">
        <f t="shared" ref="AW23:AW27" si="133">AU23-AV23</f>
        <v>1369.0013427734375</v>
      </c>
      <c r="AY23" s="492" t="s">
        <v>280</v>
      </c>
      <c r="AZ23" s="411">
        <f>AA20/1000</f>
        <v>454.17200000000003</v>
      </c>
      <c r="BA23" s="414">
        <f>AB20/1000</f>
        <v>253.15505999999996</v>
      </c>
      <c r="BB23" s="409">
        <f>AZ23-BA23</f>
        <v>201.01694000000006</v>
      </c>
      <c r="BC23" s="407"/>
      <c r="BG23" s="466"/>
      <c r="BH23" s="466"/>
      <c r="BI23" s="466"/>
    </row>
    <row r="24" spans="1:104" ht="21.75" customHeight="1">
      <c r="A24" s="433"/>
      <c r="B24" s="445" t="s">
        <v>88</v>
      </c>
      <c r="C24" s="451">
        <v>1492159.5621337891</v>
      </c>
      <c r="D24" s="214">
        <v>1382722.430000002</v>
      </c>
      <c r="E24" s="448">
        <v>99837.132133788196</v>
      </c>
      <c r="F24" s="449"/>
      <c r="G24" s="451">
        <v>90053</v>
      </c>
      <c r="H24" s="214">
        <v>73288.679999999993</v>
      </c>
      <c r="I24" s="448">
        <v>16764.320000000007</v>
      </c>
      <c r="J24" s="449"/>
      <c r="K24" s="451">
        <v>14040</v>
      </c>
      <c r="L24" s="214">
        <v>17440</v>
      </c>
      <c r="M24" s="448">
        <f t="shared" ref="M24:M27" si="134">K24-L24</f>
        <v>-3400</v>
      </c>
      <c r="N24" s="449"/>
      <c r="O24" s="451">
        <v>42050</v>
      </c>
      <c r="P24" s="214">
        <v>43049.24</v>
      </c>
      <c r="Q24" s="448">
        <v>-999.23999999999796</v>
      </c>
      <c r="R24" s="449"/>
      <c r="S24" s="451">
        <v>947</v>
      </c>
      <c r="T24" s="214">
        <v>16007.700000000003</v>
      </c>
      <c r="U24" s="448">
        <v>-15060.700000000003</v>
      </c>
      <c r="V24" s="450"/>
      <c r="W24" s="451">
        <v>1533847.5629882812</v>
      </c>
      <c r="X24" s="214">
        <v>1487135.476055858</v>
      </c>
      <c r="Y24" s="448">
        <v>46712.086932423292</v>
      </c>
      <c r="Z24" s="214"/>
      <c r="AA24" s="451">
        <v>48537</v>
      </c>
      <c r="AB24" s="214">
        <v>6385.1300000000028</v>
      </c>
      <c r="AC24" s="448">
        <v>42151.869999999995</v>
      </c>
      <c r="AD24" s="214"/>
      <c r="AE24" s="451">
        <v>42</v>
      </c>
      <c r="AF24" s="214">
        <v>0</v>
      </c>
      <c r="AG24" s="448">
        <v>42</v>
      </c>
      <c r="AH24" s="214"/>
      <c r="AI24" s="451">
        <v>55983</v>
      </c>
      <c r="AJ24" s="214">
        <v>35957.160000000003</v>
      </c>
      <c r="AK24" s="448">
        <v>20025.839999999997</v>
      </c>
      <c r="AL24" s="450"/>
      <c r="AM24" s="451">
        <f t="shared" si="127"/>
        <v>1639249.5621337891</v>
      </c>
      <c r="AN24" s="214">
        <f t="shared" si="127"/>
        <v>1532508.0500000019</v>
      </c>
      <c r="AO24" s="448">
        <f t="shared" si="128"/>
        <v>106741.51213378715</v>
      </c>
      <c r="AP24" s="214"/>
      <c r="AQ24" s="451">
        <f t="shared" si="129"/>
        <v>1638409.5629882812</v>
      </c>
      <c r="AR24" s="214">
        <f t="shared" si="129"/>
        <v>1529477.7660558578</v>
      </c>
      <c r="AS24" s="448">
        <f t="shared" si="130"/>
        <v>108931.79693242349</v>
      </c>
      <c r="AT24" s="214"/>
      <c r="AU24" s="451">
        <f t="shared" si="131"/>
        <v>1639249.5621337891</v>
      </c>
      <c r="AV24" s="214">
        <f t="shared" si="132"/>
        <v>1638409.5629882812</v>
      </c>
      <c r="AW24" s="448">
        <f t="shared" si="133"/>
        <v>839.9991455078125</v>
      </c>
      <c r="AY24" s="492" t="s">
        <v>281</v>
      </c>
      <c r="AZ24" s="431">
        <f>AE20/1000</f>
        <v>8.1839999999999993</v>
      </c>
      <c r="BA24" s="416">
        <f>AF20/1000</f>
        <v>0</v>
      </c>
      <c r="BB24" s="413">
        <f>AZ24-BA24</f>
        <v>8.1839999999999993</v>
      </c>
      <c r="BC24" s="407"/>
      <c r="BG24" s="466"/>
      <c r="BH24" s="466"/>
      <c r="BI24" s="466"/>
    </row>
    <row r="25" spans="1:104" ht="21.75" customHeight="1">
      <c r="A25" s="433"/>
      <c r="B25" s="445" t="s">
        <v>89</v>
      </c>
      <c r="C25" s="451">
        <v>1332482.2966308594</v>
      </c>
      <c r="D25" s="214">
        <v>1212202.2533333353</v>
      </c>
      <c r="E25" s="448">
        <v>110411.56329752458</v>
      </c>
      <c r="F25" s="449"/>
      <c r="G25" s="451">
        <v>115371</v>
      </c>
      <c r="H25" s="214">
        <v>148598.79999999999</v>
      </c>
      <c r="I25" s="448">
        <v>-33227.799999999988</v>
      </c>
      <c r="J25" s="449"/>
      <c r="K25" s="451">
        <v>15427</v>
      </c>
      <c r="L25" s="214">
        <v>15244.480000000005</v>
      </c>
      <c r="M25" s="448">
        <f t="shared" si="134"/>
        <v>182.51999999999498</v>
      </c>
      <c r="N25" s="449"/>
      <c r="O25" s="451">
        <v>38017</v>
      </c>
      <c r="P25" s="214">
        <v>51676.22</v>
      </c>
      <c r="Q25" s="448">
        <v>-13659.220000000001</v>
      </c>
      <c r="R25" s="449"/>
      <c r="S25" s="451">
        <v>2802</v>
      </c>
      <c r="T25" s="214">
        <v>31539.300000000017</v>
      </c>
      <c r="U25" s="448">
        <v>-28737.300000000017</v>
      </c>
      <c r="V25" s="450"/>
      <c r="W25" s="451">
        <v>1432117.2983398437</v>
      </c>
      <c r="X25" s="214">
        <v>1406655.7334798477</v>
      </c>
      <c r="Y25" s="448">
        <v>25461.564859996084</v>
      </c>
      <c r="Z25" s="214"/>
      <c r="AA25" s="451">
        <v>30174</v>
      </c>
      <c r="AB25" s="214">
        <v>684.38000000000022</v>
      </c>
      <c r="AC25" s="448">
        <v>29489.62</v>
      </c>
      <c r="AD25" s="214"/>
      <c r="AE25" s="451">
        <v>362</v>
      </c>
      <c r="AF25" s="214">
        <v>0</v>
      </c>
      <c r="AG25" s="448">
        <v>362</v>
      </c>
      <c r="AH25" s="214"/>
      <c r="AI25" s="451">
        <v>41590</v>
      </c>
      <c r="AJ25" s="214">
        <v>39878.68333333332</v>
      </c>
      <c r="AK25" s="448">
        <v>1711.3166666666802</v>
      </c>
      <c r="AL25" s="450"/>
      <c r="AM25" s="451">
        <f t="shared" si="127"/>
        <v>1504099.2966308594</v>
      </c>
      <c r="AN25" s="214">
        <f t="shared" si="127"/>
        <v>1459261.0533333353</v>
      </c>
      <c r="AO25" s="448">
        <f t="shared" si="128"/>
        <v>44838.243297524052</v>
      </c>
      <c r="AP25" s="214"/>
      <c r="AQ25" s="451">
        <f t="shared" si="129"/>
        <v>1504243.2983398437</v>
      </c>
      <c r="AR25" s="214">
        <f t="shared" si="129"/>
        <v>1447218.7968131809</v>
      </c>
      <c r="AS25" s="448">
        <f t="shared" si="130"/>
        <v>57024.501526662847</v>
      </c>
      <c r="AT25" s="214"/>
      <c r="AU25" s="451">
        <f t="shared" si="131"/>
        <v>1504099.2966308594</v>
      </c>
      <c r="AV25" s="214">
        <f t="shared" si="132"/>
        <v>1504243.2983398437</v>
      </c>
      <c r="AW25" s="448">
        <f t="shared" si="133"/>
        <v>-144.001708984375</v>
      </c>
      <c r="AY25" s="491"/>
      <c r="AZ25" s="411"/>
      <c r="BA25" s="414"/>
      <c r="BB25" s="407"/>
      <c r="BC25" s="407"/>
      <c r="BG25" s="466"/>
      <c r="BH25" s="466"/>
      <c r="BI25" s="466"/>
    </row>
    <row r="26" spans="1:104" ht="21.75" customHeight="1">
      <c r="A26" s="433"/>
      <c r="B26" s="445" t="s">
        <v>90</v>
      </c>
      <c r="C26" s="451">
        <v>1125124.8146972656</v>
      </c>
      <c r="D26" s="214">
        <v>1142436.6700000004</v>
      </c>
      <c r="E26" s="448">
        <v>-26429.665302734822</v>
      </c>
      <c r="F26" s="449"/>
      <c r="G26" s="451">
        <v>184795</v>
      </c>
      <c r="H26" s="214">
        <v>172843.14000000004</v>
      </c>
      <c r="I26" s="448">
        <v>11951.859999999957</v>
      </c>
      <c r="J26" s="449"/>
      <c r="K26" s="451">
        <v>10411</v>
      </c>
      <c r="L26" s="214">
        <v>18621.809999999998</v>
      </c>
      <c r="M26" s="448">
        <f t="shared" si="134"/>
        <v>-8210.8099999999977</v>
      </c>
      <c r="N26" s="449"/>
      <c r="O26" s="451">
        <v>27133</v>
      </c>
      <c r="P26" s="214">
        <v>50162.820000000014</v>
      </c>
      <c r="Q26" s="448">
        <v>-23029.820000000014</v>
      </c>
      <c r="R26" s="449"/>
      <c r="S26" s="451">
        <v>17493</v>
      </c>
      <c r="T26" s="214">
        <v>33720.589999999997</v>
      </c>
      <c r="U26" s="448">
        <v>-16227.589999999997</v>
      </c>
      <c r="V26" s="450"/>
      <c r="W26" s="451">
        <v>1322890.8142089844</v>
      </c>
      <c r="X26" s="214">
        <v>1373158.5715183921</v>
      </c>
      <c r="Y26" s="448">
        <v>-50267.757309407694</v>
      </c>
      <c r="Z26" s="214"/>
      <c r="AA26" s="451">
        <v>419</v>
      </c>
      <c r="AB26" s="214">
        <v>0</v>
      </c>
      <c r="AC26" s="448">
        <v>419</v>
      </c>
      <c r="AD26" s="214"/>
      <c r="AE26" s="451">
        <v>393</v>
      </c>
      <c r="AF26" s="214">
        <v>0</v>
      </c>
      <c r="AG26" s="448">
        <v>393</v>
      </c>
      <c r="AH26" s="214"/>
      <c r="AI26" s="451">
        <v>42522</v>
      </c>
      <c r="AJ26" s="214">
        <v>30451.030000000006</v>
      </c>
      <c r="AK26" s="448">
        <v>12070.969999999994</v>
      </c>
      <c r="AL26" s="450"/>
      <c r="AM26" s="451">
        <f t="shared" ref="AM26" si="135">SUM(C26,G26,K26,O26,S26)</f>
        <v>1364956.8146972656</v>
      </c>
      <c r="AN26" s="214">
        <f t="shared" ref="AN26" si="136">SUM(D26,H26,L26,P26,T26)</f>
        <v>1417785.0300000007</v>
      </c>
      <c r="AO26" s="448">
        <f t="shared" si="128"/>
        <v>-52828.215302735101</v>
      </c>
      <c r="AP26" s="214"/>
      <c r="AQ26" s="451">
        <f t="shared" ref="AQ26" si="137">SUM(W26,AA26,AE26,AI26)</f>
        <v>1366224.8142089844</v>
      </c>
      <c r="AR26" s="214">
        <f t="shared" ref="AR26" si="138">SUM(X26,AB26,AF26,AJ26)</f>
        <v>1403609.6015183921</v>
      </c>
      <c r="AS26" s="448">
        <f t="shared" si="130"/>
        <v>-37384.787309407722</v>
      </c>
      <c r="AT26" s="214"/>
      <c r="AU26" s="451">
        <f t="shared" si="131"/>
        <v>1364956.8146972656</v>
      </c>
      <c r="AV26" s="214">
        <f t="shared" si="132"/>
        <v>1366224.8142089844</v>
      </c>
      <c r="AW26" s="448">
        <f t="shared" si="133"/>
        <v>-1267.99951171875</v>
      </c>
      <c r="AY26" s="493" t="s">
        <v>282</v>
      </c>
      <c r="AZ26" s="487">
        <f>SUM(AZ21:AZ25)</f>
        <v>34080.952521301268</v>
      </c>
      <c r="BA26" s="488">
        <f>SUM(BA21:BA25)</f>
        <v>33841.520106651667</v>
      </c>
      <c r="BB26" s="489">
        <f>AZ26-BA26</f>
        <v>239.4324146496001</v>
      </c>
      <c r="BC26" s="407"/>
      <c r="BG26" s="466"/>
      <c r="BH26" s="466"/>
      <c r="BI26" s="466"/>
    </row>
    <row r="27" spans="1:104" ht="21.75" customHeight="1">
      <c r="A27" s="433"/>
      <c r="B27" s="445" t="s">
        <v>10</v>
      </c>
      <c r="C27" s="451">
        <v>1485617.5113525391</v>
      </c>
      <c r="D27" s="214">
        <v>1491585.8000000005</v>
      </c>
      <c r="E27" s="448">
        <v>-11984.478647462791</v>
      </c>
      <c r="F27" s="449"/>
      <c r="G27" s="451">
        <v>66595</v>
      </c>
      <c r="H27" s="214">
        <v>22730.5</v>
      </c>
      <c r="I27" s="448">
        <v>43864.5</v>
      </c>
      <c r="J27" s="449"/>
      <c r="K27" s="451">
        <v>10212</v>
      </c>
      <c r="L27" s="214">
        <v>15132.989999999991</v>
      </c>
      <c r="M27" s="448">
        <f t="shared" si="134"/>
        <v>-4920.9899999999907</v>
      </c>
      <c r="N27" s="449"/>
      <c r="O27" s="451">
        <v>29198</v>
      </c>
      <c r="P27" s="214">
        <v>31471.329999999998</v>
      </c>
      <c r="Q27" s="448">
        <v>-2273.3299999999981</v>
      </c>
      <c r="R27" s="449"/>
      <c r="S27" s="451">
        <v>432</v>
      </c>
      <c r="T27" s="214">
        <v>8971.7000000000007</v>
      </c>
      <c r="U27" s="448">
        <v>-8539.7000000000007</v>
      </c>
      <c r="V27" s="450"/>
      <c r="W27" s="451">
        <v>1511260.5126953125</v>
      </c>
      <c r="X27" s="214">
        <v>1452364.0338367515</v>
      </c>
      <c r="Y27" s="448">
        <v>58896.478858561022</v>
      </c>
      <c r="Z27" s="214"/>
      <c r="AA27" s="451">
        <v>37035</v>
      </c>
      <c r="AB27" s="214">
        <v>35751.109999999979</v>
      </c>
      <c r="AC27" s="448">
        <v>1283.8900000000212</v>
      </c>
      <c r="AD27" s="214"/>
      <c r="AE27" s="451">
        <v>679</v>
      </c>
      <c r="AF27" s="214">
        <v>0</v>
      </c>
      <c r="AG27" s="448">
        <v>679</v>
      </c>
      <c r="AH27" s="214"/>
      <c r="AI27" s="451">
        <v>43926</v>
      </c>
      <c r="AJ27" s="214">
        <v>61802.216666666674</v>
      </c>
      <c r="AK27" s="448">
        <v>-17876.216666666674</v>
      </c>
      <c r="AL27" s="450"/>
      <c r="AM27" s="451">
        <f t="shared" ref="AM27:AM28" si="139">SUM(C27,G27,K27,O27,S27)</f>
        <v>1592054.5113525391</v>
      </c>
      <c r="AN27" s="214">
        <f t="shared" ref="AN27:AN28" si="140">SUM(D27,H27,L27,P27,T27)</f>
        <v>1569892.3200000005</v>
      </c>
      <c r="AO27" s="448">
        <f t="shared" si="128"/>
        <v>22162.191352538532</v>
      </c>
      <c r="AP27" s="214"/>
      <c r="AQ27" s="451">
        <f t="shared" ref="AQ27:AQ28" si="141">SUM(W27,AA27,AE27,AI27)</f>
        <v>1592900.5126953125</v>
      </c>
      <c r="AR27" s="214">
        <f t="shared" ref="AR27:AR28" si="142">SUM(X27,AB27,AF27,AJ27)</f>
        <v>1549917.3605034179</v>
      </c>
      <c r="AS27" s="448">
        <f t="shared" si="130"/>
        <v>42983.152191894595</v>
      </c>
      <c r="AT27" s="214"/>
      <c r="AU27" s="451">
        <f t="shared" si="131"/>
        <v>1592054.5113525391</v>
      </c>
      <c r="AV27" s="214">
        <f t="shared" si="132"/>
        <v>1592900.5126953125</v>
      </c>
      <c r="AW27" s="448">
        <f t="shared" si="133"/>
        <v>-846.0013427734375</v>
      </c>
      <c r="AY27" s="493"/>
      <c r="AZ27" s="486"/>
      <c r="BA27" s="494"/>
      <c r="BB27" s="495"/>
      <c r="BC27" s="407"/>
      <c r="BG27" s="466"/>
      <c r="BH27" s="466"/>
      <c r="BI27" s="466"/>
    </row>
    <row r="28" spans="1:104" ht="21.75" customHeight="1">
      <c r="A28" s="433"/>
      <c r="B28" s="445" t="s">
        <v>91</v>
      </c>
      <c r="C28" s="451">
        <v>1675202.9812011719</v>
      </c>
      <c r="D28" s="214">
        <v>1641691.4033333345</v>
      </c>
      <c r="E28" s="448">
        <v>33511.57786783739</v>
      </c>
      <c r="F28" s="449"/>
      <c r="G28" s="451">
        <v>57244</v>
      </c>
      <c r="H28" s="214">
        <v>103726.78000000003</v>
      </c>
      <c r="I28" s="448">
        <v>-46482.780000000028</v>
      </c>
      <c r="J28" s="449"/>
      <c r="K28" s="451">
        <v>14533</v>
      </c>
      <c r="L28" s="214">
        <v>11995.190000000006</v>
      </c>
      <c r="M28" s="448">
        <v>2537.809999999994</v>
      </c>
      <c r="N28" s="449"/>
      <c r="O28" s="451">
        <v>43396</v>
      </c>
      <c r="P28" s="214">
        <v>42372.19999999999</v>
      </c>
      <c r="Q28" s="448">
        <v>1023.8000000000102</v>
      </c>
      <c r="R28" s="449"/>
      <c r="S28" s="451">
        <v>184</v>
      </c>
      <c r="T28" s="214">
        <v>6975.5799999999954</v>
      </c>
      <c r="U28" s="448">
        <v>-6791.5799999999954</v>
      </c>
      <c r="V28" s="450"/>
      <c r="W28" s="451">
        <v>1660093.9788818359</v>
      </c>
      <c r="X28" s="214">
        <v>1687283.0104459478</v>
      </c>
      <c r="Y28" s="448">
        <v>-27189.031564111821</v>
      </c>
      <c r="Z28" s="214"/>
      <c r="AA28" s="451">
        <v>36132</v>
      </c>
      <c r="AB28" s="214">
        <v>6282.37</v>
      </c>
      <c r="AC28" s="448">
        <v>29849.63</v>
      </c>
      <c r="AD28" s="214"/>
      <c r="AE28" s="451">
        <v>84</v>
      </c>
      <c r="AF28" s="214">
        <v>0</v>
      </c>
      <c r="AG28" s="448">
        <v>84</v>
      </c>
      <c r="AH28" s="214"/>
      <c r="AI28" s="451">
        <v>94495</v>
      </c>
      <c r="AJ28" s="214">
        <v>88582.79333333332</v>
      </c>
      <c r="AK28" s="448">
        <v>5912.2066666666797</v>
      </c>
      <c r="AL28" s="450"/>
      <c r="AM28" s="451">
        <f t="shared" si="139"/>
        <v>1790559.9812011719</v>
      </c>
      <c r="AN28" s="214">
        <f t="shared" si="140"/>
        <v>1806761.1533333345</v>
      </c>
      <c r="AO28" s="448">
        <f t="shared" ref="AO28" si="143">AM28-AN28</f>
        <v>-16201.17213216261</v>
      </c>
      <c r="AP28" s="214"/>
      <c r="AQ28" s="451">
        <f t="shared" si="141"/>
        <v>1790804.9788818359</v>
      </c>
      <c r="AR28" s="214">
        <f t="shared" si="142"/>
        <v>1782148.1737792811</v>
      </c>
      <c r="AS28" s="448">
        <f t="shared" ref="AS28" si="144">AQ28-AR28</f>
        <v>8656.8051025548484</v>
      </c>
      <c r="AT28" s="214"/>
      <c r="AU28" s="451">
        <f t="shared" ref="AU28" si="145">AM28</f>
        <v>1790559.9812011719</v>
      </c>
      <c r="AV28" s="214">
        <f t="shared" ref="AV28" si="146">AQ28</f>
        <v>1790804.9788818359</v>
      </c>
      <c r="AW28" s="448">
        <f t="shared" ref="AW28" si="147">AU28-AV28</f>
        <v>-244.9976806640625</v>
      </c>
      <c r="AY28" s="493" t="s">
        <v>293</v>
      </c>
      <c r="AZ28" s="496">
        <f>AZ16-AZ26</f>
        <v>-3.0034877319340012</v>
      </c>
      <c r="BA28" s="497">
        <f>BA16-BA26</f>
        <v>1.3199894594581565</v>
      </c>
      <c r="BB28" s="489">
        <f>AZ28-BA28</f>
        <v>-4.3234771913921577</v>
      </c>
      <c r="BC28" s="407"/>
      <c r="BG28" s="466"/>
      <c r="BH28" s="466"/>
      <c r="BI28" s="466"/>
    </row>
    <row r="29" spans="1:104" ht="21.75" customHeight="1">
      <c r="A29" s="433"/>
      <c r="B29" s="445" t="s">
        <v>92</v>
      </c>
      <c r="C29" s="451">
        <v>1669041.9737548828</v>
      </c>
      <c r="D29" s="214">
        <v>1855493.5900000005</v>
      </c>
      <c r="E29" s="448">
        <v>-186451.61624511774</v>
      </c>
      <c r="F29" s="449"/>
      <c r="G29" s="451">
        <v>74262</v>
      </c>
      <c r="H29" s="214">
        <v>182207.43999999989</v>
      </c>
      <c r="I29" s="448">
        <v>-107945.43999999989</v>
      </c>
      <c r="J29" s="449"/>
      <c r="K29" s="451">
        <v>17958</v>
      </c>
      <c r="L29" s="214">
        <v>14425.109999999993</v>
      </c>
      <c r="M29" s="448">
        <v>3532.8900000000067</v>
      </c>
      <c r="N29" s="449"/>
      <c r="O29" s="451">
        <v>50459</v>
      </c>
      <c r="P29" s="214">
        <v>50160.020000000011</v>
      </c>
      <c r="Q29" s="448">
        <v>298.97999999998865</v>
      </c>
      <c r="R29" s="449"/>
      <c r="S29" s="451">
        <v>785</v>
      </c>
      <c r="T29" s="214">
        <v>10435.619999999997</v>
      </c>
      <c r="U29" s="448">
        <v>-9650.6199999999972</v>
      </c>
      <c r="V29" s="450"/>
      <c r="W29" s="451">
        <v>1723977.7546386719</v>
      </c>
      <c r="X29" s="214">
        <v>1990464.1887757026</v>
      </c>
      <c r="Y29" s="448">
        <v>-266486.43413703074</v>
      </c>
      <c r="Z29" s="214"/>
      <c r="AA29" s="451">
        <v>9005</v>
      </c>
      <c r="AB29" s="214">
        <v>5645.9500000000035</v>
      </c>
      <c r="AC29" s="448">
        <v>3359.0499999999965</v>
      </c>
      <c r="AD29" s="214"/>
      <c r="AE29" s="451">
        <v>93</v>
      </c>
      <c r="AF29" s="214">
        <v>0</v>
      </c>
      <c r="AG29" s="448">
        <v>93</v>
      </c>
      <c r="AH29" s="214"/>
      <c r="AI29" s="451">
        <v>79262</v>
      </c>
      <c r="AJ29" s="214">
        <v>101949.12999999999</v>
      </c>
      <c r="AK29" s="448">
        <v>-22687.12999999999</v>
      </c>
      <c r="AL29" s="450"/>
      <c r="AM29" s="451">
        <f t="shared" ref="AM29" si="148">SUM(C29,G29,K29,O29,S29)</f>
        <v>1812505.9737548828</v>
      </c>
      <c r="AN29" s="214">
        <f t="shared" ref="AN29" si="149">SUM(D29,H29,L29,P29,T29)</f>
        <v>2112721.7800000007</v>
      </c>
      <c r="AO29" s="448">
        <f t="shared" ref="AO29" si="150">AM29-AN29</f>
        <v>-300215.80624511791</v>
      </c>
      <c r="AP29" s="214"/>
      <c r="AQ29" s="451">
        <f t="shared" ref="AQ29" si="151">SUM(W29,AA29,AE29,AI29)</f>
        <v>1812337.7546386719</v>
      </c>
      <c r="AR29" s="214">
        <f t="shared" ref="AR29" si="152">SUM(X29,AB29,AF29,AJ29)</f>
        <v>2098059.2687757025</v>
      </c>
      <c r="AS29" s="448">
        <f t="shared" ref="AS29" si="153">AQ29-AR29</f>
        <v>-285721.51413703058</v>
      </c>
      <c r="AT29" s="214"/>
      <c r="AU29" s="451">
        <f t="shared" ref="AU29" si="154">AM29</f>
        <v>1812505.9737548828</v>
      </c>
      <c r="AV29" s="214">
        <f t="shared" ref="AV29" si="155">AQ29</f>
        <v>1812337.7546386719</v>
      </c>
      <c r="AW29" s="448">
        <f t="shared" ref="AW29" si="156">AU29-AV29</f>
        <v>168.2191162109375</v>
      </c>
      <c r="AY29" s="407"/>
      <c r="AZ29" s="408"/>
      <c r="BA29" s="408"/>
      <c r="BB29" s="407"/>
      <c r="BC29" s="407"/>
      <c r="BG29" s="466"/>
    </row>
    <row r="30" spans="1:104" ht="21.75" customHeight="1">
      <c r="A30" s="433"/>
      <c r="B30" s="445" t="s">
        <v>93</v>
      </c>
      <c r="C30" s="451">
        <v>1691368</v>
      </c>
      <c r="D30" s="214">
        <v>1723735.4433333352</v>
      </c>
      <c r="E30" s="448">
        <v>-32367.443333335221</v>
      </c>
      <c r="F30" s="449"/>
      <c r="G30" s="451">
        <v>58074</v>
      </c>
      <c r="H30" s="214">
        <v>184475.86000000004</v>
      </c>
      <c r="I30" s="448">
        <v>-126401.86000000004</v>
      </c>
      <c r="J30" s="449"/>
      <c r="K30" s="451">
        <v>15751</v>
      </c>
      <c r="L30" s="214">
        <v>10691.319999999994</v>
      </c>
      <c r="M30" s="448">
        <v>5059.6800000000057</v>
      </c>
      <c r="N30" s="449"/>
      <c r="O30" s="451">
        <v>40718</v>
      </c>
      <c r="P30" s="214">
        <v>47350.700000000012</v>
      </c>
      <c r="Q30" s="448">
        <v>-6632.7000000000116</v>
      </c>
      <c r="R30" s="449"/>
      <c r="S30" s="451">
        <v>202</v>
      </c>
      <c r="T30" s="214">
        <v>17451.11</v>
      </c>
      <c r="U30" s="448">
        <v>-17249.11</v>
      </c>
      <c r="V30" s="450"/>
      <c r="W30" s="451">
        <v>1689880</v>
      </c>
      <c r="X30" s="214">
        <v>1850371.7406101562</v>
      </c>
      <c r="Y30" s="448">
        <v>-160491.74061015621</v>
      </c>
      <c r="Z30" s="214"/>
      <c r="AA30" s="451">
        <v>19432</v>
      </c>
      <c r="AB30" s="214">
        <v>1923.9499999999989</v>
      </c>
      <c r="AC30" s="448">
        <v>17508.050000000003</v>
      </c>
      <c r="AD30" s="214"/>
      <c r="AE30" s="451">
        <v>154</v>
      </c>
      <c r="AF30" s="214">
        <v>0</v>
      </c>
      <c r="AG30" s="448">
        <v>154</v>
      </c>
      <c r="AH30" s="214"/>
      <c r="AI30" s="451">
        <v>96985</v>
      </c>
      <c r="AJ30" s="214">
        <v>98254.669999999955</v>
      </c>
      <c r="AK30" s="448">
        <v>-1269.6699999999546</v>
      </c>
      <c r="AL30" s="450"/>
      <c r="AM30" s="451">
        <f t="shared" ref="AM30" si="157">SUM(C30,G30,K30,O30,S30)</f>
        <v>1806113</v>
      </c>
      <c r="AN30" s="214">
        <f t="shared" ref="AN30" si="158">SUM(D30,H30,L30,P30,T30)</f>
        <v>1983704.4333333354</v>
      </c>
      <c r="AO30" s="448">
        <f t="shared" ref="AO30" si="159">AM30-AN30</f>
        <v>-177591.43333333544</v>
      </c>
      <c r="AP30" s="214"/>
      <c r="AQ30" s="451">
        <f t="shared" ref="AQ30" si="160">SUM(W30,AA30,AE30,AI30)</f>
        <v>1806451</v>
      </c>
      <c r="AR30" s="214">
        <f t="shared" ref="AR30" si="161">SUM(X30,AB30,AF30,AJ30)</f>
        <v>1950550.3606101561</v>
      </c>
      <c r="AS30" s="448">
        <f t="shared" ref="AS30" si="162">AQ30-AR30</f>
        <v>-144099.36061015609</v>
      </c>
      <c r="AT30" s="214"/>
      <c r="AU30" s="451">
        <f t="shared" ref="AU30" si="163">AM30</f>
        <v>1806113</v>
      </c>
      <c r="AV30" s="214">
        <f t="shared" ref="AV30" si="164">AQ30</f>
        <v>1806451</v>
      </c>
      <c r="AW30" s="448">
        <f t="shared" ref="AW30" si="165">AU30-AV30</f>
        <v>-338</v>
      </c>
      <c r="AY30" s="407"/>
      <c r="AZ30" s="408"/>
      <c r="BA30" s="408"/>
      <c r="BB30" s="407"/>
      <c r="BC30" s="407"/>
    </row>
    <row r="31" spans="1:104" ht="21.75" customHeight="1">
      <c r="A31" s="433"/>
      <c r="B31" s="445" t="s">
        <v>94</v>
      </c>
      <c r="C31" s="451">
        <v>1582146</v>
      </c>
      <c r="D31" s="214">
        <v>1655052</v>
      </c>
      <c r="E31" s="448">
        <v>-72906</v>
      </c>
      <c r="F31" s="449"/>
      <c r="G31" s="451">
        <v>31226</v>
      </c>
      <c r="H31" s="214">
        <v>36733</v>
      </c>
      <c r="I31" s="448">
        <v>-5507</v>
      </c>
      <c r="J31" s="449"/>
      <c r="K31" s="451">
        <v>12271</v>
      </c>
      <c r="L31" s="214">
        <v>12336</v>
      </c>
      <c r="M31" s="448">
        <v>-65</v>
      </c>
      <c r="N31" s="449"/>
      <c r="O31" s="451">
        <v>45114</v>
      </c>
      <c r="P31" s="214">
        <v>33244</v>
      </c>
      <c r="Q31" s="448">
        <v>11870</v>
      </c>
      <c r="R31" s="449"/>
      <c r="S31" s="451">
        <v>673</v>
      </c>
      <c r="T31" s="214">
        <v>15664</v>
      </c>
      <c r="U31" s="448">
        <v>-14991</v>
      </c>
      <c r="V31" s="450"/>
      <c r="W31" s="451">
        <v>1543120</v>
      </c>
      <c r="X31" s="214">
        <v>1622074</v>
      </c>
      <c r="Y31" s="448">
        <v>-78954</v>
      </c>
      <c r="Z31" s="214"/>
      <c r="AA31" s="451">
        <v>35478</v>
      </c>
      <c r="AB31" s="214">
        <v>21303</v>
      </c>
      <c r="AC31" s="448">
        <v>14176</v>
      </c>
      <c r="AD31" s="214"/>
      <c r="AE31" s="451">
        <v>69</v>
      </c>
      <c r="AF31" s="214">
        <v>0</v>
      </c>
      <c r="AG31" s="448">
        <v>69</v>
      </c>
      <c r="AH31" s="214"/>
      <c r="AI31" s="451">
        <v>92462</v>
      </c>
      <c r="AJ31" s="214">
        <v>95422</v>
      </c>
      <c r="AK31" s="448">
        <v>-2960</v>
      </c>
      <c r="AL31" s="450"/>
      <c r="AM31" s="451">
        <f t="shared" ref="AM31" si="166">SUM(C31,G31,K31,O31,S31)</f>
        <v>1671430</v>
      </c>
      <c r="AN31" s="214">
        <f t="shared" ref="AN31" si="167">SUM(D31,H31,L31,P31,T31)</f>
        <v>1753029</v>
      </c>
      <c r="AO31" s="448">
        <f t="shared" ref="AO31" si="168">AM31-AN31</f>
        <v>-81599</v>
      </c>
      <c r="AP31" s="214"/>
      <c r="AQ31" s="451">
        <f t="shared" ref="AQ31" si="169">SUM(W31,AA31,AE31,AI31)</f>
        <v>1671129</v>
      </c>
      <c r="AR31" s="214">
        <f t="shared" ref="AR31" si="170">SUM(X31,AB31,AF31,AJ31)</f>
        <v>1738799</v>
      </c>
      <c r="AS31" s="448">
        <f t="shared" ref="AS31" si="171">AQ31-AR31</f>
        <v>-67670</v>
      </c>
      <c r="AT31" s="214"/>
      <c r="AU31" s="451">
        <f t="shared" ref="AU31" si="172">AM31</f>
        <v>1671430</v>
      </c>
      <c r="AV31" s="214">
        <f t="shared" ref="AV31" si="173">AQ31</f>
        <v>1671129</v>
      </c>
      <c r="AW31" s="448">
        <f t="shared" ref="AW31" si="174">AU31-AV31</f>
        <v>301</v>
      </c>
      <c r="AY31" s="407"/>
      <c r="AZ31" s="408"/>
      <c r="BA31" s="408"/>
      <c r="BB31" s="407"/>
      <c r="BC31" s="407"/>
    </row>
    <row r="32" spans="1:104" ht="21.75" customHeight="1">
      <c r="A32" s="433"/>
      <c r="B32" s="445" t="s">
        <v>95</v>
      </c>
      <c r="C32" s="451">
        <v>1466157.3873291016</v>
      </c>
      <c r="D32" s="214">
        <v>1319562.9233333347</v>
      </c>
      <c r="E32" s="448">
        <v>146594.46399576683</v>
      </c>
      <c r="F32" s="449"/>
      <c r="G32" s="451">
        <v>27597</v>
      </c>
      <c r="H32" s="214">
        <v>139676.38999999998</v>
      </c>
      <c r="I32" s="448">
        <v>-112079.38999999998</v>
      </c>
      <c r="J32" s="449"/>
      <c r="K32" s="451">
        <v>20395</v>
      </c>
      <c r="L32" s="214">
        <v>16164.670000000002</v>
      </c>
      <c r="M32" s="448">
        <v>4230.3299999999981</v>
      </c>
      <c r="N32" s="449"/>
      <c r="O32" s="451">
        <v>29715</v>
      </c>
      <c r="P32" s="214">
        <v>57047.25</v>
      </c>
      <c r="Q32" s="448">
        <v>-27332.25</v>
      </c>
      <c r="R32" s="449"/>
      <c r="S32" s="451">
        <v>1468</v>
      </c>
      <c r="T32" s="214">
        <v>40699.640000000014</v>
      </c>
      <c r="U32" s="448">
        <v>-39231.640000000014</v>
      </c>
      <c r="V32" s="450"/>
      <c r="W32" s="451">
        <v>1410086.3851318359</v>
      </c>
      <c r="X32" s="214">
        <v>1475435.6181345237</v>
      </c>
      <c r="Y32" s="448">
        <v>-65349.233002687804</v>
      </c>
      <c r="Z32" s="214"/>
      <c r="AA32" s="451">
        <v>28576</v>
      </c>
      <c r="AB32" s="214">
        <v>0</v>
      </c>
      <c r="AC32" s="448">
        <v>28576</v>
      </c>
      <c r="AD32" s="214"/>
      <c r="AE32" s="451">
        <v>605</v>
      </c>
      <c r="AF32" s="214">
        <v>0</v>
      </c>
      <c r="AG32" s="448">
        <v>605</v>
      </c>
      <c r="AH32" s="214"/>
      <c r="AI32" s="451">
        <v>106216</v>
      </c>
      <c r="AJ32" s="214">
        <v>81202.873333333293</v>
      </c>
      <c r="AK32" s="448">
        <v>25013.126666666707</v>
      </c>
      <c r="AL32" s="450"/>
      <c r="AM32" s="451">
        <f t="shared" ref="AM32" si="175">SUM(C32,G32,K32,O32,S32)</f>
        <v>1545332.3873291016</v>
      </c>
      <c r="AN32" s="214">
        <f t="shared" ref="AN32" si="176">SUM(D32,H32,L32,P32,T32)</f>
        <v>1573150.8733333345</v>
      </c>
      <c r="AO32" s="448">
        <f t="shared" ref="AO32" si="177">AM32-AN32</f>
        <v>-27818.486004232895</v>
      </c>
      <c r="AP32" s="214"/>
      <c r="AQ32" s="451">
        <f t="shared" ref="AQ32" si="178">SUM(W32,AA32,AE32,AI32)</f>
        <v>1545483.3851318359</v>
      </c>
      <c r="AR32" s="214">
        <f t="shared" ref="AR32" si="179">SUM(X32,AB32,AF32,AJ32)</f>
        <v>1556638.491467857</v>
      </c>
      <c r="AS32" s="448">
        <f t="shared" ref="AS32" si="180">AQ32-AR32</f>
        <v>-11155.106336021097</v>
      </c>
      <c r="AT32" s="214"/>
      <c r="AU32" s="451">
        <f t="shared" ref="AU32" si="181">AM32</f>
        <v>1545332.3873291016</v>
      </c>
      <c r="AV32" s="214">
        <f t="shared" ref="AV32" si="182">AQ32</f>
        <v>1545483.3851318359</v>
      </c>
      <c r="AW32" s="448">
        <f t="shared" ref="AW32" si="183">AU32-AV32</f>
        <v>-150.997802734375</v>
      </c>
      <c r="AY32" s="407"/>
      <c r="AZ32" s="408"/>
      <c r="BA32" s="408"/>
      <c r="BB32" s="407"/>
      <c r="BC32" s="407"/>
    </row>
    <row r="33" spans="1:142" ht="21.75" customHeight="1">
      <c r="A33" s="433"/>
      <c r="B33" s="445" t="s">
        <v>96</v>
      </c>
      <c r="C33" s="451">
        <f>'Input Data'!AT$36-'Input Data'!AX$36-'Input Data'!BB$36</f>
        <v>1019736</v>
      </c>
      <c r="D33" s="214">
        <f>'Daily Budget Data'!H$37-'Daily Budget Data'!L$37-'Daily Budget Data'!P$37</f>
        <v>954810.28222222382</v>
      </c>
      <c r="E33" s="448">
        <f>C33-D33</f>
        <v>64925.717777776183</v>
      </c>
      <c r="F33" s="449"/>
      <c r="G33" s="451">
        <f>'Input Data'!AX$36</f>
        <v>81812</v>
      </c>
      <c r="H33" s="214">
        <f>'Daily Budget Data'!L$37</f>
        <v>72448.631666666653</v>
      </c>
      <c r="I33" s="448">
        <f>G33-H33</f>
        <v>9363.3683333333465</v>
      </c>
      <c r="J33" s="449"/>
      <c r="K33" s="451">
        <f>'Input Data'!BB$36</f>
        <v>13248</v>
      </c>
      <c r="L33" s="214">
        <f>'Daily Budget Data'!P$37</f>
        <v>10765.333333333328</v>
      </c>
      <c r="M33" s="448">
        <f>K33-L33</f>
        <v>2482.6666666666715</v>
      </c>
      <c r="N33" s="449"/>
      <c r="O33" s="451">
        <f>'Input Data'!BN$36</f>
        <v>23355</v>
      </c>
      <c r="P33" s="214">
        <f>'Daily Budget Data'!Y$37</f>
        <v>34002.300000000003</v>
      </c>
      <c r="Q33" s="448">
        <f>O33-P33</f>
        <v>-10647.300000000003</v>
      </c>
      <c r="R33" s="449"/>
      <c r="S33" s="451">
        <f>'Input Data'!BR$36</f>
        <v>62</v>
      </c>
      <c r="T33" s="214">
        <f>'Daily Budget Data'!AC$37</f>
        <v>19481.608333333334</v>
      </c>
      <c r="U33" s="448">
        <f>S33-T33</f>
        <v>-19419.608333333334</v>
      </c>
      <c r="V33" s="450"/>
      <c r="W33" s="451">
        <f>'Input Data'!AQ$36</f>
        <v>1052897</v>
      </c>
      <c r="X33" s="214">
        <f>'Daily Budget Data'!D$37</f>
        <v>1007479.7337499757</v>
      </c>
      <c r="Y33" s="448">
        <f>W33-X33</f>
        <v>45417.266250024317</v>
      </c>
      <c r="Z33" s="214"/>
      <c r="AA33" s="451">
        <f>'Input Data'!CA$36</f>
        <v>10663</v>
      </c>
      <c r="AB33" s="214">
        <f>'Daily Budget Data'!AG$37</f>
        <v>301.89999999999998</v>
      </c>
      <c r="AC33" s="448">
        <f>AA33-AB33</f>
        <v>10361.1</v>
      </c>
      <c r="AD33" s="214"/>
      <c r="AE33" s="451">
        <f>'Input Data'!BJ$36</f>
        <v>39</v>
      </c>
      <c r="AF33" s="214">
        <f>'Daily Budget Data'!AO$37</f>
        <v>0</v>
      </c>
      <c r="AG33" s="448">
        <f>AE33-AF33</f>
        <v>39</v>
      </c>
      <c r="AH33" s="214"/>
      <c r="AI33" s="451">
        <f>'Input Data'!BF$36</f>
        <v>74290</v>
      </c>
      <c r="AJ33" s="214">
        <f>'Daily Budget Data'!AK$37</f>
        <v>72500.644444444435</v>
      </c>
      <c r="AK33" s="448">
        <f>AI33-AJ33</f>
        <v>1789.3555555555649</v>
      </c>
      <c r="AL33" s="450"/>
      <c r="AM33" s="451">
        <f t="shared" ref="AM33" si="184">SUM(C33,G33,K33,O33,S33)</f>
        <v>1138213</v>
      </c>
      <c r="AN33" s="214">
        <f t="shared" ref="AN33" si="185">SUM(D33,H33,L33,P33,T33)</f>
        <v>1091508.1555555572</v>
      </c>
      <c r="AO33" s="448">
        <f t="shared" ref="AO33" si="186">AM33-AN33</f>
        <v>46704.844444442773</v>
      </c>
      <c r="AP33" s="214"/>
      <c r="AQ33" s="451">
        <f t="shared" ref="AQ33" si="187">SUM(W33,AA33,AE33,AI33)</f>
        <v>1137889</v>
      </c>
      <c r="AR33" s="214">
        <f t="shared" ref="AR33" si="188">SUM(X33,AB33,AF33,AJ33)</f>
        <v>1080282.27819442</v>
      </c>
      <c r="AS33" s="448">
        <f t="shared" ref="AS33" si="189">AQ33-AR33</f>
        <v>57606.72180557996</v>
      </c>
      <c r="AT33" s="214"/>
      <c r="AU33" s="451">
        <f t="shared" ref="AU33" si="190">AM33</f>
        <v>1138213</v>
      </c>
      <c r="AV33" s="214">
        <f t="shared" ref="AV33" si="191">AQ33</f>
        <v>1137889</v>
      </c>
      <c r="AW33" s="448">
        <f t="shared" ref="AW33" si="192">AU33-AV33</f>
        <v>324</v>
      </c>
      <c r="AY33" s="407"/>
      <c r="AZ33" s="408"/>
      <c r="BA33" s="408"/>
      <c r="BB33" s="407"/>
      <c r="BC33" s="407"/>
    </row>
    <row r="34" spans="1:142" ht="21.75" customHeight="1">
      <c r="A34" s="433"/>
      <c r="B34" s="445" t="s">
        <v>97</v>
      </c>
      <c r="C34" s="452"/>
      <c r="D34" s="453"/>
      <c r="E34" s="454"/>
      <c r="F34" s="449"/>
      <c r="G34" s="452"/>
      <c r="H34" s="453"/>
      <c r="I34" s="454"/>
      <c r="J34" s="449"/>
      <c r="K34" s="452"/>
      <c r="L34" s="453"/>
      <c r="M34" s="454"/>
      <c r="N34" s="449"/>
      <c r="O34" s="452"/>
      <c r="P34" s="453"/>
      <c r="Q34" s="454"/>
      <c r="R34" s="449"/>
      <c r="S34" s="452"/>
      <c r="T34" s="453"/>
      <c r="U34" s="454"/>
      <c r="V34" s="450"/>
      <c r="W34" s="452"/>
      <c r="X34" s="453"/>
      <c r="Y34" s="454"/>
      <c r="Z34" s="214"/>
      <c r="AA34" s="452"/>
      <c r="AB34" s="453"/>
      <c r="AC34" s="454"/>
      <c r="AD34" s="214"/>
      <c r="AE34" s="452"/>
      <c r="AF34" s="453"/>
      <c r="AG34" s="454"/>
      <c r="AH34" s="214"/>
      <c r="AI34" s="452"/>
      <c r="AJ34" s="453"/>
      <c r="AK34" s="454"/>
      <c r="AL34" s="450"/>
      <c r="AM34" s="452"/>
      <c r="AN34" s="453"/>
      <c r="AO34" s="454"/>
      <c r="AP34" s="214"/>
      <c r="AQ34" s="452"/>
      <c r="AR34" s="453"/>
      <c r="AS34" s="454"/>
      <c r="AT34" s="214"/>
      <c r="AU34" s="452"/>
      <c r="AV34" s="453"/>
      <c r="AW34" s="454"/>
      <c r="AY34" s="407"/>
      <c r="AZ34" s="408"/>
      <c r="BA34" s="408"/>
      <c r="BB34" s="407"/>
      <c r="BC34" s="407"/>
    </row>
    <row r="35" spans="1:142" ht="21.75" customHeight="1">
      <c r="A35" s="433"/>
      <c r="B35" s="445"/>
      <c r="C35" s="214"/>
      <c r="D35" s="214"/>
      <c r="E35" s="214"/>
      <c r="F35" s="449"/>
      <c r="G35" s="214"/>
      <c r="H35" s="214"/>
      <c r="I35" s="214"/>
      <c r="J35" s="449"/>
      <c r="K35" s="214"/>
      <c r="L35" s="214"/>
      <c r="M35" s="214"/>
      <c r="N35" s="449"/>
      <c r="O35" s="214"/>
      <c r="P35" s="214"/>
      <c r="Q35" s="214"/>
      <c r="R35" s="449"/>
      <c r="S35" s="214"/>
      <c r="T35" s="214"/>
      <c r="U35" s="214"/>
      <c r="V35" s="450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450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Y35" s="407"/>
      <c r="AZ35" s="408"/>
      <c r="BA35" s="408"/>
      <c r="BB35" s="407"/>
      <c r="BC35" s="407"/>
    </row>
    <row r="36" spans="1:142" ht="21.75" customHeight="1">
      <c r="A36" s="433"/>
      <c r="B36" s="457" t="s">
        <v>99</v>
      </c>
      <c r="C36" s="483">
        <f>SUM(C23:C35)</f>
        <v>16403733.672485352</v>
      </c>
      <c r="D36" s="483">
        <f>SUM(D23:D35)</f>
        <v>16135355.622222235</v>
      </c>
      <c r="E36" s="483">
        <f>C36-D36</f>
        <v>268378.05026311614</v>
      </c>
      <c r="F36" s="484"/>
      <c r="G36" s="483">
        <f>SUM(G23:G35)</f>
        <v>969191</v>
      </c>
      <c r="H36" s="483">
        <f>SUM(H23:H35)</f>
        <v>1176575.8616666666</v>
      </c>
      <c r="I36" s="483">
        <f>G36-H36</f>
        <v>-207384.86166666658</v>
      </c>
      <c r="J36" s="484"/>
      <c r="K36" s="483">
        <f>SUM(K23:K35)</f>
        <v>155998</v>
      </c>
      <c r="L36" s="483">
        <f>SUM(L23:L35)</f>
        <v>161524.60333333333</v>
      </c>
      <c r="M36" s="483">
        <f>K36-L36</f>
        <v>-5526.6033333333326</v>
      </c>
      <c r="N36" s="484"/>
      <c r="O36" s="483">
        <f>SUM(O23:O35)</f>
        <v>416428</v>
      </c>
      <c r="P36" s="483">
        <f>SUM(P23:P35)</f>
        <v>474331.99</v>
      </c>
      <c r="Q36" s="483">
        <f>O36-P36</f>
        <v>-57903.989999999991</v>
      </c>
      <c r="R36" s="503"/>
      <c r="S36" s="483">
        <f>SUM(S23:S35)</f>
        <v>27473</v>
      </c>
      <c r="T36" s="483">
        <f>SUM(T23:T35)</f>
        <v>213685.58833333338</v>
      </c>
      <c r="U36" s="483">
        <f>S36-T36</f>
        <v>-186212.58833333338</v>
      </c>
      <c r="V36" s="485"/>
      <c r="W36" s="483">
        <f>SUM(W23:W35)</f>
        <v>16818620.450927734</v>
      </c>
      <c r="X36" s="483">
        <f>SUM(X23:X35)</f>
        <v>17073940.213645127</v>
      </c>
      <c r="Y36" s="483">
        <f>W36-X36</f>
        <v>-255319.7627173923</v>
      </c>
      <c r="Z36" s="483"/>
      <c r="AA36" s="483">
        <f>SUM(AA23:AA35)</f>
        <v>313209</v>
      </c>
      <c r="AB36" s="483">
        <f>SUM(AB23:AB35)</f>
        <v>117139.44999999995</v>
      </c>
      <c r="AC36" s="483">
        <f>AA36-AB36</f>
        <v>196069.55000000005</v>
      </c>
      <c r="AD36" s="483"/>
      <c r="AE36" s="483">
        <f>SUM(AE23:AE35)</f>
        <v>3598</v>
      </c>
      <c r="AF36" s="483">
        <f>SUM(AF23:AF35)</f>
        <v>0</v>
      </c>
      <c r="AG36" s="483">
        <f>AE36-AF36</f>
        <v>3598</v>
      </c>
      <c r="AH36" s="483"/>
      <c r="AI36" s="483">
        <f>SUM(AI23:AI35)</f>
        <v>837386</v>
      </c>
      <c r="AJ36" s="483">
        <f>SUM(AJ23:AJ35)</f>
        <v>806291.32111111109</v>
      </c>
      <c r="AK36" s="483">
        <f>AI36-AJ36</f>
        <v>31094.678888888913</v>
      </c>
      <c r="AL36" s="485"/>
      <c r="AM36" s="483">
        <f>SUM(AM23:AM35)</f>
        <v>17972823.672485352</v>
      </c>
      <c r="AN36" s="483">
        <f>SUM(AN23:AN35)</f>
        <v>18161473.66555557</v>
      </c>
      <c r="AO36" s="483">
        <f>AM36-AN36</f>
        <v>-188649.99307021871</v>
      </c>
      <c r="AP36" s="483"/>
      <c r="AQ36" s="483">
        <f>SUM(AQ23:AQ35)</f>
        <v>17972813.450927734</v>
      </c>
      <c r="AR36" s="483">
        <f>SUM(AR23:AR35)</f>
        <v>17997370.984756235</v>
      </c>
      <c r="AS36" s="483">
        <f>AQ36-AR36</f>
        <v>-24557.533828500658</v>
      </c>
      <c r="AT36" s="483"/>
      <c r="AU36" s="483">
        <f>SUM(AU23:AU35)</f>
        <v>17972823.672485352</v>
      </c>
      <c r="AV36" s="483">
        <f>SUM(AV23:AV35)</f>
        <v>17972813.450927734</v>
      </c>
      <c r="AW36" s="483">
        <f>AU36-AV36</f>
        <v>10.2215576171875</v>
      </c>
      <c r="AY36" s="407"/>
      <c r="AZ36" s="408"/>
      <c r="BA36" s="408"/>
      <c r="BB36" s="407"/>
      <c r="BC36" s="407"/>
    </row>
    <row r="37" spans="1:142" s="462" customFormat="1" ht="21.75" customHeight="1">
      <c r="A37" s="433"/>
      <c r="B37" s="461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56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56"/>
      <c r="AM37" s="449"/>
      <c r="AN37" s="449"/>
      <c r="AO37" s="449"/>
      <c r="AP37" s="449"/>
      <c r="AQ37" s="449"/>
      <c r="AR37" s="449"/>
      <c r="AS37" s="449"/>
      <c r="AT37" s="449"/>
      <c r="AU37" s="449"/>
      <c r="AV37" s="449"/>
      <c r="AW37" s="449"/>
      <c r="AX37" s="439"/>
      <c r="AY37" s="407"/>
      <c r="AZ37" s="408"/>
      <c r="BA37" s="408"/>
      <c r="BB37" s="407"/>
      <c r="BC37" s="407"/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9"/>
      <c r="CF37" s="439"/>
      <c r="CG37" s="439"/>
      <c r="CH37" s="439"/>
      <c r="CI37" s="439"/>
      <c r="CJ37" s="439"/>
      <c r="CK37" s="439"/>
      <c r="CL37" s="439"/>
      <c r="CM37" s="439"/>
      <c r="CN37" s="439"/>
      <c r="CO37" s="439"/>
      <c r="CP37" s="439"/>
      <c r="CQ37" s="439"/>
      <c r="CR37" s="439"/>
      <c r="CS37" s="439"/>
      <c r="CT37" s="439"/>
      <c r="CU37" s="439"/>
      <c r="CV37" s="439"/>
      <c r="CW37" s="439"/>
      <c r="CX37" s="439"/>
      <c r="CY37" s="439"/>
      <c r="CZ37" s="439"/>
      <c r="DA37" s="439"/>
      <c r="DB37" s="439"/>
      <c r="DC37" s="439"/>
      <c r="DD37" s="439"/>
      <c r="DE37" s="439"/>
      <c r="DF37" s="439"/>
      <c r="DG37" s="439"/>
      <c r="DH37" s="439"/>
      <c r="DI37" s="439"/>
      <c r="DJ37" s="439"/>
      <c r="DK37" s="439"/>
      <c r="DL37" s="439"/>
      <c r="DM37" s="439"/>
      <c r="DN37" s="439"/>
      <c r="DO37" s="439"/>
      <c r="DP37" s="439"/>
      <c r="DQ37" s="439"/>
      <c r="DR37" s="439"/>
      <c r="DS37" s="439"/>
      <c r="DT37" s="439"/>
      <c r="DU37" s="439"/>
      <c r="DV37" s="439"/>
      <c r="DW37" s="439"/>
      <c r="DX37" s="439"/>
      <c r="DY37" s="439"/>
      <c r="DZ37" s="439"/>
      <c r="EA37" s="439"/>
      <c r="EB37" s="439"/>
      <c r="EC37" s="439"/>
      <c r="ED37" s="439"/>
      <c r="EE37" s="439"/>
      <c r="EF37" s="439"/>
      <c r="EG37" s="439"/>
      <c r="EH37" s="439"/>
      <c r="EI37" s="439"/>
      <c r="EJ37" s="439"/>
      <c r="EK37" s="439"/>
      <c r="EL37" s="439"/>
    </row>
    <row r="38" spans="1:142" ht="21.75" customHeight="1">
      <c r="A38" s="433"/>
      <c r="B38" s="461"/>
      <c r="C38" s="458"/>
      <c r="D38" s="459"/>
      <c r="E38" s="460"/>
      <c r="F38" s="449"/>
      <c r="G38" s="458"/>
      <c r="H38" s="459"/>
      <c r="I38" s="460"/>
      <c r="J38" s="449"/>
      <c r="K38" s="458"/>
      <c r="L38" s="459"/>
      <c r="M38" s="460"/>
      <c r="N38" s="449"/>
      <c r="O38" s="458"/>
      <c r="P38" s="459"/>
      <c r="Q38" s="460"/>
      <c r="R38" s="449"/>
      <c r="S38" s="458"/>
      <c r="T38" s="459"/>
      <c r="U38" s="460"/>
      <c r="V38" s="456"/>
      <c r="W38" s="458"/>
      <c r="X38" s="459"/>
      <c r="Y38" s="460"/>
      <c r="Z38" s="449"/>
      <c r="AA38" s="458"/>
      <c r="AB38" s="459"/>
      <c r="AC38" s="460"/>
      <c r="AD38" s="449"/>
      <c r="AE38" s="458"/>
      <c r="AF38" s="459"/>
      <c r="AG38" s="460"/>
      <c r="AH38" s="449"/>
      <c r="AI38" s="458"/>
      <c r="AJ38" s="459"/>
      <c r="AK38" s="460"/>
      <c r="AL38" s="456"/>
      <c r="AM38" s="458"/>
      <c r="AN38" s="459"/>
      <c r="AO38" s="460"/>
      <c r="AP38" s="449"/>
      <c r="AQ38" s="458"/>
      <c r="AR38" s="459"/>
      <c r="AS38" s="460"/>
      <c r="AT38" s="449"/>
      <c r="AU38" s="458"/>
      <c r="AV38" s="459"/>
      <c r="AW38" s="460"/>
      <c r="AY38" s="407"/>
      <c r="AZ38" s="408"/>
      <c r="BA38" s="408"/>
      <c r="BB38" s="407"/>
      <c r="BC38" s="407"/>
    </row>
    <row r="39" spans="1:142" ht="26.25">
      <c r="A39" s="444" t="s">
        <v>98</v>
      </c>
      <c r="B39" s="445" t="s">
        <v>87</v>
      </c>
      <c r="C39" s="451">
        <v>1106034.1544189453</v>
      </c>
      <c r="D39" s="214">
        <v>1007429.22</v>
      </c>
      <c r="E39" s="448">
        <v>97627.734418945969</v>
      </c>
      <c r="F39" s="448"/>
      <c r="G39" s="451">
        <v>94061</v>
      </c>
      <c r="H39" s="214">
        <v>7115.8000000000011</v>
      </c>
      <c r="I39" s="448">
        <v>86945.2</v>
      </c>
      <c r="J39" s="448"/>
      <c r="K39" s="451">
        <v>7582</v>
      </c>
      <c r="L39" s="214">
        <v>6830.0000000000009</v>
      </c>
      <c r="M39" s="448">
        <f>K39-L39</f>
        <v>751.99999999999909</v>
      </c>
      <c r="N39" s="214"/>
      <c r="O39" s="451">
        <v>30720</v>
      </c>
      <c r="P39" s="214">
        <v>13623.200000000004</v>
      </c>
      <c r="Q39" s="448">
        <v>17096.799999999996</v>
      </c>
      <c r="R39" s="449"/>
      <c r="S39" s="451">
        <v>385</v>
      </c>
      <c r="T39" s="214">
        <v>698.2</v>
      </c>
      <c r="U39" s="448">
        <v>-313.20000000000005</v>
      </c>
      <c r="V39" s="450"/>
      <c r="W39" s="451">
        <v>1147340.1549072266</v>
      </c>
      <c r="X39" s="214">
        <v>957055.08438827388</v>
      </c>
      <c r="Y39" s="448">
        <v>190285.07051895268</v>
      </c>
      <c r="Z39" s="214"/>
      <c r="AA39" s="451">
        <v>17247</v>
      </c>
      <c r="AB39" s="214">
        <v>13752.069999999994</v>
      </c>
      <c r="AC39" s="448">
        <v>3494.9300000000057</v>
      </c>
      <c r="AD39" s="214"/>
      <c r="AE39" s="451">
        <v>217</v>
      </c>
      <c r="AF39" s="214">
        <v>0</v>
      </c>
      <c r="AG39" s="448">
        <v>217</v>
      </c>
      <c r="AH39" s="214"/>
      <c r="AI39" s="451">
        <v>73484</v>
      </c>
      <c r="AJ39" s="214">
        <v>63812.349999999962</v>
      </c>
      <c r="AK39" s="448">
        <v>9671.6500000000378</v>
      </c>
      <c r="AL39" s="450"/>
      <c r="AM39" s="451">
        <f t="shared" ref="AM39:AN41" si="193">SUM(C39,G39,K39,O39,S39)</f>
        <v>1238782.1544189453</v>
      </c>
      <c r="AN39" s="214">
        <f t="shared" si="193"/>
        <v>1035696.4199999999</v>
      </c>
      <c r="AO39" s="448">
        <f t="shared" ref="AO39:AO43" si="194">AM39-AN39</f>
        <v>203085.73441894539</v>
      </c>
      <c r="AP39" s="214"/>
      <c r="AQ39" s="451">
        <f t="shared" ref="AQ39:AR41" si="195">SUM(W39,AA39,AE39,AI39)</f>
        <v>1238288.1549072266</v>
      </c>
      <c r="AR39" s="214">
        <f t="shared" si="195"/>
        <v>1034619.5043882738</v>
      </c>
      <c r="AS39" s="448">
        <f t="shared" ref="AS39:AS43" si="196">AQ39-AR39</f>
        <v>203668.65051895275</v>
      </c>
      <c r="AT39" s="214"/>
      <c r="AU39" s="451">
        <f t="shared" ref="AU39:AU43" si="197">AM39</f>
        <v>1238782.1544189453</v>
      </c>
      <c r="AV39" s="214">
        <f t="shared" ref="AV39:AV43" si="198">AQ39</f>
        <v>1238288.1549072266</v>
      </c>
      <c r="AW39" s="448">
        <f t="shared" ref="AW39:AW43" si="199">AU39-AV39</f>
        <v>493.99951171875</v>
      </c>
      <c r="AY39" s="407"/>
      <c r="AZ39" s="408"/>
      <c r="BA39" s="408"/>
      <c r="BB39" s="407"/>
      <c r="BC39" s="407"/>
      <c r="BG39" s="466"/>
      <c r="BH39" s="466"/>
      <c r="BI39" s="466"/>
    </row>
    <row r="40" spans="1:142" ht="21.75" customHeight="1">
      <c r="A40" s="444"/>
      <c r="B40" s="445" t="s">
        <v>88</v>
      </c>
      <c r="C40" s="451">
        <v>921798.59973144531</v>
      </c>
      <c r="D40" s="214">
        <v>845880.47333333339</v>
      </c>
      <c r="E40" s="448">
        <v>74313.126398112043</v>
      </c>
      <c r="F40" s="448"/>
      <c r="G40" s="451">
        <v>49644</v>
      </c>
      <c r="H40" s="214">
        <v>19748.200000000004</v>
      </c>
      <c r="I40" s="448">
        <v>29895.799999999996</v>
      </c>
      <c r="J40" s="448"/>
      <c r="K40" s="451">
        <v>9930</v>
      </c>
      <c r="L40" s="214">
        <v>7093</v>
      </c>
      <c r="M40" s="448">
        <f t="shared" ref="M40:M43" si="200">K40-L40</f>
        <v>2837</v>
      </c>
      <c r="N40" s="214"/>
      <c r="O40" s="451">
        <v>27712</v>
      </c>
      <c r="P40" s="214">
        <v>14140.480000000003</v>
      </c>
      <c r="Q40" s="448">
        <v>13571.519999999997</v>
      </c>
      <c r="R40" s="449"/>
      <c r="S40" s="451">
        <v>37</v>
      </c>
      <c r="T40" s="214">
        <v>1348.9200000000003</v>
      </c>
      <c r="U40" s="448">
        <v>-1311.9200000000003</v>
      </c>
      <c r="V40" s="450"/>
      <c r="W40" s="451">
        <v>958573.60144042969</v>
      </c>
      <c r="X40" s="214">
        <v>856561.46480688162</v>
      </c>
      <c r="Y40" s="448">
        <v>102012.13663354807</v>
      </c>
      <c r="Z40" s="214"/>
      <c r="AA40" s="451">
        <v>11250</v>
      </c>
      <c r="AB40" s="214">
        <v>6209.0700000000015</v>
      </c>
      <c r="AC40" s="448">
        <v>5040.9299999999985</v>
      </c>
      <c r="AD40" s="214"/>
      <c r="AE40" s="451">
        <v>8</v>
      </c>
      <c r="AF40" s="214">
        <v>0</v>
      </c>
      <c r="AG40" s="448">
        <v>8</v>
      </c>
      <c r="AH40" s="214"/>
      <c r="AI40" s="451">
        <v>39215</v>
      </c>
      <c r="AJ40" s="214">
        <v>22620.083333333336</v>
      </c>
      <c r="AK40" s="448">
        <v>16594.916666666664</v>
      </c>
      <c r="AL40" s="450"/>
      <c r="AM40" s="451">
        <f t="shared" si="193"/>
        <v>1009121.5997314453</v>
      </c>
      <c r="AN40" s="214">
        <f t="shared" si="193"/>
        <v>888211.07333333336</v>
      </c>
      <c r="AO40" s="448">
        <f t="shared" si="194"/>
        <v>120910.52639811195</v>
      </c>
      <c r="AP40" s="214"/>
      <c r="AQ40" s="451">
        <f t="shared" si="195"/>
        <v>1009046.6014404297</v>
      </c>
      <c r="AR40" s="214">
        <f t="shared" si="195"/>
        <v>885390.61814021494</v>
      </c>
      <c r="AS40" s="448">
        <f t="shared" si="196"/>
        <v>123655.98330021475</v>
      </c>
      <c r="AT40" s="214"/>
      <c r="AU40" s="451">
        <f t="shared" si="197"/>
        <v>1009121.5997314453</v>
      </c>
      <c r="AV40" s="214">
        <f t="shared" si="198"/>
        <v>1009046.6014404297</v>
      </c>
      <c r="AW40" s="448">
        <f t="shared" si="199"/>
        <v>74.998291015625</v>
      </c>
      <c r="AY40" s="407"/>
      <c r="AZ40" s="408"/>
      <c r="BA40" s="408"/>
      <c r="BB40" s="407"/>
      <c r="BC40" s="407"/>
      <c r="BG40" s="466"/>
      <c r="BH40" s="466"/>
      <c r="BI40" s="466"/>
    </row>
    <row r="41" spans="1:142" ht="21.75" customHeight="1">
      <c r="A41" s="433"/>
      <c r="B41" s="445" t="s">
        <v>89</v>
      </c>
      <c r="C41" s="451">
        <v>869203.8251953125</v>
      </c>
      <c r="D41" s="214">
        <v>797203.74000000046</v>
      </c>
      <c r="E41" s="448">
        <v>71700.085195312044</v>
      </c>
      <c r="F41" s="448"/>
      <c r="G41" s="451">
        <v>55088</v>
      </c>
      <c r="H41" s="214">
        <v>32675.210000000003</v>
      </c>
      <c r="I41" s="448">
        <v>22412.789999999997</v>
      </c>
      <c r="J41" s="448"/>
      <c r="K41" s="451">
        <v>10466</v>
      </c>
      <c r="L41" s="214">
        <v>4267.9999999999991</v>
      </c>
      <c r="M41" s="448">
        <f t="shared" si="200"/>
        <v>6198.0000000000009</v>
      </c>
      <c r="N41" s="214"/>
      <c r="O41" s="451">
        <v>24992</v>
      </c>
      <c r="P41" s="214">
        <v>20887.429999999993</v>
      </c>
      <c r="Q41" s="448">
        <v>4104.570000000007</v>
      </c>
      <c r="R41" s="449"/>
      <c r="S41" s="451">
        <v>3283</v>
      </c>
      <c r="T41" s="214">
        <v>4566.829999999999</v>
      </c>
      <c r="U41" s="448">
        <v>-1283.829999999999</v>
      </c>
      <c r="V41" s="450"/>
      <c r="W41" s="451">
        <v>923085.83050537109</v>
      </c>
      <c r="X41" s="214">
        <v>833155.52285605529</v>
      </c>
      <c r="Y41" s="448">
        <v>89930.307649315801</v>
      </c>
      <c r="Z41" s="214"/>
      <c r="AA41" s="451">
        <v>9484</v>
      </c>
      <c r="AB41" s="214">
        <v>128.00000000000006</v>
      </c>
      <c r="AC41" s="448">
        <v>9356</v>
      </c>
      <c r="AD41" s="214"/>
      <c r="AE41" s="451">
        <v>558</v>
      </c>
      <c r="AF41" s="214">
        <v>0</v>
      </c>
      <c r="AG41" s="448">
        <v>558</v>
      </c>
      <c r="AH41" s="214"/>
      <c r="AI41" s="451">
        <v>30608</v>
      </c>
      <c r="AJ41" s="214">
        <v>26378.820000000007</v>
      </c>
      <c r="AK41" s="448">
        <v>4229.179999999993</v>
      </c>
      <c r="AL41" s="450"/>
      <c r="AM41" s="451">
        <f t="shared" si="193"/>
        <v>963032.8251953125</v>
      </c>
      <c r="AN41" s="214">
        <f t="shared" si="193"/>
        <v>859601.21000000031</v>
      </c>
      <c r="AO41" s="448">
        <f t="shared" si="194"/>
        <v>103431.61519531219</v>
      </c>
      <c r="AP41" s="214"/>
      <c r="AQ41" s="451">
        <f t="shared" si="195"/>
        <v>963735.83050537109</v>
      </c>
      <c r="AR41" s="214">
        <f t="shared" si="195"/>
        <v>859662.34285605536</v>
      </c>
      <c r="AS41" s="448">
        <f t="shared" si="196"/>
        <v>104073.48764931574</v>
      </c>
      <c r="AT41" s="214"/>
      <c r="AU41" s="451">
        <f t="shared" si="197"/>
        <v>963032.8251953125</v>
      </c>
      <c r="AV41" s="214">
        <f t="shared" si="198"/>
        <v>963735.83050537109</v>
      </c>
      <c r="AW41" s="448">
        <f t="shared" si="199"/>
        <v>-703.00531005859375</v>
      </c>
      <c r="AY41" s="407"/>
      <c r="AZ41" s="408"/>
      <c r="BA41" s="408"/>
      <c r="BB41" s="407"/>
      <c r="BC41" s="407"/>
      <c r="BG41" s="466"/>
      <c r="BH41" s="466"/>
      <c r="BI41" s="466"/>
    </row>
    <row r="42" spans="1:142" ht="21.75" customHeight="1">
      <c r="A42" s="433"/>
      <c r="B42" s="445" t="s">
        <v>90</v>
      </c>
      <c r="C42" s="451">
        <v>657123.43151855469</v>
      </c>
      <c r="D42" s="214">
        <v>686162.38333333365</v>
      </c>
      <c r="E42" s="448">
        <v>-29038.951814779197</v>
      </c>
      <c r="F42" s="448"/>
      <c r="G42" s="451">
        <v>57270</v>
      </c>
      <c r="H42" s="214">
        <v>23764.670000000002</v>
      </c>
      <c r="I42" s="448">
        <v>33505.33</v>
      </c>
      <c r="J42" s="448"/>
      <c r="K42" s="451">
        <v>7406</v>
      </c>
      <c r="L42" s="214">
        <v>6480</v>
      </c>
      <c r="M42" s="448">
        <f t="shared" si="200"/>
        <v>926</v>
      </c>
      <c r="N42" s="214"/>
      <c r="O42" s="451">
        <v>18254</v>
      </c>
      <c r="P42" s="214">
        <v>15287.599999999991</v>
      </c>
      <c r="Q42" s="448">
        <v>2966.4000000000087</v>
      </c>
      <c r="R42" s="449"/>
      <c r="S42" s="451">
        <v>16500</v>
      </c>
      <c r="T42" s="214">
        <v>3863.3399999999992</v>
      </c>
      <c r="U42" s="448">
        <v>12636.66</v>
      </c>
      <c r="V42" s="450"/>
      <c r="W42" s="451">
        <v>728821.43103027344</v>
      </c>
      <c r="X42" s="214">
        <v>719047.92642580753</v>
      </c>
      <c r="Y42" s="448">
        <v>9773.5046044659102</v>
      </c>
      <c r="Z42" s="214"/>
      <c r="AA42" s="451">
        <v>100</v>
      </c>
      <c r="AB42" s="214">
        <v>0</v>
      </c>
      <c r="AC42" s="448">
        <v>100</v>
      </c>
      <c r="AD42" s="214"/>
      <c r="AE42" s="451">
        <v>11</v>
      </c>
      <c r="AF42" s="214">
        <v>0</v>
      </c>
      <c r="AG42" s="448">
        <v>11</v>
      </c>
      <c r="AH42" s="214"/>
      <c r="AI42" s="451">
        <v>27576</v>
      </c>
      <c r="AJ42" s="214">
        <v>16886.993333333339</v>
      </c>
      <c r="AK42" s="448">
        <v>10689.006666666661</v>
      </c>
      <c r="AL42" s="450"/>
      <c r="AM42" s="451">
        <f t="shared" ref="AM42" si="201">SUM(C42,G42,K42,O42,S42)</f>
        <v>756553.43151855469</v>
      </c>
      <c r="AN42" s="214">
        <f t="shared" ref="AN42" si="202">SUM(D42,H42,L42,P42,T42)</f>
        <v>735557.99333333364</v>
      </c>
      <c r="AO42" s="448">
        <f t="shared" si="194"/>
        <v>20995.43818522105</v>
      </c>
      <c r="AP42" s="214"/>
      <c r="AQ42" s="451">
        <f t="shared" ref="AQ42" si="203">SUM(W42,AA42,AE42,AI42)</f>
        <v>756508.43103027344</v>
      </c>
      <c r="AR42" s="214">
        <f t="shared" ref="AR42" si="204">SUM(X42,AB42,AF42,AJ42)</f>
        <v>735934.91975914082</v>
      </c>
      <c r="AS42" s="448">
        <f t="shared" si="196"/>
        <v>20573.511271132622</v>
      </c>
      <c r="AT42" s="214"/>
      <c r="AU42" s="451">
        <f t="shared" si="197"/>
        <v>756553.43151855469</v>
      </c>
      <c r="AV42" s="214">
        <f t="shared" si="198"/>
        <v>756508.43103027344</v>
      </c>
      <c r="AW42" s="448">
        <f t="shared" si="199"/>
        <v>45.00048828125</v>
      </c>
      <c r="AY42" s="407"/>
      <c r="AZ42" s="408"/>
      <c r="BA42" s="408"/>
      <c r="BB42" s="407"/>
      <c r="BC42" s="407"/>
      <c r="BG42" s="466"/>
      <c r="BH42" s="466"/>
      <c r="BI42" s="466"/>
    </row>
    <row r="43" spans="1:142" ht="21.75" customHeight="1">
      <c r="A43" s="433"/>
      <c r="B43" s="445" t="s">
        <v>10</v>
      </c>
      <c r="C43" s="451">
        <v>783240.37365722656</v>
      </c>
      <c r="D43" s="214">
        <v>745248.94333333371</v>
      </c>
      <c r="E43" s="448">
        <v>37991.430323893321</v>
      </c>
      <c r="F43" s="448"/>
      <c r="G43" s="451">
        <v>234</v>
      </c>
      <c r="H43" s="214">
        <v>1134.2000000000003</v>
      </c>
      <c r="I43" s="448">
        <v>-900.20000000000027</v>
      </c>
      <c r="J43" s="448"/>
      <c r="K43" s="451">
        <v>4978</v>
      </c>
      <c r="L43" s="214">
        <v>6423.1999999999953</v>
      </c>
      <c r="M43" s="448">
        <f t="shared" si="200"/>
        <v>-1445.1999999999953</v>
      </c>
      <c r="N43" s="214"/>
      <c r="O43" s="451">
        <v>16931</v>
      </c>
      <c r="P43" s="214">
        <v>12994.199999999997</v>
      </c>
      <c r="Q43" s="448">
        <v>3936.8000000000029</v>
      </c>
      <c r="R43" s="449"/>
      <c r="S43" s="451">
        <v>378</v>
      </c>
      <c r="T43" s="214">
        <v>6905.0999999999985</v>
      </c>
      <c r="U43" s="448">
        <v>-6527.0999999999985</v>
      </c>
      <c r="V43" s="450"/>
      <c r="W43" s="451">
        <v>775084.37463378906</v>
      </c>
      <c r="X43" s="214">
        <v>736494.59111458482</v>
      </c>
      <c r="Y43" s="448">
        <v>38589.78351920424</v>
      </c>
      <c r="Z43" s="214"/>
      <c r="AA43" s="451">
        <v>569</v>
      </c>
      <c r="AB43" s="214">
        <v>2582.7000000000007</v>
      </c>
      <c r="AC43" s="448">
        <v>-2013.7000000000007</v>
      </c>
      <c r="AD43" s="214"/>
      <c r="AE43" s="451">
        <v>442</v>
      </c>
      <c r="AF43" s="214">
        <v>0</v>
      </c>
      <c r="AG43" s="448">
        <v>442</v>
      </c>
      <c r="AH43" s="214"/>
      <c r="AI43" s="451">
        <v>28911</v>
      </c>
      <c r="AJ43" s="214">
        <v>34152.943333333344</v>
      </c>
      <c r="AK43" s="448">
        <v>-5241.9433333333436</v>
      </c>
      <c r="AL43" s="450"/>
      <c r="AM43" s="451">
        <f t="shared" ref="AM43" si="205">SUM(C43,G43,K43,O43,S43)</f>
        <v>805761.37365722656</v>
      </c>
      <c r="AN43" s="214">
        <f t="shared" ref="AN43" si="206">SUM(D43,H43,L43,P43,T43)</f>
        <v>772705.64333333354</v>
      </c>
      <c r="AO43" s="448">
        <f t="shared" si="194"/>
        <v>33055.730323893018</v>
      </c>
      <c r="AP43" s="214"/>
      <c r="AQ43" s="451">
        <f t="shared" ref="AQ43" si="207">SUM(W43,AA43,AE43,AI43)</f>
        <v>805006.37463378906</v>
      </c>
      <c r="AR43" s="214">
        <f t="shared" ref="AR43" si="208">SUM(X43,AB43,AF43,AJ43)</f>
        <v>773230.23444791813</v>
      </c>
      <c r="AS43" s="448">
        <f t="shared" si="196"/>
        <v>31776.140185870929</v>
      </c>
      <c r="AT43" s="214"/>
      <c r="AU43" s="451">
        <f t="shared" si="197"/>
        <v>805761.37365722656</v>
      </c>
      <c r="AV43" s="214">
        <f t="shared" si="198"/>
        <v>805006.37463378906</v>
      </c>
      <c r="AW43" s="448">
        <f t="shared" si="199"/>
        <v>754.9990234375</v>
      </c>
      <c r="AY43" s="407"/>
      <c r="AZ43" s="408"/>
      <c r="BA43" s="408"/>
      <c r="BB43" s="407"/>
      <c r="BC43" s="407"/>
      <c r="BG43" s="466"/>
      <c r="BH43" s="466"/>
      <c r="BI43" s="466"/>
    </row>
    <row r="44" spans="1:142" ht="21.75" customHeight="1">
      <c r="A44" s="433"/>
      <c r="B44" s="445" t="s">
        <v>91</v>
      </c>
      <c r="C44" s="451">
        <v>875263.27978515625</v>
      </c>
      <c r="D44" s="214">
        <v>854514.88000000047</v>
      </c>
      <c r="E44" s="448">
        <v>20748.39978515578</v>
      </c>
      <c r="F44" s="448"/>
      <c r="G44" s="451">
        <v>667</v>
      </c>
      <c r="H44" s="214">
        <v>81</v>
      </c>
      <c r="I44" s="448">
        <v>586</v>
      </c>
      <c r="J44" s="448"/>
      <c r="K44" s="451">
        <v>9735</v>
      </c>
      <c r="L44" s="214">
        <v>6768.0000000000027</v>
      </c>
      <c r="M44" s="448">
        <v>2966.9999999999973</v>
      </c>
      <c r="N44" s="214"/>
      <c r="O44" s="451">
        <v>19114</v>
      </c>
      <c r="P44" s="214">
        <v>12692.899999999994</v>
      </c>
      <c r="Q44" s="448">
        <v>6421.1000000000058</v>
      </c>
      <c r="R44" s="449"/>
      <c r="S44" s="451">
        <v>18</v>
      </c>
      <c r="T44" s="214">
        <v>12511.500000000004</v>
      </c>
      <c r="U44" s="448">
        <v>-12493.500000000004</v>
      </c>
      <c r="V44" s="450"/>
      <c r="W44" s="451">
        <v>840353.28094482422</v>
      </c>
      <c r="X44" s="214">
        <v>831722.24592833838</v>
      </c>
      <c r="Y44" s="448">
        <v>8631.0350164858392</v>
      </c>
      <c r="Z44" s="214"/>
      <c r="AA44" s="451">
        <v>1034</v>
      </c>
      <c r="AB44" s="214">
        <v>749.1</v>
      </c>
      <c r="AC44" s="448">
        <v>284.89999999999998</v>
      </c>
      <c r="AD44" s="214"/>
      <c r="AE44" s="451">
        <v>206</v>
      </c>
      <c r="AF44" s="214">
        <v>0</v>
      </c>
      <c r="AG44" s="448">
        <v>206</v>
      </c>
      <c r="AH44" s="214"/>
      <c r="AI44" s="451">
        <v>62789</v>
      </c>
      <c r="AJ44" s="214">
        <v>54876.183333333342</v>
      </c>
      <c r="AK44" s="448">
        <v>7912.8166666666584</v>
      </c>
      <c r="AL44" s="450"/>
      <c r="AM44" s="451">
        <f t="shared" ref="AM44" si="209">SUM(C44,G44,K44,O44,S44)</f>
        <v>904797.27978515625</v>
      </c>
      <c r="AN44" s="214">
        <f t="shared" ref="AN44" si="210">SUM(D44,H44,L44,P44,T44)</f>
        <v>886568.28000000049</v>
      </c>
      <c r="AO44" s="448">
        <f t="shared" ref="AO44" si="211">AM44-AN44</f>
        <v>18228.999785155756</v>
      </c>
      <c r="AP44" s="214"/>
      <c r="AQ44" s="451">
        <f t="shared" ref="AQ44" si="212">SUM(W44,AA44,AE44,AI44)</f>
        <v>904382.28094482422</v>
      </c>
      <c r="AR44" s="214">
        <f t="shared" ref="AR44" si="213">SUM(X44,AB44,AF44,AJ44)</f>
        <v>887347.52926167171</v>
      </c>
      <c r="AS44" s="448">
        <f t="shared" ref="AS44" si="214">AQ44-AR44</f>
        <v>17034.751683152514</v>
      </c>
      <c r="AT44" s="214"/>
      <c r="AU44" s="451">
        <f t="shared" ref="AU44" si="215">AM44</f>
        <v>904797.27978515625</v>
      </c>
      <c r="AV44" s="214">
        <f t="shared" ref="AV44" si="216">AQ44</f>
        <v>904382.28094482422</v>
      </c>
      <c r="AW44" s="448">
        <f t="shared" ref="AW44" si="217">AU44-AV44</f>
        <v>414.99884033203125</v>
      </c>
      <c r="AY44" s="407"/>
      <c r="AZ44" s="408"/>
      <c r="BA44" s="408"/>
      <c r="BB44" s="407"/>
      <c r="BC44" s="407"/>
      <c r="BG44" s="466"/>
      <c r="BH44" s="466"/>
      <c r="BI44" s="466"/>
    </row>
    <row r="45" spans="1:142" ht="21.75" customHeight="1">
      <c r="A45" s="433"/>
      <c r="B45" s="445" t="s">
        <v>92</v>
      </c>
      <c r="C45" s="451">
        <v>866603.17211914062</v>
      </c>
      <c r="D45" s="214">
        <v>967184.54000000062</v>
      </c>
      <c r="E45" s="448">
        <v>-100581.36788085999</v>
      </c>
      <c r="F45" s="448"/>
      <c r="G45" s="451">
        <v>504</v>
      </c>
      <c r="H45" s="214">
        <v>1895.9999999999998</v>
      </c>
      <c r="I45" s="448">
        <v>-1391.9999999999998</v>
      </c>
      <c r="J45" s="448"/>
      <c r="K45" s="451">
        <v>11564</v>
      </c>
      <c r="L45" s="214">
        <v>8928</v>
      </c>
      <c r="M45" s="448">
        <v>2636</v>
      </c>
      <c r="N45" s="214"/>
      <c r="O45" s="451">
        <v>19906</v>
      </c>
      <c r="P45" s="214">
        <v>14537.799999999996</v>
      </c>
      <c r="Q45" s="448">
        <v>5368.2000000000044</v>
      </c>
      <c r="R45" s="449"/>
      <c r="S45" s="451">
        <v>231</v>
      </c>
      <c r="T45" s="214">
        <v>1659.0000000000009</v>
      </c>
      <c r="U45" s="448">
        <v>-1428.0000000000009</v>
      </c>
      <c r="V45" s="450"/>
      <c r="W45" s="451">
        <v>850428.86883544922</v>
      </c>
      <c r="X45" s="214">
        <v>933875.23141968332</v>
      </c>
      <c r="Y45" s="448">
        <v>-83446.362584234099</v>
      </c>
      <c r="Z45" s="214"/>
      <c r="AA45" s="451">
        <v>272</v>
      </c>
      <c r="AB45" s="214">
        <v>209.99999999999989</v>
      </c>
      <c r="AC45" s="448">
        <v>62.000000000000114</v>
      </c>
      <c r="AD45" s="214"/>
      <c r="AE45" s="451">
        <v>237</v>
      </c>
      <c r="AF45" s="214">
        <v>0</v>
      </c>
      <c r="AG45" s="448">
        <v>237</v>
      </c>
      <c r="AH45" s="214"/>
      <c r="AI45" s="451">
        <v>47434</v>
      </c>
      <c r="AJ45" s="214">
        <v>60838.34000000004</v>
      </c>
      <c r="AK45" s="448">
        <v>-13404.34000000004</v>
      </c>
      <c r="AL45" s="450"/>
      <c r="AM45" s="451">
        <f t="shared" ref="AM45" si="218">SUM(C45,G45,K45,O45,S45)</f>
        <v>898808.17211914063</v>
      </c>
      <c r="AN45" s="214">
        <f t="shared" ref="AN45" si="219">SUM(D45,H45,L45,P45,T45)</f>
        <v>994205.34000000067</v>
      </c>
      <c r="AO45" s="448">
        <f t="shared" ref="AO45" si="220">AM45-AN45</f>
        <v>-95397.167880860041</v>
      </c>
      <c r="AP45" s="214"/>
      <c r="AQ45" s="451">
        <f t="shared" ref="AQ45" si="221">SUM(W45,AA45,AE45,AI45)</f>
        <v>898371.86883544922</v>
      </c>
      <c r="AR45" s="214">
        <f t="shared" ref="AR45" si="222">SUM(X45,AB45,AF45,AJ45)</f>
        <v>994923.5714196834</v>
      </c>
      <c r="AS45" s="448">
        <f t="shared" ref="AS45" si="223">AQ45-AR45</f>
        <v>-96551.702584234183</v>
      </c>
      <c r="AT45" s="214"/>
      <c r="AU45" s="451">
        <f t="shared" ref="AU45" si="224">AM45</f>
        <v>898808.17211914063</v>
      </c>
      <c r="AV45" s="214">
        <f t="shared" ref="AV45" si="225">AQ45</f>
        <v>898371.86883544922</v>
      </c>
      <c r="AW45" s="448">
        <f t="shared" ref="AW45" si="226">AU45-AV45</f>
        <v>436.30328369140625</v>
      </c>
      <c r="AY45" s="407"/>
      <c r="AZ45" s="408"/>
      <c r="BA45" s="408"/>
      <c r="BB45" s="407"/>
      <c r="BC45" s="407"/>
      <c r="BG45" s="466"/>
    </row>
    <row r="46" spans="1:142" ht="21.75" customHeight="1">
      <c r="A46" s="433"/>
      <c r="B46" s="445" t="s">
        <v>93</v>
      </c>
      <c r="C46" s="451">
        <v>921554</v>
      </c>
      <c r="D46" s="214">
        <v>975392.18333333405</v>
      </c>
      <c r="E46" s="448">
        <v>-53838.183333334047</v>
      </c>
      <c r="F46" s="448"/>
      <c r="G46" s="451">
        <v>193</v>
      </c>
      <c r="H46" s="214">
        <v>2136</v>
      </c>
      <c r="I46" s="448">
        <v>-1943</v>
      </c>
      <c r="J46" s="448"/>
      <c r="K46" s="451">
        <v>11463</v>
      </c>
      <c r="L46" s="214">
        <v>7291.1999999999953</v>
      </c>
      <c r="M46" s="448">
        <v>4171.8000000000047</v>
      </c>
      <c r="N46" s="214"/>
      <c r="O46" s="451">
        <v>17309</v>
      </c>
      <c r="P46" s="214">
        <v>14592.880000000001</v>
      </c>
      <c r="Q46" s="448">
        <v>2716.119999999999</v>
      </c>
      <c r="R46" s="449"/>
      <c r="S46" s="451">
        <v>149</v>
      </c>
      <c r="T46" s="214">
        <v>2544.2999999999993</v>
      </c>
      <c r="U46" s="448">
        <v>-2395.2999999999993</v>
      </c>
      <c r="V46" s="450"/>
      <c r="W46" s="451">
        <v>884284</v>
      </c>
      <c r="X46" s="214">
        <v>939987.57916072092</v>
      </c>
      <c r="Y46" s="448">
        <v>-55703.579160720925</v>
      </c>
      <c r="Z46" s="214"/>
      <c r="AA46" s="451">
        <v>457</v>
      </c>
      <c r="AB46" s="214">
        <v>276</v>
      </c>
      <c r="AC46" s="448">
        <v>181</v>
      </c>
      <c r="AD46" s="214"/>
      <c r="AE46" s="451">
        <v>107</v>
      </c>
      <c r="AF46" s="214">
        <v>0</v>
      </c>
      <c r="AG46" s="448">
        <v>107</v>
      </c>
      <c r="AH46" s="214"/>
      <c r="AI46" s="451">
        <v>65485</v>
      </c>
      <c r="AJ46" s="214">
        <v>62687.563333333324</v>
      </c>
      <c r="AK46" s="448">
        <v>2797.4366666666756</v>
      </c>
      <c r="AL46" s="450"/>
      <c r="AM46" s="451">
        <f t="shared" ref="AM46" si="227">SUM(C46,G46,K46,O46,S46)</f>
        <v>950668</v>
      </c>
      <c r="AN46" s="214">
        <f t="shared" ref="AN46" si="228">SUM(D46,H46,L46,P46,T46)</f>
        <v>1001956.5633333341</v>
      </c>
      <c r="AO46" s="448">
        <f t="shared" ref="AO46" si="229">AM46-AN46</f>
        <v>-51288.563333334052</v>
      </c>
      <c r="AP46" s="214"/>
      <c r="AQ46" s="451">
        <f t="shared" ref="AQ46" si="230">SUM(W46,AA46,AE46,AI46)</f>
        <v>950333</v>
      </c>
      <c r="AR46" s="214">
        <f t="shared" ref="AR46" si="231">SUM(X46,AB46,AF46,AJ46)</f>
        <v>1002951.1424940543</v>
      </c>
      <c r="AS46" s="448">
        <f t="shared" ref="AS46" si="232">AQ46-AR46</f>
        <v>-52618.142494054278</v>
      </c>
      <c r="AT46" s="214"/>
      <c r="AU46" s="451">
        <f t="shared" ref="AU46" si="233">AM46</f>
        <v>950668</v>
      </c>
      <c r="AV46" s="214">
        <f t="shared" ref="AV46" si="234">AQ46</f>
        <v>950333</v>
      </c>
      <c r="AW46" s="448">
        <f t="shared" ref="AW46" si="235">AU46-AV46</f>
        <v>335</v>
      </c>
      <c r="AY46" s="407"/>
      <c r="AZ46" s="408"/>
      <c r="BA46" s="408"/>
      <c r="BB46" s="407"/>
      <c r="BC46" s="407"/>
    </row>
    <row r="47" spans="1:142" ht="21.75" customHeight="1">
      <c r="A47" s="433"/>
      <c r="B47" s="445" t="s">
        <v>94</v>
      </c>
      <c r="C47" s="451">
        <v>803828</v>
      </c>
      <c r="D47" s="214">
        <v>814040</v>
      </c>
      <c r="E47" s="448">
        <v>-10212</v>
      </c>
      <c r="F47" s="448"/>
      <c r="G47" s="451">
        <v>248</v>
      </c>
      <c r="H47" s="214">
        <v>0</v>
      </c>
      <c r="I47" s="448">
        <v>248</v>
      </c>
      <c r="J47" s="448"/>
      <c r="K47" s="451">
        <v>7955</v>
      </c>
      <c r="L47" s="214">
        <v>6336</v>
      </c>
      <c r="M47" s="448">
        <v>1619</v>
      </c>
      <c r="N47" s="214"/>
      <c r="O47" s="451">
        <v>18018</v>
      </c>
      <c r="P47" s="214">
        <v>12033</v>
      </c>
      <c r="Q47" s="448">
        <v>5985</v>
      </c>
      <c r="R47" s="449"/>
      <c r="S47" s="451">
        <v>335</v>
      </c>
      <c r="T47" s="214">
        <v>1169</v>
      </c>
      <c r="U47" s="448">
        <v>-834</v>
      </c>
      <c r="V47" s="450"/>
      <c r="W47" s="451">
        <v>769820</v>
      </c>
      <c r="X47" s="214">
        <v>777350</v>
      </c>
      <c r="Y47" s="448">
        <v>-7530</v>
      </c>
      <c r="Z47" s="214"/>
      <c r="AA47" s="451">
        <v>708</v>
      </c>
      <c r="AB47" s="214">
        <v>0</v>
      </c>
      <c r="AC47" s="448">
        <v>708</v>
      </c>
      <c r="AD47" s="214"/>
      <c r="AE47" s="451">
        <v>118</v>
      </c>
      <c r="AF47" s="214">
        <v>0</v>
      </c>
      <c r="AG47" s="448">
        <v>118</v>
      </c>
      <c r="AH47" s="214"/>
      <c r="AI47" s="451">
        <v>59496</v>
      </c>
      <c r="AJ47" s="214">
        <v>56591</v>
      </c>
      <c r="AK47" s="448">
        <v>2905</v>
      </c>
      <c r="AL47" s="450"/>
      <c r="AM47" s="451">
        <f t="shared" ref="AM47" si="236">SUM(C47,G47,K47,O47,S47)</f>
        <v>830384</v>
      </c>
      <c r="AN47" s="214">
        <f t="shared" ref="AN47" si="237">SUM(D47,H47,L47,P47,T47)</f>
        <v>833578</v>
      </c>
      <c r="AO47" s="448">
        <f t="shared" ref="AO47" si="238">AM47-AN47</f>
        <v>-3194</v>
      </c>
      <c r="AP47" s="214"/>
      <c r="AQ47" s="451">
        <f t="shared" ref="AQ47" si="239">SUM(W47,AA47,AE47,AI47)</f>
        <v>830142</v>
      </c>
      <c r="AR47" s="214">
        <f t="shared" ref="AR47" si="240">SUM(X47,AB47,AF47,AJ47)</f>
        <v>833941</v>
      </c>
      <c r="AS47" s="448">
        <f t="shared" ref="AS47" si="241">AQ47-AR47</f>
        <v>-3799</v>
      </c>
      <c r="AT47" s="214"/>
      <c r="AU47" s="451">
        <f t="shared" ref="AU47" si="242">AM47</f>
        <v>830384</v>
      </c>
      <c r="AV47" s="214">
        <f t="shared" ref="AV47" si="243">AQ47</f>
        <v>830142</v>
      </c>
      <c r="AW47" s="448">
        <f t="shared" ref="AW47" si="244">AU47-AV47</f>
        <v>242</v>
      </c>
      <c r="AY47" s="407"/>
      <c r="AZ47" s="408"/>
      <c r="BA47" s="408"/>
      <c r="BB47" s="407"/>
      <c r="BC47" s="407"/>
    </row>
    <row r="48" spans="1:142" ht="21.75" customHeight="1">
      <c r="A48" s="433"/>
      <c r="B48" s="445" t="s">
        <v>95</v>
      </c>
      <c r="C48" s="451">
        <v>786819.31872558594</v>
      </c>
      <c r="D48" s="214">
        <v>755828.47666666715</v>
      </c>
      <c r="E48" s="448">
        <v>30990.842058918788</v>
      </c>
      <c r="F48" s="448"/>
      <c r="G48" s="451">
        <v>869</v>
      </c>
      <c r="H48" s="214">
        <v>11770.540000000006</v>
      </c>
      <c r="I48" s="448">
        <v>-10901.540000000006</v>
      </c>
      <c r="J48" s="448"/>
      <c r="K48" s="451">
        <v>9312</v>
      </c>
      <c r="L48" s="214">
        <v>7068</v>
      </c>
      <c r="M48" s="448">
        <v>2244</v>
      </c>
      <c r="N48" s="214"/>
      <c r="O48" s="451">
        <v>14438</v>
      </c>
      <c r="P48" s="214">
        <v>16908.360000000004</v>
      </c>
      <c r="Q48" s="448">
        <v>-2470.3600000000042</v>
      </c>
      <c r="R48" s="449"/>
      <c r="S48" s="451">
        <v>496</v>
      </c>
      <c r="T48" s="214">
        <v>2915.8900000000012</v>
      </c>
      <c r="U48" s="448">
        <v>-2419.8900000000012</v>
      </c>
      <c r="V48" s="450"/>
      <c r="W48" s="451">
        <v>743530.31878662109</v>
      </c>
      <c r="X48" s="214">
        <v>748097.03331536346</v>
      </c>
      <c r="Y48" s="448">
        <v>-4566.7145287423627</v>
      </c>
      <c r="Z48" s="214"/>
      <c r="AA48" s="451">
        <v>2741</v>
      </c>
      <c r="AB48" s="214">
        <v>0</v>
      </c>
      <c r="AC48" s="448">
        <v>2741</v>
      </c>
      <c r="AD48" s="214"/>
      <c r="AE48" s="451">
        <v>72</v>
      </c>
      <c r="AF48" s="214">
        <v>0</v>
      </c>
      <c r="AG48" s="448">
        <v>72</v>
      </c>
      <c r="AH48" s="214"/>
      <c r="AI48" s="451">
        <v>66491</v>
      </c>
      <c r="AJ48" s="214">
        <v>46901.266666666677</v>
      </c>
      <c r="AK48" s="448">
        <v>19589.733333333323</v>
      </c>
      <c r="AL48" s="450"/>
      <c r="AM48" s="451">
        <f t="shared" ref="AM48" si="245">SUM(C48,G48,K48,O48,S48)</f>
        <v>811934.31872558594</v>
      </c>
      <c r="AN48" s="214">
        <f t="shared" ref="AN48" si="246">SUM(D48,H48,L48,P48,T48)</f>
        <v>794491.26666666719</v>
      </c>
      <c r="AO48" s="448">
        <f t="shared" ref="AO48" si="247">AM48-AN48</f>
        <v>17443.052058918751</v>
      </c>
      <c r="AP48" s="214"/>
      <c r="AQ48" s="451">
        <f t="shared" ref="AQ48" si="248">SUM(W48,AA48,AE48,AI48)</f>
        <v>812834.31878662109</v>
      </c>
      <c r="AR48" s="214">
        <f t="shared" ref="AR48" si="249">SUM(X48,AB48,AF48,AJ48)</f>
        <v>794998.29998203018</v>
      </c>
      <c r="AS48" s="448">
        <f t="shared" ref="AS48" si="250">AQ48-AR48</f>
        <v>17836.018804590916</v>
      </c>
      <c r="AT48" s="214"/>
      <c r="AU48" s="451">
        <f t="shared" ref="AU48" si="251">AM48</f>
        <v>811934.31872558594</v>
      </c>
      <c r="AV48" s="214">
        <f t="shared" ref="AV48" si="252">AQ48</f>
        <v>812834.31878662109</v>
      </c>
      <c r="AW48" s="448">
        <f t="shared" ref="AW48" si="253">AU48-AV48</f>
        <v>-900.00006103515625</v>
      </c>
      <c r="AY48" s="407"/>
      <c r="AZ48" s="408"/>
      <c r="BA48" s="408"/>
      <c r="BB48" s="407"/>
      <c r="BC48" s="407"/>
    </row>
    <row r="49" spans="1:104" ht="21.75" customHeight="1">
      <c r="A49" s="433"/>
      <c r="B49" s="445" t="s">
        <v>96</v>
      </c>
      <c r="C49" s="451">
        <f>'Input Data'!AU$36-'Input Data'!AY$36-'Input Data'!BC$36</f>
        <v>678268</v>
      </c>
      <c r="D49" s="214">
        <f>'Daily Budget Data'!I$37-'Daily Budget Data'!M$37-'Daily Budget Data'!Q$37</f>
        <v>624137.74722222297</v>
      </c>
      <c r="E49" s="448">
        <f>C49-D49</f>
        <v>54130.25277777703</v>
      </c>
      <c r="F49" s="448"/>
      <c r="G49" s="451">
        <f>'Input Data'!AY$36</f>
        <v>42896</v>
      </c>
      <c r="H49" s="214">
        <f>'Daily Budget Data'!M$37</f>
        <v>15285.18333333334</v>
      </c>
      <c r="I49" s="448">
        <f>G49-H49</f>
        <v>27610.816666666658</v>
      </c>
      <c r="J49" s="448"/>
      <c r="K49" s="451">
        <f>'Input Data'!BC$36</f>
        <v>9880</v>
      </c>
      <c r="L49" s="214">
        <f>'Daily Budget Data'!Q$37</f>
        <v>5391.1999999999989</v>
      </c>
      <c r="M49" s="448">
        <f>K49-L49</f>
        <v>4488.8000000000011</v>
      </c>
      <c r="N49" s="214"/>
      <c r="O49" s="451">
        <f>'Input Data'!BO$36</f>
        <v>16912</v>
      </c>
      <c r="P49" s="214">
        <f>'Daily Budget Data'!Z$37</f>
        <v>13279.949999999997</v>
      </c>
      <c r="Q49" s="448">
        <f>O49-P49</f>
        <v>3632.0500000000029</v>
      </c>
      <c r="R49" s="449"/>
      <c r="S49" s="451">
        <f>'Input Data'!BS$36</f>
        <v>142</v>
      </c>
      <c r="T49" s="214">
        <f>'Daily Budget Data'!AD$37</f>
        <v>2399.2666666666655</v>
      </c>
      <c r="U49" s="448">
        <f>S49-T49</f>
        <v>-2257.2666666666655</v>
      </c>
      <c r="V49" s="450"/>
      <c r="W49" s="451">
        <f>'Input Data'!AR$36</f>
        <v>691819</v>
      </c>
      <c r="X49" s="214">
        <f>'Daily Budget Data'!E$37</f>
        <v>611321.36395775678</v>
      </c>
      <c r="Y49" s="448">
        <f>W49-X49</f>
        <v>80497.636042243219</v>
      </c>
      <c r="Z49" s="214"/>
      <c r="AA49" s="451">
        <f>'Input Data'!CB$36</f>
        <v>2270</v>
      </c>
      <c r="AB49" s="214">
        <f>'Daily Budget Data'!AH$37</f>
        <v>1167.2499999999995</v>
      </c>
      <c r="AC49" s="448">
        <f>AA49-AB49</f>
        <v>1102.7500000000005</v>
      </c>
      <c r="AD49" s="214"/>
      <c r="AE49" s="451">
        <f>'Input Data'!BK$36</f>
        <v>1266</v>
      </c>
      <c r="AF49" s="214">
        <f>'Daily Budget Data'!AP$37</f>
        <v>0</v>
      </c>
      <c r="AG49" s="448">
        <f>AE49-AF49</f>
        <v>1266</v>
      </c>
      <c r="AH49" s="214"/>
      <c r="AI49" s="451">
        <f>'Input Data'!BG$36</f>
        <v>52261</v>
      </c>
      <c r="AJ49" s="214">
        <f>'Daily Budget Data'!AL$37</f>
        <v>46732.486111111124</v>
      </c>
      <c r="AK49" s="448">
        <f>AI49-AJ49</f>
        <v>5528.513888888876</v>
      </c>
      <c r="AL49" s="450"/>
      <c r="AM49" s="451">
        <f t="shared" ref="AM49" si="254">SUM(C49,G49,K49,O49,S49)</f>
        <v>748098</v>
      </c>
      <c r="AN49" s="214">
        <f t="shared" ref="AN49" si="255">SUM(D49,H49,L49,P49,T49)</f>
        <v>660493.34722222295</v>
      </c>
      <c r="AO49" s="448">
        <f t="shared" ref="AO49" si="256">AM49-AN49</f>
        <v>87604.652777777053</v>
      </c>
      <c r="AP49" s="214"/>
      <c r="AQ49" s="451">
        <f t="shared" ref="AQ49" si="257">SUM(W49,AA49,AE49,AI49)</f>
        <v>747616</v>
      </c>
      <c r="AR49" s="214">
        <f t="shared" ref="AR49" si="258">SUM(X49,AB49,AF49,AJ49)</f>
        <v>659221.10006886791</v>
      </c>
      <c r="AS49" s="448">
        <f t="shared" ref="AS49" si="259">AQ49-AR49</f>
        <v>88394.899931132095</v>
      </c>
      <c r="AT49" s="214"/>
      <c r="AU49" s="451">
        <f t="shared" ref="AU49" si="260">AM49</f>
        <v>748098</v>
      </c>
      <c r="AV49" s="214">
        <f t="shared" ref="AV49" si="261">AQ49</f>
        <v>747616</v>
      </c>
      <c r="AW49" s="448">
        <f t="shared" ref="AW49" si="262">AU49-AV49</f>
        <v>482</v>
      </c>
      <c r="AY49" s="407"/>
      <c r="AZ49" s="408"/>
      <c r="BA49" s="408"/>
      <c r="BB49" s="407"/>
      <c r="BC49" s="407"/>
    </row>
    <row r="50" spans="1:104" ht="21.75" customHeight="1">
      <c r="A50" s="433"/>
      <c r="B50" s="445" t="s">
        <v>97</v>
      </c>
      <c r="C50" s="452"/>
      <c r="D50" s="453"/>
      <c r="E50" s="454"/>
      <c r="F50" s="448"/>
      <c r="G50" s="452"/>
      <c r="H50" s="453"/>
      <c r="I50" s="454"/>
      <c r="J50" s="448"/>
      <c r="K50" s="452"/>
      <c r="L50" s="453"/>
      <c r="M50" s="454"/>
      <c r="N50" s="214"/>
      <c r="O50" s="452"/>
      <c r="P50" s="453"/>
      <c r="Q50" s="454"/>
      <c r="R50" s="449"/>
      <c r="S50" s="452"/>
      <c r="T50" s="453"/>
      <c r="U50" s="454"/>
      <c r="V50" s="450"/>
      <c r="W50" s="452"/>
      <c r="X50" s="453"/>
      <c r="Y50" s="454"/>
      <c r="Z50" s="214"/>
      <c r="AA50" s="452"/>
      <c r="AB50" s="453"/>
      <c r="AC50" s="454"/>
      <c r="AD50" s="214"/>
      <c r="AE50" s="452"/>
      <c r="AF50" s="453"/>
      <c r="AG50" s="454"/>
      <c r="AH50" s="214"/>
      <c r="AI50" s="452"/>
      <c r="AJ50" s="453"/>
      <c r="AK50" s="454"/>
      <c r="AL50" s="450"/>
      <c r="AM50" s="452"/>
      <c r="AN50" s="453"/>
      <c r="AO50" s="454"/>
      <c r="AP50" s="214"/>
      <c r="AQ50" s="452"/>
      <c r="AR50" s="453"/>
      <c r="AS50" s="454"/>
      <c r="AT50" s="214"/>
      <c r="AU50" s="452"/>
      <c r="AV50" s="453"/>
      <c r="AW50" s="454"/>
      <c r="BC50" s="407"/>
    </row>
    <row r="51" spans="1:104" ht="21.75" customHeight="1">
      <c r="A51" s="433"/>
      <c r="B51" s="445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449"/>
      <c r="S51" s="214"/>
      <c r="T51" s="214"/>
      <c r="U51" s="214"/>
      <c r="V51" s="450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450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BC51" s="407"/>
    </row>
    <row r="52" spans="1:104" s="506" customFormat="1" ht="21.75" customHeight="1">
      <c r="A52" s="501"/>
      <c r="B52" s="502" t="s">
        <v>99</v>
      </c>
      <c r="C52" s="483">
        <f>SUM(C39:C51)</f>
        <v>9269736.1551513672</v>
      </c>
      <c r="D52" s="483">
        <f>SUM(D39:D51)</f>
        <v>9073022.587222226</v>
      </c>
      <c r="E52" s="483">
        <f>C52-D52</f>
        <v>196713.56792914122</v>
      </c>
      <c r="F52" s="484"/>
      <c r="G52" s="483">
        <f>SUM(G39:G51)</f>
        <v>301674</v>
      </c>
      <c r="H52" s="483">
        <f>SUM(H39:H51)</f>
        <v>115606.80333333334</v>
      </c>
      <c r="I52" s="483">
        <f>G52-H52</f>
        <v>186067.19666666666</v>
      </c>
      <c r="J52" s="484"/>
      <c r="K52" s="483">
        <f>SUM(K39:K51)</f>
        <v>100271</v>
      </c>
      <c r="L52" s="483">
        <f>SUM(L39:L51)</f>
        <v>72876.599999999991</v>
      </c>
      <c r="M52" s="483">
        <f>K52-L52</f>
        <v>27394.400000000009</v>
      </c>
      <c r="N52" s="484"/>
      <c r="O52" s="483">
        <f>SUM(O39:O51)</f>
        <v>224306</v>
      </c>
      <c r="P52" s="483">
        <f>SUM(P39:P51)</f>
        <v>160977.79999999999</v>
      </c>
      <c r="Q52" s="483">
        <f>O52-P52</f>
        <v>63328.200000000012</v>
      </c>
      <c r="R52" s="503"/>
      <c r="S52" s="483">
        <f>SUM(S39:S51)</f>
        <v>21954</v>
      </c>
      <c r="T52" s="483">
        <f>SUM(T39:T51)</f>
        <v>40581.346666666665</v>
      </c>
      <c r="U52" s="483">
        <f>S52-T52</f>
        <v>-18627.346666666665</v>
      </c>
      <c r="V52" s="485"/>
      <c r="W52" s="483">
        <f>SUM(W39:W51)</f>
        <v>9313140.8610839844</v>
      </c>
      <c r="X52" s="483">
        <f>SUM(X39:X51)</f>
        <v>8944668.0433734655</v>
      </c>
      <c r="Y52" s="483">
        <f>W52-X52</f>
        <v>368472.81771051884</v>
      </c>
      <c r="Z52" s="483"/>
      <c r="AA52" s="483">
        <f>SUM(AA39:AA51)</f>
        <v>46132</v>
      </c>
      <c r="AB52" s="483">
        <f>SUM(AB39:AB51)</f>
        <v>25074.189999999995</v>
      </c>
      <c r="AC52" s="483">
        <f>AA52-AB52</f>
        <v>21057.810000000005</v>
      </c>
      <c r="AD52" s="483"/>
      <c r="AE52" s="483">
        <f>SUM(AE39:AE51)</f>
        <v>3242</v>
      </c>
      <c r="AF52" s="483">
        <f>SUM(AF39:AF51)</f>
        <v>0</v>
      </c>
      <c r="AG52" s="483">
        <f>AE52-AF52</f>
        <v>3242</v>
      </c>
      <c r="AH52" s="483"/>
      <c r="AI52" s="483">
        <f>SUM(AI39:AI51)</f>
        <v>553750</v>
      </c>
      <c r="AJ52" s="483">
        <f>SUM(AJ39:AJ51)</f>
        <v>492478.02944444452</v>
      </c>
      <c r="AK52" s="483">
        <f>AI52-AJ52</f>
        <v>61271.970555555483</v>
      </c>
      <c r="AL52" s="485"/>
      <c r="AM52" s="483">
        <f>SUM(AM39:AM51)</f>
        <v>9917941.1551513672</v>
      </c>
      <c r="AN52" s="483">
        <f>SUM(AN39:AN51)</f>
        <v>9463065.1372222267</v>
      </c>
      <c r="AO52" s="483">
        <f>AM52-AN52</f>
        <v>454876.01792914048</v>
      </c>
      <c r="AP52" s="483"/>
      <c r="AQ52" s="483">
        <f>SUM(AQ39:AQ51)</f>
        <v>9916264.8610839844</v>
      </c>
      <c r="AR52" s="483">
        <f>SUM(AR39:AR51)</f>
        <v>9462220.2628179099</v>
      </c>
      <c r="AS52" s="483">
        <f>AQ52-AR52</f>
        <v>454044.59826607443</v>
      </c>
      <c r="AT52" s="483"/>
      <c r="AU52" s="483">
        <f>SUM(AU39:AU51)</f>
        <v>9917941.1551513672</v>
      </c>
      <c r="AV52" s="483">
        <f>SUM(AV39:AV51)</f>
        <v>9916264.8610839844</v>
      </c>
      <c r="AW52" s="483">
        <f>AU52-AV52</f>
        <v>1676.2940673828125</v>
      </c>
      <c r="AX52" s="440"/>
      <c r="AY52" s="440"/>
      <c r="AZ52" s="504"/>
      <c r="BA52" s="504"/>
      <c r="BB52" s="440"/>
      <c r="BC52" s="505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0"/>
      <c r="CL52" s="440"/>
      <c r="CM52" s="440"/>
      <c r="CN52" s="440"/>
      <c r="CO52" s="440"/>
      <c r="CP52" s="440"/>
      <c r="CQ52" s="440"/>
      <c r="CR52" s="440"/>
      <c r="CS52" s="440"/>
      <c r="CT52" s="440"/>
      <c r="CU52" s="440"/>
      <c r="CV52" s="440"/>
      <c r="CW52" s="440"/>
      <c r="CX52" s="440"/>
      <c r="CY52" s="440"/>
      <c r="CZ52" s="440"/>
    </row>
    <row r="53" spans="1:104" ht="21.75" customHeight="1">
      <c r="A53" s="433"/>
      <c r="B53" s="461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56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56"/>
      <c r="AM53" s="449"/>
      <c r="AN53" s="449"/>
      <c r="AO53" s="449"/>
      <c r="AP53" s="449"/>
      <c r="AQ53" s="449"/>
      <c r="AR53" s="449"/>
      <c r="AS53" s="449"/>
      <c r="AT53" s="449"/>
      <c r="AU53" s="449"/>
      <c r="AV53" s="449"/>
      <c r="AW53" s="449"/>
      <c r="BC53" s="407"/>
    </row>
    <row r="54" spans="1:104" ht="21.75" customHeight="1">
      <c r="A54" s="433"/>
      <c r="B54" s="461"/>
      <c r="C54" s="458"/>
      <c r="D54" s="459"/>
      <c r="E54" s="460"/>
      <c r="F54" s="449"/>
      <c r="G54" s="458"/>
      <c r="H54" s="459"/>
      <c r="I54" s="460"/>
      <c r="J54" s="449"/>
      <c r="K54" s="458"/>
      <c r="L54" s="459"/>
      <c r="M54" s="460"/>
      <c r="N54" s="449"/>
      <c r="O54" s="458"/>
      <c r="P54" s="459"/>
      <c r="Q54" s="460"/>
      <c r="R54" s="449"/>
      <c r="S54" s="458"/>
      <c r="T54" s="459"/>
      <c r="U54" s="460"/>
      <c r="V54" s="456"/>
      <c r="W54" s="458"/>
      <c r="X54" s="459"/>
      <c r="Y54" s="460"/>
      <c r="Z54" s="449"/>
      <c r="AA54" s="458"/>
      <c r="AB54" s="459"/>
      <c r="AC54" s="460"/>
      <c r="AD54" s="449"/>
      <c r="AE54" s="458"/>
      <c r="AF54" s="459"/>
      <c r="AG54" s="460"/>
      <c r="AH54" s="449"/>
      <c r="AI54" s="458"/>
      <c r="AJ54" s="459"/>
      <c r="AK54" s="460"/>
      <c r="AL54" s="456"/>
      <c r="AM54" s="458"/>
      <c r="AN54" s="459"/>
      <c r="AO54" s="460"/>
      <c r="AP54" s="449"/>
      <c r="AQ54" s="458"/>
      <c r="AR54" s="459"/>
      <c r="AS54" s="460"/>
      <c r="AT54" s="449"/>
      <c r="AU54" s="458"/>
      <c r="AV54" s="459"/>
      <c r="AW54" s="460"/>
      <c r="BC54" s="407"/>
    </row>
    <row r="55" spans="1:104" ht="26.25">
      <c r="A55" s="444" t="s">
        <v>85</v>
      </c>
      <c r="B55" s="445" t="s">
        <v>87</v>
      </c>
      <c r="C55" s="451">
        <v>557514.93237304687</v>
      </c>
      <c r="D55" s="214">
        <v>577208.04</v>
      </c>
      <c r="E55" s="448">
        <v>-20714.427626953111</v>
      </c>
      <c r="F55" s="449"/>
      <c r="G55" s="451">
        <v>18715</v>
      </c>
      <c r="H55" s="214">
        <v>665.4</v>
      </c>
      <c r="I55" s="448">
        <v>18049.599999999999</v>
      </c>
      <c r="J55" s="449"/>
      <c r="K55" s="451">
        <v>3146</v>
      </c>
      <c r="L55" s="214">
        <v>4042.1200000000017</v>
      </c>
      <c r="M55" s="448">
        <f>K55-L55</f>
        <v>-896.12000000000171</v>
      </c>
      <c r="N55" s="449"/>
      <c r="O55" s="451">
        <v>15217</v>
      </c>
      <c r="P55" s="214">
        <v>7427.8000000000011</v>
      </c>
      <c r="Q55" s="448">
        <v>7789.1999999999989</v>
      </c>
      <c r="R55" s="463"/>
      <c r="S55" s="451">
        <v>378</v>
      </c>
      <c r="T55" s="214">
        <v>862.19999999999993</v>
      </c>
      <c r="U55" s="448">
        <v>-484.19999999999993</v>
      </c>
      <c r="V55" s="450"/>
      <c r="W55" s="451">
        <v>545885.93212890625</v>
      </c>
      <c r="X55" s="214">
        <v>525480.83451675635</v>
      </c>
      <c r="Y55" s="448">
        <v>20405.097612149897</v>
      </c>
      <c r="Z55" s="214"/>
      <c r="AA55" s="451">
        <v>11034</v>
      </c>
      <c r="AB55" s="214">
        <v>30782.200000000008</v>
      </c>
      <c r="AC55" s="448">
        <v>-19748.200000000008</v>
      </c>
      <c r="AD55" s="214"/>
      <c r="AE55" s="451">
        <v>138</v>
      </c>
      <c r="AF55" s="214">
        <v>0</v>
      </c>
      <c r="AG55" s="448">
        <v>138</v>
      </c>
      <c r="AH55" s="214"/>
      <c r="AI55" s="451">
        <v>37732</v>
      </c>
      <c r="AJ55" s="214">
        <v>35490.359999999993</v>
      </c>
      <c r="AK55" s="448">
        <v>2241.6400000000067</v>
      </c>
      <c r="AL55" s="450"/>
      <c r="AM55" s="451">
        <f t="shared" ref="AM55:AN57" si="263">SUM(C55,G55,K55,O55,S55)</f>
        <v>594970.93237304687</v>
      </c>
      <c r="AN55" s="214">
        <f t="shared" si="263"/>
        <v>590205.56000000006</v>
      </c>
      <c r="AO55" s="448">
        <f t="shared" ref="AO55:AO60" si="264">AM55-AN55</f>
        <v>4765.3723730468191</v>
      </c>
      <c r="AP55" s="214"/>
      <c r="AQ55" s="451">
        <f t="shared" ref="AQ55:AR57" si="265">SUM(W55,AA55,AE55,AI55)</f>
        <v>594789.93212890625</v>
      </c>
      <c r="AR55" s="214">
        <f t="shared" si="265"/>
        <v>591753.39451675629</v>
      </c>
      <c r="AS55" s="448">
        <f t="shared" ref="AS55:AS60" si="266">AQ55-AR55</f>
        <v>3036.5376121499576</v>
      </c>
      <c r="AT55" s="214"/>
      <c r="AU55" s="451">
        <f t="shared" ref="AU55:AU60" si="267">AM55</f>
        <v>594970.93237304687</v>
      </c>
      <c r="AV55" s="214">
        <f t="shared" ref="AV55:AV60" si="268">AQ55</f>
        <v>594789.93212890625</v>
      </c>
      <c r="AW55" s="448">
        <f t="shared" ref="AW55:AW60" si="269">AU55-AV55</f>
        <v>181.000244140625</v>
      </c>
      <c r="BC55" s="407"/>
      <c r="BG55" s="466"/>
      <c r="BH55" s="466"/>
      <c r="BI55" s="466"/>
    </row>
    <row r="56" spans="1:104" ht="21.75" customHeight="1">
      <c r="A56" s="444"/>
      <c r="B56" s="445" t="s">
        <v>88</v>
      </c>
      <c r="C56" s="451">
        <v>538877.94775390625</v>
      </c>
      <c r="D56" s="214">
        <v>506319.06666666694</v>
      </c>
      <c r="E56" s="448">
        <v>31107.881087239191</v>
      </c>
      <c r="F56" s="449"/>
      <c r="G56" s="451">
        <v>9855</v>
      </c>
      <c r="H56" s="214">
        <v>10180.299999999997</v>
      </c>
      <c r="I56" s="448">
        <v>-325.29999999999745</v>
      </c>
      <c r="J56" s="449"/>
      <c r="K56" s="451">
        <v>5759</v>
      </c>
      <c r="L56" s="214">
        <v>4587</v>
      </c>
      <c r="M56" s="448">
        <f t="shared" ref="M56:M59" si="270">K56-L56</f>
        <v>1172</v>
      </c>
      <c r="N56" s="449"/>
      <c r="O56" s="451">
        <v>15194</v>
      </c>
      <c r="P56" s="214">
        <v>11104.630000000001</v>
      </c>
      <c r="Q56" s="448">
        <v>4089.369999999999</v>
      </c>
      <c r="R56" s="463"/>
      <c r="S56" s="451">
        <v>70</v>
      </c>
      <c r="T56" s="214">
        <v>2645.06</v>
      </c>
      <c r="U56" s="448">
        <v>-2575.06</v>
      </c>
      <c r="V56" s="450"/>
      <c r="W56" s="451">
        <v>531236.94775390625</v>
      </c>
      <c r="X56" s="214">
        <v>515668.65598877787</v>
      </c>
      <c r="Y56" s="448">
        <v>15568.291765128379</v>
      </c>
      <c r="Z56" s="214"/>
      <c r="AA56" s="451">
        <v>16225</v>
      </c>
      <c r="AB56" s="214">
        <v>10658.800000000001</v>
      </c>
      <c r="AC56" s="448">
        <v>5566.1999999999989</v>
      </c>
      <c r="AD56" s="214"/>
      <c r="AE56" s="451">
        <v>0</v>
      </c>
      <c r="AF56" s="214">
        <v>0</v>
      </c>
      <c r="AG56" s="448">
        <v>0</v>
      </c>
      <c r="AH56" s="214"/>
      <c r="AI56" s="451">
        <v>22322</v>
      </c>
      <c r="AJ56" s="214">
        <v>14879.256666666668</v>
      </c>
      <c r="AK56" s="448">
        <v>7442.743333333332</v>
      </c>
      <c r="AL56" s="450"/>
      <c r="AM56" s="451">
        <f t="shared" si="263"/>
        <v>569755.94775390625</v>
      </c>
      <c r="AN56" s="214">
        <f t="shared" si="263"/>
        <v>534836.05666666699</v>
      </c>
      <c r="AO56" s="448">
        <f t="shared" si="264"/>
        <v>34919.891087239259</v>
      </c>
      <c r="AP56" s="214"/>
      <c r="AQ56" s="451">
        <f t="shared" si="265"/>
        <v>569783.94775390625</v>
      </c>
      <c r="AR56" s="214">
        <f t="shared" si="265"/>
        <v>541206.71265544463</v>
      </c>
      <c r="AS56" s="448">
        <f t="shared" si="266"/>
        <v>28577.235098461621</v>
      </c>
      <c r="AT56" s="214"/>
      <c r="AU56" s="451">
        <f t="shared" si="267"/>
        <v>569755.94775390625</v>
      </c>
      <c r="AV56" s="214">
        <f t="shared" si="268"/>
        <v>569783.94775390625</v>
      </c>
      <c r="AW56" s="448">
        <f t="shared" si="269"/>
        <v>-28</v>
      </c>
      <c r="BC56" s="407"/>
      <c r="BG56" s="466"/>
      <c r="BH56" s="466"/>
      <c r="BI56" s="466"/>
    </row>
    <row r="57" spans="1:104" ht="21.75" customHeight="1">
      <c r="A57" s="433"/>
      <c r="B57" s="445" t="s">
        <v>89</v>
      </c>
      <c r="C57" s="451">
        <v>566052.32556152344</v>
      </c>
      <c r="D57" s="214">
        <v>505647.63333333377</v>
      </c>
      <c r="E57" s="448">
        <v>60322.602228189586</v>
      </c>
      <c r="F57" s="449"/>
      <c r="G57" s="451">
        <v>18053</v>
      </c>
      <c r="H57" s="214">
        <v>39105.999999999985</v>
      </c>
      <c r="I57" s="448">
        <v>-21052.999999999985</v>
      </c>
      <c r="J57" s="449"/>
      <c r="K57" s="451">
        <v>5779</v>
      </c>
      <c r="L57" s="214">
        <v>2642.0899999999997</v>
      </c>
      <c r="M57" s="448">
        <f t="shared" si="270"/>
        <v>3136.9100000000003</v>
      </c>
      <c r="N57" s="449"/>
      <c r="O57" s="451">
        <v>16158</v>
      </c>
      <c r="P57" s="214">
        <v>21200.489999999994</v>
      </c>
      <c r="Q57" s="448">
        <v>-5042.4899999999943</v>
      </c>
      <c r="R57" s="463"/>
      <c r="S57" s="451">
        <v>5961</v>
      </c>
      <c r="T57" s="214">
        <v>9618.1699999999983</v>
      </c>
      <c r="U57" s="448">
        <v>-3657.1699999999983</v>
      </c>
      <c r="V57" s="450"/>
      <c r="W57" s="451">
        <v>580437.32727050781</v>
      </c>
      <c r="X57" s="214">
        <v>571658.58085470693</v>
      </c>
      <c r="Y57" s="448">
        <v>8778.7464158008806</v>
      </c>
      <c r="Z57" s="214"/>
      <c r="AA57" s="451">
        <v>12194</v>
      </c>
      <c r="AB57" s="214">
        <v>575</v>
      </c>
      <c r="AC57" s="448">
        <v>11619</v>
      </c>
      <c r="AD57" s="214"/>
      <c r="AE57" s="451">
        <v>38</v>
      </c>
      <c r="AF57" s="214">
        <v>0</v>
      </c>
      <c r="AG57" s="448">
        <v>38</v>
      </c>
      <c r="AH57" s="214"/>
      <c r="AI57" s="451">
        <v>20335</v>
      </c>
      <c r="AJ57" s="214">
        <v>17938.78333333334</v>
      </c>
      <c r="AK57" s="448">
        <v>2396.2166666666599</v>
      </c>
      <c r="AL57" s="450"/>
      <c r="AM57" s="451">
        <f t="shared" si="263"/>
        <v>612003.32556152344</v>
      </c>
      <c r="AN57" s="214">
        <f t="shared" si="263"/>
        <v>578214.38333333377</v>
      </c>
      <c r="AO57" s="448">
        <f t="shared" si="264"/>
        <v>33788.94222818967</v>
      </c>
      <c r="AP57" s="214"/>
      <c r="AQ57" s="451">
        <f t="shared" si="265"/>
        <v>613004.32727050781</v>
      </c>
      <c r="AR57" s="214">
        <f t="shared" si="265"/>
        <v>590172.36418804026</v>
      </c>
      <c r="AS57" s="448">
        <f t="shared" si="266"/>
        <v>22831.963082467555</v>
      </c>
      <c r="AT57" s="214"/>
      <c r="AU57" s="451">
        <f t="shared" si="267"/>
        <v>612003.32556152344</v>
      </c>
      <c r="AV57" s="214">
        <f t="shared" si="268"/>
        <v>613004.32727050781</v>
      </c>
      <c r="AW57" s="448">
        <f t="shared" si="269"/>
        <v>-1001.001708984375</v>
      </c>
      <c r="BC57" s="407"/>
      <c r="BG57" s="466"/>
      <c r="BH57" s="466"/>
      <c r="BI57" s="466"/>
    </row>
    <row r="58" spans="1:104" ht="21.75" customHeight="1">
      <c r="A58" s="433"/>
      <c r="B58" s="445" t="s">
        <v>90</v>
      </c>
      <c r="C58" s="451">
        <v>349384.06066894531</v>
      </c>
      <c r="D58" s="214">
        <v>361552.53666666674</v>
      </c>
      <c r="E58" s="448">
        <v>-12168.475997721485</v>
      </c>
      <c r="F58" s="449"/>
      <c r="G58" s="451">
        <v>47499</v>
      </c>
      <c r="H58" s="214">
        <v>29569.890000000007</v>
      </c>
      <c r="I58" s="448">
        <v>17929.109999999993</v>
      </c>
      <c r="J58" s="449"/>
      <c r="K58" s="451">
        <v>4664</v>
      </c>
      <c r="L58" s="214">
        <v>3456</v>
      </c>
      <c r="M58" s="448">
        <f t="shared" si="270"/>
        <v>1208</v>
      </c>
      <c r="N58" s="449"/>
      <c r="O58" s="451">
        <v>9606</v>
      </c>
      <c r="P58" s="214">
        <v>13396.399999999998</v>
      </c>
      <c r="Q58" s="448">
        <v>-3790.3999999999978</v>
      </c>
      <c r="R58" s="463"/>
      <c r="S58" s="451">
        <v>17489</v>
      </c>
      <c r="T58" s="214">
        <v>11113.240000000002</v>
      </c>
      <c r="U58" s="448">
        <v>6375.7599999999984</v>
      </c>
      <c r="V58" s="450"/>
      <c r="W58" s="451">
        <v>416402.05889892578</v>
      </c>
      <c r="X58" s="214">
        <v>425047.82979350764</v>
      </c>
      <c r="Y58" s="448">
        <v>-8645.7708945818595</v>
      </c>
      <c r="Z58" s="214"/>
      <c r="AA58" s="451">
        <v>0</v>
      </c>
      <c r="AB58" s="214">
        <v>0</v>
      </c>
      <c r="AC58" s="448">
        <v>0</v>
      </c>
      <c r="AD58" s="214"/>
      <c r="AE58" s="451">
        <v>10</v>
      </c>
      <c r="AF58" s="214">
        <v>0</v>
      </c>
      <c r="AG58" s="448">
        <v>10</v>
      </c>
      <c r="AH58" s="214"/>
      <c r="AI58" s="451">
        <v>11843</v>
      </c>
      <c r="AJ58" s="214">
        <v>7863.0666666666666</v>
      </c>
      <c r="AK58" s="448">
        <v>3979.9333333333334</v>
      </c>
      <c r="AL58" s="450"/>
      <c r="AM58" s="451">
        <f t="shared" ref="AM58" si="271">SUM(C58,G58,K58,O58,S58)</f>
        <v>428642.06066894531</v>
      </c>
      <c r="AN58" s="214">
        <f t="shared" ref="AN58" si="272">SUM(D58,H58,L58,P58,T58)</f>
        <v>419088.06666666677</v>
      </c>
      <c r="AO58" s="448">
        <f t="shared" si="264"/>
        <v>9553.9940022785449</v>
      </c>
      <c r="AP58" s="214"/>
      <c r="AQ58" s="451">
        <f t="shared" ref="AQ58" si="273">SUM(W58,AA58,AE58,AI58)</f>
        <v>428255.05889892578</v>
      </c>
      <c r="AR58" s="214">
        <f t="shared" ref="AR58" si="274">SUM(X58,AB58,AF58,AJ58)</f>
        <v>432910.89646017429</v>
      </c>
      <c r="AS58" s="448">
        <f t="shared" si="266"/>
        <v>-4655.8375612485106</v>
      </c>
      <c r="AT58" s="214"/>
      <c r="AU58" s="451">
        <f t="shared" si="267"/>
        <v>428642.06066894531</v>
      </c>
      <c r="AV58" s="214">
        <f t="shared" si="268"/>
        <v>428255.05889892578</v>
      </c>
      <c r="AW58" s="448">
        <f t="shared" si="269"/>
        <v>387.00177001953125</v>
      </c>
      <c r="BC58" s="407"/>
      <c r="BG58" s="466"/>
      <c r="BH58" s="466"/>
      <c r="BI58" s="466"/>
    </row>
    <row r="59" spans="1:104" ht="21.75" customHeight="1">
      <c r="A59" s="433"/>
      <c r="B59" s="445" t="s">
        <v>10</v>
      </c>
      <c r="C59" s="451">
        <v>497901.10144042969</v>
      </c>
      <c r="D59" s="214">
        <v>514759.72666666715</v>
      </c>
      <c r="E59" s="448">
        <v>-16858.625226237345</v>
      </c>
      <c r="F59" s="449"/>
      <c r="G59" s="451">
        <v>5856</v>
      </c>
      <c r="H59" s="214">
        <v>9573</v>
      </c>
      <c r="I59" s="448">
        <v>-3717</v>
      </c>
      <c r="J59" s="449"/>
      <c r="K59" s="451">
        <v>2503</v>
      </c>
      <c r="L59" s="214">
        <v>3729.5999999999972</v>
      </c>
      <c r="M59" s="448">
        <f t="shared" si="270"/>
        <v>-1226.5999999999972</v>
      </c>
      <c r="N59" s="449"/>
      <c r="O59" s="451">
        <v>10207</v>
      </c>
      <c r="P59" s="214">
        <v>9863.3700000000008</v>
      </c>
      <c r="Q59" s="448">
        <v>343.6299999999992</v>
      </c>
      <c r="R59" s="463"/>
      <c r="S59" s="451">
        <v>622</v>
      </c>
      <c r="T59" s="214">
        <v>5709.3799999999992</v>
      </c>
      <c r="U59" s="448">
        <v>-5087.3799999999992</v>
      </c>
      <c r="V59" s="450"/>
      <c r="W59" s="451">
        <v>496860.10223388672</v>
      </c>
      <c r="X59" s="214">
        <v>512984.88368474972</v>
      </c>
      <c r="Y59" s="448">
        <v>-16124.781450862996</v>
      </c>
      <c r="Z59" s="214"/>
      <c r="AA59" s="451">
        <v>5266</v>
      </c>
      <c r="AB59" s="214">
        <v>27148.799999999996</v>
      </c>
      <c r="AC59" s="448">
        <v>-21882.799999999996</v>
      </c>
      <c r="AD59" s="214"/>
      <c r="AE59" s="451">
        <v>64</v>
      </c>
      <c r="AF59" s="214">
        <v>0</v>
      </c>
      <c r="AG59" s="448">
        <v>64</v>
      </c>
      <c r="AH59" s="214"/>
      <c r="AI59" s="451">
        <v>15565</v>
      </c>
      <c r="AJ59" s="214">
        <v>22941.266666666666</v>
      </c>
      <c r="AK59" s="448">
        <v>-7376.2666666666664</v>
      </c>
      <c r="AL59" s="450"/>
      <c r="AM59" s="451">
        <f t="shared" ref="AM59" si="275">SUM(C59,G59,K59,O59,S59)</f>
        <v>517089.10144042969</v>
      </c>
      <c r="AN59" s="214">
        <f t="shared" ref="AN59" si="276">SUM(D59,H59,L59,P59,T59)</f>
        <v>543635.07666666713</v>
      </c>
      <c r="AO59" s="448">
        <f t="shared" si="264"/>
        <v>-26545.975226237439</v>
      </c>
      <c r="AP59" s="214"/>
      <c r="AQ59" s="451">
        <f t="shared" ref="AQ59" si="277">SUM(W59,AA59,AE59,AI59)</f>
        <v>517755.10223388672</v>
      </c>
      <c r="AR59" s="214">
        <f t="shared" ref="AR59" si="278">SUM(X59,AB59,AF59,AJ59)</f>
        <v>563074.95035141648</v>
      </c>
      <c r="AS59" s="448">
        <f t="shared" si="266"/>
        <v>-45319.848117529764</v>
      </c>
      <c r="AT59" s="214"/>
      <c r="AU59" s="451">
        <f t="shared" si="267"/>
        <v>517089.10144042969</v>
      </c>
      <c r="AV59" s="214">
        <f t="shared" si="268"/>
        <v>517755.10223388672</v>
      </c>
      <c r="AW59" s="448">
        <f t="shared" si="269"/>
        <v>-666.00079345703125</v>
      </c>
      <c r="BC59" s="407"/>
      <c r="BG59" s="466"/>
      <c r="BH59" s="466"/>
      <c r="BI59" s="466"/>
    </row>
    <row r="60" spans="1:104" ht="21.75" customHeight="1">
      <c r="A60" s="433"/>
      <c r="B60" s="445" t="s">
        <v>91</v>
      </c>
      <c r="C60" s="451">
        <v>626702.68603515625</v>
      </c>
      <c r="D60" s="214">
        <v>628437.53000000014</v>
      </c>
      <c r="E60" s="448">
        <v>-1734.8439648438944</v>
      </c>
      <c r="F60" s="449"/>
      <c r="G60" s="451">
        <v>6580</v>
      </c>
      <c r="H60" s="214">
        <v>14279.93</v>
      </c>
      <c r="I60" s="448">
        <v>-7699.93</v>
      </c>
      <c r="J60" s="449"/>
      <c r="K60" s="451">
        <v>5621</v>
      </c>
      <c r="L60" s="214">
        <v>4388.7999999999984</v>
      </c>
      <c r="M60" s="448">
        <v>1232.2000000000016</v>
      </c>
      <c r="N60" s="449"/>
      <c r="O60" s="451">
        <v>14287</v>
      </c>
      <c r="P60" s="214">
        <v>13643.299999999997</v>
      </c>
      <c r="Q60" s="448">
        <v>643.70000000000255</v>
      </c>
      <c r="R60" s="463"/>
      <c r="S60" s="451">
        <v>350</v>
      </c>
      <c r="T60" s="214">
        <v>4449.84</v>
      </c>
      <c r="U60" s="448">
        <v>-4099.84</v>
      </c>
      <c r="V60" s="450"/>
      <c r="W60" s="451">
        <v>608185.68670654297</v>
      </c>
      <c r="X60" s="214">
        <v>634614.67783491826</v>
      </c>
      <c r="Y60" s="448">
        <v>-26428.991128375288</v>
      </c>
      <c r="Z60" s="214"/>
      <c r="AA60" s="451">
        <v>8171</v>
      </c>
      <c r="AB60" s="214">
        <v>14940.799999999992</v>
      </c>
      <c r="AC60" s="448">
        <v>-6769.799999999992</v>
      </c>
      <c r="AD60" s="214"/>
      <c r="AE60" s="451">
        <v>0</v>
      </c>
      <c r="AF60" s="214">
        <v>0</v>
      </c>
      <c r="AG60" s="448">
        <v>0</v>
      </c>
      <c r="AH60" s="214"/>
      <c r="AI60" s="451">
        <v>38338</v>
      </c>
      <c r="AJ60" s="214">
        <v>39463.599999999999</v>
      </c>
      <c r="AK60" s="448">
        <v>-1125.5999999999985</v>
      </c>
      <c r="AL60" s="450"/>
      <c r="AM60" s="451">
        <f t="shared" ref="AM60" si="279">SUM(C60,G60,K60,O60,S60)</f>
        <v>653540.68603515625</v>
      </c>
      <c r="AN60" s="214">
        <f t="shared" ref="AN60" si="280">SUM(D60,H60,L60,P60,T60)</f>
        <v>665199.40000000026</v>
      </c>
      <c r="AO60" s="448">
        <f t="shared" si="264"/>
        <v>-11658.713964844006</v>
      </c>
      <c r="AP60" s="214"/>
      <c r="AQ60" s="451">
        <f t="shared" ref="AQ60" si="281">SUM(W60,AA60,AE60,AI60)</f>
        <v>654694.68670654297</v>
      </c>
      <c r="AR60" s="214">
        <f t="shared" ref="AR60" si="282">SUM(X60,AB60,AF60,AJ60)</f>
        <v>689019.07783491828</v>
      </c>
      <c r="AS60" s="448">
        <f t="shared" si="266"/>
        <v>-34324.391128375311</v>
      </c>
      <c r="AT60" s="214"/>
      <c r="AU60" s="451">
        <f t="shared" si="267"/>
        <v>653540.68603515625</v>
      </c>
      <c r="AV60" s="214">
        <f t="shared" si="268"/>
        <v>654694.68670654297</v>
      </c>
      <c r="AW60" s="448">
        <f t="shared" si="269"/>
        <v>-1154.0006713867187</v>
      </c>
      <c r="BC60" s="407"/>
      <c r="BG60" s="466"/>
      <c r="BH60" s="466"/>
      <c r="BI60" s="466"/>
    </row>
    <row r="61" spans="1:104" ht="21.75" customHeight="1">
      <c r="A61" s="433"/>
      <c r="B61" s="445" t="s">
        <v>92</v>
      </c>
      <c r="C61" s="451">
        <v>541149.29809570312</v>
      </c>
      <c r="D61" s="214">
        <v>588710.8433333335</v>
      </c>
      <c r="E61" s="448">
        <v>-47561.545237630373</v>
      </c>
      <c r="F61" s="449"/>
      <c r="G61" s="451">
        <v>12069</v>
      </c>
      <c r="H61" s="214">
        <v>33736.19</v>
      </c>
      <c r="I61" s="448">
        <v>-21667.190000000002</v>
      </c>
      <c r="J61" s="449"/>
      <c r="K61" s="451">
        <v>5264</v>
      </c>
      <c r="L61" s="214">
        <v>4608</v>
      </c>
      <c r="M61" s="448">
        <v>656</v>
      </c>
      <c r="N61" s="449"/>
      <c r="O61" s="451">
        <v>14439</v>
      </c>
      <c r="P61" s="214">
        <v>14253.44</v>
      </c>
      <c r="Q61" s="448">
        <v>185.55999999999949</v>
      </c>
      <c r="R61" s="463"/>
      <c r="S61" s="451">
        <v>142</v>
      </c>
      <c r="T61" s="214">
        <v>2826.6899999999991</v>
      </c>
      <c r="U61" s="448">
        <v>-2684.6899999999991</v>
      </c>
      <c r="V61" s="450"/>
      <c r="W61" s="451">
        <v>543891.29907226563</v>
      </c>
      <c r="X61" s="214">
        <v>618469.9056847099</v>
      </c>
      <c r="Y61" s="448">
        <v>-74578.606612444273</v>
      </c>
      <c r="Z61" s="214"/>
      <c r="AA61" s="451">
        <v>5334</v>
      </c>
      <c r="AB61" s="214">
        <v>7674</v>
      </c>
      <c r="AC61" s="448">
        <v>-2340</v>
      </c>
      <c r="AD61" s="214"/>
      <c r="AE61" s="451">
        <v>0</v>
      </c>
      <c r="AF61" s="214">
        <v>0</v>
      </c>
      <c r="AG61" s="448">
        <v>0</v>
      </c>
      <c r="AH61" s="214"/>
      <c r="AI61" s="451">
        <v>24794</v>
      </c>
      <c r="AJ61" s="214">
        <v>32888.159999999996</v>
      </c>
      <c r="AK61" s="448">
        <v>-8094.1599999999962</v>
      </c>
      <c r="AL61" s="450"/>
      <c r="AM61" s="451">
        <f t="shared" ref="AM61" si="283">SUM(C61,G61,K61,O61,S61)</f>
        <v>573063.29809570313</v>
      </c>
      <c r="AN61" s="214">
        <f t="shared" ref="AN61" si="284">SUM(D61,H61,L61,P61,T61)</f>
        <v>644135.16333333333</v>
      </c>
      <c r="AO61" s="448">
        <f t="shared" ref="AO61" si="285">AM61-AN61</f>
        <v>-71071.865237630205</v>
      </c>
      <c r="AP61" s="214"/>
      <c r="AQ61" s="451">
        <f t="shared" ref="AQ61" si="286">SUM(W61,AA61,AE61,AI61)</f>
        <v>574019.29907226562</v>
      </c>
      <c r="AR61" s="214">
        <f t="shared" ref="AR61" si="287">SUM(X61,AB61,AF61,AJ61)</f>
        <v>659032.06568470993</v>
      </c>
      <c r="AS61" s="448">
        <f t="shared" ref="AS61" si="288">AQ61-AR61</f>
        <v>-85012.766612444306</v>
      </c>
      <c r="AT61" s="214"/>
      <c r="AU61" s="451">
        <f t="shared" ref="AU61" si="289">AM61</f>
        <v>573063.29809570313</v>
      </c>
      <c r="AV61" s="214">
        <f t="shared" ref="AV61" si="290">AQ61</f>
        <v>574019.29907226562</v>
      </c>
      <c r="AW61" s="448">
        <f t="shared" ref="AW61" si="291">AU61-AV61</f>
        <v>-956.0009765625</v>
      </c>
      <c r="BC61" s="407"/>
      <c r="BG61" s="466"/>
    </row>
    <row r="62" spans="1:104" ht="21.75" customHeight="1">
      <c r="A62" s="433"/>
      <c r="B62" s="445" t="s">
        <v>93</v>
      </c>
      <c r="C62" s="451">
        <v>714262</v>
      </c>
      <c r="D62" s="214">
        <v>736814.4300000004</v>
      </c>
      <c r="E62" s="448">
        <v>-22552.4300000004</v>
      </c>
      <c r="F62" s="449"/>
      <c r="G62" s="451">
        <v>9135</v>
      </c>
      <c r="H62" s="214">
        <v>25545.41</v>
      </c>
      <c r="I62" s="448">
        <v>-16410.41</v>
      </c>
      <c r="J62" s="449"/>
      <c r="K62" s="451">
        <v>7179</v>
      </c>
      <c r="L62" s="214">
        <v>4703.9999999999973</v>
      </c>
      <c r="M62" s="448">
        <v>2475.0000000000027</v>
      </c>
      <c r="N62" s="449"/>
      <c r="O62" s="451">
        <v>16740</v>
      </c>
      <c r="P62" s="214">
        <v>17992.199999999997</v>
      </c>
      <c r="Q62" s="448">
        <v>-1252.1999999999971</v>
      </c>
      <c r="R62" s="463"/>
      <c r="S62" s="451">
        <v>76</v>
      </c>
      <c r="T62" s="214">
        <v>3729.31</v>
      </c>
      <c r="U62" s="448">
        <v>-3653.31</v>
      </c>
      <c r="V62" s="450"/>
      <c r="W62" s="451">
        <v>684845</v>
      </c>
      <c r="X62" s="214">
        <v>778734.97843898635</v>
      </c>
      <c r="Y62" s="448">
        <v>-93889.978438986349</v>
      </c>
      <c r="Z62" s="214"/>
      <c r="AA62" s="451">
        <v>19838</v>
      </c>
      <c r="AB62" s="214">
        <v>6007.7599999999993</v>
      </c>
      <c r="AC62" s="448">
        <v>13830.240000000002</v>
      </c>
      <c r="AD62" s="214"/>
      <c r="AE62" s="451">
        <v>129</v>
      </c>
      <c r="AF62" s="214">
        <v>0</v>
      </c>
      <c r="AG62" s="448">
        <v>129</v>
      </c>
      <c r="AH62" s="214"/>
      <c r="AI62" s="451">
        <v>43754</v>
      </c>
      <c r="AJ62" s="214">
        <v>37125.590000000004</v>
      </c>
      <c r="AK62" s="448">
        <v>6628.4099999999962</v>
      </c>
      <c r="AL62" s="450"/>
      <c r="AM62" s="451">
        <f t="shared" ref="AM62" si="292">SUM(C62,G62,K62,O62,S62)</f>
        <v>747392</v>
      </c>
      <c r="AN62" s="214">
        <f t="shared" ref="AN62" si="293">SUM(D62,H62,L62,P62,T62)</f>
        <v>788785.35000000044</v>
      </c>
      <c r="AO62" s="448">
        <f t="shared" ref="AO62" si="294">AM62-AN62</f>
        <v>-41393.350000000442</v>
      </c>
      <c r="AP62" s="214"/>
      <c r="AQ62" s="451">
        <f t="shared" ref="AQ62" si="295">SUM(W62,AA62,AE62,AI62)</f>
        <v>748566</v>
      </c>
      <c r="AR62" s="214">
        <f t="shared" ref="AR62" si="296">SUM(X62,AB62,AF62,AJ62)</f>
        <v>821868.32843898633</v>
      </c>
      <c r="AS62" s="448">
        <f t="shared" ref="AS62" si="297">AQ62-AR62</f>
        <v>-73302.328438986326</v>
      </c>
      <c r="AT62" s="214"/>
      <c r="AU62" s="451">
        <f t="shared" ref="AU62" si="298">AM62</f>
        <v>747392</v>
      </c>
      <c r="AV62" s="214">
        <f t="shared" ref="AV62" si="299">AQ62</f>
        <v>748566</v>
      </c>
      <c r="AW62" s="448">
        <f t="shared" ref="AW62" si="300">AU62-AV62</f>
        <v>-1174</v>
      </c>
      <c r="BC62" s="407"/>
    </row>
    <row r="63" spans="1:104" ht="21.75" customHeight="1">
      <c r="A63" s="433"/>
      <c r="B63" s="445" t="s">
        <v>94</v>
      </c>
      <c r="C63" s="451">
        <v>506305</v>
      </c>
      <c r="D63" s="214">
        <v>516908</v>
      </c>
      <c r="E63" s="448">
        <v>-10602</v>
      </c>
      <c r="F63" s="449"/>
      <c r="G63" s="451">
        <v>6719</v>
      </c>
      <c r="H63" s="214">
        <v>4297</v>
      </c>
      <c r="I63" s="448">
        <v>2422</v>
      </c>
      <c r="J63" s="449"/>
      <c r="K63" s="451">
        <v>4170</v>
      </c>
      <c r="L63" s="214">
        <v>3379</v>
      </c>
      <c r="M63" s="448">
        <v>791</v>
      </c>
      <c r="N63" s="449"/>
      <c r="O63" s="451">
        <v>13149</v>
      </c>
      <c r="P63" s="214">
        <v>9017</v>
      </c>
      <c r="Q63" s="448">
        <v>4132</v>
      </c>
      <c r="R63" s="463"/>
      <c r="S63" s="451">
        <v>168</v>
      </c>
      <c r="T63" s="214">
        <v>3471</v>
      </c>
      <c r="U63" s="448">
        <v>-3303</v>
      </c>
      <c r="V63" s="450"/>
      <c r="W63" s="451">
        <v>484928</v>
      </c>
      <c r="X63" s="214">
        <v>507801</v>
      </c>
      <c r="Y63" s="448">
        <v>-22873</v>
      </c>
      <c r="Z63" s="214"/>
      <c r="AA63" s="451">
        <v>8382</v>
      </c>
      <c r="AB63" s="214">
        <v>12242</v>
      </c>
      <c r="AC63" s="448">
        <v>-3860</v>
      </c>
      <c r="AD63" s="214"/>
      <c r="AE63" s="451">
        <v>0</v>
      </c>
      <c r="AF63" s="214">
        <v>0</v>
      </c>
      <c r="AG63" s="448">
        <v>0</v>
      </c>
      <c r="AH63" s="214"/>
      <c r="AI63" s="451">
        <v>37309</v>
      </c>
      <c r="AJ63" s="214">
        <v>30889</v>
      </c>
      <c r="AK63" s="448">
        <v>6420</v>
      </c>
      <c r="AL63" s="450"/>
      <c r="AM63" s="451">
        <f t="shared" ref="AM63" si="301">SUM(C63,G63,K63,O63,S63)</f>
        <v>530511</v>
      </c>
      <c r="AN63" s="214">
        <f t="shared" ref="AN63" si="302">SUM(D63,H63,L63,P63,T63)</f>
        <v>537072</v>
      </c>
      <c r="AO63" s="448">
        <f t="shared" ref="AO63" si="303">AM63-AN63</f>
        <v>-6561</v>
      </c>
      <c r="AP63" s="214"/>
      <c r="AQ63" s="451">
        <f t="shared" ref="AQ63" si="304">SUM(W63,AA63,AE63,AI63)</f>
        <v>530619</v>
      </c>
      <c r="AR63" s="214">
        <f t="shared" ref="AR63" si="305">SUM(X63,AB63,AF63,AJ63)</f>
        <v>550932</v>
      </c>
      <c r="AS63" s="448">
        <f t="shared" ref="AS63" si="306">AQ63-AR63</f>
        <v>-20313</v>
      </c>
      <c r="AT63" s="214"/>
      <c r="AU63" s="451">
        <f t="shared" ref="AU63" si="307">AM63</f>
        <v>530511</v>
      </c>
      <c r="AV63" s="214">
        <f t="shared" ref="AV63" si="308">AQ63</f>
        <v>530619</v>
      </c>
      <c r="AW63" s="448">
        <f t="shared" ref="AW63" si="309">AU63-AV63</f>
        <v>-108</v>
      </c>
      <c r="BC63" s="407"/>
    </row>
    <row r="64" spans="1:104" ht="21.75" customHeight="1">
      <c r="A64" s="433"/>
      <c r="B64" s="445" t="s">
        <v>95</v>
      </c>
      <c r="C64" s="451">
        <v>428147.85400390625</v>
      </c>
      <c r="D64" s="214">
        <v>397023.48333333386</v>
      </c>
      <c r="E64" s="448">
        <v>31124.370670572389</v>
      </c>
      <c r="F64" s="449"/>
      <c r="G64" s="451">
        <v>123</v>
      </c>
      <c r="H64" s="214">
        <v>16350.010000000006</v>
      </c>
      <c r="I64" s="448">
        <v>-16227.010000000006</v>
      </c>
      <c r="J64" s="449"/>
      <c r="K64" s="451">
        <v>5085</v>
      </c>
      <c r="L64" s="214">
        <v>3648</v>
      </c>
      <c r="M64" s="448">
        <v>1437</v>
      </c>
      <c r="N64" s="449"/>
      <c r="O64" s="451">
        <v>10433</v>
      </c>
      <c r="P64" s="214">
        <v>15937.399999999998</v>
      </c>
      <c r="Q64" s="448">
        <v>-5504.3999999999978</v>
      </c>
      <c r="R64" s="463"/>
      <c r="S64" s="451">
        <v>350</v>
      </c>
      <c r="T64" s="214">
        <v>6929.2099999999991</v>
      </c>
      <c r="U64" s="448">
        <v>-6579.2099999999991</v>
      </c>
      <c r="V64" s="450"/>
      <c r="W64" s="451">
        <v>405592.85522460938</v>
      </c>
      <c r="X64" s="214">
        <v>435552.16648785496</v>
      </c>
      <c r="Y64" s="448">
        <v>-29959.311263245589</v>
      </c>
      <c r="Z64" s="214"/>
      <c r="AA64" s="451">
        <v>5180</v>
      </c>
      <c r="AB64" s="214">
        <v>732.38</v>
      </c>
      <c r="AC64" s="448">
        <v>4447.62</v>
      </c>
      <c r="AD64" s="214"/>
      <c r="AE64" s="451">
        <v>0</v>
      </c>
      <c r="AF64" s="214">
        <v>0</v>
      </c>
      <c r="AG64" s="448">
        <v>0</v>
      </c>
      <c r="AH64" s="214"/>
      <c r="AI64" s="451">
        <v>34160</v>
      </c>
      <c r="AJ64" s="214">
        <v>19646.733333333334</v>
      </c>
      <c r="AK64" s="448">
        <v>14513.266666666666</v>
      </c>
      <c r="AL64" s="450"/>
      <c r="AM64" s="451">
        <f t="shared" ref="AM64" si="310">SUM(C64,G64,K64,O64,S64)</f>
        <v>444138.85400390625</v>
      </c>
      <c r="AN64" s="214">
        <f t="shared" ref="AN64" si="311">SUM(D64,H64,L64,P64,T64)</f>
        <v>439888.10333333391</v>
      </c>
      <c r="AO64" s="448">
        <f t="shared" ref="AO64" si="312">AM64-AN64</f>
        <v>4250.7506705723354</v>
      </c>
      <c r="AP64" s="214"/>
      <c r="AQ64" s="451">
        <f t="shared" ref="AQ64" si="313">SUM(W64,AA64,AE64,AI64)</f>
        <v>444932.85522460937</v>
      </c>
      <c r="AR64" s="214">
        <f t="shared" ref="AR64" si="314">SUM(X64,AB64,AF64,AJ64)</f>
        <v>455931.27982118831</v>
      </c>
      <c r="AS64" s="448">
        <f t="shared" ref="AS64" si="315">AQ64-AR64</f>
        <v>-10998.424596578931</v>
      </c>
      <c r="AT64" s="214"/>
      <c r="AU64" s="451">
        <f t="shared" ref="AU64" si="316">AM64</f>
        <v>444138.85400390625</v>
      </c>
      <c r="AV64" s="214">
        <f t="shared" ref="AV64" si="317">AQ64</f>
        <v>444932.85522460937</v>
      </c>
      <c r="AW64" s="448">
        <f t="shared" ref="AW64" si="318">AU64-AV64</f>
        <v>-794.001220703125</v>
      </c>
      <c r="BC64" s="407"/>
    </row>
    <row r="65" spans="1:55" ht="21.75" customHeight="1">
      <c r="A65" s="433"/>
      <c r="B65" s="445" t="s">
        <v>96</v>
      </c>
      <c r="C65" s="451">
        <f>'Input Data'!AV$36-'Input Data'!AZ$36-'Input Data'!BD$36</f>
        <v>481433</v>
      </c>
      <c r="D65" s="214">
        <f>'Daily Budget Data'!J$37-'Daily Budget Data'!N$37-'Daily Budget Data'!R$37</f>
        <v>430580.52533333382</v>
      </c>
      <c r="E65" s="448">
        <f>C65-D65</f>
        <v>50852.474666666181</v>
      </c>
      <c r="F65" s="449"/>
      <c r="G65" s="451">
        <f>'Input Data'!AZ$36</f>
        <v>14683</v>
      </c>
      <c r="H65" s="214">
        <f>'Daily Budget Data'!N$37</f>
        <v>22360.768000000004</v>
      </c>
      <c r="I65" s="448">
        <f>G65-H65</f>
        <v>-7677.7680000000037</v>
      </c>
      <c r="J65" s="449"/>
      <c r="K65" s="451">
        <f>'Input Data'!BD$36</f>
        <v>6748</v>
      </c>
      <c r="L65" s="214">
        <f>'Daily Budget Data'!R$37</f>
        <v>3750.400000000001</v>
      </c>
      <c r="M65" s="448">
        <f>K65-L65</f>
        <v>2997.599999999999</v>
      </c>
      <c r="N65" s="449"/>
      <c r="O65" s="451">
        <f>'Input Data'!BP$36</f>
        <v>12741</v>
      </c>
      <c r="P65" s="214">
        <f>'Daily Budget Data'!AA$37</f>
        <v>13675.52</v>
      </c>
      <c r="Q65" s="448">
        <f>O65-P65</f>
        <v>-934.52000000000044</v>
      </c>
      <c r="R65" s="463"/>
      <c r="S65" s="451">
        <f>'Input Data'!BT$36</f>
        <v>472</v>
      </c>
      <c r="T65" s="214">
        <f>'Daily Budget Data'!AE$37</f>
        <v>6874.92</v>
      </c>
      <c r="U65" s="448">
        <f>S65-T65</f>
        <v>-6402.92</v>
      </c>
      <c r="V65" s="450"/>
      <c r="W65" s="451">
        <f>'Input Data'!AS$36</f>
        <v>477763</v>
      </c>
      <c r="X65" s="214">
        <f>'Daily Budget Data'!F$37</f>
        <v>459058.72245922219</v>
      </c>
      <c r="Y65" s="448">
        <f>W65-X65</f>
        <v>18704.27754077781</v>
      </c>
      <c r="Z65" s="214"/>
      <c r="AA65" s="451">
        <f>'Input Data'!CC$36</f>
        <v>3207</v>
      </c>
      <c r="AB65" s="214">
        <f>'Daily Budget Data'!AI$37</f>
        <v>179.68000000000004</v>
      </c>
      <c r="AC65" s="448">
        <f>AA65-AB65</f>
        <v>3027.32</v>
      </c>
      <c r="AD65" s="214"/>
      <c r="AE65" s="451">
        <f>'Input Data'!BL$36</f>
        <v>965</v>
      </c>
      <c r="AF65" s="214">
        <f>'Daily Budget Data'!AQ$37</f>
        <v>0</v>
      </c>
      <c r="AG65" s="448">
        <f>AE65-AF65</f>
        <v>965</v>
      </c>
      <c r="AH65" s="214"/>
      <c r="AI65" s="451">
        <f>'Input Data'!BH$36</f>
        <v>33519</v>
      </c>
      <c r="AJ65" s="214">
        <f>'Daily Budget Data'!AM$37</f>
        <v>26789.386666666662</v>
      </c>
      <c r="AK65" s="448">
        <f>AI65-AJ65</f>
        <v>6729.6133333333382</v>
      </c>
      <c r="AL65" s="450"/>
      <c r="AM65" s="451">
        <f t="shared" ref="AM65" si="319">SUM(C65,G65,K65,O65,S65)</f>
        <v>516077</v>
      </c>
      <c r="AN65" s="214">
        <f t="shared" ref="AN65" si="320">SUM(D65,H65,L65,P65,T65)</f>
        <v>477242.13333333383</v>
      </c>
      <c r="AO65" s="448">
        <f t="shared" ref="AO65" si="321">AM65-AN65</f>
        <v>38834.866666666174</v>
      </c>
      <c r="AP65" s="214"/>
      <c r="AQ65" s="451">
        <f t="shared" ref="AQ65" si="322">SUM(W65,AA65,AE65,AI65)</f>
        <v>515454</v>
      </c>
      <c r="AR65" s="214">
        <f t="shared" ref="AR65" si="323">SUM(X65,AB65,AF65,AJ65)</f>
        <v>486027.78912588884</v>
      </c>
      <c r="AS65" s="448">
        <f t="shared" ref="AS65" si="324">AQ65-AR65</f>
        <v>29426.210874111159</v>
      </c>
      <c r="AT65" s="214"/>
      <c r="AU65" s="451">
        <f t="shared" ref="AU65" si="325">AM65</f>
        <v>516077</v>
      </c>
      <c r="AV65" s="214">
        <f t="shared" ref="AV65" si="326">AQ65</f>
        <v>515454</v>
      </c>
      <c r="AW65" s="448">
        <f t="shared" ref="AW65" si="327">AU65-AV65</f>
        <v>623</v>
      </c>
      <c r="BC65" s="407"/>
    </row>
    <row r="66" spans="1:55" ht="21.75" customHeight="1">
      <c r="A66" s="433"/>
      <c r="B66" s="445" t="s">
        <v>97</v>
      </c>
      <c r="C66" s="452"/>
      <c r="D66" s="453"/>
      <c r="E66" s="454"/>
      <c r="F66" s="449"/>
      <c r="G66" s="452"/>
      <c r="H66" s="453"/>
      <c r="I66" s="454"/>
      <c r="J66" s="449"/>
      <c r="K66" s="452"/>
      <c r="L66" s="453"/>
      <c r="M66" s="454"/>
      <c r="N66" s="449"/>
      <c r="O66" s="452"/>
      <c r="P66" s="453"/>
      <c r="Q66" s="454"/>
      <c r="R66" s="463"/>
      <c r="S66" s="452"/>
      <c r="T66" s="453"/>
      <c r="U66" s="454"/>
      <c r="V66" s="450"/>
      <c r="W66" s="452"/>
      <c r="X66" s="453"/>
      <c r="Y66" s="454"/>
      <c r="Z66" s="214"/>
      <c r="AA66" s="452"/>
      <c r="AB66" s="453"/>
      <c r="AC66" s="454"/>
      <c r="AD66" s="214"/>
      <c r="AE66" s="452"/>
      <c r="AF66" s="453"/>
      <c r="AG66" s="454"/>
      <c r="AH66" s="214"/>
      <c r="AI66" s="452"/>
      <c r="AJ66" s="453"/>
      <c r="AK66" s="454"/>
      <c r="AL66" s="450"/>
      <c r="AM66" s="452"/>
      <c r="AN66" s="453"/>
      <c r="AO66" s="454"/>
      <c r="AP66" s="214"/>
      <c r="AQ66" s="452"/>
      <c r="AR66" s="453"/>
      <c r="AS66" s="454"/>
      <c r="AT66" s="214"/>
      <c r="AU66" s="452"/>
      <c r="AV66" s="453"/>
      <c r="AW66" s="454"/>
      <c r="BC66" s="407"/>
    </row>
    <row r="67" spans="1:55" ht="21.75" customHeight="1">
      <c r="A67" s="433"/>
      <c r="B67" s="445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3"/>
      <c r="S67" s="464"/>
      <c r="T67" s="464"/>
      <c r="U67" s="464"/>
      <c r="V67" s="465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3"/>
      <c r="AI67" s="464"/>
      <c r="AJ67" s="464"/>
      <c r="AK67" s="464"/>
      <c r="AL67" s="465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4"/>
    </row>
    <row r="68" spans="1:55" ht="21.75" customHeight="1">
      <c r="A68" s="501"/>
      <c r="B68" s="502" t="s">
        <v>99</v>
      </c>
      <c r="C68" s="483">
        <f>SUM(C55:C67)</f>
        <v>5807730.2059326172</v>
      </c>
      <c r="D68" s="483">
        <f>SUM(D55:D67)</f>
        <v>5763961.8153333366</v>
      </c>
      <c r="E68" s="483">
        <f>C68-D68</f>
        <v>43768.390599280596</v>
      </c>
      <c r="F68" s="484"/>
      <c r="G68" s="483">
        <f>SUM(G55:G67)</f>
        <v>149287</v>
      </c>
      <c r="H68" s="483">
        <f>SUM(H55:H67)</f>
        <v>205663.89800000002</v>
      </c>
      <c r="I68" s="483">
        <f>G68-H68</f>
        <v>-56376.898000000016</v>
      </c>
      <c r="J68" s="484"/>
      <c r="K68" s="483">
        <f>SUM(K55:K67)</f>
        <v>55918</v>
      </c>
      <c r="L68" s="483">
        <f>SUM(L55:L67)</f>
        <v>42935.01</v>
      </c>
      <c r="M68" s="483">
        <f>K68-L68</f>
        <v>12982.989999999998</v>
      </c>
      <c r="N68" s="484"/>
      <c r="O68" s="483">
        <f>SUM(O55:O67)</f>
        <v>148171</v>
      </c>
      <c r="P68" s="483">
        <f>SUM(P55:P67)</f>
        <v>147511.54999999999</v>
      </c>
      <c r="Q68" s="483">
        <f>O68-P68</f>
        <v>659.45000000001164</v>
      </c>
      <c r="R68" s="503"/>
      <c r="S68" s="483">
        <f>SUM(S55:S67)</f>
        <v>26078</v>
      </c>
      <c r="T68" s="483">
        <f>SUM(T55:T67)</f>
        <v>58229.02</v>
      </c>
      <c r="U68" s="483">
        <f>S68-T68</f>
        <v>-32151.019999999997</v>
      </c>
      <c r="V68" s="485"/>
      <c r="W68" s="483">
        <f>SUM(W55:W67)</f>
        <v>5776028.2092895508</v>
      </c>
      <c r="X68" s="483">
        <f>SUM(X55:X67)</f>
        <v>5985072.2357441904</v>
      </c>
      <c r="Y68" s="483">
        <f>W68-X68</f>
        <v>-209044.02645463962</v>
      </c>
      <c r="Z68" s="483"/>
      <c r="AA68" s="483">
        <f>SUM(AA55:AA67)</f>
        <v>94831</v>
      </c>
      <c r="AB68" s="483">
        <f>SUM(AB55:AB67)</f>
        <v>110941.41999999998</v>
      </c>
      <c r="AC68" s="483">
        <f>AA68-AB68</f>
        <v>-16110.419999999984</v>
      </c>
      <c r="AD68" s="483"/>
      <c r="AE68" s="483">
        <f>SUM(AE55:AE67)</f>
        <v>1344</v>
      </c>
      <c r="AF68" s="483">
        <f>SUM(AF55:AF67)</f>
        <v>0</v>
      </c>
      <c r="AG68" s="483">
        <f>AE68-AF68</f>
        <v>1344</v>
      </c>
      <c r="AH68" s="483"/>
      <c r="AI68" s="483">
        <f>SUM(AI55:AI67)</f>
        <v>319671</v>
      </c>
      <c r="AJ68" s="483">
        <f>SUM(AJ55:AJ67)</f>
        <v>285915.20333333331</v>
      </c>
      <c r="AK68" s="483">
        <f>AI68-AJ68</f>
        <v>33755.796666666691</v>
      </c>
      <c r="AL68" s="485"/>
      <c r="AM68" s="483">
        <f>SUM(AM55:AM67)</f>
        <v>6187184.2059326172</v>
      </c>
      <c r="AN68" s="483">
        <f>SUM(AN55:AN67)</f>
        <v>6218301.2933333367</v>
      </c>
      <c r="AO68" s="483">
        <f>AM68-AN68</f>
        <v>-31117.087400719523</v>
      </c>
      <c r="AP68" s="483"/>
      <c r="AQ68" s="483">
        <f>SUM(AQ55:AQ67)</f>
        <v>6191874.2092895508</v>
      </c>
      <c r="AR68" s="483">
        <f>SUM(AR55:AR67)</f>
        <v>6381928.8590775225</v>
      </c>
      <c r="AS68" s="483">
        <f>AQ68-AR68</f>
        <v>-190054.64978797175</v>
      </c>
      <c r="AT68" s="483"/>
      <c r="AU68" s="483">
        <f>SUM(AU55:AU67)</f>
        <v>6187184.2059326172</v>
      </c>
      <c r="AV68" s="483">
        <f>SUM(AV55:AV67)</f>
        <v>6191874.2092895508</v>
      </c>
      <c r="AW68" s="483">
        <f>AU68-AV68</f>
        <v>-4690.0033569335937</v>
      </c>
      <c r="BC68" s="407"/>
    </row>
    <row r="69" spans="1:55" ht="21.75" customHeight="1">
      <c r="A69" s="433"/>
      <c r="B69" s="399"/>
      <c r="C69" s="439"/>
      <c r="D69" s="439"/>
      <c r="E69" s="439"/>
      <c r="G69" s="439"/>
      <c r="H69" s="439"/>
      <c r="I69" s="439"/>
      <c r="O69" s="439"/>
      <c r="P69" s="439"/>
      <c r="Q69" s="466"/>
      <c r="W69" s="439"/>
      <c r="X69" s="439"/>
      <c r="Y69" s="439"/>
      <c r="Z69" s="439"/>
      <c r="AA69" s="439"/>
      <c r="AB69" s="439"/>
      <c r="AC69" s="439"/>
      <c r="AD69" s="439"/>
      <c r="AE69" s="439"/>
      <c r="AF69" s="439"/>
      <c r="AG69" s="439"/>
      <c r="AI69" s="439"/>
      <c r="AJ69" s="439"/>
      <c r="AK69" s="439"/>
      <c r="AP69" s="439"/>
      <c r="AT69" s="439"/>
    </row>
    <row r="70" spans="1:55" ht="21.75" customHeight="1">
      <c r="A70" s="433"/>
      <c r="B70" s="439"/>
      <c r="C70" s="723" t="s">
        <v>303</v>
      </c>
      <c r="D70" s="723"/>
      <c r="E70" s="723"/>
      <c r="F70" s="723"/>
      <c r="G70" s="723"/>
      <c r="H70" s="723"/>
      <c r="I70" s="723"/>
      <c r="J70" s="723"/>
      <c r="K70" s="723"/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445"/>
      <c r="W70" s="437"/>
      <c r="X70" s="46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P70" s="437"/>
      <c r="AT70" s="437"/>
    </row>
    <row r="71" spans="1:55" ht="21.75" customHeight="1">
      <c r="A71" s="433"/>
      <c r="B71" s="439"/>
      <c r="C71" s="723" t="s">
        <v>300</v>
      </c>
      <c r="D71" s="723"/>
      <c r="E71" s="723"/>
      <c r="F71" s="723"/>
      <c r="G71" s="723"/>
      <c r="H71" s="723"/>
      <c r="I71" s="723"/>
      <c r="J71" s="723"/>
      <c r="K71" s="723"/>
      <c r="L71" s="723"/>
      <c r="M71" s="723"/>
      <c r="N71" s="723"/>
      <c r="O71" s="723"/>
      <c r="P71" s="723"/>
      <c r="Q71" s="723"/>
      <c r="R71" s="723"/>
      <c r="S71" s="723"/>
      <c r="T71" s="723"/>
      <c r="U71" s="723"/>
      <c r="W71" s="437"/>
      <c r="X71" s="468"/>
      <c r="Y71" s="469"/>
      <c r="Z71" s="469"/>
      <c r="AA71" s="469"/>
      <c r="AB71" s="469"/>
      <c r="AC71" s="469"/>
      <c r="AD71" s="469"/>
      <c r="AE71" s="469"/>
      <c r="AF71" s="469"/>
      <c r="AG71" s="469"/>
      <c r="AH71" s="469"/>
      <c r="AI71" s="469"/>
      <c r="AJ71" s="469"/>
      <c r="AK71" s="469"/>
      <c r="AP71" s="469"/>
      <c r="AT71" s="469"/>
    </row>
    <row r="72" spans="1:55" ht="21.75" customHeight="1">
      <c r="A72" s="433"/>
      <c r="B72" s="439"/>
      <c r="C72" s="470"/>
      <c r="D72" s="439"/>
      <c r="E72" s="437"/>
      <c r="F72" s="440"/>
      <c r="G72" s="471"/>
      <c r="H72" s="440"/>
      <c r="I72" s="437"/>
      <c r="J72" s="440"/>
      <c r="K72" s="440"/>
      <c r="L72" s="440"/>
      <c r="M72" s="440"/>
      <c r="N72" s="440"/>
      <c r="O72" s="439"/>
      <c r="P72" s="466"/>
      <c r="Q72" s="466"/>
      <c r="U72" s="445"/>
      <c r="V72" s="445"/>
      <c r="W72" s="214"/>
      <c r="X72" s="214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P72" s="472"/>
      <c r="AT72" s="472"/>
    </row>
    <row r="73" spans="1:55" ht="21.75" customHeight="1">
      <c r="A73" s="433"/>
      <c r="B73" s="439"/>
      <c r="C73" s="466"/>
      <c r="D73" s="466"/>
      <c r="E73" s="473"/>
      <c r="G73" s="466"/>
      <c r="H73" s="439"/>
      <c r="I73" s="439"/>
      <c r="O73" s="439"/>
      <c r="P73" s="466"/>
      <c r="Q73" s="466"/>
      <c r="U73" s="445"/>
      <c r="V73" s="445"/>
      <c r="W73" s="214"/>
      <c r="X73" s="214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P73" s="215"/>
      <c r="AT73" s="215"/>
    </row>
    <row r="74" spans="1:55" ht="21.75" customHeight="1">
      <c r="A74" s="433"/>
      <c r="B74" s="439"/>
      <c r="C74" s="466"/>
      <c r="D74" s="439"/>
      <c r="E74" s="439"/>
      <c r="G74" s="466"/>
      <c r="H74" s="439"/>
      <c r="I74" s="439"/>
      <c r="O74" s="439"/>
      <c r="P74" s="439"/>
      <c r="Q74" s="466"/>
      <c r="U74" s="445"/>
      <c r="V74" s="445"/>
      <c r="W74" s="214"/>
      <c r="X74" s="214"/>
      <c r="Y74" s="474"/>
      <c r="Z74" s="474"/>
      <c r="AA74" s="474"/>
      <c r="AB74" s="474"/>
      <c r="AC74" s="474"/>
      <c r="AD74" s="474"/>
      <c r="AE74" s="474"/>
      <c r="AF74" s="474"/>
      <c r="AG74" s="474"/>
      <c r="AH74" s="215"/>
      <c r="AI74" s="474"/>
      <c r="AJ74" s="474"/>
      <c r="AK74" s="474"/>
      <c r="AP74" s="474"/>
      <c r="AT74" s="474"/>
    </row>
    <row r="75" spans="1:55" ht="21.75" customHeight="1">
      <c r="A75" s="433"/>
      <c r="B75" s="439"/>
      <c r="C75" s="466"/>
      <c r="D75" s="466"/>
      <c r="E75" s="475"/>
      <c r="G75" s="439"/>
      <c r="H75" s="439"/>
      <c r="I75" s="439"/>
      <c r="O75" s="439"/>
      <c r="P75" s="439"/>
      <c r="Q75" s="466"/>
      <c r="U75" s="445"/>
      <c r="V75" s="445"/>
      <c r="W75" s="214"/>
      <c r="X75" s="214"/>
      <c r="Y75" s="466"/>
      <c r="Z75" s="466"/>
      <c r="AA75" s="466"/>
      <c r="AB75" s="466"/>
      <c r="AC75" s="466"/>
      <c r="AD75" s="466"/>
      <c r="AE75" s="466"/>
      <c r="AF75" s="466"/>
      <c r="AG75" s="466"/>
      <c r="AH75" s="437"/>
      <c r="AI75" s="466"/>
      <c r="AJ75" s="466"/>
      <c r="AK75" s="466"/>
      <c r="AP75" s="466"/>
      <c r="AT75" s="466"/>
    </row>
    <row r="76" spans="1:55" ht="21.75" customHeight="1">
      <c r="A76" s="433"/>
      <c r="B76" s="439"/>
      <c r="C76" s="473"/>
      <c r="D76" s="476"/>
      <c r="E76" s="475"/>
      <c r="F76" s="440"/>
      <c r="G76" s="473"/>
      <c r="H76" s="468"/>
      <c r="I76" s="477"/>
      <c r="J76" s="440"/>
      <c r="K76" s="440"/>
      <c r="L76" s="440"/>
      <c r="M76" s="440"/>
      <c r="N76" s="440"/>
      <c r="O76" s="473"/>
      <c r="P76" s="439"/>
      <c r="Q76" s="466"/>
      <c r="S76" s="473"/>
      <c r="U76" s="445"/>
      <c r="V76" s="445"/>
      <c r="W76" s="473"/>
      <c r="X76" s="214"/>
      <c r="Y76" s="466"/>
      <c r="Z76" s="466"/>
      <c r="AA76" s="466"/>
      <c r="AB76" s="466"/>
      <c r="AC76" s="466"/>
      <c r="AD76" s="466"/>
      <c r="AE76" s="466"/>
      <c r="AF76" s="466"/>
      <c r="AG76" s="466"/>
      <c r="AH76" s="437"/>
      <c r="AI76" s="466"/>
      <c r="AJ76" s="466"/>
      <c r="AK76" s="466"/>
      <c r="AP76" s="466"/>
      <c r="AT76" s="466"/>
    </row>
    <row r="77" spans="1:55" ht="21.75" customHeight="1">
      <c r="A77" s="433"/>
      <c r="B77" s="439"/>
      <c r="C77" s="473"/>
      <c r="D77" s="439"/>
      <c r="E77" s="439"/>
      <c r="G77" s="439"/>
      <c r="H77" s="439"/>
      <c r="I77" s="439"/>
      <c r="O77" s="439"/>
      <c r="P77" s="466"/>
      <c r="Q77" s="466"/>
      <c r="U77" s="445"/>
      <c r="V77" s="445"/>
      <c r="W77" s="214"/>
      <c r="X77" s="214"/>
      <c r="Y77" s="439"/>
      <c r="Z77" s="439"/>
      <c r="AA77" s="439"/>
      <c r="AB77" s="439"/>
      <c r="AC77" s="439"/>
      <c r="AD77" s="439"/>
      <c r="AE77" s="439"/>
      <c r="AF77" s="439"/>
      <c r="AG77" s="439"/>
      <c r="AI77" s="439"/>
      <c r="AJ77" s="439"/>
      <c r="AK77" s="439"/>
      <c r="AP77" s="439"/>
      <c r="AT77" s="439"/>
    </row>
    <row r="78" spans="1:55" ht="21.75" customHeight="1">
      <c r="A78" s="433"/>
      <c r="B78" s="439"/>
      <c r="C78" s="466"/>
      <c r="D78" s="214"/>
      <c r="E78" s="214"/>
      <c r="G78" s="439"/>
      <c r="H78" s="439"/>
      <c r="I78" s="439"/>
      <c r="O78" s="439"/>
      <c r="P78" s="466"/>
      <c r="Q78" s="466"/>
      <c r="U78" s="445"/>
      <c r="V78" s="445"/>
      <c r="W78" s="214"/>
      <c r="X78" s="214"/>
      <c r="Y78" s="439"/>
      <c r="Z78" s="439"/>
      <c r="AA78" s="439"/>
      <c r="AB78" s="439"/>
      <c r="AC78" s="439"/>
      <c r="AD78" s="439"/>
      <c r="AE78" s="439"/>
      <c r="AF78" s="439"/>
      <c r="AG78" s="439"/>
      <c r="AI78" s="439"/>
      <c r="AJ78" s="439"/>
      <c r="AK78" s="439"/>
      <c r="AP78" s="439"/>
      <c r="AT78" s="439"/>
    </row>
    <row r="79" spans="1:55" ht="21.75" customHeight="1">
      <c r="A79" s="433"/>
      <c r="B79" s="439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439"/>
      <c r="AE79" s="214"/>
      <c r="AF79" s="214"/>
      <c r="AG79" s="214"/>
      <c r="AI79" s="214"/>
      <c r="AJ79" s="214"/>
      <c r="AK79" s="214"/>
      <c r="AP79" s="214"/>
      <c r="AT79" s="214"/>
    </row>
    <row r="80" spans="1:55" ht="21.75" customHeight="1">
      <c r="A80" s="433"/>
      <c r="B80" s="439"/>
      <c r="C80" s="439"/>
      <c r="D80" s="214"/>
      <c r="E80" s="214"/>
      <c r="G80" s="439"/>
      <c r="H80" s="439"/>
      <c r="I80" s="439"/>
      <c r="O80" s="439"/>
      <c r="P80" s="439"/>
      <c r="Q80" s="466"/>
      <c r="W80" s="439"/>
      <c r="X80" s="439"/>
      <c r="Y80" s="439"/>
      <c r="Z80" s="439"/>
      <c r="AA80" s="439"/>
      <c r="AB80" s="439"/>
      <c r="AC80" s="439"/>
      <c r="AD80" s="439"/>
      <c r="AE80" s="439"/>
      <c r="AF80" s="439"/>
      <c r="AG80" s="439"/>
      <c r="AI80" s="439"/>
      <c r="AJ80" s="439"/>
      <c r="AK80" s="439"/>
      <c r="AP80" s="439"/>
      <c r="AT80" s="439"/>
    </row>
    <row r="81" spans="1:46" ht="21.75" customHeight="1">
      <c r="A81" s="433"/>
      <c r="B81" s="439"/>
      <c r="C81" s="439"/>
      <c r="D81" s="439"/>
      <c r="E81" s="439"/>
      <c r="G81" s="439"/>
      <c r="H81" s="439"/>
      <c r="I81" s="439"/>
      <c r="O81" s="439"/>
      <c r="P81" s="439"/>
      <c r="Q81" s="439"/>
      <c r="W81" s="214"/>
      <c r="X81" s="214"/>
      <c r="Y81" s="439"/>
      <c r="Z81" s="439"/>
      <c r="AA81" s="439"/>
      <c r="AB81" s="439"/>
      <c r="AC81" s="439"/>
      <c r="AD81" s="439"/>
      <c r="AE81" s="439"/>
      <c r="AF81" s="439"/>
      <c r="AG81" s="439"/>
      <c r="AI81" s="439"/>
      <c r="AJ81" s="439"/>
      <c r="AK81" s="439"/>
      <c r="AP81" s="439"/>
      <c r="AT81" s="439"/>
    </row>
    <row r="82" spans="1:46" ht="21.75" customHeight="1">
      <c r="A82" s="433"/>
      <c r="B82" s="439"/>
      <c r="C82" s="439"/>
      <c r="D82" s="214"/>
      <c r="E82" s="214"/>
      <c r="G82" s="439"/>
      <c r="H82" s="439"/>
      <c r="I82" s="439"/>
      <c r="O82" s="439"/>
      <c r="P82" s="439"/>
      <c r="Q82" s="439"/>
      <c r="W82" s="214"/>
      <c r="X82" s="214"/>
      <c r="Y82" s="439"/>
      <c r="Z82" s="439"/>
      <c r="AA82" s="439"/>
      <c r="AB82" s="439"/>
      <c r="AC82" s="439"/>
      <c r="AD82" s="439"/>
      <c r="AE82" s="439"/>
      <c r="AF82" s="439"/>
      <c r="AG82" s="439"/>
      <c r="AI82" s="439"/>
      <c r="AJ82" s="439"/>
      <c r="AK82" s="439"/>
      <c r="AP82" s="439"/>
      <c r="AT82" s="439"/>
    </row>
    <row r="83" spans="1:46" ht="21.75" customHeight="1">
      <c r="A83" s="433"/>
      <c r="B83" s="439"/>
      <c r="C83" s="439"/>
      <c r="D83" s="439"/>
      <c r="E83" s="439"/>
      <c r="G83" s="439"/>
      <c r="H83" s="439"/>
      <c r="I83" s="439"/>
      <c r="O83" s="439"/>
      <c r="P83" s="439"/>
      <c r="Q83" s="439"/>
      <c r="W83" s="214"/>
      <c r="X83" s="214"/>
      <c r="Y83" s="439"/>
      <c r="Z83" s="439"/>
      <c r="AA83" s="439"/>
      <c r="AB83" s="439"/>
      <c r="AC83" s="439"/>
      <c r="AD83" s="439"/>
      <c r="AE83" s="439"/>
      <c r="AF83" s="439"/>
      <c r="AG83" s="439"/>
      <c r="AI83" s="439"/>
      <c r="AJ83" s="439"/>
      <c r="AK83" s="439"/>
      <c r="AP83" s="439"/>
      <c r="AT83" s="439"/>
    </row>
    <row r="84" spans="1:46" ht="21.75" customHeight="1">
      <c r="A84" s="433"/>
      <c r="B84" s="439"/>
      <c r="C84" s="439"/>
      <c r="D84" s="439"/>
      <c r="E84" s="439"/>
      <c r="G84" s="439"/>
      <c r="H84" s="439"/>
      <c r="I84" s="439"/>
      <c r="O84" s="439"/>
      <c r="P84" s="439"/>
      <c r="Q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I84" s="439"/>
      <c r="AJ84" s="439"/>
      <c r="AK84" s="439"/>
      <c r="AP84" s="439"/>
      <c r="AT84" s="439"/>
    </row>
    <row r="85" spans="1:46" ht="21.75" customHeight="1">
      <c r="A85" s="433"/>
      <c r="B85" s="439"/>
      <c r="C85" s="439"/>
      <c r="D85" s="439"/>
      <c r="E85" s="439"/>
      <c r="G85" s="439"/>
      <c r="H85" s="439"/>
      <c r="I85" s="439"/>
      <c r="O85" s="439"/>
      <c r="P85" s="439"/>
      <c r="Q85" s="439"/>
      <c r="W85" s="439"/>
      <c r="X85" s="466"/>
      <c r="Y85" s="439"/>
      <c r="Z85" s="439"/>
      <c r="AA85" s="439"/>
      <c r="AB85" s="439"/>
      <c r="AC85" s="439"/>
      <c r="AD85" s="439"/>
      <c r="AE85" s="439"/>
      <c r="AF85" s="439"/>
      <c r="AG85" s="439"/>
      <c r="AI85" s="439"/>
      <c r="AJ85" s="439"/>
      <c r="AK85" s="439"/>
      <c r="AP85" s="439"/>
      <c r="AT85" s="439"/>
    </row>
    <row r="86" spans="1:46" ht="21.75" customHeight="1">
      <c r="A86" s="433"/>
      <c r="B86" s="439"/>
      <c r="C86" s="439"/>
      <c r="D86" s="439"/>
      <c r="E86" s="439"/>
      <c r="G86" s="439"/>
      <c r="H86" s="439"/>
      <c r="I86" s="439"/>
      <c r="O86" s="439"/>
      <c r="P86" s="439"/>
      <c r="Q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I86" s="439"/>
      <c r="AJ86" s="439"/>
      <c r="AK86" s="439"/>
      <c r="AP86" s="439"/>
      <c r="AT86" s="439"/>
    </row>
    <row r="87" spans="1:46" ht="21.75" customHeight="1">
      <c r="A87" s="433"/>
      <c r="B87" s="439"/>
      <c r="C87" s="439"/>
      <c r="D87" s="439"/>
      <c r="E87" s="439"/>
      <c r="G87" s="439"/>
      <c r="H87" s="439"/>
      <c r="I87" s="439"/>
      <c r="O87" s="439"/>
      <c r="P87" s="439"/>
      <c r="Q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I87" s="439"/>
      <c r="AJ87" s="439"/>
      <c r="AK87" s="439"/>
      <c r="AP87" s="439"/>
      <c r="AT87" s="439"/>
    </row>
    <row r="88" spans="1:46" ht="21.75" customHeight="1">
      <c r="A88" s="433"/>
      <c r="B88" s="439"/>
      <c r="C88" s="439"/>
      <c r="D88" s="439"/>
      <c r="E88" s="439"/>
      <c r="G88" s="439"/>
      <c r="H88" s="439"/>
      <c r="I88" s="439"/>
      <c r="O88" s="439"/>
      <c r="P88" s="439"/>
      <c r="Q88" s="439"/>
      <c r="W88" s="439"/>
      <c r="X88" s="439"/>
      <c r="Y88" s="439"/>
      <c r="Z88" s="439"/>
      <c r="AA88" s="439"/>
      <c r="AB88" s="439"/>
      <c r="AC88" s="439"/>
      <c r="AD88" s="439"/>
      <c r="AE88" s="439"/>
      <c r="AF88" s="439"/>
      <c r="AG88" s="439"/>
      <c r="AI88" s="439"/>
      <c r="AJ88" s="439"/>
      <c r="AK88" s="439"/>
      <c r="AP88" s="439"/>
      <c r="AT88" s="439"/>
    </row>
    <row r="89" spans="1:46" ht="21.75" customHeight="1">
      <c r="A89" s="433"/>
      <c r="B89" s="439"/>
      <c r="C89" s="439"/>
      <c r="D89" s="439"/>
      <c r="E89" s="439"/>
      <c r="G89" s="439"/>
      <c r="H89" s="439"/>
      <c r="I89" s="439"/>
      <c r="O89" s="439"/>
      <c r="P89" s="439"/>
      <c r="Q89" s="439"/>
      <c r="W89" s="439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I89" s="439"/>
      <c r="AJ89" s="439"/>
      <c r="AK89" s="439"/>
      <c r="AP89" s="439"/>
      <c r="AT89" s="439"/>
    </row>
    <row r="90" spans="1:46" ht="21.75" customHeight="1">
      <c r="A90" s="433"/>
      <c r="B90" s="439"/>
      <c r="C90" s="439"/>
      <c r="D90" s="439"/>
      <c r="E90" s="439"/>
      <c r="G90" s="439"/>
      <c r="H90" s="439"/>
      <c r="I90" s="439"/>
      <c r="O90" s="439"/>
      <c r="P90" s="439"/>
      <c r="Q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39"/>
      <c r="AI90" s="439"/>
      <c r="AJ90" s="439"/>
      <c r="AK90" s="439"/>
      <c r="AP90" s="439"/>
      <c r="AT90" s="439"/>
    </row>
    <row r="91" spans="1:46" ht="21.75" customHeight="1">
      <c r="A91" s="433"/>
      <c r="B91" s="439"/>
      <c r="C91" s="439"/>
      <c r="D91" s="439"/>
      <c r="E91" s="439"/>
      <c r="G91" s="439"/>
      <c r="H91" s="439"/>
      <c r="I91" s="439"/>
      <c r="O91" s="439"/>
      <c r="P91" s="439"/>
      <c r="Q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I91" s="439"/>
      <c r="AJ91" s="439"/>
      <c r="AK91" s="439"/>
      <c r="AP91" s="439"/>
      <c r="AT91" s="439"/>
    </row>
    <row r="92" spans="1:46" ht="21.75" customHeight="1">
      <c r="A92" s="433"/>
      <c r="B92" s="439"/>
      <c r="C92" s="439"/>
      <c r="D92" s="439"/>
      <c r="E92" s="439"/>
      <c r="G92" s="439"/>
      <c r="H92" s="439"/>
      <c r="I92" s="439"/>
      <c r="O92" s="439"/>
      <c r="P92" s="439"/>
      <c r="Q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I92" s="439"/>
      <c r="AJ92" s="439"/>
      <c r="AK92" s="439"/>
      <c r="AP92" s="439"/>
      <c r="AT92" s="439"/>
    </row>
    <row r="93" spans="1:46" ht="21.75" customHeight="1">
      <c r="A93" s="433"/>
      <c r="B93" s="439"/>
      <c r="C93" s="439"/>
      <c r="D93" s="439"/>
      <c r="E93" s="439"/>
      <c r="G93" s="439"/>
      <c r="H93" s="439"/>
      <c r="I93" s="439"/>
      <c r="O93" s="439"/>
      <c r="P93" s="439"/>
      <c r="Q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I93" s="439"/>
      <c r="AJ93" s="439"/>
      <c r="AK93" s="439"/>
      <c r="AP93" s="439"/>
      <c r="AT93" s="439"/>
    </row>
    <row r="94" spans="1:46" ht="21.75" customHeight="1">
      <c r="A94" s="433"/>
      <c r="B94" s="439"/>
      <c r="C94" s="439"/>
      <c r="D94" s="439"/>
      <c r="E94" s="439"/>
      <c r="G94" s="439"/>
      <c r="H94" s="439"/>
      <c r="I94" s="439"/>
      <c r="O94" s="439"/>
      <c r="P94" s="439"/>
      <c r="Q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I94" s="439"/>
      <c r="AJ94" s="439"/>
      <c r="AK94" s="439"/>
      <c r="AP94" s="439"/>
      <c r="AT94" s="439"/>
    </row>
    <row r="95" spans="1:46" ht="21.75" customHeight="1">
      <c r="A95" s="433"/>
      <c r="B95" s="439"/>
      <c r="C95" s="439"/>
      <c r="D95" s="439"/>
      <c r="E95" s="439"/>
      <c r="G95" s="439"/>
      <c r="H95" s="439"/>
      <c r="I95" s="439"/>
      <c r="O95" s="439"/>
      <c r="P95" s="439"/>
      <c r="Q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I95" s="439"/>
      <c r="AJ95" s="439"/>
      <c r="AK95" s="439"/>
      <c r="AP95" s="439"/>
      <c r="AT95" s="439"/>
    </row>
    <row r="96" spans="1:46" ht="21.75" customHeight="1">
      <c r="A96" s="433"/>
      <c r="B96" s="439"/>
      <c r="C96" s="439"/>
      <c r="D96" s="439"/>
      <c r="E96" s="439"/>
      <c r="G96" s="439"/>
      <c r="H96" s="439"/>
      <c r="I96" s="439"/>
      <c r="O96" s="439"/>
      <c r="P96" s="439"/>
      <c r="Q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I96" s="439"/>
      <c r="AJ96" s="439"/>
      <c r="AK96" s="439"/>
      <c r="AP96" s="439"/>
      <c r="AT96" s="439"/>
    </row>
    <row r="97" spans="1:53" ht="21.75" customHeight="1">
      <c r="A97" s="433"/>
      <c r="B97" s="439"/>
      <c r="C97" s="439"/>
      <c r="D97" s="439"/>
      <c r="E97" s="439"/>
      <c r="G97" s="439"/>
      <c r="H97" s="439"/>
      <c r="I97" s="439"/>
      <c r="O97" s="439"/>
      <c r="P97" s="439"/>
      <c r="Q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I97" s="439"/>
      <c r="AJ97" s="439"/>
      <c r="AK97" s="439"/>
      <c r="AP97" s="439"/>
      <c r="AT97" s="439"/>
    </row>
    <row r="98" spans="1:53" ht="21.75" customHeight="1">
      <c r="A98" s="433"/>
      <c r="B98" s="439"/>
      <c r="C98" s="439"/>
      <c r="D98" s="439"/>
      <c r="E98" s="439"/>
      <c r="G98" s="439"/>
      <c r="H98" s="439"/>
      <c r="I98" s="439"/>
      <c r="O98" s="439"/>
      <c r="P98" s="439"/>
      <c r="Q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I98" s="439"/>
      <c r="AJ98" s="439"/>
      <c r="AK98" s="439"/>
      <c r="AP98" s="439"/>
      <c r="AT98" s="439"/>
    </row>
    <row r="99" spans="1:53" ht="21.75" customHeight="1">
      <c r="A99" s="433"/>
      <c r="B99" s="439"/>
      <c r="C99" s="439"/>
      <c r="D99" s="439"/>
      <c r="E99" s="439"/>
      <c r="G99" s="439"/>
      <c r="H99" s="439"/>
      <c r="I99" s="439"/>
      <c r="O99" s="439"/>
      <c r="P99" s="439"/>
      <c r="Q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I99" s="439"/>
      <c r="AJ99" s="439"/>
      <c r="AK99" s="439"/>
      <c r="AP99" s="439"/>
      <c r="AT99" s="439"/>
    </row>
    <row r="100" spans="1:53" ht="21.75" customHeight="1">
      <c r="A100" s="433"/>
      <c r="B100" s="439"/>
      <c r="C100" s="439"/>
      <c r="D100" s="439"/>
      <c r="E100" s="439"/>
      <c r="G100" s="439"/>
      <c r="H100" s="439"/>
      <c r="I100" s="439"/>
      <c r="O100" s="439"/>
      <c r="P100" s="439"/>
      <c r="Q100" s="439"/>
      <c r="W100" s="439"/>
      <c r="X100" s="439"/>
      <c r="Y100" s="439"/>
      <c r="Z100" s="439"/>
      <c r="AA100" s="439"/>
      <c r="AB100" s="439"/>
      <c r="AC100" s="439"/>
      <c r="AD100" s="439"/>
      <c r="AE100" s="439"/>
      <c r="AF100" s="439"/>
      <c r="AG100" s="439"/>
      <c r="AI100" s="439"/>
      <c r="AJ100" s="439"/>
      <c r="AK100" s="439"/>
      <c r="AP100" s="439"/>
      <c r="AT100" s="439"/>
    </row>
    <row r="101" spans="1:53" ht="21.75" customHeight="1">
      <c r="A101" s="433"/>
      <c r="B101" s="439"/>
      <c r="C101" s="439"/>
      <c r="D101" s="439"/>
      <c r="E101" s="439"/>
      <c r="G101" s="439"/>
      <c r="H101" s="439"/>
      <c r="I101" s="439"/>
      <c r="O101" s="439"/>
      <c r="P101" s="439"/>
      <c r="Q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/>
      <c r="AG101" s="439"/>
      <c r="AI101" s="439"/>
      <c r="AJ101" s="439"/>
      <c r="AK101" s="439"/>
      <c r="AP101" s="439"/>
      <c r="AT101" s="439"/>
    </row>
    <row r="102" spans="1:53" ht="21.75" customHeight="1">
      <c r="A102" s="433"/>
      <c r="B102" s="439"/>
      <c r="C102" s="439"/>
      <c r="D102" s="439"/>
      <c r="E102" s="439"/>
      <c r="G102" s="439"/>
      <c r="H102" s="439"/>
      <c r="I102" s="439"/>
      <c r="O102" s="439"/>
      <c r="P102" s="439"/>
      <c r="Q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/>
      <c r="AI102" s="439"/>
      <c r="AJ102" s="439"/>
      <c r="AK102" s="439"/>
      <c r="AP102" s="439"/>
      <c r="AT102" s="439"/>
    </row>
    <row r="103" spans="1:53" ht="21.75" customHeight="1">
      <c r="A103" s="433"/>
      <c r="B103" s="439"/>
      <c r="C103" s="439"/>
      <c r="D103" s="439"/>
      <c r="E103" s="439"/>
      <c r="G103" s="439"/>
      <c r="H103" s="439"/>
      <c r="I103" s="439"/>
      <c r="O103" s="439"/>
      <c r="P103" s="439"/>
      <c r="Q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I103" s="439"/>
      <c r="AJ103" s="439"/>
      <c r="AK103" s="439"/>
      <c r="AP103" s="439"/>
      <c r="AT103" s="439"/>
    </row>
    <row r="104" spans="1:53" ht="21.75" customHeight="1">
      <c r="A104" s="433"/>
      <c r="B104" s="439"/>
      <c r="C104" s="439"/>
      <c r="D104" s="439"/>
      <c r="E104" s="439"/>
      <c r="G104" s="439"/>
      <c r="H104" s="439"/>
      <c r="I104" s="439"/>
      <c r="O104" s="439"/>
      <c r="P104" s="439"/>
      <c r="Q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I104" s="439"/>
      <c r="AJ104" s="439"/>
      <c r="AK104" s="439"/>
      <c r="AP104" s="439"/>
      <c r="AT104" s="439"/>
    </row>
    <row r="105" spans="1:53" ht="21.75" customHeight="1">
      <c r="A105" s="433"/>
      <c r="B105" s="439"/>
      <c r="C105" s="439"/>
      <c r="D105" s="439"/>
      <c r="E105" s="439"/>
      <c r="G105" s="439"/>
      <c r="H105" s="439"/>
      <c r="I105" s="439"/>
      <c r="O105" s="439"/>
      <c r="P105" s="439"/>
      <c r="Q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39"/>
      <c r="AI105" s="439"/>
      <c r="AJ105" s="439"/>
      <c r="AK105" s="439"/>
      <c r="AP105" s="439"/>
      <c r="AT105" s="439"/>
    </row>
    <row r="106" spans="1:53" ht="21.75" customHeight="1">
      <c r="A106" s="433"/>
      <c r="B106" s="439"/>
      <c r="C106" s="439"/>
      <c r="D106" s="439"/>
      <c r="E106" s="439"/>
      <c r="G106" s="439"/>
      <c r="H106" s="439"/>
      <c r="I106" s="439"/>
      <c r="O106" s="439"/>
      <c r="P106" s="439"/>
      <c r="Q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I106" s="439"/>
      <c r="AJ106" s="439"/>
      <c r="AK106" s="439"/>
      <c r="AP106" s="439"/>
      <c r="AT106" s="439"/>
    </row>
    <row r="107" spans="1:53" ht="21.75" customHeight="1">
      <c r="A107" s="433"/>
      <c r="B107" s="439"/>
      <c r="C107" s="439"/>
      <c r="D107" s="439"/>
      <c r="E107" s="439"/>
      <c r="G107" s="439"/>
      <c r="H107" s="439"/>
      <c r="I107" s="439"/>
      <c r="O107" s="439"/>
      <c r="P107" s="439"/>
      <c r="Q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39"/>
      <c r="AI107" s="439"/>
      <c r="AJ107" s="439"/>
      <c r="AK107" s="439"/>
      <c r="AP107" s="439"/>
      <c r="AT107" s="439"/>
    </row>
    <row r="108" spans="1:53" ht="21.75" customHeight="1">
      <c r="A108" s="433"/>
      <c r="B108" s="439"/>
      <c r="C108" s="439"/>
      <c r="D108" s="439"/>
      <c r="E108" s="439"/>
      <c r="G108" s="439"/>
      <c r="H108" s="439"/>
      <c r="I108" s="439"/>
      <c r="O108" s="439"/>
      <c r="P108" s="439"/>
      <c r="Q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I108" s="439"/>
      <c r="AJ108" s="439"/>
      <c r="AK108" s="439"/>
      <c r="AP108" s="439"/>
      <c r="AT108" s="439"/>
    </row>
    <row r="109" spans="1:53" ht="21.75" customHeight="1">
      <c r="A109" s="433"/>
      <c r="B109" s="439"/>
      <c r="C109" s="439"/>
      <c r="D109" s="439"/>
      <c r="E109" s="439"/>
      <c r="G109" s="439"/>
      <c r="H109" s="439"/>
      <c r="I109" s="439"/>
      <c r="O109" s="439"/>
      <c r="P109" s="439"/>
      <c r="Q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I109" s="439"/>
      <c r="AJ109" s="439"/>
      <c r="AK109" s="439"/>
      <c r="AP109" s="439"/>
      <c r="AT109" s="439"/>
    </row>
    <row r="110" spans="1:53" ht="21.75" customHeight="1">
      <c r="A110" s="433"/>
      <c r="B110" s="439"/>
      <c r="C110" s="439"/>
      <c r="D110" s="439"/>
      <c r="E110" s="439"/>
      <c r="G110" s="439"/>
      <c r="H110" s="439"/>
      <c r="I110" s="439"/>
      <c r="O110" s="439"/>
      <c r="P110" s="439"/>
      <c r="Q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I110" s="439"/>
      <c r="AJ110" s="439"/>
      <c r="AK110" s="439"/>
      <c r="AP110" s="439"/>
      <c r="AT110" s="439"/>
    </row>
    <row r="111" spans="1:53" s="439" customFormat="1" ht="21.75" customHeight="1">
      <c r="A111" s="433"/>
      <c r="AH111" s="440"/>
      <c r="AZ111" s="403"/>
      <c r="BA111" s="403"/>
    </row>
    <row r="112" spans="1:53" s="439" customFormat="1" ht="21.75" customHeight="1">
      <c r="A112" s="433"/>
      <c r="AH112" s="440"/>
      <c r="AZ112" s="403"/>
      <c r="BA112" s="403"/>
    </row>
    <row r="113" spans="1:53" s="439" customFormat="1" ht="21.75" customHeight="1">
      <c r="A113" s="433"/>
      <c r="AH113" s="440"/>
      <c r="AZ113" s="403"/>
      <c r="BA113" s="403"/>
    </row>
    <row r="114" spans="1:53" s="439" customFormat="1" ht="21.75" customHeight="1">
      <c r="A114" s="433"/>
      <c r="AH114" s="440"/>
      <c r="AZ114" s="403"/>
      <c r="BA114" s="403"/>
    </row>
    <row r="115" spans="1:53" s="439" customFormat="1" ht="21.75" customHeight="1">
      <c r="A115" s="433"/>
      <c r="AH115" s="440"/>
      <c r="AZ115" s="403"/>
      <c r="BA115" s="403"/>
    </row>
    <row r="116" spans="1:53" s="439" customFormat="1" ht="21.75" customHeight="1">
      <c r="A116" s="433"/>
      <c r="AH116" s="440"/>
      <c r="AZ116" s="403"/>
      <c r="BA116" s="403"/>
    </row>
    <row r="117" spans="1:53" s="439" customFormat="1" ht="21.75" customHeight="1">
      <c r="A117" s="433"/>
      <c r="AH117" s="440"/>
      <c r="AZ117" s="403"/>
      <c r="BA117" s="403"/>
    </row>
    <row r="118" spans="1:53" s="439" customFormat="1" ht="21.75" customHeight="1">
      <c r="A118" s="433"/>
      <c r="AH118" s="440"/>
      <c r="AZ118" s="403"/>
      <c r="BA118" s="403"/>
    </row>
    <row r="119" spans="1:53" s="439" customFormat="1" ht="21.75" customHeight="1">
      <c r="A119" s="433"/>
      <c r="AH119" s="440"/>
      <c r="AZ119" s="403"/>
      <c r="BA119" s="403"/>
    </row>
    <row r="120" spans="1:53" s="439" customFormat="1" ht="21.75" customHeight="1">
      <c r="A120" s="433"/>
      <c r="AH120" s="440"/>
      <c r="AZ120" s="403"/>
      <c r="BA120" s="403"/>
    </row>
    <row r="121" spans="1:53" s="439" customFormat="1" ht="21.75" customHeight="1">
      <c r="A121" s="433"/>
      <c r="AH121" s="440"/>
      <c r="AZ121" s="403"/>
      <c r="BA121" s="403"/>
    </row>
    <row r="122" spans="1:53" s="439" customFormat="1" ht="21.75" customHeight="1">
      <c r="A122" s="433"/>
      <c r="AH122" s="440"/>
      <c r="AZ122" s="403"/>
      <c r="BA122" s="403"/>
    </row>
    <row r="123" spans="1:53" s="439" customFormat="1" ht="21.75" customHeight="1">
      <c r="A123" s="433"/>
      <c r="AH123" s="440"/>
      <c r="AZ123" s="403"/>
      <c r="BA123" s="403"/>
    </row>
    <row r="124" spans="1:53" s="439" customFormat="1" ht="21.75" customHeight="1">
      <c r="A124" s="433"/>
      <c r="AH124" s="440"/>
      <c r="AZ124" s="403"/>
      <c r="BA124" s="403"/>
    </row>
    <row r="125" spans="1:53" s="439" customFormat="1" ht="21.75" customHeight="1">
      <c r="A125" s="433"/>
      <c r="AH125" s="440"/>
      <c r="AZ125" s="403"/>
      <c r="BA125" s="403"/>
    </row>
    <row r="126" spans="1:53" s="439" customFormat="1" ht="21.75" customHeight="1">
      <c r="A126" s="433"/>
      <c r="AH126" s="440"/>
      <c r="AZ126" s="403"/>
      <c r="BA126" s="403"/>
    </row>
    <row r="127" spans="1:53" s="439" customFormat="1" ht="21.75" customHeight="1">
      <c r="A127" s="433"/>
      <c r="AH127" s="440"/>
      <c r="AZ127" s="403"/>
      <c r="BA127" s="403"/>
    </row>
    <row r="128" spans="1:53" s="439" customFormat="1" ht="21.75" customHeight="1">
      <c r="A128" s="433"/>
      <c r="AH128" s="440"/>
      <c r="AZ128" s="403"/>
      <c r="BA128" s="403"/>
    </row>
    <row r="129" spans="1:53" s="439" customFormat="1" ht="21.75" customHeight="1">
      <c r="A129" s="433"/>
      <c r="AH129" s="440"/>
      <c r="AZ129" s="403"/>
      <c r="BA129" s="403"/>
    </row>
    <row r="130" spans="1:53" s="439" customFormat="1" ht="21.75" customHeight="1">
      <c r="A130" s="433"/>
      <c r="AH130" s="440"/>
      <c r="AZ130" s="403"/>
      <c r="BA130" s="403"/>
    </row>
    <row r="131" spans="1:53" s="439" customFormat="1" ht="21.75" customHeight="1">
      <c r="A131" s="433"/>
      <c r="AH131" s="440"/>
      <c r="AZ131" s="403"/>
      <c r="BA131" s="403"/>
    </row>
    <row r="132" spans="1:53" s="439" customFormat="1" ht="21.75" customHeight="1">
      <c r="A132" s="433"/>
      <c r="AH132" s="440"/>
      <c r="AZ132" s="403"/>
      <c r="BA132" s="403"/>
    </row>
    <row r="133" spans="1:53" s="439" customFormat="1" ht="21.75" customHeight="1">
      <c r="A133" s="433"/>
      <c r="AH133" s="440"/>
      <c r="AZ133" s="403"/>
      <c r="BA133" s="403"/>
    </row>
    <row r="134" spans="1:53" s="439" customFormat="1" ht="21.75" customHeight="1">
      <c r="A134" s="433"/>
      <c r="AH134" s="440"/>
      <c r="AZ134" s="403"/>
      <c r="BA134" s="403"/>
    </row>
    <row r="135" spans="1:53" s="439" customFormat="1" ht="21.75" customHeight="1">
      <c r="A135" s="433"/>
      <c r="AH135" s="440"/>
      <c r="AZ135" s="403"/>
      <c r="BA135" s="403"/>
    </row>
    <row r="136" spans="1:53" s="439" customFormat="1" ht="21.75" customHeight="1">
      <c r="A136" s="433"/>
      <c r="AH136" s="440"/>
      <c r="AZ136" s="403"/>
      <c r="BA136" s="403"/>
    </row>
    <row r="137" spans="1:53" s="439" customFormat="1" ht="21.75" customHeight="1">
      <c r="A137" s="433"/>
      <c r="AH137" s="440"/>
      <c r="AZ137" s="403"/>
      <c r="BA137" s="403"/>
    </row>
    <row r="138" spans="1:53" s="439" customFormat="1" ht="21.75" customHeight="1">
      <c r="A138" s="433"/>
      <c r="AH138" s="440"/>
      <c r="AZ138" s="403"/>
      <c r="BA138" s="403"/>
    </row>
    <row r="139" spans="1:53" s="439" customFormat="1" ht="21.75" customHeight="1">
      <c r="A139" s="433"/>
      <c r="AH139" s="440"/>
      <c r="AZ139" s="403"/>
      <c r="BA139" s="403"/>
    </row>
    <row r="140" spans="1:53" s="439" customFormat="1" ht="21.75" customHeight="1">
      <c r="A140" s="433"/>
      <c r="AH140" s="440"/>
      <c r="AZ140" s="403"/>
      <c r="BA140" s="403"/>
    </row>
    <row r="141" spans="1:53" s="439" customFormat="1" ht="21.75" customHeight="1">
      <c r="A141" s="433"/>
      <c r="AH141" s="440"/>
      <c r="AZ141" s="403"/>
      <c r="BA141" s="403"/>
    </row>
    <row r="142" spans="1:53" s="439" customFormat="1" ht="21.75" customHeight="1">
      <c r="A142" s="433"/>
      <c r="AH142" s="440"/>
      <c r="AZ142" s="403"/>
      <c r="BA142" s="403"/>
    </row>
    <row r="143" spans="1:53" s="439" customFormat="1" ht="21.75" customHeight="1">
      <c r="A143" s="433"/>
      <c r="AH143" s="440"/>
      <c r="AZ143" s="403"/>
      <c r="BA143" s="403"/>
    </row>
    <row r="144" spans="1:53" s="439" customFormat="1" ht="21.75" customHeight="1">
      <c r="A144" s="433"/>
      <c r="AH144" s="440"/>
      <c r="AZ144" s="403"/>
      <c r="BA144" s="403"/>
    </row>
    <row r="145" spans="1:53" s="439" customFormat="1" ht="21.75" customHeight="1">
      <c r="A145" s="433"/>
      <c r="AH145" s="440"/>
      <c r="AZ145" s="403"/>
      <c r="BA145" s="403"/>
    </row>
    <row r="146" spans="1:53" s="439" customFormat="1" ht="21.75" customHeight="1">
      <c r="A146" s="433"/>
      <c r="AH146" s="440"/>
      <c r="AZ146" s="403"/>
      <c r="BA146" s="403"/>
    </row>
    <row r="147" spans="1:53" s="439" customFormat="1" ht="21.75" customHeight="1">
      <c r="A147" s="433"/>
      <c r="AH147" s="440"/>
      <c r="AZ147" s="403"/>
      <c r="BA147" s="403"/>
    </row>
    <row r="148" spans="1:53" s="439" customFormat="1" ht="21.75" customHeight="1">
      <c r="A148" s="433"/>
      <c r="AH148" s="440"/>
      <c r="AZ148" s="403"/>
      <c r="BA148" s="403"/>
    </row>
    <row r="149" spans="1:53" s="439" customFormat="1" ht="21.75" customHeight="1">
      <c r="A149" s="433"/>
      <c r="AH149" s="440"/>
      <c r="AZ149" s="403"/>
      <c r="BA149" s="403"/>
    </row>
    <row r="150" spans="1:53" s="439" customFormat="1" ht="21.75" customHeight="1">
      <c r="A150" s="433"/>
      <c r="AH150" s="440"/>
      <c r="AZ150" s="403"/>
      <c r="BA150" s="403"/>
    </row>
    <row r="151" spans="1:53" s="439" customFormat="1" ht="21.75" customHeight="1">
      <c r="A151" s="433"/>
      <c r="AH151" s="440"/>
      <c r="AZ151" s="403"/>
      <c r="BA151" s="403"/>
    </row>
    <row r="152" spans="1:53" s="439" customFormat="1" ht="21.75" customHeight="1">
      <c r="A152" s="433"/>
      <c r="AH152" s="440"/>
      <c r="AZ152" s="403"/>
      <c r="BA152" s="403"/>
    </row>
    <row r="153" spans="1:53" s="439" customFormat="1" ht="21.75" customHeight="1">
      <c r="A153" s="433"/>
      <c r="AH153" s="440"/>
      <c r="AZ153" s="403"/>
      <c r="BA153" s="403"/>
    </row>
    <row r="154" spans="1:53" s="439" customFormat="1" ht="21.75" customHeight="1">
      <c r="A154" s="433"/>
      <c r="AH154" s="440"/>
      <c r="AZ154" s="403"/>
      <c r="BA154" s="403"/>
    </row>
    <row r="155" spans="1:53" s="439" customFormat="1" ht="21.75" customHeight="1">
      <c r="A155" s="433"/>
      <c r="AH155" s="440"/>
      <c r="AZ155" s="403"/>
      <c r="BA155" s="403"/>
    </row>
    <row r="156" spans="1:53" s="439" customFormat="1" ht="21.75" customHeight="1">
      <c r="A156" s="433"/>
      <c r="AH156" s="440"/>
      <c r="AZ156" s="403"/>
      <c r="BA156" s="403"/>
    </row>
    <row r="157" spans="1:53" s="439" customFormat="1" ht="21.75" customHeight="1">
      <c r="A157" s="433"/>
      <c r="AH157" s="440"/>
      <c r="AZ157" s="403"/>
      <c r="BA157" s="403"/>
    </row>
    <row r="158" spans="1:53" s="439" customFormat="1" ht="21.75" customHeight="1">
      <c r="A158" s="433"/>
      <c r="AH158" s="440"/>
      <c r="AZ158" s="403"/>
      <c r="BA158" s="403"/>
    </row>
    <row r="159" spans="1:53" s="439" customFormat="1" ht="21.75" customHeight="1">
      <c r="A159" s="433"/>
      <c r="AH159" s="440"/>
      <c r="AZ159" s="403"/>
      <c r="BA159" s="403"/>
    </row>
    <row r="160" spans="1:53" s="439" customFormat="1" ht="21.75" customHeight="1">
      <c r="A160" s="433"/>
      <c r="AH160" s="440"/>
      <c r="AZ160" s="403"/>
      <c r="BA160" s="403"/>
    </row>
    <row r="161" spans="1:53" s="439" customFormat="1" ht="21.75" customHeight="1">
      <c r="A161" s="433"/>
      <c r="AH161" s="440"/>
      <c r="AZ161" s="403"/>
      <c r="BA161" s="403"/>
    </row>
    <row r="162" spans="1:53" s="439" customFormat="1" ht="21.75" customHeight="1">
      <c r="A162" s="433"/>
      <c r="AH162" s="440"/>
      <c r="AZ162" s="403"/>
      <c r="BA162" s="403"/>
    </row>
    <row r="163" spans="1:53" s="439" customFormat="1" ht="21.75" customHeight="1">
      <c r="A163" s="433"/>
      <c r="AH163" s="440"/>
      <c r="AZ163" s="403"/>
      <c r="BA163" s="403"/>
    </row>
    <row r="164" spans="1:53" s="439" customFormat="1" ht="21.75" customHeight="1">
      <c r="A164" s="433"/>
      <c r="AH164" s="440"/>
      <c r="AZ164" s="403"/>
      <c r="BA164" s="403"/>
    </row>
    <row r="165" spans="1:53" s="439" customFormat="1" ht="21.75" customHeight="1">
      <c r="A165" s="433"/>
      <c r="AH165" s="440"/>
      <c r="AZ165" s="403"/>
      <c r="BA165" s="403"/>
    </row>
    <row r="166" spans="1:53" s="439" customFormat="1" ht="21.75" customHeight="1">
      <c r="A166" s="433"/>
      <c r="AH166" s="440"/>
      <c r="AZ166" s="403"/>
      <c r="BA166" s="403"/>
    </row>
    <row r="167" spans="1:53" s="439" customFormat="1" ht="21.75" customHeight="1">
      <c r="A167" s="433"/>
      <c r="AH167" s="440"/>
      <c r="AZ167" s="403"/>
      <c r="BA167" s="403"/>
    </row>
    <row r="168" spans="1:53" s="439" customFormat="1" ht="21.75" customHeight="1">
      <c r="A168" s="433"/>
      <c r="AH168" s="440"/>
      <c r="AZ168" s="403"/>
      <c r="BA168" s="403"/>
    </row>
    <row r="169" spans="1:53" s="439" customFormat="1" ht="21.75" customHeight="1">
      <c r="A169" s="433"/>
      <c r="AH169" s="440"/>
      <c r="AZ169" s="403"/>
      <c r="BA169" s="403"/>
    </row>
    <row r="170" spans="1:53" s="439" customFormat="1" ht="21.75" customHeight="1">
      <c r="A170" s="433"/>
      <c r="AH170" s="440"/>
      <c r="AZ170" s="403"/>
      <c r="BA170" s="403"/>
    </row>
    <row r="171" spans="1:53" s="439" customFormat="1" ht="21.75" customHeight="1">
      <c r="A171" s="433"/>
      <c r="AH171" s="440"/>
      <c r="AZ171" s="403"/>
      <c r="BA171" s="403"/>
    </row>
    <row r="172" spans="1:53" s="439" customFormat="1" ht="21.75" customHeight="1">
      <c r="A172" s="433"/>
      <c r="AH172" s="440"/>
      <c r="AZ172" s="403"/>
      <c r="BA172" s="403"/>
    </row>
    <row r="173" spans="1:53" s="439" customFormat="1" ht="21.75" customHeight="1">
      <c r="A173" s="433"/>
      <c r="AH173" s="440"/>
      <c r="AZ173" s="403"/>
      <c r="BA173" s="403"/>
    </row>
    <row r="174" spans="1:53" s="439" customFormat="1" ht="21.75" customHeight="1">
      <c r="A174" s="433"/>
      <c r="AH174" s="440"/>
      <c r="AZ174" s="403"/>
      <c r="BA174" s="403"/>
    </row>
  </sheetData>
  <mergeCells count="18">
    <mergeCell ref="C2:U2"/>
    <mergeCell ref="AU4:AW5"/>
    <mergeCell ref="AM4:AO5"/>
    <mergeCell ref="AQ4:AS5"/>
    <mergeCell ref="AM2:AW2"/>
    <mergeCell ref="W4:Y5"/>
    <mergeCell ref="AA4:AC5"/>
    <mergeCell ref="AI4:AK5"/>
    <mergeCell ref="AE4:AG5"/>
    <mergeCell ref="W1:AK2"/>
    <mergeCell ref="AZ4:BB4"/>
    <mergeCell ref="C70:U70"/>
    <mergeCell ref="C71:U71"/>
    <mergeCell ref="C4:E5"/>
    <mergeCell ref="G4:I5"/>
    <mergeCell ref="K4:M5"/>
    <mergeCell ref="O4:Q5"/>
    <mergeCell ref="S4:U5"/>
  </mergeCells>
  <phoneticPr fontId="0" type="noConversion"/>
  <pageMargins left="0.25" right="0.25" top="0.75" bottom="0.75" header="0.3" footer="0.3"/>
  <pageSetup paperSize="17" scale="28" orientation="landscape" r:id="rId1"/>
  <headerFooter alignWithMargins="0"/>
  <colBreaks count="2" manualBreakCount="2">
    <brk id="37" max="70" man="1"/>
    <brk id="49" min="1" max="65" man="1"/>
  </colBreaks>
  <ignoredErrors>
    <ignoredError sqref="AG7 AG20 AG36 AG52 AG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84"/>
  <sheetViews>
    <sheetView zoomScale="95" zoomScaleNormal="95" workbookViewId="0">
      <pane xSplit="1" ySplit="2" topLeftCell="B3" activePane="bottomRight" state="frozen"/>
      <selection activeCell="BU19" sqref="BU19"/>
      <selection pane="topRight" activeCell="BU19" sqref="BU19"/>
      <selection pane="bottomLeft" activeCell="BU19" sqref="BU19"/>
      <selection pane="bottomRight" activeCell="Z41" sqref="Z41"/>
    </sheetView>
  </sheetViews>
  <sheetFormatPr defaultRowHeight="14.25"/>
  <cols>
    <col min="1" max="1" width="9.140625" style="23"/>
    <col min="2" max="8" width="22.85546875" style="23" customWidth="1"/>
    <col min="9" max="13" width="24.85546875" style="23" customWidth="1"/>
    <col min="14" max="15" width="24.85546875" style="511" customWidth="1"/>
    <col min="16" max="19" width="24.5703125" style="23" customWidth="1"/>
    <col min="20" max="23" width="25" style="23" customWidth="1"/>
    <col min="24" max="24" width="25.28515625" style="23" bestFit="1" customWidth="1"/>
    <col min="25" max="25" width="30" style="23" customWidth="1"/>
    <col min="26" max="26" width="28.140625" style="23" customWidth="1"/>
    <col min="27" max="27" width="29.85546875" style="23" customWidth="1"/>
    <col min="28" max="28" width="22.7109375" style="23" hidden="1" customWidth="1"/>
    <col min="29" max="29" width="20.5703125" style="1" customWidth="1"/>
    <col min="30" max="30" width="13.7109375" style="1" bestFit="1" customWidth="1"/>
    <col min="31" max="31" width="16.28515625" style="1" hidden="1" customWidth="1"/>
    <col min="32" max="32" width="9.140625" style="1"/>
    <col min="33" max="33" width="10.5703125" style="1" customWidth="1"/>
    <col min="34" max="34" width="13.28515625" style="1" customWidth="1"/>
    <col min="35" max="35" width="6.42578125" style="1" customWidth="1"/>
    <col min="36" max="36" width="23.28515625" style="1" hidden="1" customWidth="1"/>
    <col min="37" max="37" width="14.42578125" style="1" hidden="1" customWidth="1"/>
    <col min="38" max="38" width="5.42578125" style="1" hidden="1" customWidth="1"/>
    <col min="39" max="39" width="12.7109375" style="1" customWidth="1"/>
    <col min="40" max="40" width="12.42578125" style="1" customWidth="1"/>
    <col min="41" max="41" width="5.5703125" style="1" customWidth="1"/>
    <col min="42" max="42" width="9.140625" style="1"/>
    <col min="43" max="43" width="10.28515625" style="1" customWidth="1"/>
    <col min="44" max="44" width="12" style="1" customWidth="1"/>
    <col min="46" max="48" width="10.42578125" customWidth="1"/>
    <col min="49" max="49" width="5.140625" customWidth="1"/>
    <col min="51" max="51" width="9.28515625" customWidth="1"/>
    <col min="52" max="52" width="12" customWidth="1"/>
    <col min="53" max="53" width="5.28515625" customWidth="1"/>
    <col min="54" max="56" width="12.28515625" customWidth="1"/>
    <col min="57" max="57" width="5.28515625" customWidth="1"/>
    <col min="58" max="60" width="13.42578125" customWidth="1"/>
    <col min="61" max="61" width="5.28515625" customWidth="1"/>
    <col min="62" max="64" width="13.5703125" customWidth="1"/>
    <col min="65" max="65" width="5.28515625" customWidth="1"/>
    <col min="66" max="68" width="10.28515625" customWidth="1"/>
    <col min="69" max="69" width="8.85546875" customWidth="1"/>
    <col min="70" max="77" width="9.7109375" customWidth="1"/>
    <col min="78" max="78" width="6.140625" customWidth="1"/>
    <col min="79" max="80" width="12.140625" customWidth="1"/>
    <col min="81" max="81" width="12.140625" style="127" customWidth="1"/>
    <col min="82" max="82" width="10.42578125" style="171" customWidth="1"/>
    <col min="83" max="83" width="11.5703125" style="171" bestFit="1" customWidth="1"/>
    <col min="84" max="84" width="11.85546875" style="171" customWidth="1"/>
    <col min="85" max="85" width="9.28515625" style="171" bestFit="1" customWidth="1"/>
    <col min="86" max="86" width="15.5703125" customWidth="1"/>
    <col min="87" max="88" width="12.140625" customWidth="1"/>
    <col min="89" max="89" width="20.140625" bestFit="1" customWidth="1"/>
    <col min="90" max="90" width="21.42578125" customWidth="1"/>
    <col min="93" max="100" width="11.140625" customWidth="1"/>
  </cols>
  <sheetData>
    <row r="1" spans="1:89" s="25" customFormat="1" ht="15">
      <c r="A1" s="22">
        <f>COUNTIF(AG4:AG34,"&lt;&gt;0")</f>
        <v>23</v>
      </c>
      <c r="B1" s="737" t="s">
        <v>22</v>
      </c>
      <c r="C1" s="738"/>
      <c r="D1" s="737" t="s">
        <v>270</v>
      </c>
      <c r="E1" s="738"/>
      <c r="F1" s="162" t="s">
        <v>162</v>
      </c>
      <c r="G1" s="745" t="s">
        <v>285</v>
      </c>
      <c r="H1" s="746"/>
      <c r="I1" s="738" t="s">
        <v>271</v>
      </c>
      <c r="J1" s="739"/>
      <c r="K1" s="737" t="s">
        <v>272</v>
      </c>
      <c r="L1" s="739"/>
      <c r="M1" s="268"/>
      <c r="N1" s="268"/>
      <c r="O1" s="279"/>
      <c r="P1" s="740" t="s">
        <v>180</v>
      </c>
      <c r="Q1" s="741"/>
      <c r="R1" s="260" t="s">
        <v>179</v>
      </c>
      <c r="S1" s="311" t="s">
        <v>202</v>
      </c>
      <c r="T1" s="2"/>
      <c r="U1" s="2"/>
      <c r="V1" s="260" t="s">
        <v>147</v>
      </c>
      <c r="W1" s="260" t="s">
        <v>147</v>
      </c>
      <c r="X1" s="2"/>
      <c r="Y1" s="2"/>
      <c r="Z1" s="2"/>
      <c r="AA1" s="2"/>
      <c r="AB1" s="2"/>
      <c r="AC1" s="2"/>
      <c r="AD1" s="2" t="s">
        <v>118</v>
      </c>
      <c r="AE1" s="742" t="s">
        <v>146</v>
      </c>
      <c r="AF1" s="742"/>
      <c r="AG1" s="742"/>
      <c r="AH1" s="742"/>
      <c r="AI1"/>
      <c r="AJ1" s="747" t="s">
        <v>260</v>
      </c>
      <c r="AK1" s="747"/>
      <c r="AL1" s="95"/>
      <c r="AM1" s="742" t="s">
        <v>132</v>
      </c>
      <c r="AN1" s="742"/>
      <c r="AO1" s="96"/>
      <c r="AP1" s="86"/>
      <c r="AQ1" s="747" t="s">
        <v>258</v>
      </c>
      <c r="AR1" s="747"/>
      <c r="AS1" s="747"/>
      <c r="AT1" s="747" t="s">
        <v>259</v>
      </c>
      <c r="AU1" s="747"/>
      <c r="AV1" s="747"/>
      <c r="AW1" s="93"/>
      <c r="AX1" s="747" t="s">
        <v>207</v>
      </c>
      <c r="AY1" s="747"/>
      <c r="AZ1" s="747"/>
      <c r="BA1" s="93"/>
      <c r="BB1" s="747" t="s">
        <v>266</v>
      </c>
      <c r="BC1" s="747"/>
      <c r="BD1" s="747"/>
      <c r="BE1" s="93"/>
      <c r="BF1" s="747" t="s">
        <v>262</v>
      </c>
      <c r="BG1" s="747"/>
      <c r="BH1" s="747"/>
      <c r="BI1" s="93"/>
      <c r="BJ1" s="747" t="s">
        <v>269</v>
      </c>
      <c r="BK1" s="747"/>
      <c r="BL1" s="747"/>
      <c r="BM1" s="93"/>
      <c r="BN1" s="743" t="s">
        <v>214</v>
      </c>
      <c r="BO1" s="744"/>
      <c r="BP1" s="744"/>
      <c r="BQ1" s="122"/>
      <c r="BR1" s="695" t="s">
        <v>165</v>
      </c>
      <c r="BS1" s="695"/>
      <c r="BT1" s="695"/>
      <c r="BU1" s="417"/>
      <c r="BV1" s="698" t="s">
        <v>187</v>
      </c>
      <c r="BW1" s="698"/>
      <c r="BX1" s="698"/>
      <c r="BY1" s="698"/>
      <c r="BZ1" s="117"/>
      <c r="CA1" s="732" t="s">
        <v>261</v>
      </c>
      <c r="CB1" s="732"/>
      <c r="CC1" s="732"/>
      <c r="CD1" s="168"/>
    </row>
    <row r="2" spans="1:89" s="138" customFormat="1">
      <c r="A2" s="133" t="s">
        <v>2</v>
      </c>
      <c r="B2" s="134" t="s">
        <v>161</v>
      </c>
      <c r="C2" s="134" t="s">
        <v>160</v>
      </c>
      <c r="D2" s="134" t="s">
        <v>159</v>
      </c>
      <c r="E2" s="161" t="s">
        <v>160</v>
      </c>
      <c r="F2" s="164" t="s">
        <v>1</v>
      </c>
      <c r="G2" s="135" t="s">
        <v>3</v>
      </c>
      <c r="H2" s="423" t="s">
        <v>284</v>
      </c>
      <c r="I2" s="135" t="s">
        <v>18</v>
      </c>
      <c r="J2" s="136" t="s">
        <v>18</v>
      </c>
      <c r="K2" s="164" t="s">
        <v>18</v>
      </c>
      <c r="L2" s="164" t="s">
        <v>18</v>
      </c>
      <c r="M2" s="375" t="s">
        <v>326</v>
      </c>
      <c r="N2" s="135" t="s">
        <v>197</v>
      </c>
      <c r="O2" s="133" t="s">
        <v>176</v>
      </c>
      <c r="P2" s="133" t="s">
        <v>177</v>
      </c>
      <c r="Q2" s="133" t="s">
        <v>178</v>
      </c>
      <c r="R2" s="261" t="s">
        <v>148</v>
      </c>
      <c r="S2" s="312" t="s">
        <v>201</v>
      </c>
      <c r="T2" s="133" t="s">
        <v>4</v>
      </c>
      <c r="U2" s="133" t="s">
        <v>106</v>
      </c>
      <c r="V2" s="261" t="s">
        <v>4</v>
      </c>
      <c r="W2" s="261" t="s">
        <v>106</v>
      </c>
      <c r="X2" s="133" t="s">
        <v>140</v>
      </c>
      <c r="Y2" s="133" t="s">
        <v>142</v>
      </c>
      <c r="Z2" s="133" t="s">
        <v>133</v>
      </c>
      <c r="AA2" s="133" t="s">
        <v>141</v>
      </c>
      <c r="AB2" s="375" t="s">
        <v>219</v>
      </c>
      <c r="AC2" s="375" t="s">
        <v>220</v>
      </c>
      <c r="AD2" s="133" t="s">
        <v>119</v>
      </c>
      <c r="AE2" s="132" t="s">
        <v>323</v>
      </c>
      <c r="AF2" s="137" t="s">
        <v>70</v>
      </c>
      <c r="AG2" s="132" t="s">
        <v>100</v>
      </c>
      <c r="AH2" s="132" t="s">
        <v>67</v>
      </c>
      <c r="AI2" s="132"/>
      <c r="AJ2" s="132" t="s">
        <v>100</v>
      </c>
      <c r="AK2" s="132" t="s">
        <v>163</v>
      </c>
      <c r="AL2" s="130"/>
      <c r="AM2" s="132" t="s">
        <v>100</v>
      </c>
      <c r="AN2" s="132" t="s">
        <v>67</v>
      </c>
      <c r="AO2" s="130"/>
      <c r="AP2" s="105"/>
      <c r="AQ2" s="349" t="s">
        <v>100</v>
      </c>
      <c r="AR2" s="329" t="s">
        <v>100</v>
      </c>
      <c r="AS2" s="329" t="s">
        <v>100</v>
      </c>
      <c r="AT2" s="350" t="s">
        <v>100</v>
      </c>
      <c r="AU2" s="351" t="s">
        <v>100</v>
      </c>
      <c r="AV2" s="351" t="s">
        <v>100</v>
      </c>
      <c r="AX2" s="350" t="s">
        <v>100</v>
      </c>
      <c r="AY2" s="351" t="s">
        <v>100</v>
      </c>
      <c r="AZ2" s="351" t="s">
        <v>100</v>
      </c>
      <c r="BA2" s="130"/>
      <c r="BB2" s="350" t="s">
        <v>100</v>
      </c>
      <c r="BC2" s="351" t="s">
        <v>100</v>
      </c>
      <c r="BD2" s="351" t="s">
        <v>100</v>
      </c>
      <c r="BE2" s="105"/>
      <c r="BF2" s="350" t="s">
        <v>100</v>
      </c>
      <c r="BG2" s="351" t="s">
        <v>100</v>
      </c>
      <c r="BH2" s="351" t="s">
        <v>100</v>
      </c>
      <c r="BI2" s="105"/>
      <c r="BJ2" s="350" t="s">
        <v>100</v>
      </c>
      <c r="BK2" s="351" t="s">
        <v>100</v>
      </c>
      <c r="BL2" s="351" t="s">
        <v>100</v>
      </c>
      <c r="BM2" s="105"/>
      <c r="BN2" s="734" t="s">
        <v>82</v>
      </c>
      <c r="BO2" s="735"/>
      <c r="BP2" s="736"/>
      <c r="BQ2" s="331"/>
      <c r="BR2" s="734" t="s">
        <v>82</v>
      </c>
      <c r="BS2" s="735"/>
      <c r="BT2" s="736"/>
      <c r="BU2" s="105"/>
      <c r="BV2" s="1" t="s">
        <v>184</v>
      </c>
      <c r="BW2" s="1" t="s">
        <v>185</v>
      </c>
      <c r="BX2" s="1" t="s">
        <v>199</v>
      </c>
      <c r="BY2" s="1" t="s">
        <v>200</v>
      </c>
      <c r="BZ2" s="130"/>
      <c r="CA2" s="418"/>
      <c r="CB2" s="418"/>
      <c r="CC2" s="733"/>
      <c r="CD2" s="733"/>
      <c r="CG2" s="314"/>
      <c r="CH2" s="314"/>
      <c r="CI2" s="732" t="s">
        <v>330</v>
      </c>
      <c r="CJ2" s="732"/>
      <c r="CK2" s="314"/>
    </row>
    <row r="3" spans="1:89" s="5" customFormat="1" ht="15" customHeight="1">
      <c r="A3" s="3"/>
      <c r="B3" s="157"/>
      <c r="C3" s="157"/>
      <c r="D3" s="157"/>
      <c r="E3" s="157"/>
      <c r="F3" s="282"/>
      <c r="G3" s="262"/>
      <c r="H3" s="158"/>
      <c r="I3" s="262"/>
      <c r="J3" s="158"/>
      <c r="K3" s="124"/>
      <c r="L3" s="124"/>
      <c r="M3" s="262"/>
      <c r="N3" s="262"/>
      <c r="O3" s="262"/>
      <c r="P3" s="158"/>
      <c r="Q3" s="262"/>
      <c r="R3" s="158"/>
      <c r="S3" s="262"/>
      <c r="T3" s="124"/>
      <c r="U3" s="124"/>
      <c r="V3" s="124"/>
      <c r="W3" s="124"/>
      <c r="X3" s="3"/>
      <c r="Y3" s="3"/>
      <c r="Z3" s="3"/>
      <c r="AA3" s="3"/>
      <c r="AB3" s="167"/>
      <c r="AC3" s="3"/>
      <c r="AD3" s="3"/>
      <c r="AE3" s="3"/>
      <c r="AF3" s="94"/>
      <c r="AG3" s="95"/>
      <c r="AH3" s="95"/>
      <c r="AI3" s="95"/>
      <c r="AJ3" s="95"/>
      <c r="AK3" s="95"/>
      <c r="AL3" s="96"/>
      <c r="AM3" s="95"/>
      <c r="AN3" s="95"/>
      <c r="AO3" s="96"/>
      <c r="AP3" s="105"/>
      <c r="AQ3" s="192" t="s">
        <v>71</v>
      </c>
      <c r="AR3" s="192" t="s">
        <v>111</v>
      </c>
      <c r="AS3" s="579" t="s">
        <v>72</v>
      </c>
      <c r="AT3" s="192" t="s">
        <v>71</v>
      </c>
      <c r="AU3" s="399" t="s">
        <v>111</v>
      </c>
      <c r="AV3" s="580" t="s">
        <v>72</v>
      </c>
      <c r="AX3" s="192" t="s">
        <v>71</v>
      </c>
      <c r="AY3" s="192" t="s">
        <v>111</v>
      </c>
      <c r="AZ3" s="192" t="s">
        <v>72</v>
      </c>
      <c r="BA3" s="303"/>
      <c r="BB3" s="192" t="s">
        <v>71</v>
      </c>
      <c r="BC3" s="192" t="s">
        <v>111</v>
      </c>
      <c r="BD3" s="192" t="s">
        <v>72</v>
      </c>
      <c r="BE3" s="303"/>
      <c r="BF3" s="192" t="s">
        <v>71</v>
      </c>
      <c r="BG3" s="192" t="s">
        <v>111</v>
      </c>
      <c r="BH3" s="192" t="s">
        <v>72</v>
      </c>
      <c r="BI3" s="303"/>
      <c r="BJ3" s="192" t="s">
        <v>71</v>
      </c>
      <c r="BK3" s="192" t="s">
        <v>111</v>
      </c>
      <c r="BL3" s="192" t="s">
        <v>72</v>
      </c>
      <c r="BM3" s="303"/>
      <c r="BN3" s="424" t="s">
        <v>83</v>
      </c>
      <c r="BO3" s="105" t="s">
        <v>84</v>
      </c>
      <c r="BP3" s="425" t="s">
        <v>85</v>
      </c>
      <c r="BQ3" s="96"/>
      <c r="BR3" s="424" t="s">
        <v>83</v>
      </c>
      <c r="BS3" s="105" t="s">
        <v>84</v>
      </c>
      <c r="BT3" s="425" t="s">
        <v>85</v>
      </c>
      <c r="BU3" s="105"/>
      <c r="BV3" s="1"/>
      <c r="BW3" s="1"/>
      <c r="BX3" s="1"/>
      <c r="BY3" s="1"/>
      <c r="BZ3" s="96"/>
      <c r="CA3" s="424" t="s">
        <v>83</v>
      </c>
      <c r="CB3" s="105" t="s">
        <v>84</v>
      </c>
      <c r="CC3" s="425" t="s">
        <v>85</v>
      </c>
      <c r="CD3" s="169"/>
      <c r="CG3" s="315"/>
      <c r="CH3" s="315"/>
      <c r="CI3" s="123" t="s">
        <v>328</v>
      </c>
      <c r="CJ3" s="123" t="s">
        <v>329</v>
      </c>
      <c r="CK3" s="315"/>
    </row>
    <row r="4" spans="1:89" s="4" customFormat="1" ht="14.25" customHeight="1">
      <c r="A4" s="627">
        <v>41944</v>
      </c>
      <c r="B4" s="322">
        <v>22961.099999999995</v>
      </c>
      <c r="C4" s="259">
        <v>483</v>
      </c>
      <c r="D4" s="259">
        <v>52029.810000000012</v>
      </c>
      <c r="E4" s="259">
        <v>1612</v>
      </c>
      <c r="F4" s="320">
        <v>0</v>
      </c>
      <c r="G4" s="259">
        <v>48087.67</v>
      </c>
      <c r="H4" s="259">
        <v>1533</v>
      </c>
      <c r="I4" s="263">
        <f t="shared" ref="I4:I34" si="0">SUM(B4:B4)</f>
        <v>22961.099999999995</v>
      </c>
      <c r="J4" s="328">
        <f t="shared" ref="J4:J34" si="1">SUM(C4:C4)</f>
        <v>483</v>
      </c>
      <c r="K4" s="328">
        <f t="shared" ref="K4:K15" si="2">SUM(D4:D4)</f>
        <v>52029.810000000012</v>
      </c>
      <c r="L4" s="325">
        <f t="shared" ref="L4:L15" si="3">SUM(E4:E4)</f>
        <v>1612</v>
      </c>
      <c r="M4" s="576">
        <v>0.25253300000000001</v>
      </c>
      <c r="N4" s="280">
        <f>[1]Summary!$AI9</f>
        <v>0</v>
      </c>
      <c r="O4" s="280">
        <f>[1]Summary!$AJ9</f>
        <v>0</v>
      </c>
      <c r="P4" s="156">
        <f>M4*O4</f>
        <v>0</v>
      </c>
      <c r="Q4" s="280">
        <f>N4*1</f>
        <v>0</v>
      </c>
      <c r="R4" s="370">
        <f t="shared" ref="R4:R34" si="4">(P4+Q4)</f>
        <v>0</v>
      </c>
      <c r="S4" s="263">
        <f>X4*0.5</f>
        <v>202</v>
      </c>
      <c r="T4" s="125">
        <f t="shared" ref="T4:T34" si="5">K4-G4</f>
        <v>3942.140000000014</v>
      </c>
      <c r="U4" s="125">
        <f t="shared" ref="U4:U34" si="6">L4-H4</f>
        <v>79</v>
      </c>
      <c r="V4" s="125">
        <f t="shared" ref="V4:V34" si="7">K4-G4</f>
        <v>3942.140000000014</v>
      </c>
      <c r="W4" s="125">
        <f t="shared" ref="W4:W34" si="8">L4-H4</f>
        <v>79</v>
      </c>
      <c r="X4" s="125">
        <f t="shared" ref="X4:X34" si="9">C4-(E4-H4)</f>
        <v>404</v>
      </c>
      <c r="Y4" s="145">
        <f t="shared" ref="Y4:Y34" si="10">X4*Z4</f>
        <v>14489.415174999998</v>
      </c>
      <c r="Z4" s="269">
        <v>35.864889047029699</v>
      </c>
      <c r="AA4" s="167">
        <f>I4-F4-R4-S4-T4-Y4</f>
        <v>4327.5448249999827</v>
      </c>
      <c r="AB4" s="336">
        <v>3786.6632258064533</v>
      </c>
      <c r="AC4" s="167">
        <f>AH4*0.99000843</f>
        <v>76965.862405895445</v>
      </c>
      <c r="AD4" s="522">
        <f>IFERROR((I4-M4-R4)/(W4+X4),"-")</f>
        <v>47.537986474120075</v>
      </c>
      <c r="AE4" s="336">
        <v>2051134.9574874768</v>
      </c>
      <c r="AF4" s="101">
        <v>1</v>
      </c>
      <c r="AG4" s="102">
        <f t="shared" ref="AG4:AG34" si="11">SUM(AQ4+AR4+AS4)</f>
        <v>90667</v>
      </c>
      <c r="AH4" s="102">
        <f>'Daily Budget Data'!B5</f>
        <v>77742.633369188014</v>
      </c>
      <c r="AI4" s="96"/>
      <c r="AJ4" s="515">
        <f>AE4</f>
        <v>2051134.9574874768</v>
      </c>
      <c r="AK4" s="515">
        <v>1893262.7339814128</v>
      </c>
      <c r="AL4" s="103"/>
      <c r="AM4" s="102">
        <f t="shared" ref="AM4:AM34" si="12">SUM(AT4+AU4+AV4)</f>
        <v>96113</v>
      </c>
      <c r="AN4" s="102">
        <f>'Daily Budget Data'!H5+'Daily Budget Data'!I5+'Daily Budget Data'!J5</f>
        <v>83347.140833333426</v>
      </c>
      <c r="AO4" s="96"/>
      <c r="AP4" s="110">
        <v>1</v>
      </c>
      <c r="AQ4" s="400"/>
      <c r="AR4" s="401">
        <v>28276</v>
      </c>
      <c r="AS4" s="420">
        <v>62391</v>
      </c>
      <c r="AT4" s="401"/>
      <c r="AU4" s="401">
        <v>30396</v>
      </c>
      <c r="AV4" s="353">
        <v>65717</v>
      </c>
      <c r="AX4" s="512">
        <f>[1]Summary!B9</f>
        <v>0</v>
      </c>
      <c r="AY4" s="513">
        <f>[1]Summary!C9</f>
        <v>374</v>
      </c>
      <c r="AZ4" s="514">
        <f>[1]Summary!D9</f>
        <v>2501</v>
      </c>
      <c r="BA4" s="105"/>
      <c r="BB4" s="512">
        <f>[1]Summary!F9</f>
        <v>0</v>
      </c>
      <c r="BC4" s="513">
        <f>[1]Summary!G9</f>
        <v>393</v>
      </c>
      <c r="BD4" s="514">
        <f>[1]Summary!H9</f>
        <v>779</v>
      </c>
      <c r="BE4" s="105"/>
      <c r="BF4" s="512">
        <f>[1]Summary!V9</f>
        <v>0</v>
      </c>
      <c r="BG4" s="513">
        <f>[1]Summary!W9</f>
        <v>2109</v>
      </c>
      <c r="BH4" s="514">
        <f>[1]Summary!X9</f>
        <v>4082</v>
      </c>
      <c r="BI4" s="105"/>
      <c r="BJ4" s="512">
        <f>[1]Summary!Z9</f>
        <v>0</v>
      </c>
      <c r="BK4" s="513">
        <f>[1]Summary!AA9</f>
        <v>201</v>
      </c>
      <c r="BL4" s="514">
        <f>[1]Summary!AB9</f>
        <v>279</v>
      </c>
      <c r="BM4" s="105"/>
      <c r="BN4" s="512">
        <f>[1]Summary!J9</f>
        <v>0</v>
      </c>
      <c r="BO4" s="513">
        <f>[1]Summary!K9</f>
        <v>264</v>
      </c>
      <c r="BP4" s="514">
        <f>[1]Summary!L9</f>
        <v>857</v>
      </c>
      <c r="BQ4" s="96"/>
      <c r="BR4" s="512">
        <f>[1]Summary!R9</f>
        <v>0</v>
      </c>
      <c r="BS4" s="513">
        <f>[1]Summary!S9</f>
        <v>25</v>
      </c>
      <c r="BT4" s="514">
        <f>[1]Summary!T9</f>
        <v>466</v>
      </c>
      <c r="BU4" s="149"/>
      <c r="BV4" s="512">
        <f>[1]Summary!AD9</f>
        <v>29</v>
      </c>
      <c r="BW4" s="513">
        <f>[1]Summary!AE9</f>
        <v>0</v>
      </c>
      <c r="BX4" s="513">
        <f>[1]Summary!AF9</f>
        <v>28</v>
      </c>
      <c r="BY4" s="514">
        <f>[1]Summary!AG9</f>
        <v>0</v>
      </c>
      <c r="BZ4" s="96"/>
      <c r="CA4" s="512">
        <f>[1]Summary!N9</f>
        <v>0</v>
      </c>
      <c r="CB4" s="513">
        <f>[1]Summary!O9</f>
        <v>0</v>
      </c>
      <c r="CC4" s="514">
        <f>[1]Summary!P9</f>
        <v>3</v>
      </c>
      <c r="CD4" s="175"/>
      <c r="CE4" s="633">
        <f>CA4+BJ4</f>
        <v>0</v>
      </c>
      <c r="CF4" s="634">
        <f t="shared" ref="CF4:CG19" si="13">CB4+BK4</f>
        <v>201</v>
      </c>
      <c r="CG4" s="635">
        <f t="shared" si="13"/>
        <v>282</v>
      </c>
      <c r="CH4" s="278"/>
      <c r="CI4" s="512">
        <f>[1]Summary!AL9</f>
        <v>37.015277777777776</v>
      </c>
      <c r="CJ4" s="514">
        <f>[1]Summary!AM9</f>
        <v>38.114583333333336</v>
      </c>
      <c r="CK4" s="278"/>
    </row>
    <row r="5" spans="1:89" ht="14.25" customHeight="1">
      <c r="A5" s="166">
        <f t="shared" ref="A5:A34" si="14">IFERROR(IF(MONTH(A4+1)=MONTH(A4),A4+1,"-"),"-")</f>
        <v>41945</v>
      </c>
      <c r="B5" s="322">
        <v>70215.329999999987</v>
      </c>
      <c r="C5" s="259">
        <v>1426</v>
      </c>
      <c r="D5" s="259">
        <v>42172.219999999987</v>
      </c>
      <c r="E5" s="259">
        <v>1546</v>
      </c>
      <c r="F5" s="320">
        <v>3038.4829999999993</v>
      </c>
      <c r="G5" s="259">
        <v>42172.22</v>
      </c>
      <c r="H5" s="259">
        <v>1546</v>
      </c>
      <c r="I5" s="263">
        <f t="shared" si="0"/>
        <v>70215.329999999987</v>
      </c>
      <c r="J5" s="328">
        <f t="shared" si="1"/>
        <v>1426</v>
      </c>
      <c r="K5" s="328">
        <f t="shared" si="2"/>
        <v>42172.219999999987</v>
      </c>
      <c r="L5" s="325">
        <f t="shared" si="3"/>
        <v>1546</v>
      </c>
      <c r="M5" s="576">
        <v>0.30852600000000002</v>
      </c>
      <c r="N5" s="280">
        <f>[1]Summary!$AI10</f>
        <v>125</v>
      </c>
      <c r="O5" s="280">
        <f>[1]Summary!$AJ10</f>
        <v>622</v>
      </c>
      <c r="P5" s="156">
        <f t="shared" ref="P5:P34" si="15">M5*O5</f>
        <v>191.90317200000001</v>
      </c>
      <c r="Q5" s="280">
        <f t="shared" ref="Q5:Q34" si="16">N5*1</f>
        <v>125</v>
      </c>
      <c r="R5" s="370">
        <f t="shared" si="4"/>
        <v>316.90317200000004</v>
      </c>
      <c r="S5" s="263">
        <f t="shared" ref="S5:S34" si="17">X5*0.5</f>
        <v>713</v>
      </c>
      <c r="T5" s="125">
        <f t="shared" si="5"/>
        <v>0</v>
      </c>
      <c r="U5" s="125">
        <f t="shared" si="6"/>
        <v>0</v>
      </c>
      <c r="V5" s="125">
        <f t="shared" si="7"/>
        <v>0</v>
      </c>
      <c r="W5" s="125">
        <f t="shared" si="8"/>
        <v>0</v>
      </c>
      <c r="X5" s="125">
        <f t="shared" si="9"/>
        <v>1426</v>
      </c>
      <c r="Y5" s="145">
        <f t="shared" si="10"/>
        <v>45120.729037499994</v>
      </c>
      <c r="Z5" s="269">
        <v>31.641464963183726</v>
      </c>
      <c r="AA5" s="167">
        <f t="shared" ref="AA5:AA34" si="18">I5-F5-R5-S5-T5-Y5</f>
        <v>21026.214790499995</v>
      </c>
      <c r="AB5" s="336"/>
      <c r="AC5" s="167">
        <f t="shared" ref="AC5:AC34" si="19">AH5*0.99000843</f>
        <v>75532.312685417186</v>
      </c>
      <c r="AD5" s="522">
        <f t="shared" ref="AD5:AD34" si="20">IFERROR((I5-M5-R5)/(W5+X5),"-")</f>
        <v>49.01691325525946</v>
      </c>
      <c r="AE5" s="336"/>
      <c r="AF5" s="101">
        <v>2</v>
      </c>
      <c r="AG5" s="102">
        <f t="shared" si="11"/>
        <v>86719</v>
      </c>
      <c r="AH5" s="102">
        <f>'Daily Budget Data'!B6</f>
        <v>76294.615678592934</v>
      </c>
      <c r="AI5" s="96"/>
      <c r="AJ5" s="515">
        <f t="shared" ref="AJ5:AJ34" si="21">AE5</f>
        <v>0</v>
      </c>
      <c r="AK5" s="515">
        <f t="shared" ref="AK5:AK34" si="22">AE5</f>
        <v>0</v>
      </c>
      <c r="AL5" s="103"/>
      <c r="AM5" s="102">
        <f t="shared" si="12"/>
        <v>91674</v>
      </c>
      <c r="AN5" s="102">
        <f>'Daily Budget Data'!H6+'Daily Budget Data'!I6+'Daily Budget Data'!J6</f>
        <v>83347.140833333426</v>
      </c>
      <c r="AO5" s="96"/>
      <c r="AP5" s="110">
        <v>2</v>
      </c>
      <c r="AQ5" s="334"/>
      <c r="AR5" s="336">
        <v>28938</v>
      </c>
      <c r="AS5" s="420">
        <v>57781</v>
      </c>
      <c r="AT5" s="336"/>
      <c r="AU5" s="336">
        <v>30014</v>
      </c>
      <c r="AV5" s="353">
        <v>61660</v>
      </c>
      <c r="AX5" s="515">
        <f>[1]Summary!B10</f>
        <v>0</v>
      </c>
      <c r="AY5" s="516">
        <f>[1]Summary!C10</f>
        <v>739</v>
      </c>
      <c r="AZ5" s="517">
        <f>[1]Summary!D10</f>
        <v>2199</v>
      </c>
      <c r="BA5" s="105"/>
      <c r="BB5" s="515">
        <f>[1]Summary!F10</f>
        <v>0</v>
      </c>
      <c r="BC5" s="516">
        <f>[1]Summary!G10</f>
        <v>387</v>
      </c>
      <c r="BD5" s="517">
        <f>[1]Summary!H10</f>
        <v>766</v>
      </c>
      <c r="BE5" s="105"/>
      <c r="BF5" s="515">
        <f>[1]Summary!V10</f>
        <v>0</v>
      </c>
      <c r="BG5" s="516">
        <f>[1]Summary!W10</f>
        <v>1639</v>
      </c>
      <c r="BH5" s="517">
        <f>[1]Summary!X10</f>
        <v>3323</v>
      </c>
      <c r="BI5" s="105"/>
      <c r="BJ5" s="515">
        <f>[1]Summary!Z10</f>
        <v>0</v>
      </c>
      <c r="BK5" s="516">
        <f>[1]Summary!AA10</f>
        <v>8</v>
      </c>
      <c r="BL5" s="517">
        <f>[1]Summary!AB10</f>
        <v>19</v>
      </c>
      <c r="BM5" s="105"/>
      <c r="BN5" s="515">
        <f>[1]Summary!J10</f>
        <v>0</v>
      </c>
      <c r="BO5" s="516">
        <f>[1]Summary!K10</f>
        <v>480</v>
      </c>
      <c r="BP5" s="517">
        <f>[1]Summary!L10</f>
        <v>960</v>
      </c>
      <c r="BQ5" s="96"/>
      <c r="BR5" s="515">
        <f>[1]Summary!R10</f>
        <v>0</v>
      </c>
      <c r="BS5" s="516">
        <f>[1]Summary!S10</f>
        <v>100</v>
      </c>
      <c r="BT5" s="517">
        <f>[1]Summary!T10</f>
        <v>6</v>
      </c>
      <c r="BU5" s="129"/>
      <c r="BV5" s="515">
        <f>[1]Summary!AD10</f>
        <v>25</v>
      </c>
      <c r="BW5" s="516">
        <f>[1]Summary!AE10</f>
        <v>0</v>
      </c>
      <c r="BX5" s="516">
        <f>[1]Summary!AF10</f>
        <v>27</v>
      </c>
      <c r="BY5" s="517">
        <f>[1]Summary!AG10</f>
        <v>0</v>
      </c>
      <c r="BZ5" s="96"/>
      <c r="CA5" s="515">
        <f>[1]Summary!N10</f>
        <v>0</v>
      </c>
      <c r="CB5" s="516">
        <f>[1]Summary!O10</f>
        <v>0</v>
      </c>
      <c r="CC5" s="517">
        <f>[1]Summary!P10</f>
        <v>1399</v>
      </c>
      <c r="CD5" s="175"/>
      <c r="CE5" s="636">
        <f t="shared" ref="CE5:CE34" si="23">CA5+BJ5</f>
        <v>0</v>
      </c>
      <c r="CF5" s="637">
        <f t="shared" si="13"/>
        <v>8</v>
      </c>
      <c r="CG5" s="638">
        <f t="shared" si="13"/>
        <v>1418</v>
      </c>
      <c r="CH5" s="313"/>
      <c r="CI5" s="515">
        <f>[1]Summary!AL10</f>
        <v>38.352173913043487</v>
      </c>
      <c r="CJ5" s="517">
        <f>[1]Summary!AM10</f>
        <v>38.639130434782608</v>
      </c>
      <c r="CK5" s="313"/>
    </row>
    <row r="6" spans="1:89" ht="14.25" customHeight="1">
      <c r="A6" s="166">
        <f t="shared" si="14"/>
        <v>41946</v>
      </c>
      <c r="B6" s="322">
        <v>65283.73000000001</v>
      </c>
      <c r="C6" s="259">
        <v>1451</v>
      </c>
      <c r="D6" s="259">
        <v>40572.569999999992</v>
      </c>
      <c r="E6" s="259">
        <v>1493</v>
      </c>
      <c r="F6" s="320">
        <v>4510.405999999999</v>
      </c>
      <c r="G6" s="259">
        <v>40572.569999999992</v>
      </c>
      <c r="H6" s="259">
        <v>1493</v>
      </c>
      <c r="I6" s="263">
        <f t="shared" si="0"/>
        <v>65283.73000000001</v>
      </c>
      <c r="J6" s="328">
        <f t="shared" si="1"/>
        <v>1451</v>
      </c>
      <c r="K6" s="328">
        <f t="shared" si="2"/>
        <v>40572.569999999992</v>
      </c>
      <c r="L6" s="325">
        <f t="shared" si="3"/>
        <v>1493</v>
      </c>
      <c r="M6" s="576">
        <v>0.30141800000000002</v>
      </c>
      <c r="N6" s="280">
        <f>[1]Summary!$AI11</f>
        <v>434</v>
      </c>
      <c r="O6" s="280">
        <f>[1]Summary!$AJ11</f>
        <v>412</v>
      </c>
      <c r="P6" s="156">
        <f t="shared" si="15"/>
        <v>124.18421600000001</v>
      </c>
      <c r="Q6" s="280">
        <f t="shared" si="16"/>
        <v>434</v>
      </c>
      <c r="R6" s="370">
        <f t="shared" si="4"/>
        <v>558.18421599999999</v>
      </c>
      <c r="S6" s="263">
        <f t="shared" si="17"/>
        <v>725.5</v>
      </c>
      <c r="T6" s="125">
        <f t="shared" si="5"/>
        <v>0</v>
      </c>
      <c r="U6" s="125">
        <f t="shared" si="6"/>
        <v>0</v>
      </c>
      <c r="V6" s="125">
        <f t="shared" si="7"/>
        <v>0</v>
      </c>
      <c r="W6" s="125">
        <f t="shared" si="8"/>
        <v>0</v>
      </c>
      <c r="X6" s="125">
        <f t="shared" si="9"/>
        <v>1451</v>
      </c>
      <c r="Y6" s="145">
        <f t="shared" si="10"/>
        <v>46061.331956666676</v>
      </c>
      <c r="Z6" s="269">
        <v>31.74454304387779</v>
      </c>
      <c r="AA6" s="167">
        <f t="shared" si="18"/>
        <v>13428.30782733333</v>
      </c>
      <c r="AB6" s="336"/>
      <c r="AC6" s="167">
        <f t="shared" si="19"/>
        <v>86975.908530685774</v>
      </c>
      <c r="AD6" s="522">
        <f t="shared" si="20"/>
        <v>44.607335882839422</v>
      </c>
      <c r="AE6" s="336"/>
      <c r="AF6" s="101">
        <v>3</v>
      </c>
      <c r="AG6" s="102">
        <f t="shared" si="11"/>
        <v>91338</v>
      </c>
      <c r="AH6" s="102">
        <f>'Daily Budget Data'!B7</f>
        <v>87853.704973689746</v>
      </c>
      <c r="AI6" s="96"/>
      <c r="AJ6" s="515">
        <f t="shared" si="21"/>
        <v>0</v>
      </c>
      <c r="AK6" s="515">
        <f t="shared" si="22"/>
        <v>0</v>
      </c>
      <c r="AL6" s="103"/>
      <c r="AM6" s="102">
        <f t="shared" si="12"/>
        <v>98723</v>
      </c>
      <c r="AN6" s="102">
        <f>'Daily Budget Data'!H7+'Daily Budget Data'!I7+'Daily Budget Data'!J7</f>
        <v>98183.52962962976</v>
      </c>
      <c r="AO6" s="96"/>
      <c r="AP6" s="110">
        <v>3</v>
      </c>
      <c r="AQ6" s="334">
        <v>62920</v>
      </c>
      <c r="AR6" s="336">
        <v>28418</v>
      </c>
      <c r="AS6" s="420"/>
      <c r="AT6" s="336">
        <v>67833</v>
      </c>
      <c r="AU6" s="336">
        <v>30890</v>
      </c>
      <c r="AV6" s="353"/>
      <c r="AX6" s="515">
        <f>[1]Summary!B11</f>
        <v>967</v>
      </c>
      <c r="AY6" s="516">
        <f>[1]Summary!C11</f>
        <v>261</v>
      </c>
      <c r="AZ6" s="517">
        <f>[1]Summary!D11</f>
        <v>0</v>
      </c>
      <c r="BA6" s="105"/>
      <c r="BB6" s="515">
        <f>[1]Summary!F11</f>
        <v>726</v>
      </c>
      <c r="BC6" s="516">
        <f>[1]Summary!G11</f>
        <v>379</v>
      </c>
      <c r="BD6" s="517">
        <f>[1]Summary!H11</f>
        <v>0</v>
      </c>
      <c r="BE6" s="105"/>
      <c r="BF6" s="515">
        <f>[1]Summary!V11</f>
        <v>4927</v>
      </c>
      <c r="BG6" s="516">
        <f>[1]Summary!W11</f>
        <v>2472</v>
      </c>
      <c r="BH6" s="517">
        <f>[1]Summary!X11</f>
        <v>0</v>
      </c>
      <c r="BI6" s="105"/>
      <c r="BJ6" s="515">
        <f>[1]Summary!Z11</f>
        <v>32</v>
      </c>
      <c r="BK6" s="516">
        <f>[1]Summary!AA11</f>
        <v>36</v>
      </c>
      <c r="BL6" s="517">
        <f>[1]Summary!AB11</f>
        <v>0</v>
      </c>
      <c r="BM6" s="105"/>
      <c r="BN6" s="515">
        <f>[1]Summary!J11</f>
        <v>1000</v>
      </c>
      <c r="BO6" s="516">
        <f>[1]Summary!K11</f>
        <v>488</v>
      </c>
      <c r="BP6" s="517">
        <f>[1]Summary!L11</f>
        <v>0</v>
      </c>
      <c r="BQ6" s="96"/>
      <c r="BR6" s="515">
        <f>[1]Summary!R11</f>
        <v>5</v>
      </c>
      <c r="BS6" s="516">
        <f>[1]Summary!S11</f>
        <v>0</v>
      </c>
      <c r="BT6" s="517">
        <f>[1]Summary!T11</f>
        <v>0</v>
      </c>
      <c r="BU6" s="129"/>
      <c r="BV6" s="515">
        <f>[1]Summary!AD11</f>
        <v>14</v>
      </c>
      <c r="BW6" s="516">
        <f>[1]Summary!AE11</f>
        <v>0</v>
      </c>
      <c r="BX6" s="516">
        <f>[1]Summary!AF11</f>
        <v>12</v>
      </c>
      <c r="BY6" s="517">
        <f>[1]Summary!AG11</f>
        <v>0</v>
      </c>
      <c r="BZ6" s="96"/>
      <c r="CA6" s="515">
        <f>[1]Summary!N11</f>
        <v>896</v>
      </c>
      <c r="CB6" s="516">
        <f>[1]Summary!O11</f>
        <v>487</v>
      </c>
      <c r="CC6" s="517">
        <f>[1]Summary!P11</f>
        <v>0</v>
      </c>
      <c r="CD6" s="175"/>
      <c r="CE6" s="636">
        <f t="shared" si="23"/>
        <v>928</v>
      </c>
      <c r="CF6" s="637">
        <f t="shared" si="13"/>
        <v>523</v>
      </c>
      <c r="CG6" s="638">
        <f t="shared" si="13"/>
        <v>0</v>
      </c>
      <c r="CH6" s="313"/>
      <c r="CI6" s="515">
        <f>[1]Summary!AL11</f>
        <v>51.404166666666661</v>
      </c>
      <c r="CJ6" s="517">
        <f>[1]Summary!AM11</f>
        <v>51.8125</v>
      </c>
      <c r="CK6" s="313"/>
    </row>
    <row r="7" spans="1:89" ht="14.25" customHeight="1">
      <c r="A7" s="166">
        <f t="shared" si="14"/>
        <v>41947</v>
      </c>
      <c r="B7" s="322">
        <v>44690.9</v>
      </c>
      <c r="C7" s="259">
        <v>1079</v>
      </c>
      <c r="D7" s="259">
        <v>37419.569999999992</v>
      </c>
      <c r="E7" s="259">
        <v>1347</v>
      </c>
      <c r="F7" s="320">
        <v>3943.7299999999987</v>
      </c>
      <c r="G7" s="259">
        <v>37359.57</v>
      </c>
      <c r="H7" s="259">
        <v>1345</v>
      </c>
      <c r="I7" s="263">
        <f t="shared" si="0"/>
        <v>44690.9</v>
      </c>
      <c r="J7" s="328">
        <f t="shared" si="1"/>
        <v>1079</v>
      </c>
      <c r="K7" s="328">
        <f t="shared" si="2"/>
        <v>37419.569999999992</v>
      </c>
      <c r="L7" s="325">
        <f t="shared" si="3"/>
        <v>1347</v>
      </c>
      <c r="M7" s="576">
        <v>0.20843300000000001</v>
      </c>
      <c r="N7" s="280">
        <f>[1]Summary!$AI12</f>
        <v>725</v>
      </c>
      <c r="O7" s="280">
        <f>[1]Summary!$AJ12</f>
        <v>354</v>
      </c>
      <c r="P7" s="156">
        <f t="shared" si="15"/>
        <v>73.785282000000009</v>
      </c>
      <c r="Q7" s="280">
        <f t="shared" si="16"/>
        <v>725</v>
      </c>
      <c r="R7" s="370">
        <f t="shared" si="4"/>
        <v>798.78528200000005</v>
      </c>
      <c r="S7" s="263">
        <f t="shared" si="17"/>
        <v>538.5</v>
      </c>
      <c r="T7" s="125">
        <f t="shared" si="5"/>
        <v>59.999999999992724</v>
      </c>
      <c r="U7" s="125">
        <f t="shared" si="6"/>
        <v>2</v>
      </c>
      <c r="V7" s="125">
        <f t="shared" si="7"/>
        <v>59.999999999992724</v>
      </c>
      <c r="W7" s="125">
        <f t="shared" si="8"/>
        <v>2</v>
      </c>
      <c r="X7" s="125">
        <f t="shared" si="9"/>
        <v>1077</v>
      </c>
      <c r="Y7" s="145">
        <f t="shared" si="10"/>
        <v>30436.02</v>
      </c>
      <c r="Z7" s="269">
        <v>28.26</v>
      </c>
      <c r="AA7" s="167">
        <f t="shared" si="18"/>
        <v>8913.8647180000153</v>
      </c>
      <c r="AB7" s="336"/>
      <c r="AC7" s="167">
        <f t="shared" si="19"/>
        <v>89113.824515330532</v>
      </c>
      <c r="AD7" s="522">
        <f t="shared" si="20"/>
        <v>40.678319077849864</v>
      </c>
      <c r="AE7" s="336"/>
      <c r="AF7" s="101">
        <v>4</v>
      </c>
      <c r="AG7" s="102">
        <f t="shared" si="11"/>
        <v>87415</v>
      </c>
      <c r="AH7" s="102">
        <f>'Daily Budget Data'!B8</f>
        <v>90013.197680882906</v>
      </c>
      <c r="AI7" s="96"/>
      <c r="AJ7" s="515">
        <f t="shared" si="21"/>
        <v>0</v>
      </c>
      <c r="AK7" s="515">
        <f t="shared" si="22"/>
        <v>0</v>
      </c>
      <c r="AL7" s="103"/>
      <c r="AM7" s="102">
        <f t="shared" si="12"/>
        <v>94714</v>
      </c>
      <c r="AN7" s="102">
        <f>'Daily Budget Data'!H8+'Daily Budget Data'!I8+'Daily Budget Data'!J8</f>
        <v>98183.52962962976</v>
      </c>
      <c r="AO7" s="96"/>
      <c r="AP7" s="110">
        <v>4</v>
      </c>
      <c r="AQ7" s="334">
        <v>60955</v>
      </c>
      <c r="AR7" s="336">
        <v>26460</v>
      </c>
      <c r="AS7" s="420"/>
      <c r="AT7" s="336">
        <v>66109</v>
      </c>
      <c r="AU7" s="336">
        <v>28605</v>
      </c>
      <c r="AV7" s="353"/>
      <c r="AX7" s="515">
        <f>[1]Summary!B12</f>
        <v>0</v>
      </c>
      <c r="AY7" s="516">
        <f>[1]Summary!C12</f>
        <v>0</v>
      </c>
      <c r="AZ7" s="517">
        <f>[1]Summary!D12</f>
        <v>0</v>
      </c>
      <c r="BA7" s="105"/>
      <c r="BB7" s="515">
        <f>[1]Summary!F12</f>
        <v>684</v>
      </c>
      <c r="BC7" s="516">
        <f>[1]Summary!G12</f>
        <v>319</v>
      </c>
      <c r="BD7" s="517">
        <f>[1]Summary!H12</f>
        <v>0</v>
      </c>
      <c r="BE7" s="105"/>
      <c r="BF7" s="515">
        <f>[1]Summary!V12</f>
        <v>5088</v>
      </c>
      <c r="BG7" s="516">
        <f>[1]Summary!W12</f>
        <v>2472</v>
      </c>
      <c r="BH7" s="517">
        <f>[1]Summary!X12</f>
        <v>0</v>
      </c>
      <c r="BI7" s="105"/>
      <c r="BJ7" s="515">
        <f>[1]Summary!Z12</f>
        <v>0</v>
      </c>
      <c r="BK7" s="516">
        <f>[1]Summary!AA12</f>
        <v>0</v>
      </c>
      <c r="BL7" s="517">
        <f>[1]Summary!AB12</f>
        <v>0</v>
      </c>
      <c r="BM7" s="105"/>
      <c r="BN7" s="515">
        <f>[1]Summary!J12</f>
        <v>875</v>
      </c>
      <c r="BO7" s="516">
        <f>[1]Summary!K12</f>
        <v>466</v>
      </c>
      <c r="BP7" s="517">
        <f>[1]Summary!L12</f>
        <v>0</v>
      </c>
      <c r="BQ7" s="96"/>
      <c r="BR7" s="515">
        <f>[1]Summary!R12</f>
        <v>6</v>
      </c>
      <c r="BS7" s="516">
        <f>[1]Summary!S12</f>
        <v>0</v>
      </c>
      <c r="BT7" s="517">
        <f>[1]Summary!T12</f>
        <v>0</v>
      </c>
      <c r="BU7" s="129"/>
      <c r="BV7" s="515">
        <f>[1]Summary!AD12</f>
        <v>7</v>
      </c>
      <c r="BW7" s="516">
        <f>[1]Summary!AE12</f>
        <v>0</v>
      </c>
      <c r="BX7" s="516">
        <f>[1]Summary!AF12</f>
        <v>7</v>
      </c>
      <c r="BY7" s="517">
        <f>[1]Summary!AG12</f>
        <v>0</v>
      </c>
      <c r="BZ7" s="96"/>
      <c r="CA7" s="515">
        <f>[1]Summary!N12</f>
        <v>948</v>
      </c>
      <c r="CB7" s="516">
        <f>[1]Summary!O12</f>
        <v>131</v>
      </c>
      <c r="CC7" s="517">
        <f>[1]Summary!P12</f>
        <v>0</v>
      </c>
      <c r="CD7" s="175"/>
      <c r="CE7" s="636">
        <f t="shared" si="23"/>
        <v>948</v>
      </c>
      <c r="CF7" s="637">
        <f t="shared" si="13"/>
        <v>131</v>
      </c>
      <c r="CG7" s="638">
        <f t="shared" si="13"/>
        <v>0</v>
      </c>
      <c r="CH7" s="313"/>
      <c r="CI7" s="515">
        <f>[1]Summary!AL12</f>
        <v>56.804166666666674</v>
      </c>
      <c r="CJ7" s="517">
        <f>[1]Summary!AM12</f>
        <v>57.245833333333358</v>
      </c>
      <c r="CK7" s="313"/>
    </row>
    <row r="8" spans="1:89" ht="14.25" customHeight="1">
      <c r="A8" s="166">
        <f t="shared" si="14"/>
        <v>41948</v>
      </c>
      <c r="B8" s="322">
        <v>66484.110000000015</v>
      </c>
      <c r="C8" s="259">
        <v>1509</v>
      </c>
      <c r="D8" s="259">
        <v>37021.599999999984</v>
      </c>
      <c r="E8" s="259">
        <v>1331</v>
      </c>
      <c r="F8" s="320">
        <v>5515.1719999999959</v>
      </c>
      <c r="G8" s="259">
        <v>36841.599999999999</v>
      </c>
      <c r="H8" s="259">
        <v>1325</v>
      </c>
      <c r="I8" s="263">
        <f t="shared" si="0"/>
        <v>66484.110000000015</v>
      </c>
      <c r="J8" s="328">
        <f t="shared" si="1"/>
        <v>1509</v>
      </c>
      <c r="K8" s="328">
        <f t="shared" si="2"/>
        <v>37021.599999999984</v>
      </c>
      <c r="L8" s="325">
        <f t="shared" si="3"/>
        <v>1331</v>
      </c>
      <c r="M8" s="576">
        <v>0.87375800000000003</v>
      </c>
      <c r="N8" s="280">
        <f>[1]Summary!$AI13</f>
        <v>662</v>
      </c>
      <c r="O8" s="280">
        <f>[1]Summary!$AJ13</f>
        <v>847</v>
      </c>
      <c r="P8" s="156">
        <f t="shared" si="15"/>
        <v>740.07302600000003</v>
      </c>
      <c r="Q8" s="280">
        <f t="shared" si="16"/>
        <v>662</v>
      </c>
      <c r="R8" s="370">
        <f t="shared" si="4"/>
        <v>1402.073026</v>
      </c>
      <c r="S8" s="263">
        <f t="shared" si="17"/>
        <v>751.5</v>
      </c>
      <c r="T8" s="125">
        <f t="shared" si="5"/>
        <v>179.99999999998545</v>
      </c>
      <c r="U8" s="125">
        <f t="shared" si="6"/>
        <v>6</v>
      </c>
      <c r="V8" s="125">
        <f t="shared" si="7"/>
        <v>179.99999999998545</v>
      </c>
      <c r="W8" s="125">
        <f t="shared" si="8"/>
        <v>6</v>
      </c>
      <c r="X8" s="125">
        <f t="shared" si="9"/>
        <v>1503</v>
      </c>
      <c r="Y8" s="145">
        <f t="shared" si="10"/>
        <v>41242.32</v>
      </c>
      <c r="Z8" s="269">
        <v>27.44</v>
      </c>
      <c r="AA8" s="167">
        <f t="shared" si="18"/>
        <v>17393.044974000033</v>
      </c>
      <c r="AB8" s="336"/>
      <c r="AC8" s="167">
        <f t="shared" si="19"/>
        <v>89622.871957160882</v>
      </c>
      <c r="AD8" s="522">
        <f t="shared" si="20"/>
        <v>43.128670123260449</v>
      </c>
      <c r="AE8" s="336"/>
      <c r="AF8" s="101">
        <v>5</v>
      </c>
      <c r="AG8" s="102">
        <f t="shared" si="11"/>
        <v>87514</v>
      </c>
      <c r="AH8" s="102">
        <f>'Daily Budget Data'!B9</f>
        <v>90527.382637702263</v>
      </c>
      <c r="AI8" s="96"/>
      <c r="AJ8" s="515">
        <f t="shared" si="21"/>
        <v>0</v>
      </c>
      <c r="AK8" s="515">
        <f t="shared" si="22"/>
        <v>0</v>
      </c>
      <c r="AL8" s="103"/>
      <c r="AM8" s="102">
        <f t="shared" si="12"/>
        <v>94838</v>
      </c>
      <c r="AN8" s="102">
        <f>'Daily Budget Data'!H9+'Daily Budget Data'!I9+'Daily Budget Data'!J9</f>
        <v>98183.52962962976</v>
      </c>
      <c r="AO8" s="96"/>
      <c r="AP8" s="110">
        <v>5</v>
      </c>
      <c r="AQ8" s="334">
        <v>62382</v>
      </c>
      <c r="AR8" s="336">
        <v>25132</v>
      </c>
      <c r="AS8" s="420"/>
      <c r="AT8" s="336">
        <v>67486</v>
      </c>
      <c r="AU8" s="336">
        <v>27352</v>
      </c>
      <c r="AV8" s="353"/>
      <c r="AX8" s="515">
        <f>[1]Summary!B13</f>
        <v>9</v>
      </c>
      <c r="AY8" s="516">
        <f>[1]Summary!C13</f>
        <v>0</v>
      </c>
      <c r="AZ8" s="517">
        <f>[1]Summary!D13</f>
        <v>0</v>
      </c>
      <c r="BA8" s="105"/>
      <c r="BB8" s="515">
        <f>[1]Summary!F13</f>
        <v>750</v>
      </c>
      <c r="BC8" s="516">
        <f>[1]Summary!G13</f>
        <v>380</v>
      </c>
      <c r="BD8" s="517">
        <f>[1]Summary!H13</f>
        <v>0</v>
      </c>
      <c r="BE8" s="105"/>
      <c r="BF8" s="515">
        <f>[1]Summary!V13</f>
        <v>5088</v>
      </c>
      <c r="BG8" s="516">
        <f>[1]Summary!W13</f>
        <v>2484</v>
      </c>
      <c r="BH8" s="517">
        <f>[1]Summary!X13</f>
        <v>0</v>
      </c>
      <c r="BI8" s="105"/>
      <c r="BJ8" s="515">
        <f>[1]Summary!Z13</f>
        <v>0</v>
      </c>
      <c r="BK8" s="516">
        <f>[1]Summary!AA13</f>
        <v>0</v>
      </c>
      <c r="BL8" s="517">
        <f>[1]Summary!AB13</f>
        <v>0</v>
      </c>
      <c r="BM8" s="105"/>
      <c r="BN8" s="515">
        <f>[1]Summary!J13</f>
        <v>895</v>
      </c>
      <c r="BO8" s="516">
        <f>[1]Summary!K13</f>
        <v>427</v>
      </c>
      <c r="BP8" s="517">
        <f>[1]Summary!L13</f>
        <v>0</v>
      </c>
      <c r="BQ8" s="96"/>
      <c r="BR8" s="515">
        <f>[1]Summary!R13</f>
        <v>9</v>
      </c>
      <c r="BS8" s="516">
        <f>[1]Summary!S13</f>
        <v>0</v>
      </c>
      <c r="BT8" s="517">
        <f>[1]Summary!T13</f>
        <v>0</v>
      </c>
      <c r="BU8" s="129"/>
      <c r="BV8" s="515">
        <f>[1]Summary!AD13</f>
        <v>12</v>
      </c>
      <c r="BW8" s="516">
        <f>[1]Summary!AE13</f>
        <v>0</v>
      </c>
      <c r="BX8" s="516">
        <f>[1]Summary!AF13</f>
        <v>10</v>
      </c>
      <c r="BY8" s="517">
        <f>[1]Summary!AG13</f>
        <v>0</v>
      </c>
      <c r="BZ8" s="96"/>
      <c r="CA8" s="515">
        <f>[1]Summary!N13</f>
        <v>1209</v>
      </c>
      <c r="CB8" s="516">
        <f>[1]Summary!O13</f>
        <v>300</v>
      </c>
      <c r="CC8" s="517">
        <f>[1]Summary!P13</f>
        <v>0</v>
      </c>
      <c r="CD8" s="175"/>
      <c r="CE8" s="636">
        <f t="shared" si="23"/>
        <v>1209</v>
      </c>
      <c r="CF8" s="637">
        <f t="shared" si="13"/>
        <v>300</v>
      </c>
      <c r="CG8" s="638">
        <f t="shared" si="13"/>
        <v>0</v>
      </c>
      <c r="CH8" s="313"/>
      <c r="CI8" s="515">
        <f>[1]Summary!AL13</f>
        <v>52.924652777777794</v>
      </c>
      <c r="CJ8" s="517">
        <f>[1]Summary!AM13</f>
        <v>54.572222222222223</v>
      </c>
      <c r="CK8" s="313"/>
    </row>
    <row r="9" spans="1:89" ht="14.25" customHeight="1">
      <c r="A9" s="166">
        <f t="shared" si="14"/>
        <v>41949</v>
      </c>
      <c r="B9" s="322">
        <v>81765.310000000012</v>
      </c>
      <c r="C9" s="259">
        <v>1961</v>
      </c>
      <c r="D9" s="259">
        <v>39353.089999999997</v>
      </c>
      <c r="E9" s="259">
        <v>1401</v>
      </c>
      <c r="F9" s="320">
        <v>7007.8439999999982</v>
      </c>
      <c r="G9" s="259">
        <v>38933.089999999997</v>
      </c>
      <c r="H9" s="259">
        <v>1387</v>
      </c>
      <c r="I9" s="263">
        <f t="shared" si="0"/>
        <v>81765.310000000012</v>
      </c>
      <c r="J9" s="328">
        <f t="shared" si="1"/>
        <v>1961</v>
      </c>
      <c r="K9" s="328">
        <f t="shared" si="2"/>
        <v>39353.089999999997</v>
      </c>
      <c r="L9" s="325">
        <f t="shared" si="3"/>
        <v>1401</v>
      </c>
      <c r="M9" s="576">
        <v>0.325322</v>
      </c>
      <c r="N9" s="280">
        <f>[1]Summary!$AI14</f>
        <v>559</v>
      </c>
      <c r="O9" s="280">
        <f>[1]Summary!$AJ14</f>
        <v>747</v>
      </c>
      <c r="P9" s="156">
        <f t="shared" si="15"/>
        <v>243.015534</v>
      </c>
      <c r="Q9" s="280">
        <f t="shared" si="16"/>
        <v>559</v>
      </c>
      <c r="R9" s="370">
        <f t="shared" si="4"/>
        <v>802.015534</v>
      </c>
      <c r="S9" s="263">
        <f t="shared" si="17"/>
        <v>973.5</v>
      </c>
      <c r="T9" s="125">
        <f t="shared" si="5"/>
        <v>420</v>
      </c>
      <c r="U9" s="125">
        <f t="shared" si="6"/>
        <v>14</v>
      </c>
      <c r="V9" s="125">
        <f t="shared" si="7"/>
        <v>420</v>
      </c>
      <c r="W9" s="125">
        <f t="shared" si="8"/>
        <v>14</v>
      </c>
      <c r="X9" s="125">
        <f t="shared" si="9"/>
        <v>1947</v>
      </c>
      <c r="Y9" s="145">
        <f t="shared" si="10"/>
        <v>51673.38</v>
      </c>
      <c r="Z9" s="269">
        <v>26.54</v>
      </c>
      <c r="AA9" s="167">
        <f t="shared" si="18"/>
        <v>20888.570466000012</v>
      </c>
      <c r="AB9" s="336"/>
      <c r="AC9" s="167">
        <f t="shared" si="19"/>
        <v>90049.481625029526</v>
      </c>
      <c r="AD9" s="522">
        <f t="shared" si="20"/>
        <v>41.286572740438551</v>
      </c>
      <c r="AE9" s="336"/>
      <c r="AF9" s="101">
        <v>6</v>
      </c>
      <c r="AG9" s="102">
        <f t="shared" si="11"/>
        <v>89603</v>
      </c>
      <c r="AH9" s="102">
        <f>'Daily Budget Data'!B10</f>
        <v>90958.297824827125</v>
      </c>
      <c r="AI9" s="96"/>
      <c r="AJ9" s="515">
        <f t="shared" si="21"/>
        <v>0</v>
      </c>
      <c r="AK9" s="515">
        <f t="shared" si="22"/>
        <v>0</v>
      </c>
      <c r="AL9" s="103"/>
      <c r="AM9" s="102">
        <f t="shared" si="12"/>
        <v>97267</v>
      </c>
      <c r="AN9" s="102">
        <f>'Daily Budget Data'!H10+'Daily Budget Data'!I10+'Daily Budget Data'!J10</f>
        <v>98183.52962962976</v>
      </c>
      <c r="AO9" s="96"/>
      <c r="AP9" s="110">
        <v>6</v>
      </c>
      <c r="AQ9" s="334">
        <v>63932</v>
      </c>
      <c r="AR9" s="336">
        <v>25671</v>
      </c>
      <c r="AS9" s="420"/>
      <c r="AT9" s="336">
        <v>69283</v>
      </c>
      <c r="AU9" s="336">
        <v>27984</v>
      </c>
      <c r="AV9" s="353"/>
      <c r="AX9" s="515">
        <f>[1]Summary!B14</f>
        <v>1</v>
      </c>
      <c r="AY9" s="516">
        <f>[1]Summary!C14</f>
        <v>0</v>
      </c>
      <c r="AZ9" s="517">
        <f>[1]Summary!D14</f>
        <v>0</v>
      </c>
      <c r="BA9" s="105"/>
      <c r="BB9" s="515">
        <f>[1]Summary!F14</f>
        <v>752</v>
      </c>
      <c r="BC9" s="516">
        <f>[1]Summary!G14</f>
        <v>373</v>
      </c>
      <c r="BD9" s="517">
        <f>[1]Summary!H14</f>
        <v>0</v>
      </c>
      <c r="BE9" s="105"/>
      <c r="BF9" s="515">
        <f>[1]Summary!V14</f>
        <v>5088</v>
      </c>
      <c r="BG9" s="516">
        <f>[1]Summary!W14</f>
        <v>2496</v>
      </c>
      <c r="BH9" s="517">
        <f>[1]Summary!X14</f>
        <v>0</v>
      </c>
      <c r="BI9" s="105"/>
      <c r="BJ9" s="515">
        <f>[1]Summary!Z14</f>
        <v>0</v>
      </c>
      <c r="BK9" s="516">
        <f>[1]Summary!AA14</f>
        <v>0</v>
      </c>
      <c r="BL9" s="517">
        <f>[1]Summary!AB14</f>
        <v>0</v>
      </c>
      <c r="BM9" s="105"/>
      <c r="BN9" s="515">
        <f>[1]Summary!J14</f>
        <v>915</v>
      </c>
      <c r="BO9" s="516">
        <f>[1]Summary!K14</f>
        <v>472</v>
      </c>
      <c r="BP9" s="517">
        <f>[1]Summary!L14</f>
        <v>0</v>
      </c>
      <c r="BQ9" s="96"/>
      <c r="BR9" s="515">
        <f>[1]Summary!R14</f>
        <v>14</v>
      </c>
      <c r="BS9" s="516">
        <f>[1]Summary!S14</f>
        <v>0</v>
      </c>
      <c r="BT9" s="517">
        <f>[1]Summary!T14</f>
        <v>0</v>
      </c>
      <c r="BU9" s="129"/>
      <c r="BV9" s="515">
        <f>[1]Summary!AD14</f>
        <v>18</v>
      </c>
      <c r="BW9" s="516">
        <f>[1]Summary!AE14</f>
        <v>0</v>
      </c>
      <c r="BX9" s="516">
        <f>[1]Summary!AF14</f>
        <v>16</v>
      </c>
      <c r="BY9" s="517">
        <f>[1]Summary!AG14</f>
        <v>0</v>
      </c>
      <c r="BZ9" s="96"/>
      <c r="CA9" s="515">
        <f>[1]Summary!N14</f>
        <v>1611</v>
      </c>
      <c r="CB9" s="516">
        <f>[1]Summary!O14</f>
        <v>350</v>
      </c>
      <c r="CC9" s="517">
        <f>[1]Summary!P14</f>
        <v>0</v>
      </c>
      <c r="CD9" s="175"/>
      <c r="CE9" s="636">
        <f t="shared" si="23"/>
        <v>1611</v>
      </c>
      <c r="CF9" s="637">
        <f t="shared" si="13"/>
        <v>350</v>
      </c>
      <c r="CG9" s="638">
        <f t="shared" si="13"/>
        <v>0</v>
      </c>
      <c r="CH9" s="313"/>
      <c r="CI9" s="515">
        <f>[1]Summary!AL14</f>
        <v>47.726041666666667</v>
      </c>
      <c r="CJ9" s="517">
        <f>[1]Summary!AM14</f>
        <v>48.691666666666663</v>
      </c>
      <c r="CK9" s="313"/>
    </row>
    <row r="10" spans="1:89" ht="14.25" customHeight="1">
      <c r="A10" s="166">
        <f t="shared" si="14"/>
        <v>41950</v>
      </c>
      <c r="B10" s="322">
        <v>99661.34</v>
      </c>
      <c r="C10" s="259">
        <v>2356</v>
      </c>
      <c r="D10" s="259">
        <v>43230.510300000009</v>
      </c>
      <c r="E10" s="259">
        <v>1569</v>
      </c>
      <c r="F10" s="320">
        <v>8777.9929999999986</v>
      </c>
      <c r="G10" s="259">
        <v>43230.510300000009</v>
      </c>
      <c r="H10" s="259">
        <v>1569</v>
      </c>
      <c r="I10" s="263">
        <f t="shared" si="0"/>
        <v>99661.34</v>
      </c>
      <c r="J10" s="328">
        <f t="shared" si="1"/>
        <v>2356</v>
      </c>
      <c r="K10" s="328">
        <f t="shared" si="2"/>
        <v>43230.510300000009</v>
      </c>
      <c r="L10" s="325">
        <f t="shared" si="3"/>
        <v>1569</v>
      </c>
      <c r="M10" s="576">
        <v>0.189973</v>
      </c>
      <c r="N10" s="280">
        <f>[1]Summary!$AI15</f>
        <v>675</v>
      </c>
      <c r="O10" s="280">
        <f>[1]Summary!$AJ15</f>
        <v>749</v>
      </c>
      <c r="P10" s="156">
        <f t="shared" si="15"/>
        <v>142.28977700000002</v>
      </c>
      <c r="Q10" s="280">
        <f t="shared" si="16"/>
        <v>675</v>
      </c>
      <c r="R10" s="370">
        <f t="shared" si="4"/>
        <v>817.28977699999996</v>
      </c>
      <c r="S10" s="263">
        <f t="shared" si="17"/>
        <v>1178</v>
      </c>
      <c r="T10" s="125">
        <f t="shared" si="5"/>
        <v>0</v>
      </c>
      <c r="U10" s="125">
        <f t="shared" si="6"/>
        <v>0</v>
      </c>
      <c r="V10" s="125">
        <f t="shared" si="7"/>
        <v>0</v>
      </c>
      <c r="W10" s="125">
        <f t="shared" si="8"/>
        <v>0</v>
      </c>
      <c r="X10" s="125">
        <f t="shared" si="9"/>
        <v>2356</v>
      </c>
      <c r="Y10" s="145">
        <f t="shared" si="10"/>
        <v>66368.52</v>
      </c>
      <c r="Z10" s="269">
        <v>28.17</v>
      </c>
      <c r="AA10" s="167">
        <f t="shared" si="18"/>
        <v>22519.537222999992</v>
      </c>
      <c r="AB10" s="336"/>
      <c r="AC10" s="167">
        <f t="shared" si="19"/>
        <v>88467.948160275526</v>
      </c>
      <c r="AD10" s="522">
        <f t="shared" si="20"/>
        <v>41.954100275891342</v>
      </c>
      <c r="AE10" s="336"/>
      <c r="AF10" s="101">
        <v>7</v>
      </c>
      <c r="AG10" s="102">
        <f t="shared" si="11"/>
        <v>92454</v>
      </c>
      <c r="AH10" s="102">
        <f>'Daily Budget Data'!B11</f>
        <v>89360.802877482085</v>
      </c>
      <c r="AI10" s="96"/>
      <c r="AJ10" s="515">
        <f t="shared" si="21"/>
        <v>0</v>
      </c>
      <c r="AK10" s="515">
        <f t="shared" si="22"/>
        <v>0</v>
      </c>
      <c r="AL10" s="103"/>
      <c r="AM10" s="102">
        <f t="shared" si="12"/>
        <v>100678</v>
      </c>
      <c r="AN10" s="102">
        <f>'Daily Budget Data'!H11+'Daily Budget Data'!I11+'Daily Budget Data'!J11</f>
        <v>98183.52962962976</v>
      </c>
      <c r="AO10" s="96"/>
      <c r="AP10" s="110">
        <v>7</v>
      </c>
      <c r="AQ10" s="334">
        <v>64014</v>
      </c>
      <c r="AR10" s="336">
        <v>28440</v>
      </c>
      <c r="AS10" s="420"/>
      <c r="AT10" s="336">
        <v>70101</v>
      </c>
      <c r="AU10" s="336">
        <v>30577</v>
      </c>
      <c r="AV10" s="353"/>
      <c r="AX10" s="515">
        <f>[1]Summary!B15</f>
        <v>351</v>
      </c>
      <c r="AY10" s="516">
        <f>[1]Summary!C15</f>
        <v>65</v>
      </c>
      <c r="AZ10" s="517">
        <f>[1]Summary!D15</f>
        <v>0</v>
      </c>
      <c r="BA10" s="105"/>
      <c r="BB10" s="515">
        <f>[1]Summary!F15</f>
        <v>771</v>
      </c>
      <c r="BC10" s="516">
        <f>[1]Summary!G15</f>
        <v>386</v>
      </c>
      <c r="BD10" s="517">
        <f>[1]Summary!H15</f>
        <v>0</v>
      </c>
      <c r="BE10" s="105"/>
      <c r="BF10" s="515">
        <f>[1]Summary!V15</f>
        <v>5055</v>
      </c>
      <c r="BG10" s="516">
        <f>[1]Summary!W15</f>
        <v>2484</v>
      </c>
      <c r="BH10" s="517">
        <f>[1]Summary!X15</f>
        <v>0</v>
      </c>
      <c r="BI10" s="105"/>
      <c r="BJ10" s="515">
        <f>[1]Summary!Z15</f>
        <v>0</v>
      </c>
      <c r="BK10" s="516">
        <f>[1]Summary!AA15</f>
        <v>0</v>
      </c>
      <c r="BL10" s="517">
        <f>[1]Summary!AB15</f>
        <v>0</v>
      </c>
      <c r="BM10" s="105"/>
      <c r="BN10" s="515">
        <f>[1]Summary!J15</f>
        <v>1061</v>
      </c>
      <c r="BO10" s="516">
        <f>[1]Summary!K15</f>
        <v>478</v>
      </c>
      <c r="BP10" s="517">
        <f>[1]Summary!L15</f>
        <v>0</v>
      </c>
      <c r="BQ10" s="96"/>
      <c r="BR10" s="515">
        <f>[1]Summary!R15</f>
        <v>28</v>
      </c>
      <c r="BS10" s="516">
        <f>[1]Summary!S15</f>
        <v>2</v>
      </c>
      <c r="BT10" s="517">
        <f>[1]Summary!T15</f>
        <v>0</v>
      </c>
      <c r="BU10" s="129"/>
      <c r="BV10" s="515">
        <f>[1]Summary!AD15</f>
        <v>26</v>
      </c>
      <c r="BW10" s="516">
        <f>[1]Summary!AE15</f>
        <v>0</v>
      </c>
      <c r="BX10" s="516">
        <f>[1]Summary!AF15</f>
        <v>21</v>
      </c>
      <c r="BY10" s="517">
        <f>[1]Summary!AG15</f>
        <v>0</v>
      </c>
      <c r="BZ10" s="96"/>
      <c r="CA10" s="515">
        <f>[1]Summary!N15</f>
        <v>2206</v>
      </c>
      <c r="CB10" s="516">
        <f>[1]Summary!O15</f>
        <v>150</v>
      </c>
      <c r="CC10" s="517">
        <f>[1]Summary!P15</f>
        <v>0</v>
      </c>
      <c r="CD10" s="175"/>
      <c r="CE10" s="636">
        <f t="shared" si="23"/>
        <v>2206</v>
      </c>
      <c r="CF10" s="637">
        <f t="shared" si="13"/>
        <v>150</v>
      </c>
      <c r="CG10" s="638">
        <f t="shared" si="13"/>
        <v>0</v>
      </c>
      <c r="CH10" s="313"/>
      <c r="CI10" s="515">
        <f>[1]Summary!AL15</f>
        <v>40.158333333333339</v>
      </c>
      <c r="CJ10" s="517">
        <f>[1]Summary!AM15</f>
        <v>43.497222222222227</v>
      </c>
      <c r="CK10" s="313"/>
    </row>
    <row r="11" spans="1:89" ht="14.25" customHeight="1">
      <c r="A11" s="166">
        <f t="shared" si="14"/>
        <v>41951</v>
      </c>
      <c r="B11" s="322">
        <v>43043.17</v>
      </c>
      <c r="C11" s="259">
        <v>911</v>
      </c>
      <c r="D11" s="259">
        <v>49982.670000000013</v>
      </c>
      <c r="E11" s="259">
        <v>1809</v>
      </c>
      <c r="F11" s="320">
        <v>976.08699999999999</v>
      </c>
      <c r="G11" s="259">
        <v>49982.670000000013</v>
      </c>
      <c r="H11" s="259">
        <v>1809</v>
      </c>
      <c r="I11" s="263">
        <f t="shared" si="0"/>
        <v>43043.17</v>
      </c>
      <c r="J11" s="328">
        <f t="shared" si="1"/>
        <v>911</v>
      </c>
      <c r="K11" s="328">
        <f t="shared" si="2"/>
        <v>49982.670000000013</v>
      </c>
      <c r="L11" s="325">
        <f t="shared" si="3"/>
        <v>1809</v>
      </c>
      <c r="M11" s="576">
        <v>3.9729E-2</v>
      </c>
      <c r="N11" s="280">
        <f>[1]Summary!$AI16</f>
        <v>100</v>
      </c>
      <c r="O11" s="280">
        <f>[1]Summary!$AJ16</f>
        <v>124</v>
      </c>
      <c r="P11" s="156">
        <f t="shared" si="15"/>
        <v>4.9263960000000004</v>
      </c>
      <c r="Q11" s="280">
        <f t="shared" si="16"/>
        <v>100</v>
      </c>
      <c r="R11" s="370">
        <f t="shared" si="4"/>
        <v>104.926396</v>
      </c>
      <c r="S11" s="263">
        <f t="shared" si="17"/>
        <v>455.5</v>
      </c>
      <c r="T11" s="125">
        <f t="shared" si="5"/>
        <v>0</v>
      </c>
      <c r="U11" s="125">
        <f t="shared" si="6"/>
        <v>0</v>
      </c>
      <c r="V11" s="125">
        <f t="shared" si="7"/>
        <v>0</v>
      </c>
      <c r="W11" s="125">
        <f t="shared" si="8"/>
        <v>0</v>
      </c>
      <c r="X11" s="125">
        <f t="shared" si="9"/>
        <v>911</v>
      </c>
      <c r="Y11" s="145">
        <f t="shared" si="10"/>
        <v>32398.582680555552</v>
      </c>
      <c r="Z11" s="269">
        <v>35.563757058787651</v>
      </c>
      <c r="AA11" s="167">
        <f t="shared" si="18"/>
        <v>9108.0739234444445</v>
      </c>
      <c r="AB11" s="336"/>
      <c r="AC11" s="167">
        <f t="shared" si="19"/>
        <v>80202.185024200458</v>
      </c>
      <c r="AD11" s="522">
        <f t="shared" si="20"/>
        <v>47.13304486827662</v>
      </c>
      <c r="AE11" s="336"/>
      <c r="AF11" s="101">
        <v>8</v>
      </c>
      <c r="AG11" s="102">
        <f t="shared" si="11"/>
        <v>86277</v>
      </c>
      <c r="AH11" s="102">
        <f>'Daily Budget Data'!B12</f>
        <v>81011.618279048853</v>
      </c>
      <c r="AI11" s="96"/>
      <c r="AJ11" s="515">
        <f t="shared" si="21"/>
        <v>0</v>
      </c>
      <c r="AK11" s="515">
        <f t="shared" si="22"/>
        <v>0</v>
      </c>
      <c r="AL11" s="103"/>
      <c r="AM11" s="102">
        <f t="shared" si="12"/>
        <v>92394</v>
      </c>
      <c r="AN11" s="102">
        <f>'Daily Budget Data'!H12+'Daily Budget Data'!I12+'Daily Budget Data'!J12</f>
        <v>83347.140833333426</v>
      </c>
      <c r="AO11" s="96"/>
      <c r="AP11" s="110">
        <v>8</v>
      </c>
      <c r="AQ11" s="334"/>
      <c r="AR11" s="336">
        <v>28552</v>
      </c>
      <c r="AS11" s="420">
        <v>57725</v>
      </c>
      <c r="AT11" s="336"/>
      <c r="AU11" s="336">
        <v>30248</v>
      </c>
      <c r="AV11" s="353">
        <v>62146</v>
      </c>
      <c r="AX11" s="515">
        <f>[1]Summary!B16</f>
        <v>0</v>
      </c>
      <c r="AY11" s="516">
        <f>[1]Summary!C16</f>
        <v>1048</v>
      </c>
      <c r="AZ11" s="517">
        <f>[1]Summary!D16</f>
        <v>1071</v>
      </c>
      <c r="BA11" s="105"/>
      <c r="BB11" s="515">
        <f>[1]Summary!F16</f>
        <v>0</v>
      </c>
      <c r="BC11" s="516">
        <f>[1]Summary!G16</f>
        <v>374</v>
      </c>
      <c r="BD11" s="517">
        <f>[1]Summary!H16</f>
        <v>753</v>
      </c>
      <c r="BE11" s="105"/>
      <c r="BF11" s="515">
        <f>[1]Summary!V16</f>
        <v>0</v>
      </c>
      <c r="BG11" s="516">
        <f>[1]Summary!W16</f>
        <v>1942</v>
      </c>
      <c r="BH11" s="517">
        <f>[1]Summary!X16</f>
        <v>4937</v>
      </c>
      <c r="BI11" s="105"/>
      <c r="BJ11" s="515">
        <f>[1]Summary!Z16</f>
        <v>0</v>
      </c>
      <c r="BK11" s="516">
        <f>[1]Summary!AA16</f>
        <v>354</v>
      </c>
      <c r="BL11" s="517">
        <f>[1]Summary!AB16</f>
        <v>33</v>
      </c>
      <c r="BM11" s="105"/>
      <c r="BN11" s="515">
        <f>[1]Summary!J16</f>
        <v>0</v>
      </c>
      <c r="BO11" s="516">
        <f>[1]Summary!K16</f>
        <v>618</v>
      </c>
      <c r="BP11" s="517">
        <f>[1]Summary!L16</f>
        <v>1191</v>
      </c>
      <c r="BQ11" s="96"/>
      <c r="BR11" s="515">
        <f>[1]Summary!R16</f>
        <v>0</v>
      </c>
      <c r="BS11" s="516">
        <f>[1]Summary!S16</f>
        <v>0</v>
      </c>
      <c r="BT11" s="517">
        <f>[1]Summary!T16</f>
        <v>0</v>
      </c>
      <c r="BU11" s="129"/>
      <c r="BV11" s="515">
        <f>[1]Summary!AD16</f>
        <v>21</v>
      </c>
      <c r="BW11" s="516">
        <f>[1]Summary!AE16</f>
        <v>0</v>
      </c>
      <c r="BX11" s="516">
        <f>[1]Summary!AF16</f>
        <v>19</v>
      </c>
      <c r="BY11" s="517">
        <f>[1]Summary!AG16</f>
        <v>0</v>
      </c>
      <c r="BZ11" s="96"/>
      <c r="CA11" s="515">
        <f>[1]Summary!N16</f>
        <v>0</v>
      </c>
      <c r="CB11" s="516">
        <f>[1]Summary!O16</f>
        <v>50</v>
      </c>
      <c r="CC11" s="517">
        <f>[1]Summary!P16</f>
        <v>474</v>
      </c>
      <c r="CD11" s="175"/>
      <c r="CE11" s="636">
        <f t="shared" si="23"/>
        <v>0</v>
      </c>
      <c r="CF11" s="637">
        <f t="shared" si="13"/>
        <v>404</v>
      </c>
      <c r="CG11" s="638">
        <f t="shared" si="13"/>
        <v>507</v>
      </c>
      <c r="CH11" s="313"/>
      <c r="CI11" s="515">
        <f>[1]Summary!AL16</f>
        <v>44.154166666666669</v>
      </c>
      <c r="CJ11" s="517">
        <f>[1]Summary!AM16</f>
        <v>45.504166666666663</v>
      </c>
      <c r="CK11" s="313"/>
    </row>
    <row r="12" spans="1:89" ht="14.25" customHeight="1">
      <c r="A12" s="166">
        <f t="shared" si="14"/>
        <v>41952</v>
      </c>
      <c r="B12" s="322">
        <v>31539.61</v>
      </c>
      <c r="C12" s="259">
        <v>805</v>
      </c>
      <c r="D12" s="259">
        <v>46686.559999999976</v>
      </c>
      <c r="E12" s="259">
        <v>1696</v>
      </c>
      <c r="F12" s="320">
        <v>1543.3950000000004</v>
      </c>
      <c r="G12" s="259">
        <v>46686.559999999976</v>
      </c>
      <c r="H12" s="259">
        <v>1696</v>
      </c>
      <c r="I12" s="263">
        <f t="shared" si="0"/>
        <v>31539.61</v>
      </c>
      <c r="J12" s="328">
        <f t="shared" si="1"/>
        <v>805</v>
      </c>
      <c r="K12" s="328">
        <f t="shared" si="2"/>
        <v>46686.559999999976</v>
      </c>
      <c r="L12" s="325">
        <f t="shared" si="3"/>
        <v>1696</v>
      </c>
      <c r="M12" s="576">
        <v>0.32824599999999998</v>
      </c>
      <c r="N12" s="280">
        <f>[1]Summary!$AI17</f>
        <v>250</v>
      </c>
      <c r="O12" s="280">
        <f>[1]Summary!$AJ17</f>
        <v>223</v>
      </c>
      <c r="P12" s="156">
        <f t="shared" si="15"/>
        <v>73.198858000000001</v>
      </c>
      <c r="Q12" s="280">
        <f t="shared" si="16"/>
        <v>250</v>
      </c>
      <c r="R12" s="370">
        <f t="shared" si="4"/>
        <v>323.19885799999997</v>
      </c>
      <c r="S12" s="263">
        <f t="shared" si="17"/>
        <v>402.5</v>
      </c>
      <c r="T12" s="125">
        <f t="shared" si="5"/>
        <v>0</v>
      </c>
      <c r="U12" s="125">
        <f t="shared" si="6"/>
        <v>0</v>
      </c>
      <c r="V12" s="125">
        <f t="shared" si="7"/>
        <v>0</v>
      </c>
      <c r="W12" s="125">
        <f t="shared" si="8"/>
        <v>0</v>
      </c>
      <c r="X12" s="125">
        <f t="shared" si="9"/>
        <v>805</v>
      </c>
      <c r="Y12" s="145">
        <f t="shared" si="10"/>
        <v>20849.5</v>
      </c>
      <c r="Z12" s="269">
        <v>25.9</v>
      </c>
      <c r="AA12" s="167">
        <f t="shared" si="18"/>
        <v>8421.0161420000004</v>
      </c>
      <c r="AB12" s="336"/>
      <c r="AC12" s="167">
        <f t="shared" si="19"/>
        <v>78676.618953353085</v>
      </c>
      <c r="AD12" s="522">
        <f t="shared" si="20"/>
        <v>38.777742727950312</v>
      </c>
      <c r="AE12" s="336"/>
      <c r="AF12" s="101">
        <v>9</v>
      </c>
      <c r="AG12" s="102">
        <f t="shared" si="11"/>
        <v>79269</v>
      </c>
      <c r="AH12" s="102">
        <f>'Daily Budget Data'!B13</f>
        <v>79470.655571441021</v>
      </c>
      <c r="AI12" s="96"/>
      <c r="AJ12" s="515">
        <f t="shared" si="21"/>
        <v>0</v>
      </c>
      <c r="AK12" s="515">
        <f t="shared" si="22"/>
        <v>0</v>
      </c>
      <c r="AL12" s="103"/>
      <c r="AM12" s="102">
        <f t="shared" si="12"/>
        <v>85252</v>
      </c>
      <c r="AN12" s="102">
        <f>'Daily Budget Data'!H13+'Daily Budget Data'!I13+'Daily Budget Data'!J13</f>
        <v>83347.140833333426</v>
      </c>
      <c r="AO12" s="96"/>
      <c r="AP12" s="110">
        <v>9</v>
      </c>
      <c r="AQ12" s="334"/>
      <c r="AR12" s="336">
        <v>25396</v>
      </c>
      <c r="AS12" s="420">
        <v>53873</v>
      </c>
      <c r="AT12" s="336"/>
      <c r="AU12" s="336">
        <v>26773</v>
      </c>
      <c r="AV12" s="353">
        <v>58479</v>
      </c>
      <c r="AX12" s="515">
        <f>[1]Summary!B17</f>
        <v>0</v>
      </c>
      <c r="AY12" s="516">
        <f>[1]Summary!C17</f>
        <v>0</v>
      </c>
      <c r="AZ12" s="517">
        <f>[1]Summary!D17</f>
        <v>0</v>
      </c>
      <c r="BA12" s="105"/>
      <c r="BB12" s="515">
        <f>[1]Summary!F17</f>
        <v>0</v>
      </c>
      <c r="BC12" s="516">
        <f>[1]Summary!G17</f>
        <v>360</v>
      </c>
      <c r="BD12" s="517">
        <f>[1]Summary!H17</f>
        <v>686</v>
      </c>
      <c r="BE12" s="105"/>
      <c r="BF12" s="515">
        <f>[1]Summary!V17</f>
        <v>0</v>
      </c>
      <c r="BG12" s="516">
        <f>[1]Summary!W17</f>
        <v>1986</v>
      </c>
      <c r="BH12" s="517">
        <f>[1]Summary!X17</f>
        <v>5006</v>
      </c>
      <c r="BI12" s="105"/>
      <c r="BJ12" s="515">
        <f>[1]Summary!Z17</f>
        <v>0</v>
      </c>
      <c r="BK12" s="516">
        <f>[1]Summary!AA17</f>
        <v>0</v>
      </c>
      <c r="BL12" s="517">
        <f>[1]Summary!AB17</f>
        <v>0</v>
      </c>
      <c r="BM12" s="105"/>
      <c r="BN12" s="515">
        <f>[1]Summary!J17</f>
        <v>0</v>
      </c>
      <c r="BO12" s="516">
        <f>[1]Summary!K17</f>
        <v>536</v>
      </c>
      <c r="BP12" s="517">
        <f>[1]Summary!L17</f>
        <v>1152</v>
      </c>
      <c r="BQ12" s="96"/>
      <c r="BR12" s="515">
        <f>[1]Summary!R17</f>
        <v>0</v>
      </c>
      <c r="BS12" s="516">
        <f>[1]Summary!S17</f>
        <v>8</v>
      </c>
      <c r="BT12" s="517">
        <f>[1]Summary!T17</f>
        <v>0</v>
      </c>
      <c r="BU12" s="129"/>
      <c r="BV12" s="515">
        <f>[1]Summary!AD17</f>
        <v>22</v>
      </c>
      <c r="BW12" s="516">
        <f>[1]Summary!AE17</f>
        <v>0</v>
      </c>
      <c r="BX12" s="516">
        <f>[1]Summary!AF17</f>
        <v>21</v>
      </c>
      <c r="BY12" s="517">
        <f>[1]Summary!AG17</f>
        <v>0</v>
      </c>
      <c r="BZ12" s="96"/>
      <c r="CA12" s="515">
        <f>[1]Summary!N17</f>
        <v>0</v>
      </c>
      <c r="CB12" s="516">
        <f>[1]Summary!O17</f>
        <v>3</v>
      </c>
      <c r="CC12" s="517">
        <f>[1]Summary!P17</f>
        <v>802</v>
      </c>
      <c r="CD12" s="175"/>
      <c r="CE12" s="636">
        <f t="shared" si="23"/>
        <v>0</v>
      </c>
      <c r="CF12" s="637">
        <f t="shared" si="13"/>
        <v>3</v>
      </c>
      <c r="CG12" s="638">
        <f t="shared" si="13"/>
        <v>802</v>
      </c>
      <c r="CH12" s="313"/>
      <c r="CI12" s="515">
        <f>[1]Summary!AL17</f>
        <v>43.800000000000004</v>
      </c>
      <c r="CJ12" s="517">
        <f>[1]Summary!AM17</f>
        <v>44.55833333333333</v>
      </c>
      <c r="CK12" s="313"/>
    </row>
    <row r="13" spans="1:89" ht="14.25" customHeight="1">
      <c r="A13" s="166">
        <f t="shared" si="14"/>
        <v>41953</v>
      </c>
      <c r="B13" s="322">
        <v>38839.949999999997</v>
      </c>
      <c r="C13" s="259">
        <v>1049</v>
      </c>
      <c r="D13" s="259">
        <v>47193.150000000009</v>
      </c>
      <c r="E13" s="259">
        <v>1713</v>
      </c>
      <c r="F13" s="320">
        <v>4475.1219999999994</v>
      </c>
      <c r="G13" s="259">
        <v>47193.150000000009</v>
      </c>
      <c r="H13" s="259">
        <v>1713</v>
      </c>
      <c r="I13" s="263">
        <f t="shared" si="0"/>
        <v>38839.949999999997</v>
      </c>
      <c r="J13" s="328">
        <f t="shared" si="1"/>
        <v>1049</v>
      </c>
      <c r="K13" s="328">
        <f t="shared" si="2"/>
        <v>47193.150000000009</v>
      </c>
      <c r="L13" s="325">
        <f t="shared" si="3"/>
        <v>1713</v>
      </c>
      <c r="M13" s="576">
        <v>0.81305700000000003</v>
      </c>
      <c r="N13" s="280">
        <f>[1]Summary!$AI18</f>
        <v>100</v>
      </c>
      <c r="O13" s="280">
        <f>[1]Summary!$AJ18</f>
        <v>749</v>
      </c>
      <c r="P13" s="156">
        <f t="shared" si="15"/>
        <v>608.979693</v>
      </c>
      <c r="Q13" s="280">
        <f t="shared" si="16"/>
        <v>100</v>
      </c>
      <c r="R13" s="370">
        <f t="shared" si="4"/>
        <v>708.979693</v>
      </c>
      <c r="S13" s="263">
        <f t="shared" si="17"/>
        <v>524.5</v>
      </c>
      <c r="T13" s="125">
        <f t="shared" si="5"/>
        <v>0</v>
      </c>
      <c r="U13" s="125">
        <f t="shared" si="6"/>
        <v>0</v>
      </c>
      <c r="V13" s="125">
        <f t="shared" si="7"/>
        <v>0</v>
      </c>
      <c r="W13" s="125">
        <f t="shared" si="8"/>
        <v>0</v>
      </c>
      <c r="X13" s="125">
        <f t="shared" si="9"/>
        <v>1049</v>
      </c>
      <c r="Y13" s="145">
        <f t="shared" si="10"/>
        <v>30504.92</v>
      </c>
      <c r="Z13" s="269">
        <v>29.08</v>
      </c>
      <c r="AA13" s="167">
        <f t="shared" si="18"/>
        <v>2626.4283069999947</v>
      </c>
      <c r="AB13" s="336"/>
      <c r="AC13" s="167">
        <f t="shared" si="19"/>
        <v>90105.075800546852</v>
      </c>
      <c r="AD13" s="522">
        <f t="shared" si="20"/>
        <v>36.349053622497614</v>
      </c>
      <c r="AE13" s="336"/>
      <c r="AF13" s="101">
        <v>10</v>
      </c>
      <c r="AG13" s="102">
        <f t="shared" si="11"/>
        <v>89373</v>
      </c>
      <c r="AH13" s="102">
        <f>'Daily Budget Data'!B14</f>
        <v>91014.453079502418</v>
      </c>
      <c r="AI13" s="96"/>
      <c r="AJ13" s="515">
        <f t="shared" si="21"/>
        <v>0</v>
      </c>
      <c r="AK13" s="515">
        <f t="shared" si="22"/>
        <v>0</v>
      </c>
      <c r="AL13" s="103"/>
      <c r="AM13" s="102">
        <f t="shared" si="12"/>
        <v>96318</v>
      </c>
      <c r="AN13" s="102">
        <f>'Daily Budget Data'!H14+'Daily Budget Data'!I14+'Daily Budget Data'!J14</f>
        <v>98183.52962962976</v>
      </c>
      <c r="AO13" s="96"/>
      <c r="AP13" s="110">
        <v>10</v>
      </c>
      <c r="AQ13" s="334">
        <v>62111</v>
      </c>
      <c r="AR13" s="336">
        <v>27262</v>
      </c>
      <c r="AS13" s="420"/>
      <c r="AT13" s="336">
        <v>66988</v>
      </c>
      <c r="AU13" s="336">
        <v>29330</v>
      </c>
      <c r="AV13" s="353"/>
      <c r="AX13" s="515">
        <f>[1]Summary!B18</f>
        <v>151</v>
      </c>
      <c r="AY13" s="516">
        <f>[1]Summary!C18</f>
        <v>0</v>
      </c>
      <c r="AZ13" s="517">
        <f>[1]Summary!D18</f>
        <v>0</v>
      </c>
      <c r="BA13" s="105"/>
      <c r="BB13" s="515">
        <f>[1]Summary!F18</f>
        <v>703</v>
      </c>
      <c r="BC13" s="516">
        <f>[1]Summary!G18</f>
        <v>339</v>
      </c>
      <c r="BD13" s="517">
        <f>[1]Summary!H18</f>
        <v>0</v>
      </c>
      <c r="BE13" s="105"/>
      <c r="BF13" s="515">
        <f>[1]Summary!V18</f>
        <v>5082</v>
      </c>
      <c r="BG13" s="516">
        <f>[1]Summary!W18</f>
        <v>2472</v>
      </c>
      <c r="BH13" s="517">
        <f>[1]Summary!X18</f>
        <v>0</v>
      </c>
      <c r="BI13" s="105"/>
      <c r="BJ13" s="515">
        <f>[1]Summary!Z18</f>
        <v>0</v>
      </c>
      <c r="BK13" s="516">
        <f>[1]Summary!AA18</f>
        <v>0</v>
      </c>
      <c r="BL13" s="517">
        <f>[1]Summary!AB18</f>
        <v>0</v>
      </c>
      <c r="BM13" s="105"/>
      <c r="BN13" s="515">
        <f>[1]Summary!J18</f>
        <v>1311</v>
      </c>
      <c r="BO13" s="516">
        <f>[1]Summary!K18</f>
        <v>402</v>
      </c>
      <c r="BP13" s="517">
        <f>[1]Summary!L18</f>
        <v>0</v>
      </c>
      <c r="BQ13" s="96"/>
      <c r="BR13" s="515">
        <f>[1]Summary!R18</f>
        <v>0</v>
      </c>
      <c r="BS13" s="516">
        <f>[1]Summary!S18</f>
        <v>0</v>
      </c>
      <c r="BT13" s="517">
        <f>[1]Summary!T18</f>
        <v>0</v>
      </c>
      <c r="BU13" s="129"/>
      <c r="BV13" s="515">
        <f>[1]Summary!AD18</f>
        <v>14</v>
      </c>
      <c r="BW13" s="516">
        <f>[1]Summary!AE18</f>
        <v>0</v>
      </c>
      <c r="BX13" s="516">
        <f>[1]Summary!AF18</f>
        <v>14</v>
      </c>
      <c r="BY13" s="517">
        <f>[1]Summary!AG18</f>
        <v>0</v>
      </c>
      <c r="BZ13" s="96"/>
      <c r="CA13" s="515">
        <f>[1]Summary!N18</f>
        <v>950</v>
      </c>
      <c r="CB13" s="516">
        <f>[1]Summary!O18</f>
        <v>99</v>
      </c>
      <c r="CC13" s="517">
        <f>[1]Summary!P18</f>
        <v>0</v>
      </c>
      <c r="CD13" s="175"/>
      <c r="CE13" s="636">
        <f t="shared" si="23"/>
        <v>950</v>
      </c>
      <c r="CF13" s="637">
        <f t="shared" si="13"/>
        <v>99</v>
      </c>
      <c r="CG13" s="638">
        <f t="shared" si="13"/>
        <v>0</v>
      </c>
      <c r="CH13" s="313"/>
      <c r="CI13" s="515">
        <f>[1]Summary!AL18</f>
        <v>50.412499999999987</v>
      </c>
      <c r="CJ13" s="517">
        <f>[1]Summary!AM18</f>
        <v>52.116666666666674</v>
      </c>
      <c r="CK13" s="313"/>
    </row>
    <row r="14" spans="1:89" ht="14.25" customHeight="1">
      <c r="A14" s="166">
        <f t="shared" si="14"/>
        <v>41954</v>
      </c>
      <c r="B14" s="322">
        <v>20259.900000000001</v>
      </c>
      <c r="C14" s="259">
        <v>575</v>
      </c>
      <c r="D14" s="259">
        <v>58404.800000000039</v>
      </c>
      <c r="E14" s="259">
        <v>2110</v>
      </c>
      <c r="F14" s="320">
        <v>1988.8030000000001</v>
      </c>
      <c r="G14" s="259">
        <v>58404.800000000039</v>
      </c>
      <c r="H14" s="259">
        <v>2110</v>
      </c>
      <c r="I14" s="263">
        <f t="shared" si="0"/>
        <v>20259.900000000001</v>
      </c>
      <c r="J14" s="328">
        <f t="shared" si="1"/>
        <v>575</v>
      </c>
      <c r="K14" s="328">
        <f t="shared" si="2"/>
        <v>58404.800000000039</v>
      </c>
      <c r="L14" s="325">
        <f t="shared" si="3"/>
        <v>2110</v>
      </c>
      <c r="M14" s="576">
        <v>1.6187659999999999</v>
      </c>
      <c r="N14" s="280">
        <f>[1]Summary!$AI19</f>
        <v>200</v>
      </c>
      <c r="O14" s="280">
        <f>[1]Summary!$AJ19</f>
        <v>174</v>
      </c>
      <c r="P14" s="156">
        <f t="shared" si="15"/>
        <v>281.66528399999999</v>
      </c>
      <c r="Q14" s="280">
        <f t="shared" si="16"/>
        <v>200</v>
      </c>
      <c r="R14" s="370">
        <f t="shared" si="4"/>
        <v>481.66528399999999</v>
      </c>
      <c r="S14" s="263">
        <f t="shared" si="17"/>
        <v>287.5</v>
      </c>
      <c r="T14" s="125">
        <f t="shared" si="5"/>
        <v>0</v>
      </c>
      <c r="U14" s="125">
        <f t="shared" si="6"/>
        <v>0</v>
      </c>
      <c r="V14" s="125">
        <f t="shared" si="7"/>
        <v>0</v>
      </c>
      <c r="W14" s="125">
        <f t="shared" si="8"/>
        <v>0</v>
      </c>
      <c r="X14" s="125">
        <f t="shared" si="9"/>
        <v>575</v>
      </c>
      <c r="Y14" s="145">
        <f t="shared" si="10"/>
        <v>17319</v>
      </c>
      <c r="Z14" s="269">
        <v>30.12</v>
      </c>
      <c r="AA14" s="167">
        <f t="shared" si="18"/>
        <v>182.93171600000278</v>
      </c>
      <c r="AB14" s="336"/>
      <c r="AC14" s="167">
        <f t="shared" si="19"/>
        <v>92278.896496118294</v>
      </c>
      <c r="AD14" s="522">
        <f t="shared" si="20"/>
        <v>34.394114695652178</v>
      </c>
      <c r="AE14" s="336"/>
      <c r="AF14" s="101">
        <v>11</v>
      </c>
      <c r="AG14" s="102">
        <f t="shared" si="11"/>
        <v>87201</v>
      </c>
      <c r="AH14" s="102">
        <f>'Daily Budget Data'!B15</f>
        <v>93210.212862650355</v>
      </c>
      <c r="AI14" s="96"/>
      <c r="AJ14" s="515">
        <f t="shared" si="21"/>
        <v>0</v>
      </c>
      <c r="AK14" s="515">
        <f t="shared" si="22"/>
        <v>0</v>
      </c>
      <c r="AL14" s="103"/>
      <c r="AM14" s="102">
        <f t="shared" si="12"/>
        <v>93514</v>
      </c>
      <c r="AN14" s="102">
        <f>'Daily Budget Data'!H15+'Daily Budget Data'!I15+'Daily Budget Data'!J15</f>
        <v>98183.52962962976</v>
      </c>
      <c r="AO14" s="96"/>
      <c r="AP14" s="110">
        <v>11</v>
      </c>
      <c r="AQ14" s="334">
        <v>60948</v>
      </c>
      <c r="AR14" s="336">
        <v>26253</v>
      </c>
      <c r="AS14" s="420"/>
      <c r="AT14" s="336">
        <v>65222</v>
      </c>
      <c r="AU14" s="336">
        <v>28292</v>
      </c>
      <c r="AV14" s="353"/>
      <c r="AX14" s="515">
        <f>[1]Summary!B19</f>
        <v>20</v>
      </c>
      <c r="AY14" s="516">
        <f>[1]Summary!C19</f>
        <v>0</v>
      </c>
      <c r="AZ14" s="517">
        <f>[1]Summary!D19</f>
        <v>0</v>
      </c>
      <c r="BA14" s="105"/>
      <c r="BB14" s="515">
        <f>[1]Summary!F19</f>
        <v>666</v>
      </c>
      <c r="BC14" s="516">
        <f>[1]Summary!G19</f>
        <v>353</v>
      </c>
      <c r="BD14" s="517">
        <f>[1]Summary!H19</f>
        <v>0</v>
      </c>
      <c r="BE14" s="105"/>
      <c r="BF14" s="515">
        <f>[1]Summary!V19</f>
        <v>5088</v>
      </c>
      <c r="BG14" s="516">
        <f>[1]Summary!W19</f>
        <v>2446</v>
      </c>
      <c r="BH14" s="517">
        <f>[1]Summary!X19</f>
        <v>0</v>
      </c>
      <c r="BI14" s="105"/>
      <c r="BJ14" s="515">
        <f>[1]Summary!Z19</f>
        <v>0</v>
      </c>
      <c r="BK14" s="516">
        <f>[1]Summary!AA19</f>
        <v>0</v>
      </c>
      <c r="BL14" s="517">
        <f>[1]Summary!AB19</f>
        <v>0</v>
      </c>
      <c r="BM14" s="105"/>
      <c r="BN14" s="515">
        <f>[1]Summary!J19</f>
        <v>1449</v>
      </c>
      <c r="BO14" s="516">
        <f>[1]Summary!K19</f>
        <v>661</v>
      </c>
      <c r="BP14" s="517">
        <f>[1]Summary!L19</f>
        <v>0</v>
      </c>
      <c r="BQ14" s="96"/>
      <c r="BR14" s="515">
        <f>[1]Summary!R19</f>
        <v>0</v>
      </c>
      <c r="BS14" s="516">
        <f>[1]Summary!S19</f>
        <v>0</v>
      </c>
      <c r="BT14" s="517">
        <f>[1]Summary!T19</f>
        <v>0</v>
      </c>
      <c r="BU14" s="129"/>
      <c r="BV14" s="515">
        <f>[1]Summary!AD19</f>
        <v>13</v>
      </c>
      <c r="BW14" s="516">
        <f>[1]Summary!AE19</f>
        <v>0</v>
      </c>
      <c r="BX14" s="516">
        <f>[1]Summary!AF19</f>
        <v>14</v>
      </c>
      <c r="BY14" s="517">
        <f>[1]Summary!AG19</f>
        <v>0</v>
      </c>
      <c r="BZ14" s="96"/>
      <c r="CA14" s="515">
        <f>[1]Summary!N19</f>
        <v>374</v>
      </c>
      <c r="CB14" s="516">
        <f>[1]Summary!O19</f>
        <v>201</v>
      </c>
      <c r="CC14" s="517">
        <f>[1]Summary!P19</f>
        <v>0</v>
      </c>
      <c r="CD14" s="175"/>
      <c r="CE14" s="636">
        <f t="shared" si="23"/>
        <v>374</v>
      </c>
      <c r="CF14" s="637">
        <f t="shared" si="13"/>
        <v>201</v>
      </c>
      <c r="CG14" s="638">
        <f t="shared" si="13"/>
        <v>0</v>
      </c>
      <c r="CH14" s="313"/>
      <c r="CI14" s="515">
        <f>[1]Summary!AL19</f>
        <v>53.927083333333343</v>
      </c>
      <c r="CJ14" s="517">
        <f>[1]Summary!AM19</f>
        <v>53.391458333333325</v>
      </c>
      <c r="CK14" s="313"/>
    </row>
    <row r="15" spans="1:89" ht="14.25" customHeight="1">
      <c r="A15" s="166">
        <f t="shared" si="14"/>
        <v>41955</v>
      </c>
      <c r="B15" s="322">
        <v>500</v>
      </c>
      <c r="C15" s="259">
        <v>5</v>
      </c>
      <c r="D15" s="259">
        <v>53472.609999999986</v>
      </c>
      <c r="E15" s="259">
        <v>1923</v>
      </c>
      <c r="F15" s="320">
        <v>0</v>
      </c>
      <c r="G15" s="259">
        <v>53472.609999999986</v>
      </c>
      <c r="H15" s="259">
        <v>1923</v>
      </c>
      <c r="I15" s="263">
        <f t="shared" si="0"/>
        <v>500</v>
      </c>
      <c r="J15" s="328">
        <f t="shared" si="1"/>
        <v>5</v>
      </c>
      <c r="K15" s="328">
        <f t="shared" si="2"/>
        <v>53472.609999999986</v>
      </c>
      <c r="L15" s="325">
        <f t="shared" si="3"/>
        <v>1923</v>
      </c>
      <c r="M15" s="576">
        <v>0.720584</v>
      </c>
      <c r="N15" s="280">
        <f>[1]Summary!$AI20</f>
        <v>0</v>
      </c>
      <c r="O15" s="280">
        <f>[1]Summary!$AJ20</f>
        <v>0</v>
      </c>
      <c r="P15" s="156">
        <f t="shared" si="15"/>
        <v>0</v>
      </c>
      <c r="Q15" s="280">
        <f t="shared" si="16"/>
        <v>0</v>
      </c>
      <c r="R15" s="370">
        <f t="shared" si="4"/>
        <v>0</v>
      </c>
      <c r="S15" s="263">
        <f t="shared" si="17"/>
        <v>2.5</v>
      </c>
      <c r="T15" s="125">
        <f t="shared" si="5"/>
        <v>0</v>
      </c>
      <c r="U15" s="125">
        <f t="shared" si="6"/>
        <v>0</v>
      </c>
      <c r="V15" s="125">
        <f t="shared" si="7"/>
        <v>0</v>
      </c>
      <c r="W15" s="125">
        <f t="shared" si="8"/>
        <v>0</v>
      </c>
      <c r="X15" s="125">
        <f t="shared" si="9"/>
        <v>5</v>
      </c>
      <c r="Y15" s="145">
        <f t="shared" si="10"/>
        <v>142.4</v>
      </c>
      <c r="Z15" s="269">
        <v>28.48</v>
      </c>
      <c r="AA15" s="167">
        <f t="shared" si="18"/>
        <v>355.1</v>
      </c>
      <c r="AB15" s="336"/>
      <c r="AC15" s="167">
        <f t="shared" si="19"/>
        <v>92705.089906638183</v>
      </c>
      <c r="AD15" s="522">
        <f t="shared" si="20"/>
        <v>99.855883200000008</v>
      </c>
      <c r="AE15" s="336"/>
      <c r="AF15" s="101">
        <v>12</v>
      </c>
      <c r="AG15" s="102">
        <f t="shared" si="11"/>
        <v>98239</v>
      </c>
      <c r="AH15" s="102">
        <f>'Daily Budget Data'!B16</f>
        <v>93640.70759138705</v>
      </c>
      <c r="AI15" s="96"/>
      <c r="AJ15" s="515">
        <f t="shared" si="21"/>
        <v>0</v>
      </c>
      <c r="AK15" s="515">
        <f t="shared" si="22"/>
        <v>0</v>
      </c>
      <c r="AL15" s="103"/>
      <c r="AM15" s="102">
        <f t="shared" si="12"/>
        <v>103586</v>
      </c>
      <c r="AN15" s="102">
        <f>'Daily Budget Data'!H16+'Daily Budget Data'!I16+'Daily Budget Data'!J16</f>
        <v>98183.52962962976</v>
      </c>
      <c r="AO15" s="96"/>
      <c r="AP15" s="110">
        <v>12</v>
      </c>
      <c r="AQ15" s="334">
        <v>70016</v>
      </c>
      <c r="AR15" s="336">
        <v>28223</v>
      </c>
      <c r="AS15" s="420"/>
      <c r="AT15" s="336">
        <v>73887</v>
      </c>
      <c r="AU15" s="336">
        <v>29699</v>
      </c>
      <c r="AV15" s="353"/>
      <c r="AX15" s="515">
        <f>[1]Summary!B20</f>
        <v>5612</v>
      </c>
      <c r="AY15" s="516">
        <f>[1]Summary!C20</f>
        <v>474</v>
      </c>
      <c r="AZ15" s="517">
        <f>[1]Summary!D20</f>
        <v>0</v>
      </c>
      <c r="BA15" s="105"/>
      <c r="BB15" s="515">
        <f>[1]Summary!F20</f>
        <v>808</v>
      </c>
      <c r="BC15" s="516">
        <f>[1]Summary!G20</f>
        <v>358</v>
      </c>
      <c r="BD15" s="517">
        <f>[1]Summary!H20</f>
        <v>0</v>
      </c>
      <c r="BE15" s="105"/>
      <c r="BF15" s="515">
        <f>[1]Summary!V20</f>
        <v>5064</v>
      </c>
      <c r="BG15" s="516">
        <f>[1]Summary!W20</f>
        <v>2167</v>
      </c>
      <c r="BH15" s="517">
        <f>[1]Summary!X20</f>
        <v>0</v>
      </c>
      <c r="BI15" s="105"/>
      <c r="BJ15" s="515">
        <f>[1]Summary!Z20</f>
        <v>0</v>
      </c>
      <c r="BK15" s="516">
        <f>[1]Summary!AA20</f>
        <v>0</v>
      </c>
      <c r="BL15" s="517">
        <f>[1]Summary!AB20</f>
        <v>0</v>
      </c>
      <c r="BM15" s="105"/>
      <c r="BN15" s="515">
        <f>[1]Summary!J20</f>
        <v>1239</v>
      </c>
      <c r="BO15" s="516">
        <f>[1]Summary!K20</f>
        <v>679</v>
      </c>
      <c r="BP15" s="517">
        <f>[1]Summary!L20</f>
        <v>0</v>
      </c>
      <c r="BQ15" s="96"/>
      <c r="BR15" s="515">
        <f>[1]Summary!R20</f>
        <v>0</v>
      </c>
      <c r="BS15" s="516">
        <f>[1]Summary!S20</f>
        <v>5</v>
      </c>
      <c r="BT15" s="517">
        <f>[1]Summary!T20</f>
        <v>0</v>
      </c>
      <c r="BU15" s="129"/>
      <c r="BV15" s="515">
        <f>[1]Summary!AD20</f>
        <v>29</v>
      </c>
      <c r="BW15" s="516">
        <f>[1]Summary!AE20</f>
        <v>0</v>
      </c>
      <c r="BX15" s="516">
        <f>[1]Summary!AF20</f>
        <v>28</v>
      </c>
      <c r="BY15" s="517">
        <f>[1]Summary!AG20</f>
        <v>0</v>
      </c>
      <c r="BZ15" s="96"/>
      <c r="CA15" s="515">
        <f>[1]Summary!N20</f>
        <v>1</v>
      </c>
      <c r="CB15" s="516">
        <f>[1]Summary!O20</f>
        <v>4</v>
      </c>
      <c r="CC15" s="517">
        <f>[1]Summary!P20</f>
        <v>0</v>
      </c>
      <c r="CD15" s="175"/>
      <c r="CE15" s="636">
        <f t="shared" si="23"/>
        <v>1</v>
      </c>
      <c r="CF15" s="637">
        <f t="shared" si="13"/>
        <v>4</v>
      </c>
      <c r="CG15" s="638">
        <f t="shared" si="13"/>
        <v>0</v>
      </c>
      <c r="CH15" s="313"/>
      <c r="CI15" s="515">
        <f>[1]Summary!AL20</f>
        <v>35.220833333333346</v>
      </c>
      <c r="CJ15" s="517">
        <f>[1]Summary!AM20</f>
        <v>36.991666666666667</v>
      </c>
      <c r="CK15" s="278"/>
    </row>
    <row r="16" spans="1:89" ht="14.25" customHeight="1">
      <c r="A16" s="166">
        <f t="shared" si="14"/>
        <v>41956</v>
      </c>
      <c r="B16" s="322">
        <v>451.99</v>
      </c>
      <c r="C16" s="259">
        <v>7</v>
      </c>
      <c r="D16" s="259">
        <v>64837.120000000017</v>
      </c>
      <c r="E16" s="259">
        <v>2356</v>
      </c>
      <c r="F16" s="320">
        <v>0</v>
      </c>
      <c r="G16" s="259">
        <v>64837.120000000017</v>
      </c>
      <c r="H16" s="259">
        <v>2356</v>
      </c>
      <c r="I16" s="263">
        <f t="shared" si="0"/>
        <v>451.99</v>
      </c>
      <c r="J16" s="328">
        <f t="shared" si="1"/>
        <v>7</v>
      </c>
      <c r="K16" s="328">
        <f t="shared" ref="K16:K34" si="24">SUM(D16:D16)</f>
        <v>64837.120000000017</v>
      </c>
      <c r="L16" s="325">
        <f t="shared" ref="L16:L34" si="25">SUM(E16:E16)</f>
        <v>2356</v>
      </c>
      <c r="M16" s="576">
        <v>0.22719500000000001</v>
      </c>
      <c r="N16" s="280">
        <f>[1]Summary!$AI21</f>
        <v>0</v>
      </c>
      <c r="O16" s="280">
        <f>[1]Summary!$AJ21</f>
        <v>0</v>
      </c>
      <c r="P16" s="156">
        <f t="shared" si="15"/>
        <v>0</v>
      </c>
      <c r="Q16" s="280">
        <f t="shared" si="16"/>
        <v>0</v>
      </c>
      <c r="R16" s="370">
        <f t="shared" si="4"/>
        <v>0</v>
      </c>
      <c r="S16" s="263">
        <f t="shared" si="17"/>
        <v>3.5</v>
      </c>
      <c r="T16" s="125">
        <f t="shared" si="5"/>
        <v>0</v>
      </c>
      <c r="U16" s="125">
        <f t="shared" si="6"/>
        <v>0</v>
      </c>
      <c r="V16" s="125">
        <f t="shared" si="7"/>
        <v>0</v>
      </c>
      <c r="W16" s="125">
        <f t="shared" si="8"/>
        <v>0</v>
      </c>
      <c r="X16" s="125">
        <f t="shared" si="9"/>
        <v>7</v>
      </c>
      <c r="Y16" s="145">
        <f t="shared" si="10"/>
        <v>288.82</v>
      </c>
      <c r="Z16" s="269">
        <v>41.26</v>
      </c>
      <c r="AA16" s="167">
        <f t="shared" si="18"/>
        <v>159.67000000000002</v>
      </c>
      <c r="AB16" s="336"/>
      <c r="AC16" s="167">
        <f t="shared" si="19"/>
        <v>93147.241838214701</v>
      </c>
      <c r="AD16" s="522">
        <f t="shared" si="20"/>
        <v>64.537543571428571</v>
      </c>
      <c r="AE16" s="336"/>
      <c r="AF16" s="101">
        <v>13</v>
      </c>
      <c r="AG16" s="102">
        <f t="shared" si="11"/>
        <v>107925</v>
      </c>
      <c r="AH16" s="102">
        <f>'Daily Budget Data'!B17</f>
        <v>94087.321901102085</v>
      </c>
      <c r="AI16" s="96"/>
      <c r="AJ16" s="515">
        <f t="shared" si="21"/>
        <v>0</v>
      </c>
      <c r="AK16" s="515">
        <f t="shared" si="22"/>
        <v>0</v>
      </c>
      <c r="AL16" s="103"/>
      <c r="AM16" s="102">
        <f t="shared" si="12"/>
        <v>113263</v>
      </c>
      <c r="AN16" s="102">
        <f>'Daily Budget Data'!H17+'Daily Budget Data'!I17+'Daily Budget Data'!J17</f>
        <v>98183.52962962976</v>
      </c>
      <c r="AO16" s="96"/>
      <c r="AP16" s="110">
        <v>13</v>
      </c>
      <c r="AQ16" s="334">
        <v>76410</v>
      </c>
      <c r="AR16" s="336">
        <v>31515</v>
      </c>
      <c r="AS16" s="420"/>
      <c r="AT16" s="336">
        <v>79825</v>
      </c>
      <c r="AU16" s="336">
        <v>33438</v>
      </c>
      <c r="AV16" s="353"/>
      <c r="AX16" s="515">
        <f>[1]Summary!B21</f>
        <v>12459</v>
      </c>
      <c r="AY16" s="516">
        <f>[1]Summary!C21</f>
        <v>2782</v>
      </c>
      <c r="AZ16" s="517">
        <f>[1]Summary!D21</f>
        <v>0</v>
      </c>
      <c r="BA16" s="105"/>
      <c r="BB16" s="515">
        <f>[1]Summary!F21</f>
        <v>843</v>
      </c>
      <c r="BC16" s="516">
        <f>[1]Summary!G21</f>
        <v>440</v>
      </c>
      <c r="BD16" s="517">
        <f>[1]Summary!H21</f>
        <v>0</v>
      </c>
      <c r="BE16" s="105"/>
      <c r="BF16" s="515">
        <f>[1]Summary!V21</f>
        <v>5077</v>
      </c>
      <c r="BG16" s="516">
        <f>[1]Summary!W21</f>
        <v>2544</v>
      </c>
      <c r="BH16" s="517">
        <f>[1]Summary!X21</f>
        <v>0</v>
      </c>
      <c r="BI16" s="105"/>
      <c r="BJ16" s="515">
        <f>[1]Summary!Z21</f>
        <v>7</v>
      </c>
      <c r="BK16" s="516">
        <f>[1]Summary!AA21</f>
        <v>0</v>
      </c>
      <c r="BL16" s="517">
        <f>[1]Summary!AB21</f>
        <v>0</v>
      </c>
      <c r="BM16" s="105"/>
      <c r="BN16" s="515">
        <f>[1]Summary!J21</f>
        <v>1643</v>
      </c>
      <c r="BO16" s="516">
        <f>[1]Summary!K21</f>
        <v>713</v>
      </c>
      <c r="BP16" s="517">
        <f>[1]Summary!L21</f>
        <v>0</v>
      </c>
      <c r="BQ16" s="96"/>
      <c r="BR16" s="515">
        <f>[1]Summary!R21</f>
        <v>0</v>
      </c>
      <c r="BS16" s="516">
        <f>[1]Summary!S21</f>
        <v>0</v>
      </c>
      <c r="BT16" s="517">
        <f>[1]Summary!T21</f>
        <v>0</v>
      </c>
      <c r="BU16" s="129"/>
      <c r="BV16" s="515">
        <f>[1]Summary!AD21</f>
        <v>35</v>
      </c>
      <c r="BW16" s="516">
        <f>[1]Summary!AE21</f>
        <v>0</v>
      </c>
      <c r="BX16" s="516">
        <f>[1]Summary!AF21</f>
        <v>35</v>
      </c>
      <c r="BY16" s="517">
        <f>[1]Summary!AG21</f>
        <v>0</v>
      </c>
      <c r="BZ16" s="96"/>
      <c r="CA16" s="515">
        <f>[1]Summary!N21</f>
        <v>0</v>
      </c>
      <c r="CB16" s="516">
        <f>[1]Summary!O21</f>
        <v>0</v>
      </c>
      <c r="CC16" s="517">
        <f>[1]Summary!P21</f>
        <v>0</v>
      </c>
      <c r="CD16" s="175"/>
      <c r="CE16" s="636">
        <f t="shared" si="23"/>
        <v>7</v>
      </c>
      <c r="CF16" s="637">
        <f t="shared" si="13"/>
        <v>0</v>
      </c>
      <c r="CG16" s="638">
        <f t="shared" si="13"/>
        <v>0</v>
      </c>
      <c r="CH16" s="313"/>
      <c r="CI16" s="515">
        <f>[1]Summary!AL21</f>
        <v>28.747916666666669</v>
      </c>
      <c r="CJ16" s="517">
        <f>[1]Summary!AM21</f>
        <v>29.927083333333329</v>
      </c>
      <c r="CK16" s="313"/>
    </row>
    <row r="17" spans="1:89" ht="14.25" customHeight="1">
      <c r="A17" s="166">
        <f t="shared" si="14"/>
        <v>41957</v>
      </c>
      <c r="B17" s="322">
        <v>0</v>
      </c>
      <c r="C17" s="259">
        <v>0</v>
      </c>
      <c r="D17" s="259">
        <v>90772.590000000026</v>
      </c>
      <c r="E17" s="259">
        <v>3257</v>
      </c>
      <c r="F17" s="320">
        <v>0</v>
      </c>
      <c r="G17" s="259">
        <v>90772.59</v>
      </c>
      <c r="H17" s="259">
        <v>3257</v>
      </c>
      <c r="I17" s="263">
        <f t="shared" si="0"/>
        <v>0</v>
      </c>
      <c r="J17" s="328">
        <f t="shared" si="1"/>
        <v>0</v>
      </c>
      <c r="K17" s="328">
        <f t="shared" si="24"/>
        <v>90772.590000000026</v>
      </c>
      <c r="L17" s="325">
        <f t="shared" si="25"/>
        <v>3257</v>
      </c>
      <c r="M17" s="576">
        <v>0.41829700000000003</v>
      </c>
      <c r="N17" s="280">
        <f>[1]Summary!$AI22</f>
        <v>0</v>
      </c>
      <c r="O17" s="280">
        <f>[1]Summary!$AJ22</f>
        <v>0</v>
      </c>
      <c r="P17" s="156">
        <f t="shared" si="15"/>
        <v>0</v>
      </c>
      <c r="Q17" s="280">
        <f t="shared" si="16"/>
        <v>0</v>
      </c>
      <c r="R17" s="370">
        <f t="shared" si="4"/>
        <v>0</v>
      </c>
      <c r="S17" s="263">
        <f t="shared" si="17"/>
        <v>0</v>
      </c>
      <c r="T17" s="125">
        <f t="shared" si="5"/>
        <v>0</v>
      </c>
      <c r="U17" s="125">
        <f t="shared" si="6"/>
        <v>0</v>
      </c>
      <c r="V17" s="125">
        <f t="shared" si="7"/>
        <v>0</v>
      </c>
      <c r="W17" s="125">
        <f t="shared" si="8"/>
        <v>0</v>
      </c>
      <c r="X17" s="125">
        <f t="shared" si="9"/>
        <v>0</v>
      </c>
      <c r="Y17" s="145">
        <f t="shared" si="10"/>
        <v>0</v>
      </c>
      <c r="Z17" s="269"/>
      <c r="AA17" s="167">
        <f t="shared" si="18"/>
        <v>0</v>
      </c>
      <c r="AB17" s="336"/>
      <c r="AC17" s="167">
        <f t="shared" si="19"/>
        <v>91449.991448462417</v>
      </c>
      <c r="AD17" s="522" t="str">
        <f t="shared" si="20"/>
        <v>-</v>
      </c>
      <c r="AE17" s="336"/>
      <c r="AF17" s="101">
        <v>14</v>
      </c>
      <c r="AG17" s="102">
        <f t="shared" si="11"/>
        <v>110898</v>
      </c>
      <c r="AH17" s="102">
        <f>'Daily Budget Data'!B18</f>
        <v>92372.942166222172</v>
      </c>
      <c r="AI17" s="96"/>
      <c r="AJ17" s="515">
        <f t="shared" si="21"/>
        <v>0</v>
      </c>
      <c r="AK17" s="515">
        <f t="shared" si="22"/>
        <v>0</v>
      </c>
      <c r="AL17" s="103"/>
      <c r="AM17" s="102">
        <f t="shared" si="12"/>
        <v>115450</v>
      </c>
      <c r="AN17" s="102">
        <f>'Daily Budget Data'!H18+'Daily Budget Data'!I18+'Daily Budget Data'!J18</f>
        <v>98183.52962962976</v>
      </c>
      <c r="AO17" s="96"/>
      <c r="AP17" s="110">
        <v>14</v>
      </c>
      <c r="AQ17" s="334">
        <v>75945</v>
      </c>
      <c r="AR17" s="336">
        <v>34953</v>
      </c>
      <c r="AS17" s="420"/>
      <c r="AT17" s="336">
        <v>78906</v>
      </c>
      <c r="AU17" s="336">
        <v>36544</v>
      </c>
      <c r="AV17" s="353"/>
      <c r="AX17" s="515">
        <f>[1]Summary!B22</f>
        <v>8958</v>
      </c>
      <c r="AY17" s="516">
        <f>[1]Summary!C22</f>
        <v>4205</v>
      </c>
      <c r="AZ17" s="517">
        <f>[1]Summary!D22</f>
        <v>0</v>
      </c>
      <c r="BA17" s="105"/>
      <c r="BB17" s="515">
        <f>[1]Summary!F22</f>
        <v>878</v>
      </c>
      <c r="BC17" s="516">
        <f>[1]Summary!G22</f>
        <v>393</v>
      </c>
      <c r="BD17" s="517">
        <f>[1]Summary!H22</f>
        <v>0</v>
      </c>
      <c r="BE17" s="105"/>
      <c r="BF17" s="515">
        <f>[1]Summary!V22</f>
        <v>5088</v>
      </c>
      <c r="BG17" s="516">
        <f>[1]Summary!W22</f>
        <v>2544</v>
      </c>
      <c r="BH17" s="517">
        <f>[1]Summary!X22</f>
        <v>0</v>
      </c>
      <c r="BI17" s="105"/>
      <c r="BJ17" s="515">
        <f>[1]Summary!Z22</f>
        <v>0</v>
      </c>
      <c r="BK17" s="516">
        <f>[1]Summary!AA22</f>
        <v>0</v>
      </c>
      <c r="BL17" s="517">
        <f>[1]Summary!AB22</f>
        <v>0</v>
      </c>
      <c r="BM17" s="105"/>
      <c r="BN17" s="515">
        <f>[1]Summary!J22</f>
        <v>2200</v>
      </c>
      <c r="BO17" s="516">
        <f>[1]Summary!K22</f>
        <v>1057</v>
      </c>
      <c r="BP17" s="517">
        <f>[1]Summary!L22</f>
        <v>0</v>
      </c>
      <c r="BQ17" s="96"/>
      <c r="BR17" s="515">
        <f>[1]Summary!R22</f>
        <v>0</v>
      </c>
      <c r="BS17" s="516">
        <f>[1]Summary!S22</f>
        <v>0</v>
      </c>
      <c r="BT17" s="517">
        <f>[1]Summary!T22</f>
        <v>0</v>
      </c>
      <c r="BU17" s="129"/>
      <c r="BV17" s="515">
        <f>[1]Summary!AD22</f>
        <v>40</v>
      </c>
      <c r="BW17" s="516">
        <f>[1]Summary!AE22</f>
        <v>0</v>
      </c>
      <c r="BX17" s="516">
        <f>[1]Summary!AF22</f>
        <v>36</v>
      </c>
      <c r="BY17" s="517">
        <f>[1]Summary!AG22</f>
        <v>0</v>
      </c>
      <c r="BZ17" s="96"/>
      <c r="CA17" s="515">
        <f>[1]Summary!N22</f>
        <v>0</v>
      </c>
      <c r="CB17" s="516">
        <f>[1]Summary!O22</f>
        <v>0</v>
      </c>
      <c r="CC17" s="517">
        <f>[1]Summary!P22</f>
        <v>0</v>
      </c>
      <c r="CD17" s="175"/>
      <c r="CE17" s="636">
        <f t="shared" si="23"/>
        <v>0</v>
      </c>
      <c r="CF17" s="637">
        <f t="shared" si="13"/>
        <v>0</v>
      </c>
      <c r="CG17" s="638">
        <f t="shared" si="13"/>
        <v>0</v>
      </c>
      <c r="CH17" s="313"/>
      <c r="CI17" s="515">
        <f>[1]Summary!AL22</f>
        <v>24.140277777777772</v>
      </c>
      <c r="CJ17" s="517">
        <f>[1]Summary!AM22</f>
        <v>28.033333333333335</v>
      </c>
      <c r="CK17" s="313"/>
    </row>
    <row r="18" spans="1:89" ht="14.25" customHeight="1">
      <c r="A18" s="166">
        <f t="shared" si="14"/>
        <v>41958</v>
      </c>
      <c r="B18" s="322">
        <v>0</v>
      </c>
      <c r="C18" s="259">
        <v>0</v>
      </c>
      <c r="D18" s="259">
        <v>91505.040000000037</v>
      </c>
      <c r="E18" s="259">
        <v>3288</v>
      </c>
      <c r="F18" s="320">
        <v>0</v>
      </c>
      <c r="G18" s="259">
        <v>91505.040000000037</v>
      </c>
      <c r="H18" s="259">
        <v>3288</v>
      </c>
      <c r="I18" s="263">
        <f t="shared" si="0"/>
        <v>0</v>
      </c>
      <c r="J18" s="328">
        <f t="shared" si="1"/>
        <v>0</v>
      </c>
      <c r="K18" s="328">
        <f t="shared" si="24"/>
        <v>91505.040000000037</v>
      </c>
      <c r="L18" s="325">
        <f t="shared" si="25"/>
        <v>3288</v>
      </c>
      <c r="M18" s="576">
        <v>5.5739999999999998E-2</v>
      </c>
      <c r="N18" s="280">
        <f>[1]Summary!$AI23</f>
        <v>0</v>
      </c>
      <c r="O18" s="280">
        <f>[1]Summary!$AJ23</f>
        <v>0</v>
      </c>
      <c r="P18" s="156">
        <f t="shared" si="15"/>
        <v>0</v>
      </c>
      <c r="Q18" s="280">
        <f t="shared" si="16"/>
        <v>0</v>
      </c>
      <c r="R18" s="370">
        <f t="shared" si="4"/>
        <v>0</v>
      </c>
      <c r="S18" s="263">
        <f t="shared" si="17"/>
        <v>0</v>
      </c>
      <c r="T18" s="125">
        <f t="shared" si="5"/>
        <v>0</v>
      </c>
      <c r="U18" s="125">
        <f t="shared" si="6"/>
        <v>0</v>
      </c>
      <c r="V18" s="125">
        <f t="shared" si="7"/>
        <v>0</v>
      </c>
      <c r="W18" s="125">
        <f t="shared" si="8"/>
        <v>0</v>
      </c>
      <c r="X18" s="125">
        <f t="shared" si="9"/>
        <v>0</v>
      </c>
      <c r="Y18" s="145">
        <f t="shared" si="10"/>
        <v>0</v>
      </c>
      <c r="Z18" s="269"/>
      <c r="AA18" s="167">
        <f t="shared" si="18"/>
        <v>0</v>
      </c>
      <c r="AB18" s="336"/>
      <c r="AC18" s="167">
        <f t="shared" si="19"/>
        <v>82791.809754563146</v>
      </c>
      <c r="AD18" s="522" t="str">
        <f t="shared" si="20"/>
        <v>-</v>
      </c>
      <c r="AE18" s="336"/>
      <c r="AF18" s="101">
        <v>15</v>
      </c>
      <c r="AG18" s="102">
        <f t="shared" si="11"/>
        <v>101830</v>
      </c>
      <c r="AH18" s="102">
        <f>'Daily Budget Data'!B19</f>
        <v>83627.378561375619</v>
      </c>
      <c r="AI18" s="96"/>
      <c r="AJ18" s="515">
        <f t="shared" si="21"/>
        <v>0</v>
      </c>
      <c r="AK18" s="515">
        <f t="shared" si="22"/>
        <v>0</v>
      </c>
      <c r="AL18" s="103"/>
      <c r="AM18" s="102">
        <f t="shared" si="12"/>
        <v>106180</v>
      </c>
      <c r="AN18" s="102">
        <f>'Daily Budget Data'!H19+'Daily Budget Data'!I19+'Daily Budget Data'!J19</f>
        <v>83347.140833333426</v>
      </c>
      <c r="AO18" s="96"/>
      <c r="AP18" s="110">
        <v>15</v>
      </c>
      <c r="AQ18" s="334"/>
      <c r="AR18" s="336">
        <v>34778</v>
      </c>
      <c r="AS18" s="420">
        <v>67052</v>
      </c>
      <c r="AT18" s="336"/>
      <c r="AU18" s="336">
        <v>36257</v>
      </c>
      <c r="AV18" s="353">
        <v>69923</v>
      </c>
      <c r="AX18" s="515">
        <f>[1]Summary!B23</f>
        <v>0</v>
      </c>
      <c r="AY18" s="516">
        <f>[1]Summary!C23</f>
        <v>2662</v>
      </c>
      <c r="AZ18" s="517">
        <f>[1]Summary!D23</f>
        <v>4343</v>
      </c>
      <c r="BA18" s="105"/>
      <c r="BB18" s="515">
        <f>[1]Summary!F23</f>
        <v>0</v>
      </c>
      <c r="BC18" s="516">
        <f>[1]Summary!G23</f>
        <v>479</v>
      </c>
      <c r="BD18" s="517">
        <f>[1]Summary!H23</f>
        <v>966</v>
      </c>
      <c r="BE18" s="105"/>
      <c r="BF18" s="515">
        <f>[1]Summary!V23</f>
        <v>0</v>
      </c>
      <c r="BG18" s="516">
        <f>[1]Summary!W23</f>
        <v>2544</v>
      </c>
      <c r="BH18" s="517">
        <f>[1]Summary!X23</f>
        <v>5088</v>
      </c>
      <c r="BI18" s="105"/>
      <c r="BJ18" s="515">
        <f>[1]Summary!Z23</f>
        <v>0</v>
      </c>
      <c r="BK18" s="516">
        <f>[1]Summary!AA23</f>
        <v>0</v>
      </c>
      <c r="BL18" s="517">
        <f>[1]Summary!AB23</f>
        <v>0</v>
      </c>
      <c r="BM18" s="105"/>
      <c r="BN18" s="515">
        <f>[1]Summary!J23</f>
        <v>0</v>
      </c>
      <c r="BO18" s="516">
        <f>[1]Summary!K23</f>
        <v>1096</v>
      </c>
      <c r="BP18" s="517">
        <f>[1]Summary!L23</f>
        <v>2192</v>
      </c>
      <c r="BQ18" s="96"/>
      <c r="BR18" s="515">
        <f>[1]Summary!R23</f>
        <v>0</v>
      </c>
      <c r="BS18" s="516">
        <f>[1]Summary!S23</f>
        <v>0</v>
      </c>
      <c r="BT18" s="517">
        <f>[1]Summary!T23</f>
        <v>0</v>
      </c>
      <c r="BU18" s="129"/>
      <c r="BV18" s="515">
        <f>[1]Summary!AD23</f>
        <v>39</v>
      </c>
      <c r="BW18" s="516">
        <f>[1]Summary!AE23</f>
        <v>0</v>
      </c>
      <c r="BX18" s="516">
        <f>[1]Summary!AF23</f>
        <v>35</v>
      </c>
      <c r="BY18" s="517">
        <f>[1]Summary!AG23</f>
        <v>0</v>
      </c>
      <c r="BZ18" s="96"/>
      <c r="CA18" s="515">
        <f>[1]Summary!N23</f>
        <v>0</v>
      </c>
      <c r="CB18" s="516">
        <f>[1]Summary!O23</f>
        <v>0</v>
      </c>
      <c r="CC18" s="517">
        <f>[1]Summary!P23</f>
        <v>0</v>
      </c>
      <c r="CD18" s="175"/>
      <c r="CE18" s="636">
        <f t="shared" si="23"/>
        <v>0</v>
      </c>
      <c r="CF18" s="637">
        <f t="shared" si="13"/>
        <v>0</v>
      </c>
      <c r="CG18" s="638">
        <f t="shared" si="13"/>
        <v>0</v>
      </c>
      <c r="CH18" s="278"/>
      <c r="CI18" s="515">
        <f>[1]Summary!AL23</f>
        <v>28.507291666666671</v>
      </c>
      <c r="CJ18" s="517">
        <f>[1]Summary!AM23</f>
        <v>31.237499999999997</v>
      </c>
      <c r="CK18" s="278"/>
    </row>
    <row r="19" spans="1:89" ht="14.25" customHeight="1">
      <c r="A19" s="166">
        <f t="shared" si="14"/>
        <v>41959</v>
      </c>
      <c r="B19" s="322">
        <v>3773.4999999999991</v>
      </c>
      <c r="C19" s="259">
        <v>58</v>
      </c>
      <c r="D19" s="259">
        <v>92947.619999999981</v>
      </c>
      <c r="E19" s="259">
        <v>3339</v>
      </c>
      <c r="F19" s="320">
        <v>0</v>
      </c>
      <c r="G19" s="259">
        <v>92947.619999999981</v>
      </c>
      <c r="H19" s="259">
        <v>3339</v>
      </c>
      <c r="I19" s="263">
        <f t="shared" si="0"/>
        <v>3773.4999999999991</v>
      </c>
      <c r="J19" s="328">
        <f t="shared" si="1"/>
        <v>58</v>
      </c>
      <c r="K19" s="328">
        <f t="shared" si="24"/>
        <v>92947.619999999981</v>
      </c>
      <c r="L19" s="325">
        <f t="shared" si="25"/>
        <v>3339</v>
      </c>
      <c r="M19" s="576">
        <v>0.103282</v>
      </c>
      <c r="N19" s="280">
        <f>[1]Summary!$AI24</f>
        <v>0</v>
      </c>
      <c r="O19" s="280">
        <f>[1]Summary!$AJ24</f>
        <v>0</v>
      </c>
      <c r="P19" s="156">
        <f t="shared" si="15"/>
        <v>0</v>
      </c>
      <c r="Q19" s="280">
        <f t="shared" si="16"/>
        <v>0</v>
      </c>
      <c r="R19" s="370">
        <f t="shared" si="4"/>
        <v>0</v>
      </c>
      <c r="S19" s="263">
        <f t="shared" si="17"/>
        <v>29</v>
      </c>
      <c r="T19" s="125">
        <f t="shared" si="5"/>
        <v>0</v>
      </c>
      <c r="U19" s="125">
        <f t="shared" si="6"/>
        <v>0</v>
      </c>
      <c r="V19" s="125">
        <f t="shared" si="7"/>
        <v>0</v>
      </c>
      <c r="W19" s="125">
        <f t="shared" si="8"/>
        <v>0</v>
      </c>
      <c r="X19" s="125">
        <f t="shared" si="9"/>
        <v>58</v>
      </c>
      <c r="Y19" s="145">
        <f t="shared" si="10"/>
        <v>2658.2119500000008</v>
      </c>
      <c r="Z19" s="269">
        <v>45.83124051724139</v>
      </c>
      <c r="AA19" s="167">
        <f t="shared" si="18"/>
        <v>1086.2880499999983</v>
      </c>
      <c r="AB19" s="336"/>
      <c r="AC19" s="167">
        <f t="shared" si="19"/>
        <v>81272.347727519431</v>
      </c>
      <c r="AD19" s="522">
        <f t="shared" si="20"/>
        <v>65.058564103448262</v>
      </c>
      <c r="AE19" s="336"/>
      <c r="AF19" s="101">
        <v>16</v>
      </c>
      <c r="AG19" s="102">
        <f t="shared" si="11"/>
        <v>90890</v>
      </c>
      <c r="AH19" s="102">
        <f>'Daily Budget Data'!B20</f>
        <v>82092.581502078145</v>
      </c>
      <c r="AI19" s="96"/>
      <c r="AJ19" s="515">
        <f t="shared" si="21"/>
        <v>0</v>
      </c>
      <c r="AK19" s="515">
        <f t="shared" si="22"/>
        <v>0</v>
      </c>
      <c r="AL19" s="103"/>
      <c r="AM19" s="102">
        <f t="shared" si="12"/>
        <v>94732</v>
      </c>
      <c r="AN19" s="102">
        <f>'Daily Budget Data'!H20+'Daily Budget Data'!I20+'Daily Budget Data'!J20</f>
        <v>83347.140833333426</v>
      </c>
      <c r="AO19" s="96"/>
      <c r="AP19" s="110">
        <v>16</v>
      </c>
      <c r="AQ19" s="334"/>
      <c r="AR19" s="336">
        <v>28376</v>
      </c>
      <c r="AS19" s="420">
        <v>62514</v>
      </c>
      <c r="AT19" s="336"/>
      <c r="AU19" s="336">
        <v>29459</v>
      </c>
      <c r="AV19" s="353">
        <v>65273</v>
      </c>
      <c r="AX19" s="515">
        <f>[1]Summary!B24</f>
        <v>0</v>
      </c>
      <c r="AY19" s="516">
        <f>[1]Summary!C24</f>
        <v>593</v>
      </c>
      <c r="AZ19" s="517">
        <f>[1]Summary!D24</f>
        <v>2282</v>
      </c>
      <c r="BA19" s="105"/>
      <c r="BB19" s="515">
        <f>[1]Summary!F24</f>
        <v>0</v>
      </c>
      <c r="BC19" s="516">
        <f>[1]Summary!G24</f>
        <v>494</v>
      </c>
      <c r="BD19" s="517">
        <f>[1]Summary!H24</f>
        <v>989</v>
      </c>
      <c r="BE19" s="105"/>
      <c r="BF19" s="515">
        <f>[1]Summary!V24</f>
        <v>0</v>
      </c>
      <c r="BG19" s="516">
        <f>[1]Summary!W24</f>
        <v>2201</v>
      </c>
      <c r="BH19" s="517">
        <f>[1]Summary!X24</f>
        <v>4992</v>
      </c>
      <c r="BI19" s="105"/>
      <c r="BJ19" s="515">
        <f>[1]Summary!Z24</f>
        <v>0</v>
      </c>
      <c r="BK19" s="516">
        <f>[1]Summary!AA24</f>
        <v>2</v>
      </c>
      <c r="BL19" s="517">
        <f>[1]Summary!AB24</f>
        <v>48</v>
      </c>
      <c r="BM19" s="105"/>
      <c r="BN19" s="515">
        <f>[1]Summary!J24</f>
        <v>0</v>
      </c>
      <c r="BO19" s="516">
        <f>[1]Summary!K24</f>
        <v>1099</v>
      </c>
      <c r="BP19" s="517">
        <f>[1]Summary!L24</f>
        <v>2238</v>
      </c>
      <c r="BQ19" s="96"/>
      <c r="BR19" s="515">
        <f>[1]Summary!R24</f>
        <v>0</v>
      </c>
      <c r="BS19" s="516">
        <f>[1]Summary!S24</f>
        <v>2</v>
      </c>
      <c r="BT19" s="517">
        <f>[1]Summary!T24</f>
        <v>0</v>
      </c>
      <c r="BU19" s="129"/>
      <c r="BV19" s="515">
        <f>[1]Summary!AD24</f>
        <v>28</v>
      </c>
      <c r="BW19" s="516">
        <f>[1]Summary!AE24</f>
        <v>0</v>
      </c>
      <c r="BX19" s="516">
        <f>[1]Summary!AF24</f>
        <v>28</v>
      </c>
      <c r="BY19" s="517">
        <f>[1]Summary!AG24</f>
        <v>0</v>
      </c>
      <c r="BZ19" s="96"/>
      <c r="CA19" s="515">
        <f>[1]Summary!N24</f>
        <v>0</v>
      </c>
      <c r="CB19" s="516">
        <f>[1]Summary!O24</f>
        <v>8</v>
      </c>
      <c r="CC19" s="517">
        <f>[1]Summary!P24</f>
        <v>0</v>
      </c>
      <c r="CD19" s="175"/>
      <c r="CE19" s="636">
        <f t="shared" si="23"/>
        <v>0</v>
      </c>
      <c r="CF19" s="637">
        <f t="shared" si="13"/>
        <v>10</v>
      </c>
      <c r="CG19" s="638">
        <f t="shared" si="13"/>
        <v>48</v>
      </c>
      <c r="CH19" s="316"/>
      <c r="CI19" s="515">
        <f>[1]Summary!AL24</f>
        <v>37.36805555555555</v>
      </c>
      <c r="CJ19" s="517">
        <f>[1]Summary!AM24</f>
        <v>37.280208333333327</v>
      </c>
      <c r="CK19" s="316"/>
    </row>
    <row r="20" spans="1:89" ht="14.25" customHeight="1">
      <c r="A20" s="166">
        <f t="shared" si="14"/>
        <v>41960</v>
      </c>
      <c r="B20" s="322">
        <v>3806.08</v>
      </c>
      <c r="C20" s="259">
        <v>64</v>
      </c>
      <c r="D20" s="259">
        <v>88443.74</v>
      </c>
      <c r="E20" s="259">
        <v>3178</v>
      </c>
      <c r="F20" s="320">
        <v>0</v>
      </c>
      <c r="G20" s="259">
        <v>88443.74</v>
      </c>
      <c r="H20" s="259">
        <v>3178</v>
      </c>
      <c r="I20" s="263">
        <f t="shared" si="0"/>
        <v>3806.08</v>
      </c>
      <c r="J20" s="328">
        <f t="shared" si="1"/>
        <v>64</v>
      </c>
      <c r="K20" s="328">
        <f t="shared" si="24"/>
        <v>88443.74</v>
      </c>
      <c r="L20" s="325">
        <f t="shared" si="25"/>
        <v>3178</v>
      </c>
      <c r="M20" s="576">
        <v>1.5</v>
      </c>
      <c r="N20" s="280">
        <f>[1]Summary!$AI25</f>
        <v>0</v>
      </c>
      <c r="O20" s="280">
        <f>[1]Summary!$AJ25</f>
        <v>0</v>
      </c>
      <c r="P20" s="156">
        <f t="shared" si="15"/>
        <v>0</v>
      </c>
      <c r="Q20" s="280">
        <f t="shared" si="16"/>
        <v>0</v>
      </c>
      <c r="R20" s="370">
        <f t="shared" si="4"/>
        <v>0</v>
      </c>
      <c r="S20" s="263">
        <f t="shared" si="17"/>
        <v>32</v>
      </c>
      <c r="T20" s="125">
        <f t="shared" si="5"/>
        <v>0</v>
      </c>
      <c r="U20" s="125">
        <f t="shared" si="6"/>
        <v>0</v>
      </c>
      <c r="V20" s="125">
        <f t="shared" si="7"/>
        <v>0</v>
      </c>
      <c r="W20" s="125">
        <f t="shared" si="8"/>
        <v>0</v>
      </c>
      <c r="X20" s="125">
        <f t="shared" si="9"/>
        <v>64</v>
      </c>
      <c r="Y20" s="145">
        <f t="shared" si="10"/>
        <v>2762.1614027777778</v>
      </c>
      <c r="Z20" s="269">
        <v>43.158771918402778</v>
      </c>
      <c r="AA20" s="167">
        <f t="shared" si="18"/>
        <v>1011.9185972222222</v>
      </c>
      <c r="AB20" s="336"/>
      <c r="AC20" s="167">
        <f t="shared" si="19"/>
        <v>93013.346023142658</v>
      </c>
      <c r="AD20" s="522">
        <f t="shared" si="20"/>
        <v>59.446562499999999</v>
      </c>
      <c r="AE20" s="336"/>
      <c r="AF20" s="101">
        <v>17</v>
      </c>
      <c r="AG20" s="102">
        <f t="shared" si="11"/>
        <v>111760</v>
      </c>
      <c r="AH20" s="102">
        <f>'Daily Budget Data'!B21</f>
        <v>93952.074754699468</v>
      </c>
      <c r="AI20" s="96"/>
      <c r="AJ20" s="515">
        <f t="shared" si="21"/>
        <v>0</v>
      </c>
      <c r="AK20" s="515">
        <f t="shared" si="22"/>
        <v>0</v>
      </c>
      <c r="AL20" s="103"/>
      <c r="AM20" s="102">
        <f t="shared" si="12"/>
        <v>113942</v>
      </c>
      <c r="AN20" s="102">
        <f>'Daily Budget Data'!H21+'Daily Budget Data'!I21+'Daily Budget Data'!J21</f>
        <v>98183.52962962976</v>
      </c>
      <c r="AO20" s="96"/>
      <c r="AP20" s="110">
        <v>17</v>
      </c>
      <c r="AQ20" s="334">
        <v>80881</v>
      </c>
      <c r="AR20" s="336">
        <v>30879</v>
      </c>
      <c r="AS20" s="420"/>
      <c r="AT20" s="336">
        <v>82117</v>
      </c>
      <c r="AU20" s="336">
        <v>31825</v>
      </c>
      <c r="AV20" s="353"/>
      <c r="AX20" s="515">
        <f>[1]Summary!B25</f>
        <v>14467</v>
      </c>
      <c r="AY20" s="516">
        <f>[1]Summary!C25</f>
        <v>2964</v>
      </c>
      <c r="AZ20" s="517">
        <f>[1]Summary!D25</f>
        <v>0</v>
      </c>
      <c r="BA20" s="105"/>
      <c r="BB20" s="515">
        <f>[1]Summary!F25</f>
        <v>1487</v>
      </c>
      <c r="BC20" s="516">
        <f>[1]Summary!G25</f>
        <v>571</v>
      </c>
      <c r="BD20" s="517">
        <f>[1]Summary!H25</f>
        <v>0</v>
      </c>
      <c r="BE20" s="105"/>
      <c r="BF20" s="515">
        <f>[1]Summary!V25</f>
        <v>3322</v>
      </c>
      <c r="BG20" s="516">
        <f>[1]Summary!W25</f>
        <v>1840</v>
      </c>
      <c r="BH20" s="517">
        <f>[1]Summary!X25</f>
        <v>0</v>
      </c>
      <c r="BI20" s="105"/>
      <c r="BJ20" s="515">
        <f>[1]Summary!Z25</f>
        <v>0</v>
      </c>
      <c r="BK20" s="516">
        <f>[1]Summary!AA25</f>
        <v>64</v>
      </c>
      <c r="BL20" s="517">
        <f>[1]Summary!AB25</f>
        <v>0</v>
      </c>
      <c r="BM20" s="105"/>
      <c r="BN20" s="515">
        <f>[1]Summary!J25</f>
        <v>2158</v>
      </c>
      <c r="BO20" s="516">
        <f>[1]Summary!K25</f>
        <v>1020</v>
      </c>
      <c r="BP20" s="517">
        <f>[1]Summary!L25</f>
        <v>0</v>
      </c>
      <c r="BQ20" s="96"/>
      <c r="BR20" s="515">
        <f>[1]Summary!R25</f>
        <v>0</v>
      </c>
      <c r="BS20" s="516">
        <f>[1]Summary!S25</f>
        <v>0</v>
      </c>
      <c r="BT20" s="517">
        <f>[1]Summary!T25</f>
        <v>0</v>
      </c>
      <c r="BU20" s="129"/>
      <c r="BV20" s="515">
        <f>[1]Summary!AD25</f>
        <v>37</v>
      </c>
      <c r="BW20" s="516">
        <f>[1]Summary!AE25</f>
        <v>0</v>
      </c>
      <c r="BX20" s="516">
        <f>[1]Summary!AF25</f>
        <v>39</v>
      </c>
      <c r="BY20" s="517">
        <f>[1]Summary!AG25</f>
        <v>0</v>
      </c>
      <c r="BZ20" s="96"/>
      <c r="CA20" s="515">
        <f>[1]Summary!N25</f>
        <v>0</v>
      </c>
      <c r="CB20" s="516">
        <f>[1]Summary!O25</f>
        <v>0</v>
      </c>
      <c r="CC20" s="517">
        <f>[1]Summary!P25</f>
        <v>0</v>
      </c>
      <c r="CD20" s="175"/>
      <c r="CE20" s="636">
        <f t="shared" si="23"/>
        <v>0</v>
      </c>
      <c r="CF20" s="637">
        <f t="shared" ref="CF20:CF34" si="26">CB20+BK20</f>
        <v>64</v>
      </c>
      <c r="CG20" s="638">
        <f t="shared" ref="CG20:CG34" si="27">CC20+BL20</f>
        <v>0</v>
      </c>
      <c r="CH20" s="316"/>
      <c r="CI20" s="515">
        <f>[1]Summary!AL25</f>
        <v>27.179811507936503</v>
      </c>
      <c r="CJ20" s="517">
        <f>[1]Summary!AM25</f>
        <v>26.898680555555558</v>
      </c>
      <c r="CK20" s="316"/>
    </row>
    <row r="21" spans="1:89" ht="14.25" customHeight="1">
      <c r="A21" s="166">
        <f t="shared" si="14"/>
        <v>41961</v>
      </c>
      <c r="B21" s="322">
        <v>60981.72</v>
      </c>
      <c r="C21" s="259">
        <v>657</v>
      </c>
      <c r="D21" s="259">
        <v>81511.11000000003</v>
      </c>
      <c r="E21" s="259">
        <v>2931</v>
      </c>
      <c r="F21" s="320">
        <v>3429.5590000000011</v>
      </c>
      <c r="G21" s="259">
        <v>81511.11000000003</v>
      </c>
      <c r="H21" s="259">
        <v>2931</v>
      </c>
      <c r="I21" s="263">
        <f t="shared" si="0"/>
        <v>60981.72</v>
      </c>
      <c r="J21" s="328">
        <f t="shared" si="1"/>
        <v>657</v>
      </c>
      <c r="K21" s="328">
        <f t="shared" si="24"/>
        <v>81511.11000000003</v>
      </c>
      <c r="L21" s="325">
        <f t="shared" si="25"/>
        <v>2931</v>
      </c>
      <c r="M21" s="576">
        <v>1.5</v>
      </c>
      <c r="N21" s="280">
        <f>[1]Summary!$AI26</f>
        <v>0</v>
      </c>
      <c r="O21" s="280">
        <f>[1]Summary!$AJ26</f>
        <v>358</v>
      </c>
      <c r="P21" s="156">
        <f t="shared" si="15"/>
        <v>537</v>
      </c>
      <c r="Q21" s="280">
        <f t="shared" si="16"/>
        <v>0</v>
      </c>
      <c r="R21" s="370">
        <f t="shared" si="4"/>
        <v>537</v>
      </c>
      <c r="S21" s="263">
        <f t="shared" si="17"/>
        <v>328.5</v>
      </c>
      <c r="T21" s="125">
        <f t="shared" si="5"/>
        <v>0</v>
      </c>
      <c r="U21" s="125">
        <f t="shared" si="6"/>
        <v>0</v>
      </c>
      <c r="V21" s="125">
        <f t="shared" si="7"/>
        <v>0</v>
      </c>
      <c r="W21" s="125">
        <f t="shared" si="8"/>
        <v>0</v>
      </c>
      <c r="X21" s="125">
        <f t="shared" si="9"/>
        <v>657</v>
      </c>
      <c r="Y21" s="145">
        <f t="shared" si="10"/>
        <v>40187.339610000003</v>
      </c>
      <c r="Z21" s="269">
        <v>61.167944611872151</v>
      </c>
      <c r="AA21" s="167">
        <f t="shared" si="18"/>
        <v>16499.321389999997</v>
      </c>
      <c r="AB21" s="336"/>
      <c r="AC21" s="167">
        <f t="shared" si="19"/>
        <v>95436.684816276364</v>
      </c>
      <c r="AD21" s="522">
        <f t="shared" si="20"/>
        <v>91.998812785388125</v>
      </c>
      <c r="AE21" s="336"/>
      <c r="AF21" s="101">
        <v>18</v>
      </c>
      <c r="AG21" s="102">
        <f t="shared" si="11"/>
        <v>125288</v>
      </c>
      <c r="AH21" s="102">
        <f>'Daily Budget Data'!B22</f>
        <v>96399.870874105953</v>
      </c>
      <c r="AI21" s="96"/>
      <c r="AJ21" s="515">
        <f t="shared" si="21"/>
        <v>0</v>
      </c>
      <c r="AK21" s="515">
        <f t="shared" si="22"/>
        <v>0</v>
      </c>
      <c r="AL21" s="103"/>
      <c r="AM21" s="102">
        <f t="shared" si="12"/>
        <v>130273</v>
      </c>
      <c r="AN21" s="102">
        <f>'Daily Budget Data'!H22+'Daily Budget Data'!I22+'Daily Budget Data'!J22</f>
        <v>98183.52962962976</v>
      </c>
      <c r="AO21" s="96"/>
      <c r="AP21" s="110">
        <v>18</v>
      </c>
      <c r="AQ21" s="334">
        <v>85845</v>
      </c>
      <c r="AR21" s="336">
        <v>39443</v>
      </c>
      <c r="AS21" s="420"/>
      <c r="AT21" s="336">
        <v>89293</v>
      </c>
      <c r="AU21" s="336">
        <v>40980</v>
      </c>
      <c r="AV21" s="353"/>
      <c r="AX21" s="515">
        <f>[1]Summary!B26</f>
        <v>19353</v>
      </c>
      <c r="AY21" s="516">
        <f>[1]Summary!C26</f>
        <v>9841</v>
      </c>
      <c r="AZ21" s="517">
        <f>[1]Summary!D26</f>
        <v>0</v>
      </c>
      <c r="BA21" s="105"/>
      <c r="BB21" s="515">
        <f>[1]Summary!F26</f>
        <v>1466</v>
      </c>
      <c r="BC21" s="516">
        <f>[1]Summary!G26</f>
        <v>726</v>
      </c>
      <c r="BD21" s="517">
        <f>[1]Summary!H26</f>
        <v>0</v>
      </c>
      <c r="BE21" s="105"/>
      <c r="BF21" s="515">
        <f>[1]Summary!V26</f>
        <v>5070</v>
      </c>
      <c r="BG21" s="516">
        <f>[1]Summary!W26</f>
        <v>2000</v>
      </c>
      <c r="BH21" s="517">
        <f>[1]Summary!X26</f>
        <v>0</v>
      </c>
      <c r="BI21" s="105"/>
      <c r="BJ21" s="515">
        <f>[1]Summary!Z26</f>
        <v>0</v>
      </c>
      <c r="BK21" s="516">
        <f>[1]Summary!AA26</f>
        <v>172</v>
      </c>
      <c r="BL21" s="517">
        <f>[1]Summary!AB26</f>
        <v>0</v>
      </c>
      <c r="BM21" s="105"/>
      <c r="BN21" s="515">
        <f>[1]Summary!J26</f>
        <v>2224</v>
      </c>
      <c r="BO21" s="516">
        <f>[1]Summary!K26</f>
        <v>707</v>
      </c>
      <c r="BP21" s="517">
        <f>[1]Summary!L26</f>
        <v>0</v>
      </c>
      <c r="BQ21" s="96"/>
      <c r="BR21" s="515">
        <f>[1]Summary!R26</f>
        <v>0</v>
      </c>
      <c r="BS21" s="516">
        <f>[1]Summary!S26</f>
        <v>0</v>
      </c>
      <c r="BT21" s="517">
        <f>[1]Summary!T26</f>
        <v>0</v>
      </c>
      <c r="BU21" s="129"/>
      <c r="BV21" s="515">
        <f>[1]Summary!AD26</f>
        <v>48</v>
      </c>
      <c r="BW21" s="516">
        <f>[1]Summary!AE26</f>
        <v>0</v>
      </c>
      <c r="BX21" s="516">
        <f>[1]Summary!AF26</f>
        <v>45</v>
      </c>
      <c r="BY21" s="517">
        <f>[1]Summary!AG26</f>
        <v>0</v>
      </c>
      <c r="BZ21" s="96"/>
      <c r="CA21" s="515">
        <f>[1]Summary!N26</f>
        <v>483</v>
      </c>
      <c r="CB21" s="516">
        <f>[1]Summary!O26</f>
        <v>2</v>
      </c>
      <c r="CC21" s="517">
        <f>[1]Summary!P26</f>
        <v>0</v>
      </c>
      <c r="CD21" s="175"/>
      <c r="CE21" s="636">
        <f t="shared" si="23"/>
        <v>483</v>
      </c>
      <c r="CF21" s="637">
        <f t="shared" si="26"/>
        <v>174</v>
      </c>
      <c r="CG21" s="638">
        <f t="shared" si="27"/>
        <v>0</v>
      </c>
      <c r="CH21" s="316"/>
      <c r="CI21" s="515">
        <f>[1]Summary!AL26</f>
        <v>16.782638888888886</v>
      </c>
      <c r="CJ21" s="517">
        <f>[1]Summary!AM26</f>
        <v>19.191666666666666</v>
      </c>
      <c r="CK21" s="316"/>
    </row>
    <row r="22" spans="1:89" ht="14.25" customHeight="1">
      <c r="A22" s="166">
        <f t="shared" si="14"/>
        <v>41962</v>
      </c>
      <c r="B22" s="322">
        <v>96862.920000000013</v>
      </c>
      <c r="C22" s="259">
        <v>1799</v>
      </c>
      <c r="D22" s="259">
        <v>82748.42</v>
      </c>
      <c r="E22" s="259">
        <v>2983</v>
      </c>
      <c r="F22" s="320">
        <v>6362</v>
      </c>
      <c r="G22" s="259">
        <v>82748.42</v>
      </c>
      <c r="H22" s="259">
        <v>2983</v>
      </c>
      <c r="I22" s="263">
        <f t="shared" si="0"/>
        <v>96862.920000000013</v>
      </c>
      <c r="J22" s="328">
        <f t="shared" si="1"/>
        <v>1799</v>
      </c>
      <c r="K22" s="328">
        <f t="shared" si="24"/>
        <v>82748.42</v>
      </c>
      <c r="L22" s="325">
        <f t="shared" si="25"/>
        <v>2983</v>
      </c>
      <c r="M22" s="576">
        <v>1.5</v>
      </c>
      <c r="N22" s="280">
        <f>[1]Summary!$AI27</f>
        <v>621</v>
      </c>
      <c r="O22" s="280">
        <f>[1]Summary!$AJ27</f>
        <v>823</v>
      </c>
      <c r="P22" s="156">
        <f t="shared" si="15"/>
        <v>1234.5</v>
      </c>
      <c r="Q22" s="280">
        <f t="shared" si="16"/>
        <v>621</v>
      </c>
      <c r="R22" s="370">
        <f t="shared" si="4"/>
        <v>1855.5</v>
      </c>
      <c r="S22" s="263">
        <f t="shared" si="17"/>
        <v>899.5</v>
      </c>
      <c r="T22" s="125">
        <f t="shared" si="5"/>
        <v>0</v>
      </c>
      <c r="U22" s="125">
        <f t="shared" si="6"/>
        <v>0</v>
      </c>
      <c r="V22" s="125">
        <f t="shared" si="7"/>
        <v>0</v>
      </c>
      <c r="W22" s="125">
        <f t="shared" si="8"/>
        <v>0</v>
      </c>
      <c r="X22" s="125">
        <f t="shared" si="9"/>
        <v>1799</v>
      </c>
      <c r="Y22" s="145">
        <f t="shared" si="10"/>
        <v>82987.87000000001</v>
      </c>
      <c r="Z22" s="269">
        <v>46.13</v>
      </c>
      <c r="AA22" s="167">
        <f t="shared" si="18"/>
        <v>4758.0500000000029</v>
      </c>
      <c r="AB22" s="336"/>
      <c r="AC22" s="167">
        <f t="shared" si="19"/>
        <v>96088.157766937918</v>
      </c>
      <c r="AD22" s="522">
        <f t="shared" si="20"/>
        <v>52.810405780989448</v>
      </c>
      <c r="AE22" s="336"/>
      <c r="AF22" s="101">
        <v>19</v>
      </c>
      <c r="AG22" s="102">
        <f t="shared" si="11"/>
        <v>116523</v>
      </c>
      <c r="AH22" s="102">
        <f>'Daily Budget Data'!B23</f>
        <v>97057.918756245257</v>
      </c>
      <c r="AI22" s="96"/>
      <c r="AJ22" s="515">
        <f t="shared" si="21"/>
        <v>0</v>
      </c>
      <c r="AK22" s="515">
        <f>AE22</f>
        <v>0</v>
      </c>
      <c r="AL22" s="103"/>
      <c r="AM22" s="102">
        <f t="shared" si="12"/>
        <v>123128</v>
      </c>
      <c r="AN22" s="102">
        <f>'Daily Budget Data'!H23+'Daily Budget Data'!I23+'Daily Budget Data'!J23</f>
        <v>98183.52962962976</v>
      </c>
      <c r="AO22" s="96"/>
      <c r="AP22" s="110">
        <v>19</v>
      </c>
      <c r="AQ22" s="334">
        <v>76769</v>
      </c>
      <c r="AR22" s="336">
        <v>39754</v>
      </c>
      <c r="AS22" s="420"/>
      <c r="AT22" s="336">
        <v>81588</v>
      </c>
      <c r="AU22" s="336">
        <v>41540</v>
      </c>
      <c r="AV22" s="353"/>
      <c r="AX22" s="515">
        <f>[1]Summary!B27</f>
        <v>10129</v>
      </c>
      <c r="AY22" s="516">
        <f>[1]Summary!C27</f>
        <v>8625</v>
      </c>
      <c r="AZ22" s="517">
        <f>[1]Summary!D27</f>
        <v>0</v>
      </c>
      <c r="BA22" s="105"/>
      <c r="BB22" s="515">
        <f>[1]Summary!F27</f>
        <v>1099</v>
      </c>
      <c r="BC22" s="516">
        <f>[1]Summary!G27</f>
        <v>685</v>
      </c>
      <c r="BD22" s="517">
        <f>[1]Summary!H27</f>
        <v>0</v>
      </c>
      <c r="BE22" s="105"/>
      <c r="BF22" s="515">
        <f>[1]Summary!V27</f>
        <v>5087</v>
      </c>
      <c r="BG22" s="516">
        <f>[1]Summary!W27</f>
        <v>2544</v>
      </c>
      <c r="BH22" s="517">
        <f>[1]Summary!X27</f>
        <v>0</v>
      </c>
      <c r="BI22" s="105"/>
      <c r="BJ22" s="515">
        <f>[1]Summary!Z27</f>
        <v>0</v>
      </c>
      <c r="BK22" s="516">
        <f>[1]Summary!AA27</f>
        <v>0</v>
      </c>
      <c r="BL22" s="517">
        <f>[1]Summary!AB27</f>
        <v>0</v>
      </c>
      <c r="BM22" s="105"/>
      <c r="BN22" s="515">
        <f>[1]Summary!J27</f>
        <v>1933</v>
      </c>
      <c r="BO22" s="516">
        <f>[1]Summary!K27</f>
        <v>1050</v>
      </c>
      <c r="BP22" s="517">
        <f>[1]Summary!L27</f>
        <v>0</v>
      </c>
      <c r="BQ22" s="96"/>
      <c r="BR22" s="515">
        <f>[1]Summary!R27</f>
        <v>0</v>
      </c>
      <c r="BS22" s="516">
        <f>[1]Summary!S27</f>
        <v>0</v>
      </c>
      <c r="BT22" s="517">
        <f>[1]Summary!T27</f>
        <v>0</v>
      </c>
      <c r="BU22" s="129"/>
      <c r="BV22" s="515">
        <f>[1]Summary!AD27</f>
        <v>36</v>
      </c>
      <c r="BW22" s="516">
        <f>[1]Summary!AE27</f>
        <v>0</v>
      </c>
      <c r="BX22" s="516">
        <f>[1]Summary!AF27</f>
        <v>33</v>
      </c>
      <c r="BY22" s="517">
        <f>[1]Summary!AG27</f>
        <v>0</v>
      </c>
      <c r="BZ22" s="96"/>
      <c r="CA22" s="515">
        <f>[1]Summary!N27</f>
        <v>1450</v>
      </c>
      <c r="CB22" s="516">
        <f>[1]Summary!O27</f>
        <v>349</v>
      </c>
      <c r="CC22" s="517">
        <f>[1]Summary!P27</f>
        <v>0</v>
      </c>
      <c r="CD22" s="175"/>
      <c r="CE22" s="636">
        <f t="shared" si="23"/>
        <v>1450</v>
      </c>
      <c r="CF22" s="637">
        <f t="shared" si="26"/>
        <v>349</v>
      </c>
      <c r="CG22" s="638">
        <f t="shared" si="27"/>
        <v>0</v>
      </c>
      <c r="CH22" s="316"/>
      <c r="CI22" s="515">
        <f>[1]Summary!AL27</f>
        <v>31.166666666666671</v>
      </c>
      <c r="CJ22" s="517">
        <f>[1]Summary!AM27</f>
        <v>32.87916666666667</v>
      </c>
      <c r="CK22" s="316"/>
    </row>
    <row r="23" spans="1:89" ht="14.25" customHeight="1">
      <c r="A23" s="166">
        <f t="shared" si="14"/>
        <v>41963</v>
      </c>
      <c r="B23" s="322">
        <v>0</v>
      </c>
      <c r="C23" s="259">
        <v>0</v>
      </c>
      <c r="D23" s="259">
        <v>90581.92</v>
      </c>
      <c r="E23" s="259">
        <v>3256</v>
      </c>
      <c r="F23" s="320">
        <v>0</v>
      </c>
      <c r="G23" s="259">
        <v>90581.92</v>
      </c>
      <c r="H23" s="259">
        <v>3256</v>
      </c>
      <c r="I23" s="263">
        <f t="shared" si="0"/>
        <v>0</v>
      </c>
      <c r="J23" s="328">
        <f t="shared" si="1"/>
        <v>0</v>
      </c>
      <c r="K23" s="328">
        <f t="shared" si="24"/>
        <v>90581.92</v>
      </c>
      <c r="L23" s="325">
        <f t="shared" si="25"/>
        <v>3256</v>
      </c>
      <c r="M23" s="576">
        <v>1.5</v>
      </c>
      <c r="N23" s="280">
        <f>[1]Summary!$AI28</f>
        <v>0</v>
      </c>
      <c r="O23" s="280">
        <f>[1]Summary!$AJ28</f>
        <v>0</v>
      </c>
      <c r="P23" s="156">
        <f t="shared" si="15"/>
        <v>0</v>
      </c>
      <c r="Q23" s="280">
        <f t="shared" si="16"/>
        <v>0</v>
      </c>
      <c r="R23" s="370">
        <f t="shared" si="4"/>
        <v>0</v>
      </c>
      <c r="S23" s="263">
        <f t="shared" si="17"/>
        <v>0</v>
      </c>
      <c r="T23" s="125">
        <f t="shared" si="5"/>
        <v>0</v>
      </c>
      <c r="U23" s="125">
        <f t="shared" si="6"/>
        <v>0</v>
      </c>
      <c r="V23" s="125">
        <f t="shared" si="7"/>
        <v>0</v>
      </c>
      <c r="W23" s="125">
        <f t="shared" si="8"/>
        <v>0</v>
      </c>
      <c r="X23" s="125">
        <f t="shared" si="9"/>
        <v>0</v>
      </c>
      <c r="Y23" s="145">
        <f t="shared" si="10"/>
        <v>0</v>
      </c>
      <c r="Z23" s="269"/>
      <c r="AA23" s="167">
        <f t="shared" si="18"/>
        <v>0</v>
      </c>
      <c r="AB23" s="336"/>
      <c r="AC23" s="167">
        <f t="shared" si="19"/>
        <v>96665.004693817784</v>
      </c>
      <c r="AD23" s="522" t="str">
        <f t="shared" si="20"/>
        <v>-</v>
      </c>
      <c r="AE23" s="336"/>
      <c r="AF23" s="101">
        <v>20</v>
      </c>
      <c r="AG23" s="102">
        <f t="shared" si="11"/>
        <v>108200</v>
      </c>
      <c r="AH23" s="102">
        <f>'Daily Budget Data'!B24</f>
        <v>97640.587458247988</v>
      </c>
      <c r="AI23" s="96"/>
      <c r="AJ23" s="515">
        <f t="shared" si="21"/>
        <v>0</v>
      </c>
      <c r="AK23" s="515">
        <f t="shared" si="22"/>
        <v>0</v>
      </c>
      <c r="AL23" s="103"/>
      <c r="AM23" s="102">
        <f t="shared" si="12"/>
        <v>112705</v>
      </c>
      <c r="AN23" s="102">
        <f>'Daily Budget Data'!H24+'Daily Budget Data'!I24+'Daily Budget Data'!J24</f>
        <v>98183.52962962976</v>
      </c>
      <c r="AO23" s="96"/>
      <c r="AP23" s="110">
        <v>20</v>
      </c>
      <c r="AQ23" s="334">
        <v>75224</v>
      </c>
      <c r="AR23" s="336">
        <v>32976</v>
      </c>
      <c r="AS23" s="420"/>
      <c r="AT23" s="336">
        <v>78188</v>
      </c>
      <c r="AU23" s="336">
        <v>34517</v>
      </c>
      <c r="AV23" s="353"/>
      <c r="AX23" s="515">
        <f>[1]Summary!B28</f>
        <v>4918</v>
      </c>
      <c r="AY23" s="516">
        <f>[1]Summary!C28</f>
        <v>3004</v>
      </c>
      <c r="AZ23" s="517">
        <f>[1]Summary!D28</f>
        <v>0</v>
      </c>
      <c r="BA23" s="105"/>
      <c r="BB23" s="515">
        <f>[1]Summary!F28</f>
        <v>773</v>
      </c>
      <c r="BC23" s="516">
        <f>[1]Summary!G28</f>
        <v>396</v>
      </c>
      <c r="BD23" s="517">
        <f>[1]Summary!H28</f>
        <v>0</v>
      </c>
      <c r="BE23" s="105"/>
      <c r="BF23" s="515">
        <f>[1]Summary!V28</f>
        <v>5079</v>
      </c>
      <c r="BG23" s="516">
        <f>[1]Summary!W28</f>
        <v>2544</v>
      </c>
      <c r="BH23" s="517">
        <f>[1]Summary!X28</f>
        <v>0</v>
      </c>
      <c r="BI23" s="105"/>
      <c r="BJ23" s="515">
        <f>[1]Summary!Z28</f>
        <v>0</v>
      </c>
      <c r="BK23" s="516">
        <f>[1]Summary!AA28</f>
        <v>0</v>
      </c>
      <c r="BL23" s="517">
        <f>[1]Summary!AB28</f>
        <v>0</v>
      </c>
      <c r="BM23" s="105"/>
      <c r="BN23" s="515">
        <f>[1]Summary!J28</f>
        <v>2224</v>
      </c>
      <c r="BO23" s="516">
        <f>[1]Summary!K28</f>
        <v>1032</v>
      </c>
      <c r="BP23" s="517">
        <f>[1]Summary!L28</f>
        <v>0</v>
      </c>
      <c r="BQ23" s="96"/>
      <c r="BR23" s="515">
        <f>[1]Summary!R28</f>
        <v>0</v>
      </c>
      <c r="BS23" s="516">
        <f>[1]Summary!S28</f>
        <v>0</v>
      </c>
      <c r="BT23" s="517">
        <f>[1]Summary!T28</f>
        <v>0</v>
      </c>
      <c r="BU23" s="129"/>
      <c r="BV23" s="515">
        <f>[1]Summary!AD28</f>
        <v>37</v>
      </c>
      <c r="BW23" s="516">
        <f>[1]Summary!AE28</f>
        <v>0</v>
      </c>
      <c r="BX23" s="516">
        <f>[1]Summary!AF28</f>
        <v>35</v>
      </c>
      <c r="BY23" s="517">
        <f>[1]Summary!AG28</f>
        <v>0</v>
      </c>
      <c r="BZ23" s="96"/>
      <c r="CA23" s="515">
        <f>[1]Summary!N28</f>
        <v>0</v>
      </c>
      <c r="CB23" s="516">
        <f>[1]Summary!O28</f>
        <v>0</v>
      </c>
      <c r="CC23" s="517">
        <f>[1]Summary!P28</f>
        <v>0</v>
      </c>
      <c r="CD23" s="175"/>
      <c r="CE23" s="636">
        <f t="shared" si="23"/>
        <v>0</v>
      </c>
      <c r="CF23" s="637">
        <f t="shared" si="26"/>
        <v>0</v>
      </c>
      <c r="CG23" s="638">
        <f t="shared" si="27"/>
        <v>0</v>
      </c>
      <c r="CH23" s="111"/>
      <c r="CI23" s="515">
        <f>[1]Summary!AL28</f>
        <v>28.311111111111114</v>
      </c>
      <c r="CJ23" s="517">
        <f>[1]Summary!AM28</f>
        <v>28.783333333333335</v>
      </c>
      <c r="CK23" s="111"/>
    </row>
    <row r="24" spans="1:89" ht="14.25" customHeight="1">
      <c r="A24" s="166">
        <f t="shared" si="14"/>
        <v>41964</v>
      </c>
      <c r="B24" s="322">
        <v>37650.67</v>
      </c>
      <c r="C24" s="259">
        <v>635</v>
      </c>
      <c r="D24" s="259">
        <v>90887.940000000017</v>
      </c>
      <c r="E24" s="259">
        <v>3267</v>
      </c>
      <c r="F24" s="320">
        <v>1396.8678000000002</v>
      </c>
      <c r="G24" s="259">
        <v>90887.940000000017</v>
      </c>
      <c r="H24" s="259">
        <v>3267</v>
      </c>
      <c r="I24" s="263">
        <f t="shared" si="0"/>
        <v>37650.67</v>
      </c>
      <c r="J24" s="328">
        <f t="shared" si="1"/>
        <v>635</v>
      </c>
      <c r="K24" s="328">
        <f t="shared" si="24"/>
        <v>90887.940000000017</v>
      </c>
      <c r="L24" s="325">
        <f t="shared" si="25"/>
        <v>3267</v>
      </c>
      <c r="M24" s="576">
        <v>1.5</v>
      </c>
      <c r="N24" s="280">
        <f>[1]Summary!$AI29</f>
        <v>313</v>
      </c>
      <c r="O24" s="280">
        <f>[1]Summary!$AJ29</f>
        <v>224</v>
      </c>
      <c r="P24" s="156">
        <f t="shared" si="15"/>
        <v>336</v>
      </c>
      <c r="Q24" s="280">
        <f t="shared" si="16"/>
        <v>313</v>
      </c>
      <c r="R24" s="370">
        <f t="shared" si="4"/>
        <v>649</v>
      </c>
      <c r="S24" s="263">
        <f t="shared" si="17"/>
        <v>317.5</v>
      </c>
      <c r="T24" s="125">
        <f t="shared" si="5"/>
        <v>0</v>
      </c>
      <c r="U24" s="125">
        <f t="shared" si="6"/>
        <v>0</v>
      </c>
      <c r="V24" s="125">
        <f t="shared" si="7"/>
        <v>0</v>
      </c>
      <c r="W24" s="125">
        <f t="shared" si="8"/>
        <v>0</v>
      </c>
      <c r="X24" s="125">
        <f t="shared" si="9"/>
        <v>635</v>
      </c>
      <c r="Y24" s="145">
        <f t="shared" si="10"/>
        <v>27197.667148888886</v>
      </c>
      <c r="Z24" s="269">
        <v>42.830971888013991</v>
      </c>
      <c r="AA24" s="167">
        <f t="shared" si="18"/>
        <v>8089.6350511111123</v>
      </c>
      <c r="AB24" s="336"/>
      <c r="AC24" s="167">
        <f t="shared" si="19"/>
        <v>94943.950854432769</v>
      </c>
      <c r="AD24" s="522">
        <f t="shared" si="20"/>
        <v>58.2679842519685</v>
      </c>
      <c r="AE24" s="336"/>
      <c r="AF24" s="101">
        <v>21</v>
      </c>
      <c r="AG24" s="102">
        <f t="shared" si="11"/>
        <v>111127</v>
      </c>
      <c r="AH24" s="102">
        <f>'Daily Budget Data'!B25</f>
        <v>95902.164039585768</v>
      </c>
      <c r="AI24" s="96"/>
      <c r="AJ24" s="515">
        <f t="shared" si="21"/>
        <v>0</v>
      </c>
      <c r="AK24" s="515">
        <f t="shared" si="22"/>
        <v>0</v>
      </c>
      <c r="AL24" s="103"/>
      <c r="AM24" s="102">
        <f t="shared" si="12"/>
        <v>116359</v>
      </c>
      <c r="AN24" s="102">
        <f>'Daily Budget Data'!H25+'Daily Budget Data'!I25+'Daily Budget Data'!J25</f>
        <v>98183.52962962976</v>
      </c>
      <c r="AO24" s="96"/>
      <c r="AP24" s="110">
        <v>21</v>
      </c>
      <c r="AQ24" s="334">
        <v>74545</v>
      </c>
      <c r="AR24" s="336">
        <v>36582</v>
      </c>
      <c r="AS24" s="420"/>
      <c r="AT24" s="336">
        <v>77970</v>
      </c>
      <c r="AU24" s="336">
        <v>38389</v>
      </c>
      <c r="AV24" s="353"/>
      <c r="AX24" s="515">
        <f>[1]Summary!B29</f>
        <v>4417</v>
      </c>
      <c r="AY24" s="516">
        <f>[1]Summary!C29</f>
        <v>3661</v>
      </c>
      <c r="AZ24" s="517">
        <f>[1]Summary!D29</f>
        <v>0</v>
      </c>
      <c r="BA24" s="105"/>
      <c r="BB24" s="515">
        <f>[1]Summary!F29</f>
        <v>842</v>
      </c>
      <c r="BC24" s="516">
        <f>[1]Summary!G29</f>
        <v>398</v>
      </c>
      <c r="BD24" s="517">
        <f>[1]Summary!H29</f>
        <v>0</v>
      </c>
      <c r="BE24" s="105"/>
      <c r="BF24" s="515">
        <f>[1]Summary!V29</f>
        <v>5087</v>
      </c>
      <c r="BG24" s="516">
        <f>[1]Summary!W29</f>
        <v>2543</v>
      </c>
      <c r="BH24" s="517">
        <f>[1]Summary!X29</f>
        <v>0</v>
      </c>
      <c r="BI24" s="105"/>
      <c r="BJ24" s="515">
        <f>[1]Summary!Z29</f>
        <v>0</v>
      </c>
      <c r="BK24" s="516">
        <f>[1]Summary!AA29</f>
        <v>0</v>
      </c>
      <c r="BL24" s="517">
        <f>[1]Summary!AB29</f>
        <v>0</v>
      </c>
      <c r="BM24" s="105"/>
      <c r="BN24" s="515">
        <f>[1]Summary!J29</f>
        <v>2228</v>
      </c>
      <c r="BO24" s="516">
        <f>[1]Summary!K29</f>
        <v>1039</v>
      </c>
      <c r="BP24" s="517">
        <f>[1]Summary!L29</f>
        <v>0</v>
      </c>
      <c r="BQ24" s="96"/>
      <c r="BR24" s="515">
        <f>[1]Summary!R29</f>
        <v>0</v>
      </c>
      <c r="BS24" s="516">
        <f>[1]Summary!S29</f>
        <v>0</v>
      </c>
      <c r="BT24" s="517">
        <f>[1]Summary!T29</f>
        <v>0</v>
      </c>
      <c r="BU24" s="129"/>
      <c r="BV24" s="515">
        <f>[1]Summary!AD29</f>
        <v>38</v>
      </c>
      <c r="BW24" s="516">
        <f>[1]Summary!AE29</f>
        <v>0</v>
      </c>
      <c r="BX24" s="516">
        <f>[1]Summary!AF29</f>
        <v>36</v>
      </c>
      <c r="BY24" s="517">
        <f>[1]Summary!AG29</f>
        <v>0</v>
      </c>
      <c r="BZ24" s="96"/>
      <c r="CA24" s="515">
        <f>[1]Summary!N29</f>
        <v>535</v>
      </c>
      <c r="CB24" s="516">
        <f>[1]Summary!O29</f>
        <v>100</v>
      </c>
      <c r="CC24" s="517">
        <f>[1]Summary!P29</f>
        <v>0</v>
      </c>
      <c r="CD24" s="175"/>
      <c r="CE24" s="636">
        <f t="shared" si="23"/>
        <v>535</v>
      </c>
      <c r="CF24" s="637">
        <f t="shared" si="26"/>
        <v>100</v>
      </c>
      <c r="CG24" s="638">
        <f t="shared" si="27"/>
        <v>0</v>
      </c>
      <c r="CH24" s="111"/>
      <c r="CI24" s="515">
        <f>[1]Summary!AL29</f>
        <v>28.191666666666663</v>
      </c>
      <c r="CJ24" s="517">
        <f>[1]Summary!AM29</f>
        <v>30.25</v>
      </c>
      <c r="CK24" s="111"/>
    </row>
    <row r="25" spans="1:89" ht="14.25" customHeight="1">
      <c r="A25" s="166">
        <f t="shared" si="14"/>
        <v>41965</v>
      </c>
      <c r="B25" s="322">
        <v>63959.869999999988</v>
      </c>
      <c r="C25" s="259">
        <v>1241</v>
      </c>
      <c r="D25" s="259">
        <v>94615.820000000036</v>
      </c>
      <c r="E25" s="259">
        <v>3401</v>
      </c>
      <c r="F25" s="320">
        <v>1664.7244000000001</v>
      </c>
      <c r="G25" s="259">
        <v>94615.820000000036</v>
      </c>
      <c r="H25" s="259">
        <v>3401</v>
      </c>
      <c r="I25" s="263">
        <f t="shared" si="0"/>
        <v>63959.869999999988</v>
      </c>
      <c r="J25" s="328">
        <f t="shared" si="1"/>
        <v>1241</v>
      </c>
      <c r="K25" s="328">
        <f t="shared" si="24"/>
        <v>94615.820000000036</v>
      </c>
      <c r="L25" s="325">
        <f t="shared" si="25"/>
        <v>3401</v>
      </c>
      <c r="M25" s="576">
        <v>1.5</v>
      </c>
      <c r="N25" s="280">
        <f>[1]Summary!$AI30</f>
        <v>229</v>
      </c>
      <c r="O25" s="280">
        <f>[1]Summary!$AJ30</f>
        <v>334</v>
      </c>
      <c r="P25" s="156">
        <f t="shared" si="15"/>
        <v>501</v>
      </c>
      <c r="Q25" s="280">
        <f t="shared" si="16"/>
        <v>229</v>
      </c>
      <c r="R25" s="370">
        <f t="shared" si="4"/>
        <v>730</v>
      </c>
      <c r="S25" s="263">
        <f t="shared" si="17"/>
        <v>620.5</v>
      </c>
      <c r="T25" s="125">
        <f t="shared" si="5"/>
        <v>0</v>
      </c>
      <c r="U25" s="125">
        <f t="shared" si="6"/>
        <v>0</v>
      </c>
      <c r="V25" s="125">
        <f t="shared" si="7"/>
        <v>0</v>
      </c>
      <c r="W25" s="125">
        <f t="shared" si="8"/>
        <v>0</v>
      </c>
      <c r="X25" s="125">
        <f t="shared" si="9"/>
        <v>1241</v>
      </c>
      <c r="Y25" s="145">
        <f t="shared" si="10"/>
        <v>51581.717482499997</v>
      </c>
      <c r="Z25" s="269">
        <v>41.564639389605155</v>
      </c>
      <c r="AA25" s="167">
        <f t="shared" si="18"/>
        <v>9362.9281174999924</v>
      </c>
      <c r="AB25" s="336"/>
      <c r="AC25" s="167">
        <f t="shared" si="19"/>
        <v>86174.820857697894</v>
      </c>
      <c r="AD25" s="522">
        <f t="shared" si="20"/>
        <v>50.949532634971789</v>
      </c>
      <c r="AE25" s="336"/>
      <c r="AF25" s="101">
        <v>22</v>
      </c>
      <c r="AG25" s="102">
        <f t="shared" si="11"/>
        <v>90863</v>
      </c>
      <c r="AH25" s="102">
        <f>'Daily Budget Data'!B26</f>
        <v>87044.532396252311</v>
      </c>
      <c r="AI25" s="96"/>
      <c r="AJ25" s="515">
        <f t="shared" si="21"/>
        <v>0</v>
      </c>
      <c r="AK25" s="515">
        <f t="shared" si="22"/>
        <v>0</v>
      </c>
      <c r="AL25" s="103"/>
      <c r="AM25" s="102">
        <f t="shared" si="12"/>
        <v>94186</v>
      </c>
      <c r="AN25" s="102">
        <f>'Daily Budget Data'!H26+'Daily Budget Data'!I26+'Daily Budget Data'!J26</f>
        <v>83347.140833333426</v>
      </c>
      <c r="AO25" s="96"/>
      <c r="AP25" s="110">
        <v>22</v>
      </c>
      <c r="AQ25" s="334"/>
      <c r="AR25" s="336">
        <v>30659</v>
      </c>
      <c r="AS25" s="420">
        <v>60204</v>
      </c>
      <c r="AT25" s="336"/>
      <c r="AU25" s="336">
        <v>32040</v>
      </c>
      <c r="AV25" s="353">
        <v>62146</v>
      </c>
      <c r="AX25" s="515">
        <f>[1]Summary!B30</f>
        <v>0</v>
      </c>
      <c r="AY25" s="516">
        <f>[1]Summary!C30</f>
        <v>971</v>
      </c>
      <c r="AZ25" s="517">
        <f>[1]Summary!D30</f>
        <v>1928</v>
      </c>
      <c r="BA25" s="105"/>
      <c r="BB25" s="515">
        <f>[1]Summary!F30</f>
        <v>0</v>
      </c>
      <c r="BC25" s="516">
        <f>[1]Summary!G30</f>
        <v>431</v>
      </c>
      <c r="BD25" s="517">
        <f>[1]Summary!H30</f>
        <v>869</v>
      </c>
      <c r="BE25" s="105"/>
      <c r="BF25" s="515">
        <f>[1]Summary!V30</f>
        <v>0</v>
      </c>
      <c r="BG25" s="516">
        <f>[1]Summary!W30</f>
        <v>2215</v>
      </c>
      <c r="BH25" s="517">
        <f>[1]Summary!X30</f>
        <v>3050</v>
      </c>
      <c r="BI25" s="105"/>
      <c r="BJ25" s="515">
        <f>[1]Summary!Z30</f>
        <v>0</v>
      </c>
      <c r="BK25" s="516">
        <f>[1]Summary!AA30</f>
        <v>158</v>
      </c>
      <c r="BL25" s="517">
        <f>[1]Summary!AB30</f>
        <v>520</v>
      </c>
      <c r="BM25" s="105"/>
      <c r="BN25" s="515">
        <f>[1]Summary!J30</f>
        <v>0</v>
      </c>
      <c r="BO25" s="516">
        <f>[1]Summary!K30</f>
        <v>1129</v>
      </c>
      <c r="BP25" s="517">
        <f>[1]Summary!L30</f>
        <v>2272</v>
      </c>
      <c r="BQ25" s="96"/>
      <c r="BR25" s="515">
        <f>[1]Summary!R30</f>
        <v>0</v>
      </c>
      <c r="BS25" s="516">
        <f>[1]Summary!S30</f>
        <v>0</v>
      </c>
      <c r="BT25" s="517">
        <f>[1]Summary!T30</f>
        <v>0</v>
      </c>
      <c r="BU25" s="129"/>
      <c r="BV25" s="515">
        <f>[1]Summary!AD30</f>
        <v>17</v>
      </c>
      <c r="BW25" s="516">
        <f>[1]Summary!AE30</f>
        <v>0</v>
      </c>
      <c r="BX25" s="516">
        <f>[1]Summary!AF30</f>
        <v>15</v>
      </c>
      <c r="BY25" s="517">
        <f>[1]Summary!AG30</f>
        <v>0</v>
      </c>
      <c r="BZ25" s="96"/>
      <c r="CA25" s="515">
        <f>[1]Summary!N30</f>
        <v>0</v>
      </c>
      <c r="CB25" s="516">
        <f>[1]Summary!O30</f>
        <v>34</v>
      </c>
      <c r="CC25" s="517">
        <f>[1]Summary!P30</f>
        <v>529</v>
      </c>
      <c r="CD25" s="175"/>
      <c r="CE25" s="636">
        <f t="shared" si="23"/>
        <v>0</v>
      </c>
      <c r="CF25" s="637">
        <f t="shared" si="26"/>
        <v>192</v>
      </c>
      <c r="CG25" s="638">
        <f t="shared" si="27"/>
        <v>1049</v>
      </c>
      <c r="CI25" s="515">
        <f>[1]Summary!AL30</f>
        <v>48.270833333333343</v>
      </c>
      <c r="CJ25" s="517">
        <f>[1]Summary!AM30</f>
        <v>50.479166666666657</v>
      </c>
    </row>
    <row r="26" spans="1:89" ht="14.25" customHeight="1">
      <c r="A26" s="166">
        <f t="shared" si="14"/>
        <v>41966</v>
      </c>
      <c r="B26" s="322">
        <v>18512.580000000002</v>
      </c>
      <c r="C26" s="259">
        <v>339</v>
      </c>
      <c r="D26" s="259">
        <v>79432.800000000032</v>
      </c>
      <c r="E26" s="259">
        <v>2878</v>
      </c>
      <c r="F26" s="320">
        <v>0</v>
      </c>
      <c r="G26" s="259">
        <v>79432.800000000032</v>
      </c>
      <c r="H26" s="259">
        <v>2878</v>
      </c>
      <c r="I26" s="263">
        <f t="shared" si="0"/>
        <v>18512.580000000002</v>
      </c>
      <c r="J26" s="328">
        <f t="shared" si="1"/>
        <v>339</v>
      </c>
      <c r="K26" s="328">
        <f t="shared" si="24"/>
        <v>79432.800000000032</v>
      </c>
      <c r="L26" s="325">
        <f t="shared" si="25"/>
        <v>2878</v>
      </c>
      <c r="M26" s="576">
        <v>1.5</v>
      </c>
      <c r="N26" s="280">
        <f>[1]Summary!$AI31</f>
        <v>0</v>
      </c>
      <c r="O26" s="280">
        <f>[1]Summary!$AJ31</f>
        <v>0</v>
      </c>
      <c r="P26" s="156">
        <f t="shared" si="15"/>
        <v>0</v>
      </c>
      <c r="Q26" s="280">
        <f t="shared" si="16"/>
        <v>0</v>
      </c>
      <c r="R26" s="370">
        <f t="shared" si="4"/>
        <v>0</v>
      </c>
      <c r="S26" s="263">
        <f t="shared" si="17"/>
        <v>169.5</v>
      </c>
      <c r="T26" s="125">
        <f t="shared" si="5"/>
        <v>0</v>
      </c>
      <c r="U26" s="125">
        <f t="shared" si="6"/>
        <v>0</v>
      </c>
      <c r="V26" s="125">
        <f t="shared" si="7"/>
        <v>0</v>
      </c>
      <c r="W26" s="125">
        <f t="shared" si="8"/>
        <v>0</v>
      </c>
      <c r="X26" s="125">
        <f t="shared" si="9"/>
        <v>339</v>
      </c>
      <c r="Y26" s="145">
        <f t="shared" si="10"/>
        <v>14211.6846625</v>
      </c>
      <c r="Z26" s="269">
        <v>41.922373635693212</v>
      </c>
      <c r="AA26" s="167">
        <f t="shared" si="18"/>
        <v>4131.3953375000019</v>
      </c>
      <c r="AB26" s="336"/>
      <c r="AC26" s="167">
        <f t="shared" si="19"/>
        <v>84751.291588829641</v>
      </c>
      <c r="AD26" s="522">
        <f t="shared" si="20"/>
        <v>54.604955752212398</v>
      </c>
      <c r="AE26" s="336"/>
      <c r="AF26" s="101">
        <v>23</v>
      </c>
      <c r="AG26" s="102">
        <f t="shared" si="11"/>
        <v>81106</v>
      </c>
      <c r="AH26" s="102">
        <f>'Daily Budget Data'!B27</f>
        <v>85606.636287763366</v>
      </c>
      <c r="AI26" s="96"/>
      <c r="AJ26" s="515">
        <f t="shared" si="21"/>
        <v>0</v>
      </c>
      <c r="AK26" s="515">
        <f t="shared" si="22"/>
        <v>0</v>
      </c>
      <c r="AL26" s="103"/>
      <c r="AM26" s="102">
        <f t="shared" si="12"/>
        <v>83415</v>
      </c>
      <c r="AN26" s="102">
        <f>'Daily Budget Data'!H27+'Daily Budget Data'!I27+'Daily Budget Data'!J27</f>
        <v>83347.140833333426</v>
      </c>
      <c r="AO26" s="96"/>
      <c r="AP26" s="110">
        <v>23</v>
      </c>
      <c r="AQ26" s="334"/>
      <c r="AR26" s="336">
        <v>24883</v>
      </c>
      <c r="AS26" s="420">
        <v>56223</v>
      </c>
      <c r="AT26" s="336"/>
      <c r="AU26" s="336">
        <v>25895</v>
      </c>
      <c r="AV26" s="353">
        <v>57520</v>
      </c>
      <c r="AX26" s="515">
        <f>[1]Summary!B31</f>
        <v>0</v>
      </c>
      <c r="AY26" s="516">
        <f>[1]Summary!C31</f>
        <v>627</v>
      </c>
      <c r="AZ26" s="517">
        <f>[1]Summary!D31</f>
        <v>359</v>
      </c>
      <c r="BA26" s="105"/>
      <c r="BB26" s="515">
        <f>[1]Summary!F31</f>
        <v>0</v>
      </c>
      <c r="BC26" s="516">
        <f>[1]Summary!G31</f>
        <v>466</v>
      </c>
      <c r="BD26" s="517">
        <f>[1]Summary!H31</f>
        <v>940</v>
      </c>
      <c r="BE26" s="105"/>
      <c r="BF26" s="515">
        <f>[1]Summary!V31</f>
        <v>0</v>
      </c>
      <c r="BG26" s="516">
        <f>[1]Summary!W31</f>
        <v>1573</v>
      </c>
      <c r="BH26" s="517">
        <f>[1]Summary!X31</f>
        <v>3041</v>
      </c>
      <c r="BI26" s="105"/>
      <c r="BJ26" s="515">
        <f>[1]Summary!Z31</f>
        <v>0</v>
      </c>
      <c r="BK26" s="516">
        <f>[1]Summary!AA31</f>
        <v>271</v>
      </c>
      <c r="BL26" s="517">
        <f>[1]Summary!AB31</f>
        <v>66</v>
      </c>
      <c r="BM26" s="105"/>
      <c r="BN26" s="515">
        <f>[1]Summary!J31</f>
        <v>0</v>
      </c>
      <c r="BO26" s="516">
        <f>[1]Summary!K31</f>
        <v>999</v>
      </c>
      <c r="BP26" s="517">
        <f>[1]Summary!L31</f>
        <v>1879</v>
      </c>
      <c r="BQ26" s="96"/>
      <c r="BR26" s="515">
        <f>[1]Summary!R31</f>
        <v>0</v>
      </c>
      <c r="BS26" s="516">
        <f>[1]Summary!S31</f>
        <v>0</v>
      </c>
      <c r="BT26" s="517">
        <f>[1]Summary!T31</f>
        <v>0</v>
      </c>
      <c r="BU26" s="129"/>
      <c r="BV26" s="515">
        <f>[1]Summary!AD31</f>
        <v>12</v>
      </c>
      <c r="BW26" s="516">
        <f>[1]Summary!AE31</f>
        <v>0</v>
      </c>
      <c r="BX26" s="516">
        <f>[1]Summary!AF31</f>
        <v>12</v>
      </c>
      <c r="BY26" s="517">
        <f>[1]Summary!AG31</f>
        <v>0</v>
      </c>
      <c r="BZ26" s="96"/>
      <c r="CA26" s="515">
        <f>[1]Summary!N31</f>
        <v>0</v>
      </c>
      <c r="CB26" s="516">
        <f>[1]Summary!O31</f>
        <v>2</v>
      </c>
      <c r="CC26" s="517">
        <f>[1]Summary!P31</f>
        <v>0</v>
      </c>
      <c r="CD26" s="175"/>
      <c r="CE26" s="636">
        <f t="shared" si="23"/>
        <v>0</v>
      </c>
      <c r="CF26" s="637">
        <f t="shared" si="26"/>
        <v>273</v>
      </c>
      <c r="CG26" s="638">
        <f t="shared" si="27"/>
        <v>66</v>
      </c>
      <c r="CI26" s="515">
        <f>[1]Summary!AL31</f>
        <v>52.982986111111124</v>
      </c>
      <c r="CJ26" s="517">
        <f>[1]Summary!AM31</f>
        <v>54.997916666666669</v>
      </c>
    </row>
    <row r="27" spans="1:89" ht="14.25" customHeight="1">
      <c r="A27" s="166">
        <f t="shared" si="14"/>
        <v>41967</v>
      </c>
      <c r="B27" s="322">
        <v>0</v>
      </c>
      <c r="C27" s="259">
        <v>0</v>
      </c>
      <c r="D27" s="259">
        <v>0</v>
      </c>
      <c r="E27" s="259">
        <v>0</v>
      </c>
      <c r="F27" s="320">
        <v>0</v>
      </c>
      <c r="G27" s="259">
        <v>0</v>
      </c>
      <c r="H27" s="259">
        <v>0</v>
      </c>
      <c r="I27" s="263">
        <f t="shared" si="0"/>
        <v>0</v>
      </c>
      <c r="J27" s="328">
        <f t="shared" si="1"/>
        <v>0</v>
      </c>
      <c r="K27" s="328">
        <f t="shared" si="24"/>
        <v>0</v>
      </c>
      <c r="L27" s="325">
        <f t="shared" si="25"/>
        <v>0</v>
      </c>
      <c r="M27" s="576">
        <v>1.5</v>
      </c>
      <c r="N27" s="280">
        <f>[1]Summary!$AI32</f>
        <v>0</v>
      </c>
      <c r="O27" s="280">
        <f>[1]Summary!$AJ32</f>
        <v>0</v>
      </c>
      <c r="P27" s="156">
        <f t="shared" si="15"/>
        <v>0</v>
      </c>
      <c r="Q27" s="280">
        <f t="shared" si="16"/>
        <v>0</v>
      </c>
      <c r="R27" s="370">
        <f t="shared" si="4"/>
        <v>0</v>
      </c>
      <c r="S27" s="263">
        <f t="shared" si="17"/>
        <v>0</v>
      </c>
      <c r="T27" s="125">
        <f t="shared" si="5"/>
        <v>0</v>
      </c>
      <c r="U27" s="125">
        <f t="shared" si="6"/>
        <v>0</v>
      </c>
      <c r="V27" s="125">
        <f t="shared" si="7"/>
        <v>0</v>
      </c>
      <c r="W27" s="125">
        <f t="shared" si="8"/>
        <v>0</v>
      </c>
      <c r="X27" s="125">
        <f t="shared" si="9"/>
        <v>0</v>
      </c>
      <c r="Y27" s="145">
        <f t="shared" si="10"/>
        <v>0</v>
      </c>
      <c r="Z27" s="269"/>
      <c r="AA27" s="167">
        <f t="shared" si="18"/>
        <v>0</v>
      </c>
      <c r="AB27" s="336"/>
      <c r="AC27" s="167">
        <f t="shared" si="19"/>
        <v>0</v>
      </c>
      <c r="AD27" s="522" t="str">
        <f t="shared" si="20"/>
        <v>-</v>
      </c>
      <c r="AE27" s="336"/>
      <c r="AF27" s="101">
        <v>24</v>
      </c>
      <c r="AG27" s="102">
        <f t="shared" si="11"/>
        <v>0</v>
      </c>
      <c r="AH27" s="102">
        <f>'Daily Budget Data'!B28</f>
        <v>0</v>
      </c>
      <c r="AI27" s="96"/>
      <c r="AJ27" s="515">
        <f t="shared" si="21"/>
        <v>0</v>
      </c>
      <c r="AK27" s="515">
        <f t="shared" si="22"/>
        <v>0</v>
      </c>
      <c r="AL27" s="103"/>
      <c r="AM27" s="102">
        <f t="shared" si="12"/>
        <v>0</v>
      </c>
      <c r="AN27" s="102">
        <f>'Daily Budget Data'!H28+'Daily Budget Data'!I28+'Daily Budget Data'!J28</f>
        <v>0</v>
      </c>
      <c r="AO27" s="96"/>
      <c r="AP27" s="110">
        <v>24</v>
      </c>
      <c r="AQ27" s="334"/>
      <c r="AR27" s="336"/>
      <c r="AS27" s="420"/>
      <c r="AT27" s="336"/>
      <c r="AU27" s="336"/>
      <c r="AV27" s="353"/>
      <c r="AX27" s="515">
        <f>[1]Summary!B32</f>
        <v>0</v>
      </c>
      <c r="AY27" s="516">
        <f>[1]Summary!C32</f>
        <v>0</v>
      </c>
      <c r="AZ27" s="517">
        <f>[1]Summary!D32</f>
        <v>0</v>
      </c>
      <c r="BA27" s="105"/>
      <c r="BB27" s="515">
        <f>[1]Summary!F32</f>
        <v>0</v>
      </c>
      <c r="BC27" s="516">
        <f>[1]Summary!G32</f>
        <v>0</v>
      </c>
      <c r="BD27" s="517">
        <f>[1]Summary!H32</f>
        <v>0</v>
      </c>
      <c r="BE27" s="105"/>
      <c r="BF27" s="515">
        <f>[1]Summary!V32</f>
        <v>0</v>
      </c>
      <c r="BG27" s="516">
        <f>[1]Summary!W32</f>
        <v>0</v>
      </c>
      <c r="BH27" s="517">
        <f>[1]Summary!X32</f>
        <v>0</v>
      </c>
      <c r="BI27" s="105"/>
      <c r="BJ27" s="515">
        <f>[1]Summary!Z32</f>
        <v>0</v>
      </c>
      <c r="BK27" s="516">
        <f>[1]Summary!AA32</f>
        <v>0</v>
      </c>
      <c r="BL27" s="517">
        <f>[1]Summary!AB32</f>
        <v>0</v>
      </c>
      <c r="BM27" s="105"/>
      <c r="BN27" s="515">
        <f>[1]Summary!J32</f>
        <v>0</v>
      </c>
      <c r="BO27" s="516">
        <f>[1]Summary!K32</f>
        <v>0</v>
      </c>
      <c r="BP27" s="517">
        <f>[1]Summary!L32</f>
        <v>0</v>
      </c>
      <c r="BQ27" s="96"/>
      <c r="BR27" s="515">
        <f>[1]Summary!R32</f>
        <v>0</v>
      </c>
      <c r="BS27" s="516">
        <f>[1]Summary!S32</f>
        <v>0</v>
      </c>
      <c r="BT27" s="517">
        <f>[1]Summary!T32</f>
        <v>0</v>
      </c>
      <c r="BU27" s="129"/>
      <c r="BV27" s="515" t="str">
        <f>[1]Summary!AD32</f>
        <v/>
      </c>
      <c r="BW27" s="516" t="str">
        <f>[1]Summary!AE32</f>
        <v/>
      </c>
      <c r="BX27" s="516" t="str">
        <f>[1]Summary!AF32</f>
        <v/>
      </c>
      <c r="BY27" s="517" t="str">
        <f>[1]Summary!AG32</f>
        <v/>
      </c>
      <c r="BZ27" s="96"/>
      <c r="CA27" s="515">
        <f>[1]Summary!N32</f>
        <v>0</v>
      </c>
      <c r="CB27" s="516">
        <f>[1]Summary!O32</f>
        <v>0</v>
      </c>
      <c r="CC27" s="517">
        <f>[1]Summary!P32</f>
        <v>0</v>
      </c>
      <c r="CD27" s="175"/>
      <c r="CE27" s="636">
        <f t="shared" si="23"/>
        <v>0</v>
      </c>
      <c r="CF27" s="637">
        <f t="shared" si="26"/>
        <v>0</v>
      </c>
      <c r="CG27" s="638">
        <f t="shared" si="27"/>
        <v>0</v>
      </c>
      <c r="CI27" s="515" t="str">
        <f>[1]Summary!AL32</f>
        <v/>
      </c>
      <c r="CJ27" s="517" t="str">
        <f>[1]Summary!AM32</f>
        <v/>
      </c>
    </row>
    <row r="28" spans="1:89" ht="14.25" customHeight="1">
      <c r="A28" s="166">
        <f t="shared" si="14"/>
        <v>41968</v>
      </c>
      <c r="B28" s="322">
        <v>0</v>
      </c>
      <c r="C28" s="259">
        <v>0</v>
      </c>
      <c r="D28" s="259">
        <v>0</v>
      </c>
      <c r="E28" s="259">
        <v>0</v>
      </c>
      <c r="F28" s="320">
        <v>0</v>
      </c>
      <c r="G28" s="259">
        <v>0</v>
      </c>
      <c r="H28" s="259">
        <v>0</v>
      </c>
      <c r="I28" s="263">
        <f t="shared" si="0"/>
        <v>0</v>
      </c>
      <c r="J28" s="328">
        <f t="shared" si="1"/>
        <v>0</v>
      </c>
      <c r="K28" s="328">
        <f t="shared" si="24"/>
        <v>0</v>
      </c>
      <c r="L28" s="325">
        <f t="shared" si="25"/>
        <v>0</v>
      </c>
      <c r="M28" s="576">
        <v>1.5</v>
      </c>
      <c r="N28" s="280">
        <f>[1]Summary!$AI33</f>
        <v>0</v>
      </c>
      <c r="O28" s="280">
        <f>[1]Summary!$AJ33</f>
        <v>0</v>
      </c>
      <c r="P28" s="156">
        <f t="shared" si="15"/>
        <v>0</v>
      </c>
      <c r="Q28" s="280">
        <f t="shared" si="16"/>
        <v>0</v>
      </c>
      <c r="R28" s="370">
        <f t="shared" si="4"/>
        <v>0</v>
      </c>
      <c r="S28" s="263">
        <f t="shared" si="17"/>
        <v>0</v>
      </c>
      <c r="T28" s="125">
        <f t="shared" si="5"/>
        <v>0</v>
      </c>
      <c r="U28" s="125">
        <f t="shared" si="6"/>
        <v>0</v>
      </c>
      <c r="V28" s="125">
        <f t="shared" si="7"/>
        <v>0</v>
      </c>
      <c r="W28" s="125">
        <f t="shared" si="8"/>
        <v>0</v>
      </c>
      <c r="X28" s="125">
        <f t="shared" si="9"/>
        <v>0</v>
      </c>
      <c r="Y28" s="145">
        <f t="shared" si="10"/>
        <v>0</v>
      </c>
      <c r="Z28" s="269"/>
      <c r="AA28" s="167">
        <f t="shared" si="18"/>
        <v>0</v>
      </c>
      <c r="AB28" s="336"/>
      <c r="AC28" s="167">
        <f t="shared" si="19"/>
        <v>0</v>
      </c>
      <c r="AD28" s="522" t="str">
        <f t="shared" si="20"/>
        <v>-</v>
      </c>
      <c r="AE28" s="336"/>
      <c r="AF28" s="101">
        <v>25</v>
      </c>
      <c r="AG28" s="102">
        <f t="shared" si="11"/>
        <v>0</v>
      </c>
      <c r="AH28" s="102">
        <f>'Daily Budget Data'!B29</f>
        <v>0</v>
      </c>
      <c r="AI28" s="96"/>
      <c r="AJ28" s="515">
        <f t="shared" si="21"/>
        <v>0</v>
      </c>
      <c r="AK28" s="515">
        <f t="shared" si="22"/>
        <v>0</v>
      </c>
      <c r="AL28" s="103"/>
      <c r="AM28" s="102">
        <f t="shared" si="12"/>
        <v>0</v>
      </c>
      <c r="AN28" s="102">
        <f>'Daily Budget Data'!H29+'Daily Budget Data'!I29+'Daily Budget Data'!J29</f>
        <v>0</v>
      </c>
      <c r="AO28" s="96"/>
      <c r="AP28" s="110">
        <v>25</v>
      </c>
      <c r="AQ28" s="334"/>
      <c r="AR28" s="336"/>
      <c r="AS28" s="420"/>
      <c r="AT28" s="336"/>
      <c r="AU28" s="336"/>
      <c r="AV28" s="353"/>
      <c r="AX28" s="515">
        <f>[1]Summary!B33</f>
        <v>0</v>
      </c>
      <c r="AY28" s="516">
        <f>[1]Summary!C33</f>
        <v>0</v>
      </c>
      <c r="AZ28" s="517">
        <f>[1]Summary!D33</f>
        <v>0</v>
      </c>
      <c r="BA28" s="105"/>
      <c r="BB28" s="515">
        <f>[1]Summary!F33</f>
        <v>0</v>
      </c>
      <c r="BC28" s="516">
        <f>[1]Summary!G33</f>
        <v>0</v>
      </c>
      <c r="BD28" s="517">
        <f>[1]Summary!H33</f>
        <v>0</v>
      </c>
      <c r="BE28" s="105"/>
      <c r="BF28" s="515">
        <f>[1]Summary!V33</f>
        <v>0</v>
      </c>
      <c r="BG28" s="516">
        <f>[1]Summary!W33</f>
        <v>0</v>
      </c>
      <c r="BH28" s="517">
        <f>[1]Summary!X33</f>
        <v>0</v>
      </c>
      <c r="BI28" s="105"/>
      <c r="BJ28" s="515">
        <f>[1]Summary!Z33</f>
        <v>0</v>
      </c>
      <c r="BK28" s="516">
        <f>[1]Summary!AA33</f>
        <v>0</v>
      </c>
      <c r="BL28" s="517">
        <f>[1]Summary!AB33</f>
        <v>0</v>
      </c>
      <c r="BM28" s="105"/>
      <c r="BN28" s="515">
        <f>[1]Summary!J33</f>
        <v>0</v>
      </c>
      <c r="BO28" s="516">
        <f>[1]Summary!K33</f>
        <v>0</v>
      </c>
      <c r="BP28" s="517">
        <f>[1]Summary!L33</f>
        <v>0</v>
      </c>
      <c r="BQ28" s="96"/>
      <c r="BR28" s="515">
        <f>[1]Summary!R33</f>
        <v>0</v>
      </c>
      <c r="BS28" s="516">
        <f>[1]Summary!S33</f>
        <v>0</v>
      </c>
      <c r="BT28" s="517">
        <f>[1]Summary!T33</f>
        <v>0</v>
      </c>
      <c r="BU28" s="129"/>
      <c r="BV28" s="515" t="str">
        <f>[1]Summary!AD33</f>
        <v/>
      </c>
      <c r="BW28" s="516" t="str">
        <f>[1]Summary!AE33</f>
        <v/>
      </c>
      <c r="BX28" s="516" t="str">
        <f>[1]Summary!AF33</f>
        <v/>
      </c>
      <c r="BY28" s="517" t="str">
        <f>[1]Summary!AG33</f>
        <v/>
      </c>
      <c r="BZ28" s="96"/>
      <c r="CA28" s="515">
        <f>[1]Summary!N33</f>
        <v>0</v>
      </c>
      <c r="CB28" s="516">
        <f>[1]Summary!O33</f>
        <v>0</v>
      </c>
      <c r="CC28" s="517">
        <f>[1]Summary!P33</f>
        <v>0</v>
      </c>
      <c r="CD28" s="175"/>
      <c r="CE28" s="636">
        <f t="shared" si="23"/>
        <v>0</v>
      </c>
      <c r="CF28" s="637">
        <f t="shared" si="26"/>
        <v>0</v>
      </c>
      <c r="CG28" s="638">
        <f t="shared" si="27"/>
        <v>0</v>
      </c>
      <c r="CI28" s="515" t="str">
        <f>[1]Summary!AL33</f>
        <v/>
      </c>
      <c r="CJ28" s="517" t="str">
        <f>[1]Summary!AM33</f>
        <v/>
      </c>
    </row>
    <row r="29" spans="1:89" ht="14.25" customHeight="1">
      <c r="A29" s="166">
        <f t="shared" si="14"/>
        <v>41969</v>
      </c>
      <c r="B29" s="322">
        <v>0</v>
      </c>
      <c r="C29" s="259">
        <v>0</v>
      </c>
      <c r="D29" s="259">
        <v>0</v>
      </c>
      <c r="E29" s="259">
        <v>0</v>
      </c>
      <c r="F29" s="320">
        <v>0</v>
      </c>
      <c r="G29" s="259">
        <v>0</v>
      </c>
      <c r="H29" s="259">
        <v>0</v>
      </c>
      <c r="I29" s="263">
        <f t="shared" si="0"/>
        <v>0</v>
      </c>
      <c r="J29" s="328">
        <f t="shared" si="1"/>
        <v>0</v>
      </c>
      <c r="K29" s="328">
        <f t="shared" si="24"/>
        <v>0</v>
      </c>
      <c r="L29" s="325">
        <f t="shared" si="25"/>
        <v>0</v>
      </c>
      <c r="M29" s="576">
        <v>1.5</v>
      </c>
      <c r="N29" s="280">
        <f>[1]Summary!$AI34</f>
        <v>0</v>
      </c>
      <c r="O29" s="280">
        <f>[1]Summary!$AJ34</f>
        <v>0</v>
      </c>
      <c r="P29" s="156">
        <f t="shared" si="15"/>
        <v>0</v>
      </c>
      <c r="Q29" s="280">
        <f t="shared" si="16"/>
        <v>0</v>
      </c>
      <c r="R29" s="370">
        <f t="shared" si="4"/>
        <v>0</v>
      </c>
      <c r="S29" s="263">
        <f t="shared" si="17"/>
        <v>0</v>
      </c>
      <c r="T29" s="125">
        <f t="shared" si="5"/>
        <v>0</v>
      </c>
      <c r="U29" s="125">
        <f t="shared" si="6"/>
        <v>0</v>
      </c>
      <c r="V29" s="125">
        <f t="shared" si="7"/>
        <v>0</v>
      </c>
      <c r="W29" s="125">
        <f t="shared" si="8"/>
        <v>0</v>
      </c>
      <c r="X29" s="125">
        <f t="shared" si="9"/>
        <v>0</v>
      </c>
      <c r="Y29" s="145">
        <f t="shared" si="10"/>
        <v>0</v>
      </c>
      <c r="Z29" s="269"/>
      <c r="AA29" s="167">
        <f t="shared" si="18"/>
        <v>0</v>
      </c>
      <c r="AB29" s="336"/>
      <c r="AC29" s="167">
        <f t="shared" si="19"/>
        <v>0</v>
      </c>
      <c r="AD29" s="522" t="str">
        <f t="shared" si="20"/>
        <v>-</v>
      </c>
      <c r="AE29" s="336"/>
      <c r="AF29" s="101">
        <v>26</v>
      </c>
      <c r="AG29" s="102">
        <f t="shared" si="11"/>
        <v>0</v>
      </c>
      <c r="AH29" s="102">
        <f>'Daily Budget Data'!B30</f>
        <v>0</v>
      </c>
      <c r="AI29" s="96"/>
      <c r="AJ29" s="515">
        <f t="shared" si="21"/>
        <v>0</v>
      </c>
      <c r="AK29" s="515">
        <f t="shared" si="22"/>
        <v>0</v>
      </c>
      <c r="AL29" s="103"/>
      <c r="AM29" s="102">
        <f t="shared" si="12"/>
        <v>0</v>
      </c>
      <c r="AN29" s="102">
        <f>'Daily Budget Data'!H30+'Daily Budget Data'!I30+'Daily Budget Data'!J30</f>
        <v>0</v>
      </c>
      <c r="AO29" s="96"/>
      <c r="AP29" s="110">
        <v>26</v>
      </c>
      <c r="AQ29" s="334"/>
      <c r="AR29" s="336"/>
      <c r="AS29" s="420"/>
      <c r="AT29" s="336"/>
      <c r="AU29" s="336"/>
      <c r="AV29" s="353"/>
      <c r="AX29" s="515">
        <f>[1]Summary!B34</f>
        <v>0</v>
      </c>
      <c r="AY29" s="516">
        <f>[1]Summary!C34</f>
        <v>0</v>
      </c>
      <c r="AZ29" s="517">
        <f>[1]Summary!D34</f>
        <v>0</v>
      </c>
      <c r="BA29" s="105"/>
      <c r="BB29" s="515">
        <f>[1]Summary!F34</f>
        <v>0</v>
      </c>
      <c r="BC29" s="516">
        <f>[1]Summary!G34</f>
        <v>0</v>
      </c>
      <c r="BD29" s="517">
        <f>[1]Summary!H34</f>
        <v>0</v>
      </c>
      <c r="BE29" s="105"/>
      <c r="BF29" s="515">
        <f>[1]Summary!V34</f>
        <v>0</v>
      </c>
      <c r="BG29" s="516">
        <f>[1]Summary!W34</f>
        <v>0</v>
      </c>
      <c r="BH29" s="517">
        <f>[1]Summary!X34</f>
        <v>0</v>
      </c>
      <c r="BI29" s="105"/>
      <c r="BJ29" s="515">
        <f>[1]Summary!Z34</f>
        <v>0</v>
      </c>
      <c r="BK29" s="516">
        <f>[1]Summary!AA34</f>
        <v>0</v>
      </c>
      <c r="BL29" s="517">
        <f>[1]Summary!AB34</f>
        <v>0</v>
      </c>
      <c r="BM29" s="105"/>
      <c r="BN29" s="515">
        <f>[1]Summary!J34</f>
        <v>0</v>
      </c>
      <c r="BO29" s="516">
        <f>[1]Summary!K34</f>
        <v>0</v>
      </c>
      <c r="BP29" s="517">
        <f>[1]Summary!L34</f>
        <v>0</v>
      </c>
      <c r="BQ29" s="96"/>
      <c r="BR29" s="515">
        <f>[1]Summary!R34</f>
        <v>0</v>
      </c>
      <c r="BS29" s="516">
        <f>[1]Summary!S34</f>
        <v>0</v>
      </c>
      <c r="BT29" s="517">
        <f>[1]Summary!T34</f>
        <v>0</v>
      </c>
      <c r="BU29" s="129"/>
      <c r="BV29" s="515" t="str">
        <f>[1]Summary!AD34</f>
        <v/>
      </c>
      <c r="BW29" s="516" t="str">
        <f>[1]Summary!AE34</f>
        <v/>
      </c>
      <c r="BX29" s="516" t="str">
        <f>[1]Summary!AF34</f>
        <v/>
      </c>
      <c r="BY29" s="517" t="str">
        <f>[1]Summary!AG34</f>
        <v/>
      </c>
      <c r="BZ29" s="96"/>
      <c r="CA29" s="515">
        <f>[1]Summary!N34</f>
        <v>0</v>
      </c>
      <c r="CB29" s="516">
        <f>[1]Summary!O34</f>
        <v>0</v>
      </c>
      <c r="CC29" s="517">
        <f>[1]Summary!P34</f>
        <v>0</v>
      </c>
      <c r="CD29" s="175"/>
      <c r="CE29" s="636">
        <f t="shared" si="23"/>
        <v>0</v>
      </c>
      <c r="CF29" s="637">
        <f t="shared" si="26"/>
        <v>0</v>
      </c>
      <c r="CG29" s="638">
        <f t="shared" si="27"/>
        <v>0</v>
      </c>
      <c r="CI29" s="515" t="str">
        <f>[1]Summary!AL34</f>
        <v/>
      </c>
      <c r="CJ29" s="517" t="str">
        <f>[1]Summary!AM34</f>
        <v/>
      </c>
    </row>
    <row r="30" spans="1:89" ht="14.25" customHeight="1">
      <c r="A30" s="166">
        <f t="shared" si="14"/>
        <v>41970</v>
      </c>
      <c r="B30" s="322">
        <v>0</v>
      </c>
      <c r="C30" s="259">
        <v>0</v>
      </c>
      <c r="D30" s="259">
        <v>0</v>
      </c>
      <c r="E30" s="259">
        <v>0</v>
      </c>
      <c r="F30" s="320">
        <v>0</v>
      </c>
      <c r="G30" s="259">
        <v>0</v>
      </c>
      <c r="H30" s="259">
        <v>0</v>
      </c>
      <c r="I30" s="263">
        <f t="shared" si="0"/>
        <v>0</v>
      </c>
      <c r="J30" s="328">
        <f t="shared" si="1"/>
        <v>0</v>
      </c>
      <c r="K30" s="328">
        <f t="shared" si="24"/>
        <v>0</v>
      </c>
      <c r="L30" s="325">
        <f t="shared" si="25"/>
        <v>0</v>
      </c>
      <c r="M30" s="576">
        <v>1.5</v>
      </c>
      <c r="N30" s="280">
        <f>[1]Summary!$AI35</f>
        <v>0</v>
      </c>
      <c r="O30" s="280">
        <f>[1]Summary!$AJ35</f>
        <v>0</v>
      </c>
      <c r="P30" s="156">
        <f t="shared" si="15"/>
        <v>0</v>
      </c>
      <c r="Q30" s="280">
        <f t="shared" si="16"/>
        <v>0</v>
      </c>
      <c r="R30" s="370">
        <f t="shared" si="4"/>
        <v>0</v>
      </c>
      <c r="S30" s="263">
        <f t="shared" si="17"/>
        <v>0</v>
      </c>
      <c r="T30" s="125">
        <f t="shared" si="5"/>
        <v>0</v>
      </c>
      <c r="U30" s="125">
        <f t="shared" si="6"/>
        <v>0</v>
      </c>
      <c r="V30" s="125">
        <f t="shared" si="7"/>
        <v>0</v>
      </c>
      <c r="W30" s="125">
        <f t="shared" si="8"/>
        <v>0</v>
      </c>
      <c r="X30" s="125">
        <f t="shared" si="9"/>
        <v>0</v>
      </c>
      <c r="Y30" s="145">
        <f t="shared" si="10"/>
        <v>0</v>
      </c>
      <c r="Z30" s="269"/>
      <c r="AA30" s="167">
        <f t="shared" si="18"/>
        <v>0</v>
      </c>
      <c r="AB30" s="336"/>
      <c r="AC30" s="167">
        <f t="shared" si="19"/>
        <v>0</v>
      </c>
      <c r="AD30" s="522" t="str">
        <f t="shared" si="20"/>
        <v>-</v>
      </c>
      <c r="AE30" s="336"/>
      <c r="AF30" s="101">
        <v>27</v>
      </c>
      <c r="AG30" s="102">
        <f t="shared" si="11"/>
        <v>0</v>
      </c>
      <c r="AH30" s="102">
        <f>'Daily Budget Data'!B31</f>
        <v>0</v>
      </c>
      <c r="AI30" s="96"/>
      <c r="AJ30" s="515">
        <f t="shared" si="21"/>
        <v>0</v>
      </c>
      <c r="AK30" s="515">
        <f t="shared" si="22"/>
        <v>0</v>
      </c>
      <c r="AL30" s="103"/>
      <c r="AM30" s="102">
        <f t="shared" si="12"/>
        <v>0</v>
      </c>
      <c r="AN30" s="102">
        <f>'Daily Budget Data'!H31+'Daily Budget Data'!I31+'Daily Budget Data'!J31</f>
        <v>0</v>
      </c>
      <c r="AO30" s="96"/>
      <c r="AP30" s="110">
        <v>27</v>
      </c>
      <c r="AQ30" s="334"/>
      <c r="AR30" s="336"/>
      <c r="AS30" s="420"/>
      <c r="AT30" s="336"/>
      <c r="AU30" s="336"/>
      <c r="AV30" s="353"/>
      <c r="AX30" s="515">
        <f>[1]Summary!B35</f>
        <v>0</v>
      </c>
      <c r="AY30" s="516">
        <f>[1]Summary!C35</f>
        <v>0</v>
      </c>
      <c r="AZ30" s="517">
        <f>[1]Summary!D35</f>
        <v>0</v>
      </c>
      <c r="BA30" s="105"/>
      <c r="BB30" s="515">
        <f>[1]Summary!F35</f>
        <v>0</v>
      </c>
      <c r="BC30" s="516">
        <f>[1]Summary!G35</f>
        <v>0</v>
      </c>
      <c r="BD30" s="517">
        <f>[1]Summary!H35</f>
        <v>0</v>
      </c>
      <c r="BE30" s="105"/>
      <c r="BF30" s="515">
        <f>[1]Summary!V35</f>
        <v>0</v>
      </c>
      <c r="BG30" s="516">
        <f>[1]Summary!W35</f>
        <v>0</v>
      </c>
      <c r="BH30" s="517">
        <f>[1]Summary!X35</f>
        <v>0</v>
      </c>
      <c r="BI30" s="105"/>
      <c r="BJ30" s="515">
        <f>[1]Summary!Z35</f>
        <v>0</v>
      </c>
      <c r="BK30" s="516">
        <f>[1]Summary!AA35</f>
        <v>0</v>
      </c>
      <c r="BL30" s="517">
        <f>[1]Summary!AB35</f>
        <v>0</v>
      </c>
      <c r="BM30" s="105"/>
      <c r="BN30" s="515">
        <f>[1]Summary!J35</f>
        <v>0</v>
      </c>
      <c r="BO30" s="516">
        <f>[1]Summary!K35</f>
        <v>0</v>
      </c>
      <c r="BP30" s="517">
        <f>[1]Summary!L35</f>
        <v>0</v>
      </c>
      <c r="BQ30" s="96"/>
      <c r="BR30" s="515">
        <f>[1]Summary!R35</f>
        <v>0</v>
      </c>
      <c r="BS30" s="516">
        <f>[1]Summary!S35</f>
        <v>0</v>
      </c>
      <c r="BT30" s="517">
        <f>[1]Summary!T35</f>
        <v>0</v>
      </c>
      <c r="BU30" s="129"/>
      <c r="BV30" s="515" t="str">
        <f>[1]Summary!AD35</f>
        <v/>
      </c>
      <c r="BW30" s="516" t="str">
        <f>[1]Summary!AE35</f>
        <v/>
      </c>
      <c r="BX30" s="516" t="str">
        <f>[1]Summary!AF35</f>
        <v/>
      </c>
      <c r="BY30" s="517" t="str">
        <f>[1]Summary!AG35</f>
        <v/>
      </c>
      <c r="BZ30" s="96"/>
      <c r="CA30" s="515">
        <f>[1]Summary!N35</f>
        <v>0</v>
      </c>
      <c r="CB30" s="516">
        <f>[1]Summary!O35</f>
        <v>0</v>
      </c>
      <c r="CC30" s="517">
        <f>[1]Summary!P35</f>
        <v>0</v>
      </c>
      <c r="CD30" s="175"/>
      <c r="CE30" s="636">
        <f t="shared" si="23"/>
        <v>0</v>
      </c>
      <c r="CF30" s="637">
        <f t="shared" si="26"/>
        <v>0</v>
      </c>
      <c r="CG30" s="638">
        <f t="shared" si="27"/>
        <v>0</v>
      </c>
      <c r="CI30" s="515" t="str">
        <f>[1]Summary!AL35</f>
        <v/>
      </c>
      <c r="CJ30" s="517" t="str">
        <f>[1]Summary!AM35</f>
        <v/>
      </c>
    </row>
    <row r="31" spans="1:89" ht="14.25" customHeight="1">
      <c r="A31" s="166">
        <f t="shared" si="14"/>
        <v>41971</v>
      </c>
      <c r="B31" s="322">
        <v>0</v>
      </c>
      <c r="C31" s="259">
        <v>0</v>
      </c>
      <c r="D31" s="259">
        <v>0</v>
      </c>
      <c r="E31" s="259">
        <v>0</v>
      </c>
      <c r="F31" s="320">
        <v>0</v>
      </c>
      <c r="G31" s="259">
        <v>0</v>
      </c>
      <c r="H31" s="259">
        <v>0</v>
      </c>
      <c r="I31" s="263">
        <f t="shared" si="0"/>
        <v>0</v>
      </c>
      <c r="J31" s="328">
        <f t="shared" si="1"/>
        <v>0</v>
      </c>
      <c r="K31" s="328">
        <f t="shared" si="24"/>
        <v>0</v>
      </c>
      <c r="L31" s="325">
        <f t="shared" si="25"/>
        <v>0</v>
      </c>
      <c r="M31" s="576">
        <v>1.5</v>
      </c>
      <c r="N31" s="280">
        <f>[1]Summary!$AI36</f>
        <v>0</v>
      </c>
      <c r="O31" s="280">
        <f>[1]Summary!$AJ36</f>
        <v>0</v>
      </c>
      <c r="P31" s="156">
        <f t="shared" si="15"/>
        <v>0</v>
      </c>
      <c r="Q31" s="280">
        <f t="shared" si="16"/>
        <v>0</v>
      </c>
      <c r="R31" s="370">
        <f t="shared" si="4"/>
        <v>0</v>
      </c>
      <c r="S31" s="263">
        <f t="shared" si="17"/>
        <v>0</v>
      </c>
      <c r="T31" s="125">
        <f t="shared" si="5"/>
        <v>0</v>
      </c>
      <c r="U31" s="125">
        <f t="shared" si="6"/>
        <v>0</v>
      </c>
      <c r="V31" s="125">
        <f t="shared" si="7"/>
        <v>0</v>
      </c>
      <c r="W31" s="125">
        <f t="shared" si="8"/>
        <v>0</v>
      </c>
      <c r="X31" s="125">
        <f t="shared" si="9"/>
        <v>0</v>
      </c>
      <c r="Y31" s="145">
        <f t="shared" si="10"/>
        <v>0</v>
      </c>
      <c r="Z31" s="269"/>
      <c r="AA31" s="167">
        <f t="shared" si="18"/>
        <v>0</v>
      </c>
      <c r="AB31" s="336"/>
      <c r="AC31" s="167">
        <f t="shared" si="19"/>
        <v>0</v>
      </c>
      <c r="AD31" s="522" t="str">
        <f t="shared" si="20"/>
        <v>-</v>
      </c>
      <c r="AE31" s="336"/>
      <c r="AF31" s="101">
        <v>28</v>
      </c>
      <c r="AG31" s="102">
        <f t="shared" si="11"/>
        <v>0</v>
      </c>
      <c r="AH31" s="102">
        <f>'Daily Budget Data'!B32</f>
        <v>0</v>
      </c>
      <c r="AI31" s="96"/>
      <c r="AJ31" s="515">
        <f t="shared" si="21"/>
        <v>0</v>
      </c>
      <c r="AK31" s="515">
        <f t="shared" si="22"/>
        <v>0</v>
      </c>
      <c r="AL31" s="103"/>
      <c r="AM31" s="102">
        <f t="shared" si="12"/>
        <v>0</v>
      </c>
      <c r="AN31" s="102">
        <f>'Daily Budget Data'!H32+'Daily Budget Data'!I32+'Daily Budget Data'!J32</f>
        <v>0</v>
      </c>
      <c r="AO31" s="96"/>
      <c r="AP31" s="110">
        <v>28</v>
      </c>
      <c r="AQ31" s="334"/>
      <c r="AR31" s="336"/>
      <c r="AS31" s="420"/>
      <c r="AT31" s="336"/>
      <c r="AU31" s="336"/>
      <c r="AV31" s="353"/>
      <c r="AX31" s="515">
        <f>[1]Summary!B36</f>
        <v>0</v>
      </c>
      <c r="AY31" s="516">
        <f>[1]Summary!C36</f>
        <v>0</v>
      </c>
      <c r="AZ31" s="517">
        <f>[1]Summary!D36</f>
        <v>0</v>
      </c>
      <c r="BA31" s="105"/>
      <c r="BB31" s="515">
        <f>[1]Summary!F36</f>
        <v>0</v>
      </c>
      <c r="BC31" s="516">
        <f>[1]Summary!G36</f>
        <v>0</v>
      </c>
      <c r="BD31" s="517">
        <f>[1]Summary!H36</f>
        <v>0</v>
      </c>
      <c r="BE31" s="105"/>
      <c r="BF31" s="515">
        <f>[1]Summary!V36</f>
        <v>0</v>
      </c>
      <c r="BG31" s="516">
        <f>[1]Summary!W36</f>
        <v>0</v>
      </c>
      <c r="BH31" s="517">
        <f>[1]Summary!X36</f>
        <v>0</v>
      </c>
      <c r="BI31" s="105"/>
      <c r="BJ31" s="515">
        <f>[1]Summary!Z36</f>
        <v>0</v>
      </c>
      <c r="BK31" s="516">
        <f>[1]Summary!AA36</f>
        <v>0</v>
      </c>
      <c r="BL31" s="517">
        <f>[1]Summary!AB36</f>
        <v>0</v>
      </c>
      <c r="BM31" s="105"/>
      <c r="BN31" s="515">
        <f>[1]Summary!J36</f>
        <v>0</v>
      </c>
      <c r="BO31" s="516">
        <f>[1]Summary!K36</f>
        <v>0</v>
      </c>
      <c r="BP31" s="517">
        <f>[1]Summary!L36</f>
        <v>0</v>
      </c>
      <c r="BQ31" s="96"/>
      <c r="BR31" s="515">
        <f>[1]Summary!R36</f>
        <v>0</v>
      </c>
      <c r="BS31" s="516">
        <f>[1]Summary!S36</f>
        <v>0</v>
      </c>
      <c r="BT31" s="517">
        <f>[1]Summary!T36</f>
        <v>0</v>
      </c>
      <c r="BU31" s="129"/>
      <c r="BV31" s="515" t="str">
        <f>[1]Summary!AD36</f>
        <v/>
      </c>
      <c r="BW31" s="516" t="str">
        <f>[1]Summary!AE36</f>
        <v/>
      </c>
      <c r="BX31" s="516" t="str">
        <f>[1]Summary!AF36</f>
        <v/>
      </c>
      <c r="BY31" s="517" t="str">
        <f>[1]Summary!AG36</f>
        <v/>
      </c>
      <c r="BZ31" s="96"/>
      <c r="CA31" s="515">
        <f>[1]Summary!N36</f>
        <v>0</v>
      </c>
      <c r="CB31" s="516">
        <f>[1]Summary!O36</f>
        <v>0</v>
      </c>
      <c r="CC31" s="517">
        <f>[1]Summary!P36</f>
        <v>0</v>
      </c>
      <c r="CD31" s="175"/>
      <c r="CE31" s="636">
        <f t="shared" si="23"/>
        <v>0</v>
      </c>
      <c r="CF31" s="637">
        <f t="shared" si="26"/>
        <v>0</v>
      </c>
      <c r="CG31" s="638">
        <f t="shared" si="27"/>
        <v>0</v>
      </c>
      <c r="CI31" s="515" t="str">
        <f>[1]Summary!AL36</f>
        <v/>
      </c>
      <c r="CJ31" s="517" t="str">
        <f>[1]Summary!AM36</f>
        <v/>
      </c>
    </row>
    <row r="32" spans="1:89" ht="14.25" customHeight="1">
      <c r="A32" s="166">
        <f t="shared" si="14"/>
        <v>41972</v>
      </c>
      <c r="B32" s="322">
        <v>0</v>
      </c>
      <c r="C32" s="259">
        <v>0</v>
      </c>
      <c r="D32" s="259">
        <v>0</v>
      </c>
      <c r="E32" s="259">
        <v>0</v>
      </c>
      <c r="F32" s="320">
        <v>0</v>
      </c>
      <c r="G32" s="259">
        <v>0</v>
      </c>
      <c r="H32" s="259">
        <v>0</v>
      </c>
      <c r="I32" s="263">
        <f t="shared" si="0"/>
        <v>0</v>
      </c>
      <c r="J32" s="328">
        <f t="shared" si="1"/>
        <v>0</v>
      </c>
      <c r="K32" s="328">
        <f t="shared" si="24"/>
        <v>0</v>
      </c>
      <c r="L32" s="325">
        <f t="shared" si="25"/>
        <v>0</v>
      </c>
      <c r="M32" s="576">
        <v>1.5</v>
      </c>
      <c r="N32" s="280">
        <f>[1]Summary!$AI37</f>
        <v>0</v>
      </c>
      <c r="O32" s="280">
        <f>[1]Summary!$AJ37</f>
        <v>0</v>
      </c>
      <c r="P32" s="156">
        <f t="shared" si="15"/>
        <v>0</v>
      </c>
      <c r="Q32" s="280">
        <f t="shared" si="16"/>
        <v>0</v>
      </c>
      <c r="R32" s="370">
        <f t="shared" si="4"/>
        <v>0</v>
      </c>
      <c r="S32" s="263">
        <f t="shared" si="17"/>
        <v>0</v>
      </c>
      <c r="T32" s="125">
        <f t="shared" si="5"/>
        <v>0</v>
      </c>
      <c r="U32" s="125">
        <f t="shared" si="6"/>
        <v>0</v>
      </c>
      <c r="V32" s="125">
        <f t="shared" si="7"/>
        <v>0</v>
      </c>
      <c r="W32" s="125">
        <f t="shared" si="8"/>
        <v>0</v>
      </c>
      <c r="X32" s="125">
        <f t="shared" si="9"/>
        <v>0</v>
      </c>
      <c r="Y32" s="145">
        <f t="shared" si="10"/>
        <v>0</v>
      </c>
      <c r="Z32" s="269"/>
      <c r="AA32" s="167">
        <f t="shared" si="18"/>
        <v>0</v>
      </c>
      <c r="AB32" s="336"/>
      <c r="AC32" s="167">
        <f t="shared" si="19"/>
        <v>0</v>
      </c>
      <c r="AD32" s="522" t="str">
        <f t="shared" si="20"/>
        <v>-</v>
      </c>
      <c r="AE32" s="387"/>
      <c r="AF32" s="101">
        <v>29</v>
      </c>
      <c r="AG32" s="102">
        <f t="shared" si="11"/>
        <v>0</v>
      </c>
      <c r="AH32" s="102">
        <f>'Daily Budget Data'!B33</f>
        <v>0</v>
      </c>
      <c r="AI32" s="96"/>
      <c r="AJ32" s="515">
        <f t="shared" si="21"/>
        <v>0</v>
      </c>
      <c r="AK32" s="515">
        <f t="shared" si="22"/>
        <v>0</v>
      </c>
      <c r="AL32" s="103"/>
      <c r="AM32" s="102">
        <f t="shared" si="12"/>
        <v>0</v>
      </c>
      <c r="AN32" s="102">
        <f>'Daily Budget Data'!H33+'Daily Budget Data'!I33+'Daily Budget Data'!J33</f>
        <v>0</v>
      </c>
      <c r="AO32" s="96"/>
      <c r="AP32" s="110">
        <v>29</v>
      </c>
      <c r="AQ32" s="334"/>
      <c r="AR32" s="336"/>
      <c r="AS32" s="420"/>
      <c r="AT32" s="336"/>
      <c r="AU32" s="336"/>
      <c r="AV32" s="353"/>
      <c r="AX32" s="515">
        <f>[1]Summary!B37</f>
        <v>0</v>
      </c>
      <c r="AY32" s="516">
        <f>[1]Summary!C37</f>
        <v>0</v>
      </c>
      <c r="AZ32" s="517">
        <f>[1]Summary!D37</f>
        <v>0</v>
      </c>
      <c r="BA32" s="105"/>
      <c r="BB32" s="515">
        <f>[1]Summary!F37</f>
        <v>0</v>
      </c>
      <c r="BC32" s="516">
        <f>[1]Summary!G37</f>
        <v>0</v>
      </c>
      <c r="BD32" s="517">
        <f>[1]Summary!H37</f>
        <v>0</v>
      </c>
      <c r="BE32" s="105"/>
      <c r="BF32" s="515">
        <f>[1]Summary!V37</f>
        <v>0</v>
      </c>
      <c r="BG32" s="516">
        <f>[1]Summary!W37</f>
        <v>0</v>
      </c>
      <c r="BH32" s="517">
        <f>[1]Summary!X37</f>
        <v>0</v>
      </c>
      <c r="BI32" s="105"/>
      <c r="BJ32" s="515">
        <f>[1]Summary!Z37</f>
        <v>0</v>
      </c>
      <c r="BK32" s="516">
        <f>[1]Summary!AA37</f>
        <v>0</v>
      </c>
      <c r="BL32" s="517">
        <f>[1]Summary!AB37</f>
        <v>0</v>
      </c>
      <c r="BM32" s="105"/>
      <c r="BN32" s="515">
        <f>[1]Summary!J37</f>
        <v>0</v>
      </c>
      <c r="BO32" s="516">
        <f>[1]Summary!K37</f>
        <v>0</v>
      </c>
      <c r="BP32" s="517">
        <f>[1]Summary!L37</f>
        <v>0</v>
      </c>
      <c r="BQ32" s="96"/>
      <c r="BR32" s="515">
        <f>[1]Summary!R37</f>
        <v>0</v>
      </c>
      <c r="BS32" s="516">
        <f>[1]Summary!S37</f>
        <v>0</v>
      </c>
      <c r="BT32" s="517">
        <f>[1]Summary!T37</f>
        <v>0</v>
      </c>
      <c r="BU32" s="129"/>
      <c r="BV32" s="515" t="str">
        <f>[1]Summary!AD37</f>
        <v/>
      </c>
      <c r="BW32" s="516" t="str">
        <f>[1]Summary!AE37</f>
        <v/>
      </c>
      <c r="BX32" s="516" t="str">
        <f>[1]Summary!AF37</f>
        <v/>
      </c>
      <c r="BY32" s="517" t="str">
        <f>[1]Summary!AG37</f>
        <v/>
      </c>
      <c r="BZ32" s="96"/>
      <c r="CA32" s="515">
        <f>[1]Summary!N37</f>
        <v>0</v>
      </c>
      <c r="CB32" s="516">
        <f>[1]Summary!O37</f>
        <v>0</v>
      </c>
      <c r="CC32" s="517">
        <f>[1]Summary!P37</f>
        <v>0</v>
      </c>
      <c r="CD32" s="175"/>
      <c r="CE32" s="636">
        <f t="shared" si="23"/>
        <v>0</v>
      </c>
      <c r="CF32" s="637">
        <f t="shared" si="26"/>
        <v>0</v>
      </c>
      <c r="CG32" s="638">
        <f t="shared" si="27"/>
        <v>0</v>
      </c>
      <c r="CI32" s="515" t="str">
        <f>[1]Summary!AL37</f>
        <v/>
      </c>
      <c r="CJ32" s="517" t="str">
        <f>[1]Summary!AM37</f>
        <v/>
      </c>
    </row>
    <row r="33" spans="1:95" s="100" customFormat="1" ht="14.25" customHeight="1">
      <c r="A33" s="166">
        <f t="shared" si="14"/>
        <v>41973</v>
      </c>
      <c r="B33" s="322">
        <v>0</v>
      </c>
      <c r="C33" s="259">
        <v>0</v>
      </c>
      <c r="D33" s="259">
        <v>0</v>
      </c>
      <c r="E33" s="259">
        <v>0</v>
      </c>
      <c r="F33" s="320">
        <v>0</v>
      </c>
      <c r="G33" s="259">
        <v>0</v>
      </c>
      <c r="H33" s="259">
        <v>0</v>
      </c>
      <c r="I33" s="263">
        <f t="shared" si="0"/>
        <v>0</v>
      </c>
      <c r="J33" s="328">
        <f t="shared" si="1"/>
        <v>0</v>
      </c>
      <c r="K33" s="328">
        <f t="shared" si="24"/>
        <v>0</v>
      </c>
      <c r="L33" s="325">
        <f t="shared" si="25"/>
        <v>0</v>
      </c>
      <c r="M33" s="576">
        <v>1.5</v>
      </c>
      <c r="N33" s="280">
        <f>[1]Summary!$AI38</f>
        <v>0</v>
      </c>
      <c r="O33" s="280">
        <f>[1]Summary!$AJ38</f>
        <v>0</v>
      </c>
      <c r="P33" s="156">
        <f t="shared" si="15"/>
        <v>0</v>
      </c>
      <c r="Q33" s="280">
        <f t="shared" si="16"/>
        <v>0</v>
      </c>
      <c r="R33" s="370">
        <f t="shared" si="4"/>
        <v>0</v>
      </c>
      <c r="S33" s="263">
        <f t="shared" si="17"/>
        <v>0</v>
      </c>
      <c r="T33" s="125">
        <f t="shared" si="5"/>
        <v>0</v>
      </c>
      <c r="U33" s="125">
        <f t="shared" si="6"/>
        <v>0</v>
      </c>
      <c r="V33" s="125">
        <f t="shared" si="7"/>
        <v>0</v>
      </c>
      <c r="W33" s="125">
        <f t="shared" si="8"/>
        <v>0</v>
      </c>
      <c r="X33" s="125">
        <f t="shared" si="9"/>
        <v>0</v>
      </c>
      <c r="Y33" s="145">
        <f t="shared" si="10"/>
        <v>0</v>
      </c>
      <c r="Z33" s="269"/>
      <c r="AA33" s="167">
        <f t="shared" si="18"/>
        <v>0</v>
      </c>
      <c r="AB33" s="336"/>
      <c r="AC33" s="167">
        <f t="shared" si="19"/>
        <v>0</v>
      </c>
      <c r="AD33" s="522" t="str">
        <f t="shared" si="20"/>
        <v>-</v>
      </c>
      <c r="AE33" s="387"/>
      <c r="AF33" s="101">
        <v>30</v>
      </c>
      <c r="AG33" s="102">
        <f t="shared" si="11"/>
        <v>0</v>
      </c>
      <c r="AH33" s="102">
        <f>'Daily Budget Data'!B34</f>
        <v>0</v>
      </c>
      <c r="AI33" s="105"/>
      <c r="AJ33" s="515">
        <f t="shared" si="21"/>
        <v>0</v>
      </c>
      <c r="AK33" s="515">
        <f t="shared" si="22"/>
        <v>0</v>
      </c>
      <c r="AL33" s="109"/>
      <c r="AM33" s="102">
        <f t="shared" si="12"/>
        <v>0</v>
      </c>
      <c r="AN33" s="102">
        <f>'Daily Budget Data'!H34+'Daily Budget Data'!I34+'Daily Budget Data'!J34</f>
        <v>0</v>
      </c>
      <c r="AO33" s="105"/>
      <c r="AP33" s="110">
        <v>30</v>
      </c>
      <c r="AQ33" s="334"/>
      <c r="AR33" s="336"/>
      <c r="AS33" s="420"/>
      <c r="AT33" s="336"/>
      <c r="AU33" s="336"/>
      <c r="AV33" s="353"/>
      <c r="AX33" s="515">
        <f>[1]Summary!B38</f>
        <v>0</v>
      </c>
      <c r="AY33" s="516">
        <f>[1]Summary!C38</f>
        <v>0</v>
      </c>
      <c r="AZ33" s="517">
        <f>[1]Summary!D38</f>
        <v>0</v>
      </c>
      <c r="BA33" s="105"/>
      <c r="BB33" s="515">
        <f>[1]Summary!F38</f>
        <v>0</v>
      </c>
      <c r="BC33" s="516">
        <f>[1]Summary!G38</f>
        <v>0</v>
      </c>
      <c r="BD33" s="517">
        <f>[1]Summary!H38</f>
        <v>0</v>
      </c>
      <c r="BE33" s="105"/>
      <c r="BF33" s="515">
        <f>[1]Summary!V38</f>
        <v>0</v>
      </c>
      <c r="BG33" s="516">
        <f>[1]Summary!W38</f>
        <v>0</v>
      </c>
      <c r="BH33" s="517">
        <f>[1]Summary!X38</f>
        <v>0</v>
      </c>
      <c r="BI33" s="105"/>
      <c r="BJ33" s="515">
        <f>[1]Summary!Z38</f>
        <v>0</v>
      </c>
      <c r="BK33" s="516">
        <f>[1]Summary!AA38</f>
        <v>0</v>
      </c>
      <c r="BL33" s="517">
        <f>[1]Summary!AB38</f>
        <v>0</v>
      </c>
      <c r="BM33" s="105"/>
      <c r="BN33" s="515">
        <f>[1]Summary!J38</f>
        <v>0</v>
      </c>
      <c r="BO33" s="516">
        <f>[1]Summary!K38</f>
        <v>0</v>
      </c>
      <c r="BP33" s="517">
        <f>[1]Summary!L38</f>
        <v>0</v>
      </c>
      <c r="BQ33" s="105"/>
      <c r="BR33" s="515">
        <f>[1]Summary!R38</f>
        <v>0</v>
      </c>
      <c r="BS33" s="516">
        <f>[1]Summary!S38</f>
        <v>0</v>
      </c>
      <c r="BT33" s="517">
        <f>[1]Summary!T38</f>
        <v>0</v>
      </c>
      <c r="BU33" s="129"/>
      <c r="BV33" s="515" t="str">
        <f>[1]Summary!AD38</f>
        <v/>
      </c>
      <c r="BW33" s="516" t="str">
        <f>[1]Summary!AE38</f>
        <v/>
      </c>
      <c r="BX33" s="516" t="str">
        <f>[1]Summary!AF38</f>
        <v/>
      </c>
      <c r="BY33" s="517" t="str">
        <f>[1]Summary!AG38</f>
        <v/>
      </c>
      <c r="BZ33" s="105"/>
      <c r="CA33" s="515">
        <f>[1]Summary!N38</f>
        <v>0</v>
      </c>
      <c r="CB33" s="516">
        <f>[1]Summary!O38</f>
        <v>0</v>
      </c>
      <c r="CC33" s="517">
        <f>[1]Summary!P38</f>
        <v>0</v>
      </c>
      <c r="CD33" s="175"/>
      <c r="CE33" s="636">
        <f t="shared" si="23"/>
        <v>0</v>
      </c>
      <c r="CF33" s="637">
        <f t="shared" si="26"/>
        <v>0</v>
      </c>
      <c r="CG33" s="638">
        <f t="shared" si="27"/>
        <v>0</v>
      </c>
      <c r="CI33" s="515" t="str">
        <f>[1]Summary!AL38</f>
        <v/>
      </c>
      <c r="CJ33" s="517" t="str">
        <f>[1]Summary!AM38</f>
        <v/>
      </c>
    </row>
    <row r="34" spans="1:95" s="327" customFormat="1" ht="14.25" customHeight="1">
      <c r="A34" s="632" t="str">
        <f t="shared" si="14"/>
        <v>-</v>
      </c>
      <c r="B34" s="669">
        <v>0</v>
      </c>
      <c r="C34" s="670">
        <v>0</v>
      </c>
      <c r="D34" s="670">
        <v>0</v>
      </c>
      <c r="E34" s="670">
        <v>0</v>
      </c>
      <c r="F34" s="671">
        <v>0</v>
      </c>
      <c r="G34" s="670">
        <v>0</v>
      </c>
      <c r="H34" s="670">
        <v>0</v>
      </c>
      <c r="I34" s="344">
        <f t="shared" si="0"/>
        <v>0</v>
      </c>
      <c r="J34" s="338">
        <f t="shared" si="1"/>
        <v>0</v>
      </c>
      <c r="K34" s="338">
        <f t="shared" si="24"/>
        <v>0</v>
      </c>
      <c r="L34" s="391">
        <f t="shared" si="25"/>
        <v>0</v>
      </c>
      <c r="M34" s="672">
        <v>1.5</v>
      </c>
      <c r="N34" s="339">
        <f>[1]Summary!$AI39</f>
        <v>0</v>
      </c>
      <c r="O34" s="339">
        <f>[1]Summary!$AJ39</f>
        <v>0</v>
      </c>
      <c r="P34" s="339">
        <f t="shared" si="15"/>
        <v>0</v>
      </c>
      <c r="Q34" s="339">
        <f t="shared" si="16"/>
        <v>0</v>
      </c>
      <c r="R34" s="385">
        <f t="shared" si="4"/>
        <v>0</v>
      </c>
      <c r="S34" s="344">
        <f t="shared" si="17"/>
        <v>0</v>
      </c>
      <c r="T34" s="337">
        <f t="shared" si="5"/>
        <v>0</v>
      </c>
      <c r="U34" s="337">
        <f t="shared" si="6"/>
        <v>0</v>
      </c>
      <c r="V34" s="337">
        <f t="shared" si="7"/>
        <v>0</v>
      </c>
      <c r="W34" s="337">
        <f t="shared" si="8"/>
        <v>0</v>
      </c>
      <c r="X34" s="337">
        <f t="shared" si="9"/>
        <v>0</v>
      </c>
      <c r="Y34" s="323">
        <f t="shared" si="10"/>
        <v>0</v>
      </c>
      <c r="Z34" s="378"/>
      <c r="AA34" s="337">
        <f t="shared" si="18"/>
        <v>0</v>
      </c>
      <c r="AB34" s="332"/>
      <c r="AC34" s="337">
        <f t="shared" si="19"/>
        <v>0</v>
      </c>
      <c r="AD34" s="547" t="str">
        <f t="shared" si="20"/>
        <v>-</v>
      </c>
      <c r="AE34" s="126"/>
      <c r="AF34" s="348">
        <v>31</v>
      </c>
      <c r="AG34" s="333">
        <f t="shared" si="11"/>
        <v>0</v>
      </c>
      <c r="AH34" s="333">
        <f>'Daily Budget Data'!B35</f>
        <v>0</v>
      </c>
      <c r="AI34" s="130"/>
      <c r="AJ34" s="648">
        <f t="shared" si="21"/>
        <v>0</v>
      </c>
      <c r="AK34" s="518">
        <f t="shared" si="22"/>
        <v>0</v>
      </c>
      <c r="AL34" s="237"/>
      <c r="AM34" s="333">
        <f t="shared" si="12"/>
        <v>0</v>
      </c>
      <c r="AN34" s="333">
        <f>'Daily Budget Data'!H35+'Daily Budget Data'!I35+'Daily Budget Data'!J35</f>
        <v>0</v>
      </c>
      <c r="AO34" s="130"/>
      <c r="AP34" s="326">
        <v>31</v>
      </c>
      <c r="AQ34" s="335"/>
      <c r="AR34" s="332"/>
      <c r="AS34" s="421"/>
      <c r="AT34" s="332"/>
      <c r="AU34" s="332"/>
      <c r="AV34" s="354"/>
      <c r="AX34" s="518">
        <f>[1]Summary!B39</f>
        <v>0</v>
      </c>
      <c r="AY34" s="519">
        <f>[1]Summary!C39</f>
        <v>0</v>
      </c>
      <c r="AZ34" s="520">
        <f>[1]Summary!D39</f>
        <v>0</v>
      </c>
      <c r="BA34" s="130"/>
      <c r="BB34" s="518">
        <f>[1]Summary!F39</f>
        <v>0</v>
      </c>
      <c r="BC34" s="519">
        <f>[1]Summary!G39</f>
        <v>0</v>
      </c>
      <c r="BD34" s="520">
        <f>[1]Summary!H39</f>
        <v>0</v>
      </c>
      <c r="BE34" s="130"/>
      <c r="BF34" s="518">
        <f>[1]Summary!V39</f>
        <v>0</v>
      </c>
      <c r="BG34" s="519">
        <f>[1]Summary!W39</f>
        <v>0</v>
      </c>
      <c r="BH34" s="520">
        <f>[1]Summary!X39</f>
        <v>0</v>
      </c>
      <c r="BI34" s="130"/>
      <c r="BJ34" s="518">
        <f>[1]Summary!Z39</f>
        <v>0</v>
      </c>
      <c r="BK34" s="519">
        <f>[1]Summary!AA39</f>
        <v>0</v>
      </c>
      <c r="BL34" s="520">
        <f>[1]Summary!AB39</f>
        <v>0</v>
      </c>
      <c r="BM34" s="130"/>
      <c r="BN34" s="518">
        <f>[1]Summary!J39</f>
        <v>0</v>
      </c>
      <c r="BO34" s="519">
        <f>[1]Summary!K39</f>
        <v>0</v>
      </c>
      <c r="BP34" s="520">
        <f>[1]Summary!L39</f>
        <v>0</v>
      </c>
      <c r="BQ34" s="130"/>
      <c r="BR34" s="518">
        <f>[1]Summary!R39</f>
        <v>0</v>
      </c>
      <c r="BS34" s="519">
        <f>[1]Summary!S39</f>
        <v>0</v>
      </c>
      <c r="BT34" s="520">
        <f>[1]Summary!T39</f>
        <v>0</v>
      </c>
      <c r="BU34" s="130"/>
      <c r="BV34" s="518" t="str">
        <f>[1]Summary!AD39</f>
        <v/>
      </c>
      <c r="BW34" s="519" t="str">
        <f>[1]Summary!AE39</f>
        <v/>
      </c>
      <c r="BX34" s="519" t="str">
        <f>[1]Summary!AF39</f>
        <v/>
      </c>
      <c r="BY34" s="520" t="str">
        <f>[1]Summary!AG39</f>
        <v/>
      </c>
      <c r="BZ34" s="130"/>
      <c r="CA34" s="518">
        <f>[1]Summary!N39</f>
        <v>0</v>
      </c>
      <c r="CB34" s="519">
        <f>[1]Summary!O39</f>
        <v>0</v>
      </c>
      <c r="CC34" s="520">
        <f>[1]Summary!P39</f>
        <v>0</v>
      </c>
      <c r="CD34" s="343"/>
      <c r="CE34" s="639">
        <f t="shared" si="23"/>
        <v>0</v>
      </c>
      <c r="CF34" s="538">
        <f t="shared" si="26"/>
        <v>0</v>
      </c>
      <c r="CG34" s="640">
        <f t="shared" si="27"/>
        <v>0</v>
      </c>
      <c r="CI34" s="518" t="str">
        <f>[1]Summary!AL39</f>
        <v/>
      </c>
      <c r="CJ34" s="520" t="str">
        <f>[1]Summary!AM39</f>
        <v/>
      </c>
    </row>
    <row r="35" spans="1:95">
      <c r="B35" s="509"/>
      <c r="C35" s="509"/>
      <c r="D35" s="509"/>
      <c r="E35" s="509"/>
      <c r="F35" s="509"/>
      <c r="G35" s="509"/>
      <c r="N35" s="23"/>
      <c r="O35" s="23"/>
      <c r="AF35" s="108"/>
      <c r="AG35" s="105"/>
      <c r="AH35" s="105"/>
      <c r="AI35" s="105"/>
      <c r="AJ35" s="105"/>
      <c r="AK35" s="105"/>
      <c r="AL35" s="109"/>
      <c r="AM35" s="105"/>
      <c r="AN35" s="105"/>
      <c r="AO35" s="105"/>
      <c r="AP35" s="110"/>
      <c r="AQ35" s="105"/>
      <c r="AR35" s="105"/>
      <c r="AS35" s="105"/>
      <c r="AT35" s="105"/>
      <c r="AU35" s="105"/>
      <c r="AV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96"/>
      <c r="BO35" s="96"/>
      <c r="BP35" s="96"/>
      <c r="BQ35" s="96"/>
      <c r="BR35" s="96"/>
      <c r="BS35" s="96"/>
      <c r="BT35" s="96"/>
      <c r="BU35" s="388"/>
      <c r="BV35" s="105"/>
      <c r="BW35" s="105"/>
      <c r="BX35" s="105"/>
      <c r="BY35" s="105"/>
      <c r="BZ35" s="96"/>
      <c r="CA35" s="171"/>
      <c r="CB35" s="171"/>
      <c r="CC35" s="171"/>
      <c r="CD35" s="175"/>
      <c r="CE35"/>
      <c r="CF35"/>
      <c r="CG35"/>
      <c r="CI35" s="171"/>
      <c r="CJ35" s="171"/>
    </row>
    <row r="36" spans="1:95">
      <c r="B36" s="24">
        <f t="shared" ref="B36:Y36" si="28">SUM(B4:B35)</f>
        <v>871243.77999999991</v>
      </c>
      <c r="C36" s="24">
        <f t="shared" ref="C36:H36" si="29">SUM(C4:C35)</f>
        <v>18410</v>
      </c>
      <c r="D36" s="24">
        <f t="shared" si="29"/>
        <v>1495823.2803</v>
      </c>
      <c r="E36" s="24">
        <f t="shared" si="29"/>
        <v>53684</v>
      </c>
      <c r="F36" s="24">
        <f t="shared" si="29"/>
        <v>54630.186199999989</v>
      </c>
      <c r="G36" s="24">
        <f t="shared" si="29"/>
        <v>1491221.1402999999</v>
      </c>
      <c r="H36" s="24">
        <f t="shared" si="29"/>
        <v>53583</v>
      </c>
      <c r="I36" s="24">
        <f t="shared" si="28"/>
        <v>871243.77999999991</v>
      </c>
      <c r="J36" s="24">
        <f t="shared" si="28"/>
        <v>18410</v>
      </c>
      <c r="K36" s="24">
        <f t="shared" si="28"/>
        <v>1495823.2803</v>
      </c>
      <c r="L36" s="24">
        <f t="shared" si="28"/>
        <v>53684</v>
      </c>
      <c r="M36" s="24"/>
      <c r="N36" s="24">
        <f>SUM(N4:N35)</f>
        <v>4993</v>
      </c>
      <c r="O36" s="24">
        <f>SUM(O4:O35)</f>
        <v>6740</v>
      </c>
      <c r="P36" s="24">
        <f t="shared" si="28"/>
        <v>5092.5212379999994</v>
      </c>
      <c r="Q36" s="24">
        <f t="shared" si="28"/>
        <v>4993</v>
      </c>
      <c r="R36" s="24">
        <f t="shared" si="28"/>
        <v>10085.521238000001</v>
      </c>
      <c r="S36" s="24">
        <f t="shared" si="28"/>
        <v>9154.5</v>
      </c>
      <c r="T36" s="24">
        <f t="shared" si="28"/>
        <v>4602.1399999999921</v>
      </c>
      <c r="U36" s="24">
        <f t="shared" si="28"/>
        <v>101</v>
      </c>
      <c r="V36" s="24">
        <f t="shared" si="28"/>
        <v>4602.1399999999921</v>
      </c>
      <c r="W36" s="24">
        <f t="shared" si="28"/>
        <v>101</v>
      </c>
      <c r="X36" s="24">
        <f t="shared" si="28"/>
        <v>18309</v>
      </c>
      <c r="Y36" s="24">
        <f t="shared" si="28"/>
        <v>618481.59110638907</v>
      </c>
      <c r="Z36" s="264">
        <f>Y36/X36</f>
        <v>33.78019504650112</v>
      </c>
      <c r="AA36" s="24">
        <f>SUM(AA4:AA35)</f>
        <v>174289.84145561114</v>
      </c>
      <c r="AB36" s="24">
        <f>SUM(AB4:AB35)</f>
        <v>3786.6632258064533</v>
      </c>
      <c r="AC36" s="24">
        <f>SUM(AC4:AC35)</f>
        <v>2026430.7234305467</v>
      </c>
      <c r="AD36" s="182">
        <f>(I36-M36-R36)/(W36+X36)</f>
        <v>46.776657184247689</v>
      </c>
      <c r="AE36" s="24">
        <f>SUM(AE4:AE35)</f>
        <v>2051134.9574874768</v>
      </c>
      <c r="AF36"/>
      <c r="AG36" s="96">
        <f>SUM(AG4:AG34)</f>
        <v>2222479</v>
      </c>
      <c r="AH36" s="96">
        <f>SUM(AH4:AH34)</f>
        <v>2046882.2911240729</v>
      </c>
      <c r="AI36" s="96"/>
      <c r="AJ36" s="96">
        <f>SUM(AJ4:AJ34)</f>
        <v>2051134.9574874768</v>
      </c>
      <c r="AK36" s="96">
        <f>SUM(AK4:AK34)</f>
        <v>1893262.7339814128</v>
      </c>
      <c r="AL36" s="96"/>
      <c r="AM36" s="96">
        <f>SUM(AM4:AM34)</f>
        <v>2348704</v>
      </c>
      <c r="AN36" s="96">
        <f>SUM(AN4:AN34)</f>
        <v>2139530.0711111142</v>
      </c>
      <c r="AO36" s="96"/>
      <c r="AP36" s="96"/>
      <c r="AQ36" s="96">
        <f t="shared" ref="AQ36:AV36" si="30">SUM(AQ4:AQ34)</f>
        <v>1052897</v>
      </c>
      <c r="AR36" s="96">
        <f t="shared" si="30"/>
        <v>691819</v>
      </c>
      <c r="AS36" s="96">
        <f t="shared" si="30"/>
        <v>477763</v>
      </c>
      <c r="AT36" s="96">
        <f t="shared" si="30"/>
        <v>1114796</v>
      </c>
      <c r="AU36" s="96">
        <f t="shared" si="30"/>
        <v>731044</v>
      </c>
      <c r="AV36" s="96">
        <f t="shared" si="30"/>
        <v>502864</v>
      </c>
      <c r="AX36" s="96">
        <f>SUM(AX4:AX34)</f>
        <v>81812</v>
      </c>
      <c r="AY36" s="96">
        <f>SUM(AY4:AY34)</f>
        <v>42896</v>
      </c>
      <c r="AZ36" s="96">
        <f>SUM(AZ4:AZ34)</f>
        <v>14683</v>
      </c>
      <c r="BA36" s="96"/>
      <c r="BB36" s="388">
        <f>SUM(BB4:BB34)</f>
        <v>13248</v>
      </c>
      <c r="BC36" s="388">
        <f>SUM(BC4:BC34)</f>
        <v>9880</v>
      </c>
      <c r="BD36" s="388">
        <f>SUM(BD4:BD34)</f>
        <v>6748</v>
      </c>
      <c r="BE36" s="388"/>
      <c r="BF36" s="388">
        <f>SUM(BF4:BF34)</f>
        <v>74290</v>
      </c>
      <c r="BG36" s="388">
        <f>SUM(BG4:BG34)</f>
        <v>52261</v>
      </c>
      <c r="BH36" s="388">
        <f>SUM(BH4:BH34)</f>
        <v>33519</v>
      </c>
      <c r="BI36" s="388"/>
      <c r="BJ36" s="388">
        <f>SUM(BJ4:BJ34)</f>
        <v>39</v>
      </c>
      <c r="BK36" s="388">
        <f>SUM(BK4:BK34)</f>
        <v>1266</v>
      </c>
      <c r="BL36" s="388">
        <f>SUM(BL4:BL34)</f>
        <v>965</v>
      </c>
      <c r="BM36" s="388"/>
      <c r="BN36" s="123">
        <f>SUM(BN4:BN34)</f>
        <v>23355</v>
      </c>
      <c r="BO36" s="123">
        <f>SUM(BO4:BO34)</f>
        <v>16912</v>
      </c>
      <c r="BP36" s="123">
        <f>SUM(BP4:BP34)</f>
        <v>12741</v>
      </c>
      <c r="BQ36" s="105"/>
      <c r="BR36" s="123">
        <f>SUM(BR4:BR34)</f>
        <v>62</v>
      </c>
      <c r="BS36" s="123">
        <f>SUM(BS4:BS34)</f>
        <v>142</v>
      </c>
      <c r="BT36" s="123">
        <f>SUM(BT4:BT34)</f>
        <v>472</v>
      </c>
      <c r="BU36" s="105"/>
      <c r="BV36" s="96">
        <f>SUM(BV4:BV34)</f>
        <v>597</v>
      </c>
      <c r="BW36" s="388">
        <f t="shared" ref="BW36:BY36" si="31">SUM(BW4:BW34)</f>
        <v>0</v>
      </c>
      <c r="BX36" s="388">
        <f t="shared" si="31"/>
        <v>566</v>
      </c>
      <c r="BY36" s="388">
        <f t="shared" si="31"/>
        <v>0</v>
      </c>
      <c r="BZ36" s="96"/>
      <c r="CA36" s="123">
        <f>SUM(CA4:CA34)</f>
        <v>10663</v>
      </c>
      <c r="CB36" s="123">
        <f>SUM(CB4:CB35)</f>
        <v>2270</v>
      </c>
      <c r="CC36" s="123">
        <f>SUM(CC4:CC35)</f>
        <v>3207</v>
      </c>
      <c r="CD36" s="175"/>
      <c r="CE36"/>
      <c r="CF36"/>
      <c r="CG36"/>
      <c r="CI36" s="123">
        <f>AVERAGE(CI4:CI34)</f>
        <v>39.284724003810723</v>
      </c>
      <c r="CJ36" s="123">
        <f>AVERAGE(CJ4:CJ34)</f>
        <v>40.656239366729679</v>
      </c>
    </row>
    <row r="37" spans="1:95">
      <c r="B37" s="509"/>
      <c r="C37" s="509"/>
      <c r="D37" s="509"/>
      <c r="E37" s="509"/>
      <c r="F37" s="509"/>
      <c r="G37" s="509"/>
      <c r="N37" s="23"/>
      <c r="O37" s="23"/>
      <c r="AC37" s="525"/>
      <c r="AE37" s="569"/>
      <c r="AF37"/>
      <c r="AG37"/>
      <c r="AH37"/>
      <c r="AI37"/>
      <c r="AJ37"/>
      <c r="AK37"/>
      <c r="AL37"/>
      <c r="AM37"/>
      <c r="AN37"/>
      <c r="AO37" s="93"/>
      <c r="AP37"/>
      <c r="AQ37" s="96"/>
      <c r="AR37"/>
      <c r="BR37" s="122"/>
      <c r="BS37" s="122"/>
      <c r="BT37" s="122"/>
      <c r="BU37" s="122"/>
      <c r="BZ37" s="122"/>
      <c r="CA37" s="119"/>
      <c r="CB37" s="119"/>
      <c r="CI37" s="119"/>
      <c r="CJ37" s="119"/>
    </row>
    <row r="38" spans="1:95">
      <c r="B38" s="509"/>
      <c r="C38" s="509"/>
      <c r="D38" s="509"/>
      <c r="E38" s="509"/>
      <c r="F38" s="509"/>
      <c r="G38" s="509"/>
      <c r="N38" s="23"/>
      <c r="O38" s="23"/>
      <c r="AC38" s="525"/>
      <c r="AE38" s="569"/>
      <c r="AF38"/>
      <c r="AG38" s="96"/>
      <c r="AH38"/>
      <c r="AI38" s="96"/>
      <c r="AJ38"/>
      <c r="AK38" s="96"/>
      <c r="AL38"/>
      <c r="AM38"/>
      <c r="AN38"/>
      <c r="AO38" s="93"/>
      <c r="AP38"/>
      <c r="AQ38" s="96"/>
      <c r="AR38" s="276"/>
      <c r="AZ38" s="4">
        <f>SUM(AX4:AZ34)</f>
        <v>139391</v>
      </c>
      <c r="BD38" s="4">
        <f>SUM(BB4:BD34)</f>
        <v>29876</v>
      </c>
      <c r="BH38" s="4">
        <f>SUM(BF4:BH34)</f>
        <v>160070</v>
      </c>
      <c r="BL38" s="4">
        <f>SUM(BJ4:BL34)</f>
        <v>2270</v>
      </c>
      <c r="BP38" s="123">
        <f>BN36+BO36+BP36</f>
        <v>53008</v>
      </c>
      <c r="BT38" s="123">
        <f>BR36+BS36+BT36</f>
        <v>676</v>
      </c>
      <c r="BU38" s="105"/>
      <c r="BV38" s="276"/>
      <c r="BY38" s="276"/>
      <c r="BZ38" s="120"/>
      <c r="CA38" s="1"/>
      <c r="CB38" s="1"/>
      <c r="CC38" s="123">
        <f>SUM(CA36:CC36)</f>
        <v>16140</v>
      </c>
      <c r="CD38" s="172"/>
      <c r="CE38" s="521"/>
      <c r="CI38" s="581" t="s">
        <v>331</v>
      </c>
      <c r="CJ38" s="581" t="s">
        <v>332</v>
      </c>
    </row>
    <row r="39" spans="1:95" s="184" customFormat="1">
      <c r="A39" s="182" t="s">
        <v>113</v>
      </c>
      <c r="B39" s="182">
        <f t="shared" ref="B39:AB39" ca="1" si="32">OFFSET(B3,$A$1,)</f>
        <v>18512.580000000002</v>
      </c>
      <c r="C39" s="182">
        <f t="shared" ref="C39:H39" ca="1" si="33">OFFSET(C3,$A$1,)</f>
        <v>339</v>
      </c>
      <c r="D39" s="182">
        <f t="shared" ca="1" si="33"/>
        <v>79432.800000000032</v>
      </c>
      <c r="E39" s="182">
        <f t="shared" ca="1" si="33"/>
        <v>2878</v>
      </c>
      <c r="F39" s="182">
        <f t="shared" ca="1" si="33"/>
        <v>0</v>
      </c>
      <c r="G39" s="182">
        <f t="shared" ca="1" si="33"/>
        <v>79432.800000000032</v>
      </c>
      <c r="H39" s="182">
        <f t="shared" ca="1" si="33"/>
        <v>2878</v>
      </c>
      <c r="I39" s="182">
        <f t="shared" ca="1" si="32"/>
        <v>18512.580000000002</v>
      </c>
      <c r="J39" s="182">
        <f t="shared" ca="1" si="32"/>
        <v>339</v>
      </c>
      <c r="K39" s="182">
        <f t="shared" ca="1" si="32"/>
        <v>79432.800000000032</v>
      </c>
      <c r="L39" s="182">
        <f t="shared" ca="1" si="32"/>
        <v>2878</v>
      </c>
      <c r="M39" s="182">
        <f ca="1">OFFSET(M3,$A$1,)</f>
        <v>1.5</v>
      </c>
      <c r="N39" s="182">
        <f ca="1">OFFSET(N3,$A$1,)</f>
        <v>0</v>
      </c>
      <c r="O39" s="281">
        <f ca="1">OFFSET(O3,$A$1,)</f>
        <v>0</v>
      </c>
      <c r="P39" s="182">
        <f t="shared" ca="1" si="32"/>
        <v>0</v>
      </c>
      <c r="Q39" s="182">
        <f t="shared" ca="1" si="32"/>
        <v>0</v>
      </c>
      <c r="R39" s="182">
        <f t="shared" ca="1" si="32"/>
        <v>0</v>
      </c>
      <c r="S39" s="182">
        <f t="shared" ca="1" si="32"/>
        <v>169.5</v>
      </c>
      <c r="T39" s="182">
        <f t="shared" ca="1" si="32"/>
        <v>0</v>
      </c>
      <c r="U39" s="182">
        <f t="shared" ca="1" si="32"/>
        <v>0</v>
      </c>
      <c r="V39" s="182">
        <f t="shared" ca="1" si="32"/>
        <v>0</v>
      </c>
      <c r="W39" s="182">
        <f t="shared" ca="1" si="32"/>
        <v>0</v>
      </c>
      <c r="X39" s="182">
        <f t="shared" ca="1" si="32"/>
        <v>339</v>
      </c>
      <c r="Y39" s="182">
        <f t="shared" ca="1" si="32"/>
        <v>14211.6846625</v>
      </c>
      <c r="Z39" s="182">
        <f t="shared" ca="1" si="32"/>
        <v>41.922373635693212</v>
      </c>
      <c r="AA39" s="182">
        <f t="shared" ca="1" si="32"/>
        <v>4131.3953375000019</v>
      </c>
      <c r="AB39" s="182">
        <f t="shared" ca="1" si="32"/>
        <v>0</v>
      </c>
      <c r="AC39" s="182">
        <f ca="1">OFFSET(AC3,$A$1,)</f>
        <v>84751.291588829641</v>
      </c>
      <c r="AD39" s="182">
        <f ca="1">OFFSET(AD3,$A$1,)</f>
        <v>54.604955752212398</v>
      </c>
      <c r="AE39" s="182">
        <f ca="1">OFFSET(AE3,$A$1,)</f>
        <v>0</v>
      </c>
      <c r="AF39" s="183"/>
      <c r="AG39" s="281">
        <f ca="1">OFFSET(AG3,$A$1,)</f>
        <v>81106</v>
      </c>
      <c r="AH39" s="281">
        <f ca="1">OFFSET(AH3,$A$1,)</f>
        <v>85606.636287763366</v>
      </c>
      <c r="AI39" s="281"/>
      <c r="AJ39" s="281">
        <f ca="1">OFFSET(AJ3,$A$1,)</f>
        <v>0</v>
      </c>
      <c r="AK39" s="281">
        <f ca="1">OFFSET(AK3,$A$1,)</f>
        <v>0</v>
      </c>
      <c r="AL39" s="183"/>
      <c r="AM39" s="183"/>
      <c r="AN39" s="183"/>
      <c r="AO39" s="183"/>
      <c r="AP39" s="183"/>
      <c r="AQ39" s="183"/>
      <c r="AR39" s="183"/>
      <c r="AS39" s="422"/>
      <c r="BV39" s="281">
        <f ca="1">OFFSET(BV3,$A$1,)</f>
        <v>12</v>
      </c>
      <c r="BW39" s="281">
        <f ca="1">OFFSET(BW3,$A$1,)</f>
        <v>0</v>
      </c>
      <c r="BX39" s="281">
        <f ca="1">OFFSET(BX3,$A$1,)</f>
        <v>12</v>
      </c>
      <c r="BY39" s="281">
        <f ca="1">OFFSET(BY3,$A$1,)</f>
        <v>0</v>
      </c>
      <c r="CC39" s="185"/>
      <c r="CD39" s="186"/>
      <c r="CE39" s="186"/>
      <c r="CF39" s="186"/>
      <c r="CG39" s="186"/>
      <c r="CI39" s="184">
        <f>MONTH('OSS Summary'!C6)</f>
        <v>11</v>
      </c>
      <c r="CP39" s="276"/>
      <c r="CQ39" s="276"/>
    </row>
    <row r="40" spans="1:95">
      <c r="B40" s="509"/>
      <c r="C40" s="509"/>
      <c r="D40" s="509"/>
      <c r="E40" s="509"/>
      <c r="F40" s="509"/>
      <c r="G40" s="509"/>
      <c r="CA40" s="276">
        <f>8416-BJ36</f>
        <v>8377</v>
      </c>
      <c r="CB40" s="276">
        <f>748-BK36</f>
        <v>-518</v>
      </c>
      <c r="CC40" s="276">
        <f>2012-BL36</f>
        <v>1047</v>
      </c>
      <c r="CD40" s="170"/>
      <c r="CF40" s="277"/>
      <c r="CI40" s="276"/>
      <c r="CJ40" s="276"/>
      <c r="CP40" s="276"/>
      <c r="CQ40" s="276"/>
    </row>
    <row r="41" spans="1:95" ht="12.7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5"/>
      <c r="N41" s="95"/>
      <c r="O41" s="95"/>
      <c r="P41" s="96"/>
      <c r="Q41" s="96"/>
      <c r="R41" s="96"/>
      <c r="S41" s="96"/>
      <c r="T41" s="98"/>
      <c r="U41" s="98"/>
      <c r="V41" s="98"/>
      <c r="W41" s="98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3"/>
      <c r="AP41" s="100"/>
      <c r="AQ41"/>
      <c r="AR41"/>
      <c r="AT41" s="330"/>
      <c r="AU41" s="330"/>
      <c r="AV41" s="330"/>
      <c r="AX41" s="1"/>
      <c r="AY41" s="1"/>
      <c r="AZ41" s="1"/>
      <c r="CP41" s="276"/>
      <c r="CQ41" s="276"/>
    </row>
    <row r="42" spans="1:95" ht="14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5"/>
      <c r="N42" s="95"/>
      <c r="O42" s="95"/>
      <c r="P42" s="115"/>
      <c r="Q42" s="115"/>
      <c r="R42" s="115"/>
      <c r="S42" s="115"/>
      <c r="X42"/>
      <c r="Y42"/>
      <c r="Z42"/>
      <c r="AA42"/>
      <c r="AB42"/>
      <c r="AC42"/>
      <c r="AD42"/>
      <c r="AE42"/>
      <c r="AF42"/>
      <c r="AG42" s="276"/>
      <c r="AH42"/>
      <c r="AI42"/>
      <c r="AJ42"/>
      <c r="AK42"/>
      <c r="AL42" s="116"/>
      <c r="AM42"/>
      <c r="AN42"/>
      <c r="AO42"/>
      <c r="AP42" s="100"/>
      <c r="AQ42"/>
      <c r="AR42"/>
      <c r="AT42" s="330"/>
      <c r="AU42" s="330"/>
      <c r="AV42" s="330"/>
      <c r="AX42" s="1"/>
      <c r="AY42" s="1"/>
      <c r="AZ42" s="1"/>
      <c r="CP42" s="276"/>
      <c r="CQ42" s="276"/>
    </row>
    <row r="43" spans="1:95" ht="12.7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5"/>
      <c r="N43" s="95"/>
      <c r="O43" s="95"/>
      <c r="P43" s="96"/>
      <c r="Q43" s="96"/>
      <c r="R43" s="96"/>
      <c r="S43" s="96"/>
      <c r="T43" s="98"/>
      <c r="U43" s="98"/>
      <c r="V43" s="98"/>
      <c r="W43" s="98"/>
      <c r="X43"/>
      <c r="Y43"/>
      <c r="Z43" s="75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T43" s="330"/>
      <c r="AU43" s="330"/>
      <c r="AV43" s="330"/>
      <c r="AX43" s="1"/>
      <c r="AY43" s="1"/>
      <c r="AZ43" s="1"/>
    </row>
    <row r="44" spans="1:95" ht="15.7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5"/>
      <c r="N44" s="95"/>
      <c r="O44" s="95"/>
      <c r="P44" s="97"/>
      <c r="Q44" s="97"/>
      <c r="R44" s="97"/>
      <c r="S44" s="97"/>
      <c r="T44" s="98"/>
      <c r="U44" s="98"/>
      <c r="V44" s="98"/>
      <c r="W44" s="98"/>
      <c r="X44"/>
      <c r="Y44"/>
      <c r="Z44" s="753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T44" s="330"/>
      <c r="AU44" s="330"/>
      <c r="AV44" s="330"/>
      <c r="CQ44" s="276"/>
    </row>
    <row r="45" spans="1:95">
      <c r="Z45" s="754"/>
    </row>
    <row r="46" spans="1:95">
      <c r="Z46" s="754"/>
    </row>
    <row r="47" spans="1:95">
      <c r="B47" s="509"/>
      <c r="C47" s="509"/>
      <c r="D47" s="509"/>
      <c r="E47" s="509"/>
      <c r="F47" s="509"/>
      <c r="G47" s="509"/>
      <c r="Z47" s="754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</row>
    <row r="48" spans="1:95">
      <c r="B48" s="509"/>
      <c r="C48" s="509"/>
      <c r="D48" s="509"/>
      <c r="E48" s="509"/>
      <c r="F48" s="509"/>
      <c r="G48" s="509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53:65"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53:65"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53:65"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53:65"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53:65"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53:65"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53:65"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53:65"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</row>
    <row r="57" spans="53:65"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</row>
    <row r="58" spans="53:65"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</row>
    <row r="59" spans="53:65"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</row>
    <row r="60" spans="53:65"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</row>
    <row r="61" spans="53:65"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</row>
    <row r="62" spans="53:65"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</row>
    <row r="63" spans="53:65"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</row>
    <row r="64" spans="53:65"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</row>
    <row r="65" spans="53:85"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</row>
    <row r="66" spans="53:85"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</row>
    <row r="67" spans="53:85"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</row>
    <row r="68" spans="53:85"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</row>
    <row r="69" spans="53:85"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</row>
    <row r="70" spans="53:85"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</row>
    <row r="71" spans="53:85"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</row>
    <row r="72" spans="53:85"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</row>
    <row r="73" spans="53:85"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</row>
    <row r="74" spans="53:85"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</row>
    <row r="75" spans="53:85"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</row>
    <row r="76" spans="53:85"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</row>
    <row r="77" spans="53:85"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</row>
    <row r="78" spans="53:85"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</row>
    <row r="79" spans="53:85" s="111" customFormat="1" ht="12.75"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CC79" s="173"/>
      <c r="CD79" s="174"/>
      <c r="CE79" s="174"/>
      <c r="CF79" s="174"/>
      <c r="CG79" s="174"/>
    </row>
    <row r="80" spans="53:85"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</row>
    <row r="81" spans="1:65">
      <c r="B81" s="509"/>
      <c r="C81" s="509"/>
      <c r="D81" s="509"/>
      <c r="E81" s="509"/>
      <c r="F81" s="509"/>
      <c r="G81" s="509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</row>
    <row r="83" spans="1:65" ht="12.75">
      <c r="A83"/>
      <c r="B83"/>
      <c r="C83"/>
      <c r="D83"/>
      <c r="E83"/>
      <c r="F83"/>
      <c r="G83"/>
      <c r="H83"/>
      <c r="I83" s="100"/>
      <c r="J83" s="100"/>
      <c r="K83" s="100"/>
      <c r="L83" s="100"/>
      <c r="M83"/>
      <c r="N83"/>
      <c r="O83"/>
      <c r="P83" s="96"/>
      <c r="Q83" s="96"/>
      <c r="R83" s="96"/>
      <c r="S83" s="96"/>
      <c r="T83"/>
      <c r="U83"/>
      <c r="V83"/>
      <c r="W83"/>
      <c r="X83" s="96" t="e">
        <f>#REF!/(8*28)</f>
        <v>#REF!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 s="330"/>
      <c r="AU83" s="330"/>
      <c r="AV83" s="330"/>
      <c r="AX83" s="1"/>
      <c r="AY83" s="1"/>
      <c r="AZ83" s="1"/>
    </row>
    <row r="84" spans="1:65">
      <c r="B84" s="509"/>
      <c r="C84" s="509"/>
      <c r="D84" s="509"/>
      <c r="E84" s="509"/>
      <c r="F84" s="509"/>
      <c r="G84" s="509"/>
      <c r="I84" s="128"/>
      <c r="J84" s="128"/>
      <c r="K84" s="128"/>
      <c r="L84" s="128"/>
    </row>
  </sheetData>
  <mergeCells count="23">
    <mergeCell ref="B1:C1"/>
    <mergeCell ref="I1:J1"/>
    <mergeCell ref="P1:Q1"/>
    <mergeCell ref="AE1:AH1"/>
    <mergeCell ref="BN1:BP1"/>
    <mergeCell ref="D1:E1"/>
    <mergeCell ref="G1:H1"/>
    <mergeCell ref="K1:L1"/>
    <mergeCell ref="AJ1:AK1"/>
    <mergeCell ref="AM1:AN1"/>
    <mergeCell ref="AQ1:AS1"/>
    <mergeCell ref="AT1:AV1"/>
    <mergeCell ref="AX1:AZ1"/>
    <mergeCell ref="BB1:BD1"/>
    <mergeCell ref="BF1:BH1"/>
    <mergeCell ref="BJ1:BL1"/>
    <mergeCell ref="CI2:CJ2"/>
    <mergeCell ref="CC2:CD2"/>
    <mergeCell ref="BR2:BT2"/>
    <mergeCell ref="BN2:BP2"/>
    <mergeCell ref="CA1:CC1"/>
    <mergeCell ref="BR1:BT1"/>
    <mergeCell ref="BV1:BY1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/>
  <colBreaks count="2" manualBreakCount="2">
    <brk id="28" max="36" man="1"/>
    <brk id="41" max="36" man="1"/>
  </colBreaks>
  <ignoredErrors>
    <ignoredError sqref="K10 I4 I5:I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4" zoomScaleNormal="84" workbookViewId="0">
      <selection activeCell="A44" sqref="A44"/>
    </sheetView>
  </sheetViews>
  <sheetFormatPr defaultRowHeight="12.75"/>
  <cols>
    <col min="26" max="26" width="3.5703125" customWidth="1"/>
  </cols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pinner 1">
              <controlPr defaultSize="0" autoPict="0">
                <anchor moveWithCells="1" siz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Z100"/>
  <sheetViews>
    <sheetView workbookViewId="0">
      <pane xSplit="3" ySplit="4" topLeftCell="D5" activePane="bottomRight" state="frozen"/>
      <selection activeCell="M28" sqref="M28"/>
      <selection pane="topRight" activeCell="M28" sqref="M28"/>
      <selection pane="bottomLeft" activeCell="M28" sqref="M28"/>
      <selection pane="bottomRight" activeCell="AE39" sqref="AE39"/>
    </sheetView>
  </sheetViews>
  <sheetFormatPr defaultRowHeight="12.75"/>
  <cols>
    <col min="1" max="1" width="9.140625" style="582"/>
    <col min="2" max="2" width="9.42578125" style="582" bestFit="1" customWidth="1"/>
    <col min="3" max="3" width="10" style="610" bestFit="1" customWidth="1"/>
    <col min="4" max="4" width="12.42578125" style="610" bestFit="1" customWidth="1"/>
    <col min="5" max="5" width="13.28515625" style="610" bestFit="1" customWidth="1"/>
    <col min="6" max="6" width="12.42578125" style="610" customWidth="1"/>
    <col min="7" max="7" width="13.28515625" style="582" customWidth="1"/>
    <col min="8" max="8" width="13.5703125" style="582" customWidth="1"/>
    <col min="9" max="9" width="14" style="582" customWidth="1"/>
    <col min="10" max="11" width="12" style="582" customWidth="1"/>
    <col min="12" max="13" width="12.28515625" style="582" customWidth="1"/>
    <col min="14" max="15" width="11.85546875" style="582" customWidth="1"/>
    <col min="16" max="17" width="11.5703125" style="582" customWidth="1"/>
    <col min="18" max="26" width="7.140625" style="582" bestFit="1" customWidth="1"/>
    <col min="27" max="27" width="4.140625" style="582" customWidth="1"/>
    <col min="28" max="28" width="9.42578125" style="582" bestFit="1" customWidth="1"/>
    <col min="29" max="52" width="4.7109375" style="582" bestFit="1" customWidth="1"/>
    <col min="53" max="53" width="9.140625" style="582"/>
    <col min="54" max="54" width="9.42578125" style="582" bestFit="1" customWidth="1"/>
    <col min="55" max="78" width="6.5703125" style="582" bestFit="1" customWidth="1"/>
    <col min="79" max="79" width="6.5703125" style="582" customWidth="1"/>
    <col min="80" max="80" width="9.42578125" style="582" bestFit="1" customWidth="1"/>
    <col min="81" max="83" width="6.5703125" style="582" bestFit="1" customWidth="1"/>
    <col min="84" max="84" width="8.140625" style="582" bestFit="1" customWidth="1"/>
    <col min="85" max="104" width="6.5703125" style="582" bestFit="1" customWidth="1"/>
    <col min="105" max="16384" width="9.140625" style="582"/>
  </cols>
  <sheetData>
    <row r="2" spans="1:104">
      <c r="C2" s="748" t="s">
        <v>336</v>
      </c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586"/>
      <c r="AC2" s="748" t="s">
        <v>337</v>
      </c>
      <c r="AD2" s="748"/>
      <c r="AE2" s="748"/>
      <c r="AF2" s="748"/>
      <c r="AG2" s="748"/>
      <c r="AH2" s="748"/>
      <c r="AI2" s="748"/>
      <c r="AJ2" s="748"/>
      <c r="AK2" s="748"/>
      <c r="AL2" s="748"/>
      <c r="AM2" s="748"/>
      <c r="AN2" s="748"/>
      <c r="AO2" s="748"/>
      <c r="AP2" s="748"/>
      <c r="AQ2" s="748"/>
      <c r="AR2" s="748"/>
      <c r="AS2" s="748"/>
      <c r="AT2" s="748"/>
      <c r="AU2" s="748"/>
      <c r="AV2" s="748"/>
      <c r="AW2" s="748"/>
      <c r="AX2" s="748"/>
      <c r="AY2" s="748"/>
      <c r="AZ2" s="748"/>
      <c r="BC2" s="748" t="s">
        <v>334</v>
      </c>
      <c r="BD2" s="748"/>
      <c r="BE2" s="748"/>
      <c r="BF2" s="748"/>
      <c r="BG2" s="748"/>
      <c r="BH2" s="748"/>
      <c r="BI2" s="748"/>
      <c r="BJ2" s="748"/>
      <c r="BK2" s="748"/>
      <c r="BL2" s="748"/>
      <c r="BM2" s="748"/>
      <c r="BN2" s="748"/>
      <c r="BO2" s="748"/>
      <c r="BP2" s="748"/>
      <c r="BQ2" s="748"/>
      <c r="BR2" s="748"/>
      <c r="BS2" s="748"/>
      <c r="BT2" s="748"/>
      <c r="BU2" s="748"/>
      <c r="BV2" s="748"/>
      <c r="BW2" s="748"/>
      <c r="BX2" s="748"/>
      <c r="BY2" s="748"/>
      <c r="BZ2" s="748"/>
      <c r="CA2" s="586"/>
      <c r="CC2" s="748" t="s">
        <v>335</v>
      </c>
      <c r="CD2" s="748"/>
      <c r="CE2" s="748"/>
      <c r="CF2" s="748"/>
      <c r="CG2" s="748"/>
      <c r="CH2" s="748"/>
      <c r="CI2" s="748"/>
      <c r="CJ2" s="748"/>
      <c r="CK2" s="748"/>
      <c r="CL2" s="748"/>
      <c r="CM2" s="748"/>
      <c r="CN2" s="748"/>
      <c r="CO2" s="748"/>
      <c r="CP2" s="748"/>
      <c r="CQ2" s="748"/>
      <c r="CR2" s="748"/>
      <c r="CS2" s="748"/>
      <c r="CT2" s="748"/>
      <c r="CU2" s="748"/>
      <c r="CV2" s="748"/>
      <c r="CW2" s="748"/>
      <c r="CX2" s="748"/>
      <c r="CY2" s="748"/>
      <c r="CZ2" s="748"/>
    </row>
    <row r="3" spans="1:104" s="585" customFormat="1">
      <c r="C3" s="608">
        <v>1</v>
      </c>
      <c r="D3" s="608">
        <f>C3+1</f>
        <v>2</v>
      </c>
      <c r="E3" s="608">
        <f t="shared" ref="E3:Y3" si="0">D3+1</f>
        <v>3</v>
      </c>
      <c r="F3" s="608">
        <f t="shared" si="0"/>
        <v>4</v>
      </c>
      <c r="G3" s="585">
        <f t="shared" si="0"/>
        <v>5</v>
      </c>
      <c r="H3" s="585">
        <f t="shared" si="0"/>
        <v>6</v>
      </c>
      <c r="I3" s="585">
        <f t="shared" si="0"/>
        <v>7</v>
      </c>
      <c r="J3" s="585">
        <f t="shared" si="0"/>
        <v>8</v>
      </c>
      <c r="K3" s="585">
        <f t="shared" si="0"/>
        <v>9</v>
      </c>
      <c r="L3" s="585">
        <f t="shared" si="0"/>
        <v>10</v>
      </c>
      <c r="M3" s="585">
        <f t="shared" si="0"/>
        <v>11</v>
      </c>
      <c r="N3" s="585">
        <f t="shared" si="0"/>
        <v>12</v>
      </c>
      <c r="O3" s="585">
        <f t="shared" si="0"/>
        <v>13</v>
      </c>
      <c r="P3" s="585">
        <f t="shared" si="0"/>
        <v>14</v>
      </c>
      <c r="Q3" s="585">
        <f t="shared" si="0"/>
        <v>15</v>
      </c>
      <c r="R3" s="585">
        <f t="shared" si="0"/>
        <v>16</v>
      </c>
      <c r="S3" s="585">
        <f t="shared" si="0"/>
        <v>17</v>
      </c>
      <c r="T3" s="585">
        <f t="shared" si="0"/>
        <v>18</v>
      </c>
      <c r="U3" s="585">
        <f>T3+1</f>
        <v>19</v>
      </c>
      <c r="V3" s="585">
        <f t="shared" si="0"/>
        <v>20</v>
      </c>
      <c r="W3" s="585">
        <f t="shared" si="0"/>
        <v>21</v>
      </c>
      <c r="X3" s="585">
        <f t="shared" si="0"/>
        <v>22</v>
      </c>
      <c r="Y3" s="585">
        <f t="shared" si="0"/>
        <v>23</v>
      </c>
      <c r="Z3" s="585">
        <f>Y3+1</f>
        <v>24</v>
      </c>
      <c r="AC3" s="585">
        <v>1</v>
      </c>
      <c r="AD3" s="585">
        <f>AC3+1</f>
        <v>2</v>
      </c>
      <c r="AE3" s="585">
        <f t="shared" ref="AE3:AT3" si="1">AD3+1</f>
        <v>3</v>
      </c>
      <c r="AF3" s="585">
        <f t="shared" si="1"/>
        <v>4</v>
      </c>
      <c r="AG3" s="585">
        <f t="shared" si="1"/>
        <v>5</v>
      </c>
      <c r="AH3" s="585">
        <f t="shared" si="1"/>
        <v>6</v>
      </c>
      <c r="AI3" s="585">
        <f t="shared" si="1"/>
        <v>7</v>
      </c>
      <c r="AJ3" s="585">
        <f t="shared" si="1"/>
        <v>8</v>
      </c>
      <c r="AK3" s="585">
        <f t="shared" si="1"/>
        <v>9</v>
      </c>
      <c r="AL3" s="585">
        <f t="shared" si="1"/>
        <v>10</v>
      </c>
      <c r="AM3" s="585">
        <f t="shared" si="1"/>
        <v>11</v>
      </c>
      <c r="AN3" s="585">
        <f t="shared" si="1"/>
        <v>12</v>
      </c>
      <c r="AO3" s="585">
        <f t="shared" si="1"/>
        <v>13</v>
      </c>
      <c r="AP3" s="585">
        <f t="shared" si="1"/>
        <v>14</v>
      </c>
      <c r="AQ3" s="585">
        <f t="shared" si="1"/>
        <v>15</v>
      </c>
      <c r="AR3" s="585">
        <f t="shared" si="1"/>
        <v>16</v>
      </c>
      <c r="AS3" s="585">
        <f t="shared" si="1"/>
        <v>17</v>
      </c>
      <c r="AT3" s="585">
        <f t="shared" si="1"/>
        <v>18</v>
      </c>
      <c r="AU3" s="585">
        <f t="shared" ref="AU3:AZ3" si="2">AT3+1</f>
        <v>19</v>
      </c>
      <c r="AV3" s="585">
        <f t="shared" si="2"/>
        <v>20</v>
      </c>
      <c r="AW3" s="585">
        <f t="shared" si="2"/>
        <v>21</v>
      </c>
      <c r="AX3" s="585">
        <f t="shared" si="2"/>
        <v>22</v>
      </c>
      <c r="AY3" s="585">
        <f t="shared" si="2"/>
        <v>23</v>
      </c>
      <c r="AZ3" s="585">
        <f t="shared" si="2"/>
        <v>24</v>
      </c>
      <c r="BC3" s="585">
        <v>1</v>
      </c>
      <c r="BD3" s="585">
        <f>BC3+1</f>
        <v>2</v>
      </c>
      <c r="BE3" s="585">
        <f t="shared" ref="BE3:BT3" si="3">BD3+1</f>
        <v>3</v>
      </c>
      <c r="BF3" s="585">
        <f t="shared" si="3"/>
        <v>4</v>
      </c>
      <c r="BG3" s="585">
        <f t="shared" si="3"/>
        <v>5</v>
      </c>
      <c r="BH3" s="585">
        <f t="shared" si="3"/>
        <v>6</v>
      </c>
      <c r="BI3" s="585">
        <f t="shared" si="3"/>
        <v>7</v>
      </c>
      <c r="BJ3" s="585">
        <f t="shared" si="3"/>
        <v>8</v>
      </c>
      <c r="BK3" s="585">
        <f t="shared" si="3"/>
        <v>9</v>
      </c>
      <c r="BL3" s="585">
        <f t="shared" si="3"/>
        <v>10</v>
      </c>
      <c r="BM3" s="585">
        <f t="shared" si="3"/>
        <v>11</v>
      </c>
      <c r="BN3" s="585">
        <f t="shared" si="3"/>
        <v>12</v>
      </c>
      <c r="BO3" s="585">
        <f t="shared" si="3"/>
        <v>13</v>
      </c>
      <c r="BP3" s="585">
        <f t="shared" si="3"/>
        <v>14</v>
      </c>
      <c r="BQ3" s="585">
        <f t="shared" si="3"/>
        <v>15</v>
      </c>
      <c r="BR3" s="585">
        <f t="shared" si="3"/>
        <v>16</v>
      </c>
      <c r="BS3" s="585">
        <f t="shared" si="3"/>
        <v>17</v>
      </c>
      <c r="BT3" s="585">
        <f t="shared" si="3"/>
        <v>18</v>
      </c>
      <c r="BU3" s="585">
        <f t="shared" ref="BU3:BZ3" si="4">BT3+1</f>
        <v>19</v>
      </c>
      <c r="BV3" s="585">
        <f t="shared" si="4"/>
        <v>20</v>
      </c>
      <c r="BW3" s="585">
        <f t="shared" si="4"/>
        <v>21</v>
      </c>
      <c r="BX3" s="585">
        <f t="shared" si="4"/>
        <v>22</v>
      </c>
      <c r="BY3" s="585">
        <f t="shared" si="4"/>
        <v>23</v>
      </c>
      <c r="BZ3" s="585">
        <f t="shared" si="4"/>
        <v>24</v>
      </c>
      <c r="CC3" s="585">
        <v>1</v>
      </c>
      <c r="CD3" s="585">
        <f t="shared" ref="CD3:CZ3" si="5">CC3+1</f>
        <v>2</v>
      </c>
      <c r="CE3" s="585">
        <f t="shared" si="5"/>
        <v>3</v>
      </c>
      <c r="CF3" s="585">
        <f t="shared" si="5"/>
        <v>4</v>
      </c>
      <c r="CG3" s="585">
        <f t="shared" si="5"/>
        <v>5</v>
      </c>
      <c r="CH3" s="585">
        <f t="shared" si="5"/>
        <v>6</v>
      </c>
      <c r="CI3" s="585">
        <f t="shared" si="5"/>
        <v>7</v>
      </c>
      <c r="CJ3" s="585">
        <f t="shared" si="5"/>
        <v>8</v>
      </c>
      <c r="CK3" s="585">
        <f t="shared" si="5"/>
        <v>9</v>
      </c>
      <c r="CL3" s="585">
        <f t="shared" si="5"/>
        <v>10</v>
      </c>
      <c r="CM3" s="585">
        <f t="shared" si="5"/>
        <v>11</v>
      </c>
      <c r="CN3" s="585">
        <f t="shared" si="5"/>
        <v>12</v>
      </c>
      <c r="CO3" s="585">
        <f t="shared" si="5"/>
        <v>13</v>
      </c>
      <c r="CP3" s="585">
        <f t="shared" si="5"/>
        <v>14</v>
      </c>
      <c r="CQ3" s="585">
        <f t="shared" si="5"/>
        <v>15</v>
      </c>
      <c r="CR3" s="585">
        <f t="shared" si="5"/>
        <v>16</v>
      </c>
      <c r="CS3" s="585">
        <f t="shared" si="5"/>
        <v>17</v>
      </c>
      <c r="CT3" s="585">
        <f t="shared" si="5"/>
        <v>18</v>
      </c>
      <c r="CU3" s="585">
        <f t="shared" si="5"/>
        <v>19</v>
      </c>
      <c r="CV3" s="585">
        <f t="shared" si="5"/>
        <v>20</v>
      </c>
      <c r="CW3" s="585">
        <f t="shared" si="5"/>
        <v>21</v>
      </c>
      <c r="CX3" s="585">
        <f t="shared" si="5"/>
        <v>22</v>
      </c>
      <c r="CY3" s="585">
        <f t="shared" si="5"/>
        <v>23</v>
      </c>
      <c r="CZ3" s="585">
        <f t="shared" si="5"/>
        <v>24</v>
      </c>
    </row>
    <row r="4" spans="1:104">
      <c r="A4" s="582">
        <v>1</v>
      </c>
      <c r="B4" s="583">
        <f>'Input Data'!A4</f>
        <v>41944</v>
      </c>
      <c r="C4" s="609">
        <f>IF(INDEX([1]Temps!$D$7:$AH$30,C$3,DAY($B4))="",NA(),INDEX([1]Temps!$D$7:$AH$30,C$3,DAY($B4)))</f>
        <v>37</v>
      </c>
      <c r="D4" s="609">
        <f>IF(INDEX([1]Temps!$D$7:$AH$30,D$3,DAY($B4))="",NA(),INDEX([1]Temps!$D$7:$AH$30,D$3,DAY($B4)))</f>
        <v>37</v>
      </c>
      <c r="E4" s="609">
        <f>IF(INDEX([1]Temps!$D$7:$AH$30,E$3,DAY($B4))="",NA(),INDEX([1]Temps!$D$7:$AH$30,E$3,DAY($B4)))</f>
        <v>37</v>
      </c>
      <c r="F4" s="609">
        <f>IF(INDEX([1]Temps!$D$7:$AH$30,F$3,DAY($B4))="",NA(),INDEX([1]Temps!$D$7:$AH$30,F$3,DAY($B4)))</f>
        <v>37</v>
      </c>
      <c r="G4" s="609">
        <f>IF(INDEX([1]Temps!$D$7:$AH$30,G$3,DAY($B4))="",NA(),INDEX([1]Temps!$D$7:$AH$30,G$3,DAY($B4)))</f>
        <v>37</v>
      </c>
      <c r="H4" s="609">
        <f>IF(INDEX([1]Temps!$D$7:$AH$30,H$3,DAY($B4))="",NA(),INDEX([1]Temps!$D$7:$AH$30,H$3,DAY($B4)))</f>
        <v>36.666666666666664</v>
      </c>
      <c r="I4" s="609">
        <f>IF(INDEX([1]Temps!$D$7:$AH$30,I$3,DAY($B4))="",NA(),INDEX([1]Temps!$D$7:$AH$30,I$3,DAY($B4)))</f>
        <v>35.449999999999996</v>
      </c>
      <c r="J4" s="609">
        <f>IF(INDEX([1]Temps!$D$7:$AH$30,J$3,DAY($B4))="",NA(),INDEX([1]Temps!$D$7:$AH$30,J$3,DAY($B4)))</f>
        <v>35.549999999999997</v>
      </c>
      <c r="K4" s="609">
        <f>IF(INDEX([1]Temps!$D$7:$AH$30,K$3,DAY($B4))="",NA(),INDEX([1]Temps!$D$7:$AH$30,K$3,DAY($B4)))</f>
        <v>36</v>
      </c>
      <c r="L4" s="609">
        <f>IF(INDEX([1]Temps!$D$7:$AH$30,L$3,DAY($B4))="",NA(),INDEX([1]Temps!$D$7:$AH$30,L$3,DAY($B4)))</f>
        <v>37</v>
      </c>
      <c r="M4" s="609">
        <f>IF(INDEX([1]Temps!$D$7:$AH$30,M$3,DAY($B4))="",NA(),INDEX([1]Temps!$D$7:$AH$30,M$3,DAY($B4)))</f>
        <v>37.9</v>
      </c>
      <c r="N4" s="609">
        <f>IF(INDEX([1]Temps!$D$7:$AH$30,N$3,DAY($B4))="",NA(),INDEX([1]Temps!$D$7:$AH$30,N$3,DAY($B4)))</f>
        <v>37.9</v>
      </c>
      <c r="O4" s="609">
        <f>IF(INDEX([1]Temps!$D$7:$AH$30,O$3,DAY($B4))="",NA(),INDEX([1]Temps!$D$7:$AH$30,O$3,DAY($B4)))</f>
        <v>39</v>
      </c>
      <c r="P4" s="609">
        <f>IF(INDEX([1]Temps!$D$7:$AH$30,P$3,DAY($B4))="",NA(),INDEX([1]Temps!$D$7:$AH$30,P$3,DAY($B4)))</f>
        <v>41</v>
      </c>
      <c r="Q4" s="609">
        <f>IF(INDEX([1]Temps!$D$7:$AH$30,Q$3,DAY($B4))="",NA(),INDEX([1]Temps!$D$7:$AH$30,Q$3,DAY($B4)))</f>
        <v>39.9</v>
      </c>
      <c r="R4" s="609">
        <f>IF(INDEX([1]Temps!$D$7:$AH$30,R$3,DAY($B4))="",NA(),INDEX([1]Temps!$D$7:$AH$30,R$3,DAY($B4)))</f>
        <v>39.9</v>
      </c>
      <c r="S4" s="609">
        <f>IF(INDEX([1]Temps!$D$7:$AH$30,S$3,DAY($B4))="",NA(),INDEX([1]Temps!$D$7:$AH$30,S$3,DAY($B4)))</f>
        <v>39</v>
      </c>
      <c r="T4" s="609">
        <f>IF(INDEX([1]Temps!$D$7:$AH$30,T$3,DAY($B4))="",NA(),INDEX([1]Temps!$D$7:$AH$30,T$3,DAY($B4)))</f>
        <v>39.9</v>
      </c>
      <c r="U4" s="609">
        <f>IF(INDEX([1]Temps!$D$7:$AH$30,U$3,DAY($B4))="",NA(),INDEX([1]Temps!$D$7:$AH$30,U$3,DAY($B4)))</f>
        <v>38.9</v>
      </c>
      <c r="V4" s="609">
        <f>IF(INDEX([1]Temps!$D$7:$AH$30,V$3,DAY($B4))="",NA(),INDEX([1]Temps!$D$7:$AH$30,V$3,DAY($B4)))</f>
        <v>36</v>
      </c>
      <c r="W4" s="609">
        <f>IF(INDEX([1]Temps!$D$7:$AH$30,W$3,DAY($B4))="",NA(),INDEX([1]Temps!$D$7:$AH$30,W$3,DAY($B4)))</f>
        <v>35.1</v>
      </c>
      <c r="X4" s="609">
        <f>IF(INDEX([1]Temps!$D$7:$AH$30,X$3,DAY($B4))="",NA(),INDEX([1]Temps!$D$7:$AH$30,X$3,DAY($B4)))</f>
        <v>33.1</v>
      </c>
      <c r="Y4" s="609">
        <f>IF(INDEX([1]Temps!$D$7:$AH$30,Y$3,DAY($B4))="",NA(),INDEX([1]Temps!$D$7:$AH$30,Y$3,DAY($B4)))</f>
        <v>33.1</v>
      </c>
      <c r="Z4" s="609">
        <f>IF(INDEX([1]Temps!$D$7:$AH$30,Z$3,DAY($B4))="",NA(),INDEX([1]Temps!$D$7:$AH$30,Z$3,DAY($B4)))</f>
        <v>32</v>
      </c>
      <c r="AA4" s="584"/>
      <c r="AB4" s="583">
        <f>B4</f>
        <v>41944</v>
      </c>
      <c r="AC4" s="587">
        <f>IF(INDEX([1]Temps!$D$43:$AH$66,AC$3,DAY($B4))="",NA(),INDEX([1]Temps!$D$43:$AH$66,AC$3,DAY($B4)))</f>
        <v>36</v>
      </c>
      <c r="AD4" s="587">
        <f>IF(INDEX([1]Temps!$D$43:$AH$66,AD$3,DAY($B4))="",NA(),INDEX([1]Temps!$D$43:$AH$66,AD$3,DAY($B4)))</f>
        <v>36</v>
      </c>
      <c r="AE4" s="587">
        <f>IF(INDEX([1]Temps!$D$43:$AH$66,AE$3,DAY($B4))="",NA(),INDEX([1]Temps!$D$43:$AH$66,AE$3,DAY($B4)))</f>
        <v>37</v>
      </c>
      <c r="AF4" s="587">
        <f>IF(INDEX([1]Temps!$D$43:$AH$66,AF$3,DAY($B4))="",NA(),INDEX([1]Temps!$D$43:$AH$66,AF$3,DAY($B4)))</f>
        <v>37</v>
      </c>
      <c r="AG4" s="587">
        <f>IF(INDEX([1]Temps!$D$43:$AH$66,AG$3,DAY($B4))="",NA(),INDEX([1]Temps!$D$43:$AH$66,AG$3,DAY($B4)))</f>
        <v>36</v>
      </c>
      <c r="AH4" s="587">
        <f>IF(INDEX([1]Temps!$D$43:$AH$66,AH$3,DAY($B4))="",NA(),INDEX([1]Temps!$D$43:$AH$66,AH$3,DAY($B4)))</f>
        <v>35.1</v>
      </c>
      <c r="AI4" s="587">
        <f>IF(INDEX([1]Temps!$D$43:$AH$66,AI$3,DAY($B4))="",NA(),INDEX([1]Temps!$D$43:$AH$66,AI$3,DAY($B4)))</f>
        <v>35.1</v>
      </c>
      <c r="AJ4" s="587">
        <f>IF(INDEX([1]Temps!$D$43:$AH$66,AJ$3,DAY($B4))="",NA(),INDEX([1]Temps!$D$43:$AH$66,AJ$3,DAY($B4)))</f>
        <v>35.1</v>
      </c>
      <c r="AK4" s="587">
        <f>IF(INDEX([1]Temps!$D$43:$AH$66,AK$3,DAY($B4))="",NA(),INDEX([1]Temps!$D$43:$AH$66,AK$3,DAY($B4)))</f>
        <v>35.1</v>
      </c>
      <c r="AL4" s="587">
        <f>IF(INDEX([1]Temps!$D$43:$AH$66,AL$3,DAY($B4))="",NA(),INDEX([1]Temps!$D$43:$AH$66,AL$3,DAY($B4)))</f>
        <v>35.549999999999997</v>
      </c>
      <c r="AM4" s="587">
        <f>IF(INDEX([1]Temps!$D$43:$AH$66,AM$3,DAY($B4))="",NA(),INDEX([1]Temps!$D$43:$AH$66,AM$3,DAY($B4)))</f>
        <v>37</v>
      </c>
      <c r="AN4" s="587">
        <f>IF(INDEX([1]Temps!$D$43:$AH$66,AN$3,DAY($B4))="",NA(),INDEX([1]Temps!$D$43:$AH$66,AN$3,DAY($B4)))</f>
        <v>39</v>
      </c>
      <c r="AO4" s="587">
        <f>IF(INDEX([1]Temps!$D$43:$AH$66,AO$3,DAY($B4))="",NA(),INDEX([1]Temps!$D$43:$AH$66,AO$3,DAY($B4)))</f>
        <v>39.9</v>
      </c>
      <c r="AP4" s="587">
        <f>IF(INDEX([1]Temps!$D$43:$AH$66,AP$3,DAY($B4))="",NA(),INDEX([1]Temps!$D$43:$AH$66,AP$3,DAY($B4)))</f>
        <v>39.9</v>
      </c>
      <c r="AQ4" s="587">
        <f>IF(INDEX([1]Temps!$D$43:$AH$66,AQ$3,DAY($B4))="",NA(),INDEX([1]Temps!$D$43:$AH$66,AQ$3,DAY($B4)))</f>
        <v>41</v>
      </c>
      <c r="AR4" s="587">
        <f>IF(INDEX([1]Temps!$D$43:$AH$66,AR$3,DAY($B4))="",NA(),INDEX([1]Temps!$D$43:$AH$66,AR$3,DAY($B4)))</f>
        <v>43.1</v>
      </c>
      <c r="AS4" s="587">
        <f>IF(INDEX([1]Temps!$D$43:$AH$66,AS$3,DAY($B4))="",NA(),INDEX([1]Temps!$D$43:$AH$66,AS$3,DAY($B4)))</f>
        <v>45</v>
      </c>
      <c r="AT4" s="587">
        <f>IF(INDEX([1]Temps!$D$43:$AH$66,AT$3,DAY($B4))="",NA(),INDEX([1]Temps!$D$43:$AH$66,AT$3,DAY($B4)))</f>
        <v>44.1</v>
      </c>
      <c r="AU4" s="587">
        <f>IF(INDEX([1]Temps!$D$43:$AH$66,AU$3,DAY($B4))="",NA(),INDEX([1]Temps!$D$43:$AH$66,AU$3,DAY($B4)))</f>
        <v>41</v>
      </c>
      <c r="AV4" s="587">
        <f>IF(INDEX([1]Temps!$D$43:$AH$66,AV$3,DAY($B4))="",NA(),INDEX([1]Temps!$D$43:$AH$66,AV$3,DAY($B4)))</f>
        <v>39.9</v>
      </c>
      <c r="AW4" s="587">
        <f>IF(INDEX([1]Temps!$D$43:$AH$66,AW$3,DAY($B4))="",NA(),INDEX([1]Temps!$D$43:$AH$66,AW$3,DAY($B4)))</f>
        <v>39</v>
      </c>
      <c r="AX4" s="587">
        <f>IF(INDEX([1]Temps!$D$43:$AH$66,AX$3,DAY($B4))="",NA(),INDEX([1]Temps!$D$43:$AH$66,AX$3,DAY($B4)))</f>
        <v>37.9</v>
      </c>
      <c r="AY4" s="587">
        <f>IF(INDEX([1]Temps!$D$43:$AH$66,AY$3,DAY($B4))="",NA(),INDEX([1]Temps!$D$43:$AH$66,AY$3,DAY($B4)))</f>
        <v>36</v>
      </c>
      <c r="AZ4" s="587">
        <f>IF(INDEX([1]Temps!$D$43:$AH$66,AZ$3,DAY($B4))="",NA(),INDEX([1]Temps!$D$43:$AH$66,AZ$3,DAY($B4)))</f>
        <v>34</v>
      </c>
      <c r="BB4" s="583">
        <f>AB4</f>
        <v>41944</v>
      </c>
      <c r="BC4" s="587">
        <f>'[1]Hourly Load'!B4</f>
        <v>2341</v>
      </c>
      <c r="BD4" s="587">
        <f>'[1]Hourly Load'!C4</f>
        <v>2367</v>
      </c>
      <c r="BE4" s="587">
        <f>'[1]Hourly Load'!D4</f>
        <v>2292</v>
      </c>
      <c r="BF4" s="587">
        <f>'[1]Hourly Load'!E4</f>
        <v>2359</v>
      </c>
      <c r="BG4" s="587">
        <f>'[1]Hourly Load'!F4</f>
        <v>2342</v>
      </c>
      <c r="BH4" s="587">
        <f>'[1]Hourly Load'!G4</f>
        <v>2478</v>
      </c>
      <c r="BI4" s="587">
        <f>'[1]Hourly Load'!H4</f>
        <v>2593</v>
      </c>
      <c r="BJ4" s="587">
        <f>'[1]Hourly Load'!I4</f>
        <v>2688</v>
      </c>
      <c r="BK4" s="587">
        <f>'[1]Hourly Load'!J4</f>
        <v>2719</v>
      </c>
      <c r="BL4" s="587">
        <f>'[1]Hourly Load'!K4</f>
        <v>2812</v>
      </c>
      <c r="BM4" s="587">
        <f>'[1]Hourly Load'!L4</f>
        <v>2757</v>
      </c>
      <c r="BN4" s="587">
        <f>'[1]Hourly Load'!M4</f>
        <v>2738</v>
      </c>
      <c r="BO4" s="587">
        <f>'[1]Hourly Load'!N4</f>
        <v>2639</v>
      </c>
      <c r="BP4" s="587">
        <f>'[1]Hourly Load'!O4</f>
        <v>2616</v>
      </c>
      <c r="BQ4" s="587">
        <f>'[1]Hourly Load'!P4</f>
        <v>2587</v>
      </c>
      <c r="BR4" s="587">
        <f>'[1]Hourly Load'!Q4</f>
        <v>2541</v>
      </c>
      <c r="BS4" s="587">
        <f>'[1]Hourly Load'!R4</f>
        <v>2566</v>
      </c>
      <c r="BT4" s="587">
        <f>'[1]Hourly Load'!S4</f>
        <v>2558</v>
      </c>
      <c r="BU4" s="587">
        <f>'[1]Hourly Load'!T4</f>
        <v>2628</v>
      </c>
      <c r="BV4" s="587">
        <f>'[1]Hourly Load'!U4</f>
        <v>2625</v>
      </c>
      <c r="BW4" s="587">
        <f>'[1]Hourly Load'!V4</f>
        <v>2627</v>
      </c>
      <c r="BX4" s="587">
        <f>'[1]Hourly Load'!W4</f>
        <v>2566</v>
      </c>
      <c r="BY4" s="587">
        <f>'[1]Hourly Load'!X4</f>
        <v>2492</v>
      </c>
      <c r="BZ4" s="587">
        <f>'[1]Hourly Load'!Y4</f>
        <v>2441</v>
      </c>
      <c r="CA4" s="584"/>
      <c r="CB4" s="583">
        <f>BB4</f>
        <v>41944</v>
      </c>
      <c r="CC4" s="587">
        <f>'[1]Hourly Load'!AA4</f>
        <v>1157.5460205078125</v>
      </c>
      <c r="CD4" s="587">
        <f>'[1]Hourly Load'!AB4</f>
        <v>1137.051025390625</v>
      </c>
      <c r="CE4" s="587">
        <f>'[1]Hourly Load'!AC4</f>
        <v>1128.541015625</v>
      </c>
      <c r="CF4" s="587">
        <f>'[1]Hourly Load'!AD4</f>
        <v>1118.641845703125</v>
      </c>
      <c r="CG4" s="587">
        <f>'[1]Hourly Load'!AE4</f>
        <v>1124.8499755859375</v>
      </c>
      <c r="CH4" s="587">
        <f>'[1]Hourly Load'!AF4</f>
        <v>1172.946044921875</v>
      </c>
      <c r="CI4" s="587">
        <f>'[1]Hourly Load'!AG4</f>
        <v>1233.636962890625</v>
      </c>
      <c r="CJ4" s="587">
        <f>'[1]Hourly Load'!AH4</f>
        <v>1265.551025390625</v>
      </c>
      <c r="CK4" s="587">
        <f>'[1]Hourly Load'!AI4</f>
        <v>1284.75</v>
      </c>
      <c r="CL4" s="587">
        <f>'[1]Hourly Load'!AJ4</f>
        <v>1308.5350341796875</v>
      </c>
      <c r="CM4" s="587">
        <f>'[1]Hourly Load'!AK4</f>
        <v>1300.35205078125</v>
      </c>
      <c r="CN4" s="587">
        <f>'[1]Hourly Load'!AL4</f>
        <v>1294.85205078125</v>
      </c>
      <c r="CO4" s="587">
        <f>'[1]Hourly Load'!AM4</f>
        <v>1263.43896484375</v>
      </c>
      <c r="CP4" s="587">
        <f>'[1]Hourly Load'!AN4</f>
        <v>1242.248046875</v>
      </c>
      <c r="CQ4" s="587">
        <f>'[1]Hourly Load'!AO4</f>
        <v>1215.65185546875</v>
      </c>
      <c r="CR4" s="587">
        <f>'[1]Hourly Load'!AP4</f>
        <v>1195.3480224609375</v>
      </c>
      <c r="CS4" s="587">
        <f>'[1]Hourly Load'!AQ4</f>
        <v>1193.4410400390625</v>
      </c>
      <c r="CT4" s="587">
        <f>'[1]Hourly Load'!AR4</f>
        <v>1222.35302734375</v>
      </c>
      <c r="CU4" s="587">
        <f>'[1]Hourly Load'!AS4</f>
        <v>1291.7509765625</v>
      </c>
      <c r="CV4" s="587">
        <f>'[1]Hourly Load'!AT4</f>
        <v>1302.3349609375</v>
      </c>
      <c r="CW4" s="587">
        <f>'[1]Hourly Load'!AU4</f>
        <v>1273.947998046875</v>
      </c>
      <c r="CX4" s="587">
        <f>'[1]Hourly Load'!AV4</f>
        <v>1241.5511474609375</v>
      </c>
      <c r="CY4" s="587">
        <f>'[1]Hourly Load'!AW4</f>
        <v>1192.93994140625</v>
      </c>
      <c r="CZ4" s="587">
        <f>'[1]Hourly Load'!AX4</f>
        <v>1132.7430419921875</v>
      </c>
    </row>
    <row r="5" spans="1:104">
      <c r="A5" s="582">
        <v>2</v>
      </c>
      <c r="B5" s="583">
        <f>'Input Data'!A5</f>
        <v>41945</v>
      </c>
      <c r="C5" s="609">
        <f>IF(INDEX([1]Temps!$D$7:$AH$30,C$3,DAY($B5))="",NA(),INDEX([1]Temps!$D$7:$AH$30,C$3,DAY($B5)))</f>
        <v>30</v>
      </c>
      <c r="D5" s="609">
        <f>IF(INDEX([1]Temps!$D$7:$AH$30,D$3,DAY($B5))="",NA(),INDEX([1]Temps!$D$7:$AH$30,D$3,DAY($B5)))</f>
        <v>30.9</v>
      </c>
      <c r="E5" s="609">
        <f>IF(INDEX([1]Temps!$D$7:$AH$30,E$3,DAY($B5))="",NA(),INDEX([1]Temps!$D$7:$AH$30,E$3,DAY($B5)))</f>
        <v>30</v>
      </c>
      <c r="F5" s="609">
        <f>IF(INDEX([1]Temps!$D$7:$AH$30,F$3,DAY($B5))="",NA(),INDEX([1]Temps!$D$7:$AH$30,F$3,DAY($B5)))</f>
        <v>28.9</v>
      </c>
      <c r="G5" s="609">
        <f>IF(INDEX([1]Temps!$D$7:$AH$30,G$3,DAY($B5))="",NA(),INDEX([1]Temps!$D$7:$AH$30,G$3,DAY($B5)))</f>
        <v>28.9</v>
      </c>
      <c r="H5" s="609">
        <f>IF(INDEX([1]Temps!$D$7:$AH$30,H$3,DAY($B5))="",NA(),INDEX([1]Temps!$D$7:$AH$30,H$3,DAY($B5)))</f>
        <v>28.9</v>
      </c>
      <c r="I5" s="609">
        <f>IF(INDEX([1]Temps!$D$7:$AH$30,I$3,DAY($B5))="",NA(),INDEX([1]Temps!$D$7:$AH$30,I$3,DAY($B5)))</f>
        <v>28.9</v>
      </c>
      <c r="J5" s="609">
        <f>IF(INDEX([1]Temps!$D$7:$AH$30,J$3,DAY($B5))="",NA(),INDEX([1]Temps!$D$7:$AH$30,J$3,DAY($B5)))</f>
        <v>30.9</v>
      </c>
      <c r="K5" s="609">
        <f>IF(INDEX([1]Temps!$D$7:$AH$30,K$3,DAY($B5))="",NA(),INDEX([1]Temps!$D$7:$AH$30,K$3,DAY($B5)))</f>
        <v>35.1</v>
      </c>
      <c r="L5" s="609">
        <f>IF(INDEX([1]Temps!$D$7:$AH$30,L$3,DAY($B5))="",NA(),INDEX([1]Temps!$D$7:$AH$30,L$3,DAY($B5)))</f>
        <v>39.9</v>
      </c>
      <c r="M5" s="609">
        <f>IF(INDEX([1]Temps!$D$7:$AH$30,M$3,DAY($B5))="",NA(),INDEX([1]Temps!$D$7:$AH$30,M$3,DAY($B5)))</f>
        <v>44.1</v>
      </c>
      <c r="N5" s="609">
        <f>IF(INDEX([1]Temps!$D$7:$AH$30,N$3,DAY($B5))="",NA(),INDEX([1]Temps!$D$7:$AH$30,N$3,DAY($B5)))</f>
        <v>46</v>
      </c>
      <c r="O5" s="609">
        <f>IF(INDEX([1]Temps!$D$7:$AH$30,O$3,DAY($B5))="",NA(),INDEX([1]Temps!$D$7:$AH$30,O$3,DAY($B5)))</f>
        <v>48</v>
      </c>
      <c r="P5" s="609">
        <f>IF(INDEX([1]Temps!$D$7:$AH$30,P$3,DAY($B5))="",NA(),INDEX([1]Temps!$D$7:$AH$30,P$3,DAY($B5)))</f>
        <v>48.9</v>
      </c>
      <c r="Q5" s="609">
        <f>IF(INDEX([1]Temps!$D$7:$AH$30,Q$3,DAY($B5))="",NA(),INDEX([1]Temps!$D$7:$AH$30,Q$3,DAY($B5)))</f>
        <v>50</v>
      </c>
      <c r="R5" s="609">
        <f>IF(INDEX([1]Temps!$D$7:$AH$30,R$3,DAY($B5))="",NA(),INDEX([1]Temps!$D$7:$AH$30,R$3,DAY($B5)))</f>
        <v>51.1</v>
      </c>
      <c r="S5" s="609">
        <f>IF(INDEX([1]Temps!$D$7:$AH$30,S$3,DAY($B5))="",NA(),INDEX([1]Temps!$D$7:$AH$30,S$3,DAY($B5)))</f>
        <v>48.9</v>
      </c>
      <c r="T5" s="609">
        <f>IF(INDEX([1]Temps!$D$7:$AH$30,T$3,DAY($B5))="",NA(),INDEX([1]Temps!$D$7:$AH$30,T$3,DAY($B5)))</f>
        <v>44.6</v>
      </c>
      <c r="U5" s="609">
        <f>IF(INDEX([1]Temps!$D$7:$AH$30,U$3,DAY($B5))="",NA(),INDEX([1]Temps!$D$7:$AH$30,U$3,DAY($B5)))</f>
        <v>42.1</v>
      </c>
      <c r="V5" s="609">
        <f>IF(INDEX([1]Temps!$D$7:$AH$30,V$3,DAY($B5))="",NA(),INDEX([1]Temps!$D$7:$AH$30,V$3,DAY($B5)))</f>
        <v>37</v>
      </c>
      <c r="W5" s="609">
        <f>IF(INDEX([1]Temps!$D$7:$AH$30,W$3,DAY($B5))="",NA(),INDEX([1]Temps!$D$7:$AH$30,W$3,DAY($B5)))</f>
        <v>36</v>
      </c>
      <c r="X5" s="609">
        <f>IF(INDEX([1]Temps!$D$7:$AH$30,X$3,DAY($B5))="",NA(),INDEX([1]Temps!$D$7:$AH$30,X$3,DAY($B5)))</f>
        <v>37</v>
      </c>
      <c r="Y5" s="609">
        <f>IF(INDEX([1]Temps!$D$7:$AH$30,Y$3,DAY($B5))="",NA(),INDEX([1]Temps!$D$7:$AH$30,Y$3,DAY($B5)))</f>
        <v>36</v>
      </c>
      <c r="Z5" s="609" t="e">
        <f>IF(INDEX([1]Temps!$D$7:$AH$30,Z$3,DAY($B5))="",NA(),INDEX([1]Temps!$D$7:$AH$30,Z$3,DAY($B5)))</f>
        <v>#N/A</v>
      </c>
      <c r="AA5" s="584"/>
      <c r="AB5" s="583">
        <f t="shared" ref="AB5:AB34" si="6">B5</f>
        <v>41945</v>
      </c>
      <c r="AC5" s="587">
        <f>IF(INDEX([1]Temps!$D$43:$AH$66,AC$3,DAY($B5))="",NA(),INDEX([1]Temps!$D$43:$AH$66,AC$3,DAY($B5)))</f>
        <v>28.9</v>
      </c>
      <c r="AD5" s="587">
        <f>IF(INDEX([1]Temps!$D$43:$AH$66,AD$3,DAY($B5))="",NA(),INDEX([1]Temps!$D$43:$AH$66,AD$3,DAY($B5)))</f>
        <v>30</v>
      </c>
      <c r="AE5" s="587">
        <f>IF(INDEX([1]Temps!$D$43:$AH$66,AE$3,DAY($B5))="",NA(),INDEX([1]Temps!$D$43:$AH$66,AE$3,DAY($B5)))</f>
        <v>30</v>
      </c>
      <c r="AF5" s="587">
        <f>IF(INDEX([1]Temps!$D$43:$AH$66,AF$3,DAY($B5))="",NA(),INDEX([1]Temps!$D$43:$AH$66,AF$3,DAY($B5)))</f>
        <v>28.9</v>
      </c>
      <c r="AG5" s="587">
        <f>IF(INDEX([1]Temps!$D$43:$AH$66,AG$3,DAY($B5))="",NA(),INDEX([1]Temps!$D$43:$AH$66,AG$3,DAY($B5)))</f>
        <v>27</v>
      </c>
      <c r="AH5" s="587">
        <f>IF(INDEX([1]Temps!$D$43:$AH$66,AH$3,DAY($B5))="",NA(),INDEX([1]Temps!$D$43:$AH$66,AH$3,DAY($B5)))</f>
        <v>27</v>
      </c>
      <c r="AI5" s="587">
        <f>IF(INDEX([1]Temps!$D$43:$AH$66,AI$3,DAY($B5))="",NA(),INDEX([1]Temps!$D$43:$AH$66,AI$3,DAY($B5)))</f>
        <v>26.1</v>
      </c>
      <c r="AJ5" s="587">
        <f>IF(INDEX([1]Temps!$D$43:$AH$66,AJ$3,DAY($B5))="",NA(),INDEX([1]Temps!$D$43:$AH$66,AJ$3,DAY($B5)))</f>
        <v>28</v>
      </c>
      <c r="AK5" s="587">
        <f>IF(INDEX([1]Temps!$D$43:$AH$66,AK$3,DAY($B5))="",NA(),INDEX([1]Temps!$D$43:$AH$66,AK$3,DAY($B5)))</f>
        <v>33.1</v>
      </c>
      <c r="AL5" s="587">
        <f>IF(INDEX([1]Temps!$D$43:$AH$66,AL$3,DAY($B5))="",NA(),INDEX([1]Temps!$D$43:$AH$66,AL$3,DAY($B5)))</f>
        <v>39.9</v>
      </c>
      <c r="AM5" s="587">
        <f>IF(INDEX([1]Temps!$D$43:$AH$66,AM$3,DAY($B5))="",NA(),INDEX([1]Temps!$D$43:$AH$66,AM$3,DAY($B5)))</f>
        <v>43</v>
      </c>
      <c r="AN5" s="587">
        <f>IF(INDEX([1]Temps!$D$43:$AH$66,AN$3,DAY($B5))="",NA(),INDEX([1]Temps!$D$43:$AH$66,AN$3,DAY($B5)))</f>
        <v>44.1</v>
      </c>
      <c r="AO5" s="587">
        <f>IF(INDEX([1]Temps!$D$43:$AH$66,AO$3,DAY($B5))="",NA(),INDEX([1]Temps!$D$43:$AH$66,AO$3,DAY($B5)))</f>
        <v>48</v>
      </c>
      <c r="AP5" s="587">
        <f>IF(INDEX([1]Temps!$D$43:$AH$66,AP$3,DAY($B5))="",NA(),INDEX([1]Temps!$D$43:$AH$66,AP$3,DAY($B5)))</f>
        <v>48.9</v>
      </c>
      <c r="AQ5" s="587">
        <f>IF(INDEX([1]Temps!$D$43:$AH$66,AQ$3,DAY($B5))="",NA(),INDEX([1]Temps!$D$43:$AH$66,AQ$3,DAY($B5)))</f>
        <v>50</v>
      </c>
      <c r="AR5" s="587">
        <f>IF(INDEX([1]Temps!$D$43:$AH$66,AR$3,DAY($B5))="",NA(),INDEX([1]Temps!$D$43:$AH$66,AR$3,DAY($B5)))</f>
        <v>50</v>
      </c>
      <c r="AS5" s="587">
        <f>IF(INDEX([1]Temps!$D$43:$AH$66,AS$3,DAY($B5))="",NA(),INDEX([1]Temps!$D$43:$AH$66,AS$3,DAY($B5)))</f>
        <v>50</v>
      </c>
      <c r="AT5" s="587">
        <f>IF(INDEX([1]Temps!$D$43:$AH$66,AT$3,DAY($B5))="",NA(),INDEX([1]Temps!$D$43:$AH$66,AT$3,DAY($B5)))</f>
        <v>48.9</v>
      </c>
      <c r="AU5" s="587">
        <f>IF(INDEX([1]Temps!$D$43:$AH$66,AU$3,DAY($B5))="",NA(),INDEX([1]Temps!$D$43:$AH$66,AU$3,DAY($B5)))</f>
        <v>46</v>
      </c>
      <c r="AV5" s="587">
        <f>IF(INDEX([1]Temps!$D$43:$AH$66,AV$3,DAY($B5))="",NA(),INDEX([1]Temps!$D$43:$AH$66,AV$3,DAY($B5)))</f>
        <v>43</v>
      </c>
      <c r="AW5" s="587">
        <f>IF(INDEX([1]Temps!$D$43:$AH$66,AW$3,DAY($B5))="",NA(),INDEX([1]Temps!$D$43:$AH$66,AW$3,DAY($B5)))</f>
        <v>41</v>
      </c>
      <c r="AX5" s="587">
        <f>IF(INDEX([1]Temps!$D$43:$AH$66,AX$3,DAY($B5))="",NA(),INDEX([1]Temps!$D$43:$AH$66,AX$3,DAY($B5)))</f>
        <v>39</v>
      </c>
      <c r="AY5" s="587">
        <f>IF(INDEX([1]Temps!$D$43:$AH$66,AY$3,DAY($B5))="",NA(),INDEX([1]Temps!$D$43:$AH$66,AY$3,DAY($B5)))</f>
        <v>37.9</v>
      </c>
      <c r="AZ5" s="587" t="e">
        <f>IF(INDEX([1]Temps!$D$43:$AH$66,AZ$3,DAY($B5))="",NA(),INDEX([1]Temps!$D$43:$AH$66,AZ$3,DAY($B5)))</f>
        <v>#N/A</v>
      </c>
      <c r="BB5" s="583">
        <f t="shared" ref="BB5:BB34" si="7">AB5</f>
        <v>41945</v>
      </c>
      <c r="BC5" s="587">
        <f>'[1]Hourly Load'!B5</f>
        <v>2397</v>
      </c>
      <c r="BD5" s="587">
        <f>'[1]Hourly Load'!C5</f>
        <v>2434</v>
      </c>
      <c r="BE5" s="587">
        <f>'[1]Hourly Load'!D5</f>
        <v>2427</v>
      </c>
      <c r="BF5" s="587">
        <f>'[1]Hourly Load'!E5</f>
        <v>2463</v>
      </c>
      <c r="BG5" s="587">
        <f>'[1]Hourly Load'!F5</f>
        <v>2495</v>
      </c>
      <c r="BH5" s="587">
        <f>'[1]Hourly Load'!G5</f>
        <v>2570</v>
      </c>
      <c r="BI5" s="587">
        <f>'[1]Hourly Load'!H5</f>
        <v>2647</v>
      </c>
      <c r="BJ5" s="587">
        <f>'[1]Hourly Load'!I5</f>
        <v>2777</v>
      </c>
      <c r="BK5" s="587">
        <f>'[1]Hourly Load'!J5</f>
        <v>2744</v>
      </c>
      <c r="BL5" s="587">
        <f>'[1]Hourly Load'!K5</f>
        <v>2647</v>
      </c>
      <c r="BM5" s="587">
        <f>'[1]Hourly Load'!L5</f>
        <v>2439</v>
      </c>
      <c r="BN5" s="587">
        <f>'[1]Hourly Load'!M5</f>
        <v>2272</v>
      </c>
      <c r="BO5" s="587">
        <f>'[1]Hourly Load'!N5</f>
        <v>2211</v>
      </c>
      <c r="BP5" s="587">
        <f>'[1]Hourly Load'!O5</f>
        <v>2131</v>
      </c>
      <c r="BQ5" s="587">
        <f>'[1]Hourly Load'!P5</f>
        <v>2054</v>
      </c>
      <c r="BR5" s="587">
        <f>'[1]Hourly Load'!Q5</f>
        <v>2082</v>
      </c>
      <c r="BS5" s="587">
        <f>'[1]Hourly Load'!R5</f>
        <v>2164</v>
      </c>
      <c r="BT5" s="587">
        <f>'[1]Hourly Load'!S5</f>
        <v>2337</v>
      </c>
      <c r="BU5" s="587">
        <f>'[1]Hourly Load'!T5</f>
        <v>2427</v>
      </c>
      <c r="BV5" s="587">
        <f>'[1]Hourly Load'!U5</f>
        <v>2515</v>
      </c>
      <c r="BW5" s="587">
        <f>'[1]Hourly Load'!V5</f>
        <v>2539</v>
      </c>
      <c r="BX5" s="587">
        <f>'[1]Hourly Load'!W5</f>
        <v>2482</v>
      </c>
      <c r="BY5" s="587">
        <f>'[1]Hourly Load'!X5</f>
        <v>2432</v>
      </c>
      <c r="BZ5" s="587">
        <f>'[1]Hourly Load'!Y5</f>
        <v>2363</v>
      </c>
      <c r="CA5" s="584"/>
      <c r="CB5" s="583">
        <f t="shared" ref="CB5:CB34" si="8">BB5</f>
        <v>41945</v>
      </c>
      <c r="CC5" s="587">
        <f>'[1]Hourly Load'!AA5</f>
        <v>1126.6510009765625</v>
      </c>
      <c r="CD5" s="587">
        <f>'[1]Hourly Load'!AB5</f>
        <v>1126.8399658203125</v>
      </c>
      <c r="CE5" s="587">
        <f>'[1]Hourly Load'!AC5</f>
        <v>1124.6409912109375</v>
      </c>
      <c r="CF5" s="587">
        <f>'[1]Hourly Load'!AD5</f>
        <v>1123.9510498046875</v>
      </c>
      <c r="CG5" s="587">
        <f>'[1]Hourly Load'!AE5</f>
        <v>1141.739013671875</v>
      </c>
      <c r="CH5" s="587">
        <f>'[1]Hourly Load'!AF5</f>
        <v>1162.6409912109375</v>
      </c>
      <c r="CI5" s="587">
        <f>'[1]Hourly Load'!AG5</f>
        <v>1198.7509765625</v>
      </c>
      <c r="CJ5" s="587">
        <f>'[1]Hourly Load'!AH5</f>
        <v>1235.5369873046875</v>
      </c>
      <c r="CK5" s="587">
        <f>'[1]Hourly Load'!AI5</f>
        <v>1258.844970703125</v>
      </c>
      <c r="CL5" s="587">
        <f>'[1]Hourly Load'!AJ5</f>
        <v>1252.25</v>
      </c>
      <c r="CM5" s="587">
        <f>'[1]Hourly Load'!AK5</f>
        <v>1236.14501953125</v>
      </c>
      <c r="CN5" s="587">
        <f>'[1]Hourly Load'!AL5</f>
        <v>1209.9429931640625</v>
      </c>
      <c r="CO5" s="587">
        <f>'[1]Hourly Load'!AM5</f>
        <v>1203.35302734375</v>
      </c>
      <c r="CP5" s="587">
        <f>'[1]Hourly Load'!AN5</f>
        <v>1172.052001953125</v>
      </c>
      <c r="CQ5" s="587">
        <f>'[1]Hourly Load'!AO5</f>
        <v>1136.8409423828125</v>
      </c>
      <c r="CR5" s="587">
        <f>'[1]Hourly Load'!AP5</f>
        <v>1118.4490966796875</v>
      </c>
      <c r="CS5" s="587">
        <f>'[1]Hourly Load'!AQ5</f>
        <v>1150.8531494140625</v>
      </c>
      <c r="CT5" s="587">
        <f>'[1]Hourly Load'!AR5</f>
        <v>1214.85302734375</v>
      </c>
      <c r="CU5" s="587">
        <f>'[1]Hourly Load'!AS5</f>
        <v>1309.0419921875</v>
      </c>
      <c r="CV5" s="587">
        <f>'[1]Hourly Load'!AT5</f>
        <v>1308.1419677734375</v>
      </c>
      <c r="CW5" s="587">
        <f>'[1]Hourly Load'!AU5</f>
        <v>1283.3509521484375</v>
      </c>
      <c r="CX5" s="587">
        <f>'[1]Hourly Load'!AV5</f>
        <v>1247.947998046875</v>
      </c>
      <c r="CY5" s="587">
        <f>'[1]Hourly Load'!AW5</f>
        <v>1191.135009765625</v>
      </c>
      <c r="CZ5" s="587">
        <f>'[1]Hourly Load'!AX5</f>
        <v>1134.8509521484375</v>
      </c>
    </row>
    <row r="6" spans="1:104">
      <c r="A6" s="582">
        <v>3</v>
      </c>
      <c r="B6" s="583">
        <f>'Input Data'!A6</f>
        <v>41946</v>
      </c>
      <c r="C6" s="609">
        <f>IF(INDEX([1]Temps!$D$7:$AH$30,C$3,DAY($B6))="",NA(),INDEX([1]Temps!$D$7:$AH$30,C$3,DAY($B6)))</f>
        <v>36</v>
      </c>
      <c r="D6" s="609">
        <f>IF(INDEX([1]Temps!$D$7:$AH$30,D$3,DAY($B6))="",NA(),INDEX([1]Temps!$D$7:$AH$30,D$3,DAY($B6)))</f>
        <v>35.1</v>
      </c>
      <c r="E6" s="609">
        <f>IF(INDEX([1]Temps!$D$7:$AH$30,E$3,DAY($B6))="",NA(),INDEX([1]Temps!$D$7:$AH$30,E$3,DAY($B6)))</f>
        <v>37</v>
      </c>
      <c r="F6" s="609">
        <f>IF(INDEX([1]Temps!$D$7:$AH$30,F$3,DAY($B6))="",NA(),INDEX([1]Temps!$D$7:$AH$30,F$3,DAY($B6)))</f>
        <v>37.9</v>
      </c>
      <c r="G6" s="609">
        <f>IF(INDEX([1]Temps!$D$7:$AH$30,G$3,DAY($B6))="",NA(),INDEX([1]Temps!$D$7:$AH$30,G$3,DAY($B6)))</f>
        <v>39.9</v>
      </c>
      <c r="H6" s="609">
        <f>IF(INDEX([1]Temps!$D$7:$AH$30,H$3,DAY($B6))="",NA(),INDEX([1]Temps!$D$7:$AH$30,H$3,DAY($B6)))</f>
        <v>39.9</v>
      </c>
      <c r="I6" s="609">
        <f>IF(INDEX([1]Temps!$D$7:$AH$30,I$3,DAY($B6))="",NA(),INDEX([1]Temps!$D$7:$AH$30,I$3,DAY($B6)))</f>
        <v>41</v>
      </c>
      <c r="J6" s="609">
        <f>IF(INDEX([1]Temps!$D$7:$AH$30,J$3,DAY($B6))="",NA(),INDEX([1]Temps!$D$7:$AH$30,J$3,DAY($B6)))</f>
        <v>41</v>
      </c>
      <c r="K6" s="609">
        <f>IF(INDEX([1]Temps!$D$7:$AH$30,K$3,DAY($B6))="",NA(),INDEX([1]Temps!$D$7:$AH$30,K$3,DAY($B6)))</f>
        <v>46</v>
      </c>
      <c r="L6" s="609">
        <f>IF(INDEX([1]Temps!$D$7:$AH$30,L$3,DAY($B6))="",NA(),INDEX([1]Temps!$D$7:$AH$30,L$3,DAY($B6)))</f>
        <v>53.1</v>
      </c>
      <c r="M6" s="609">
        <f>IF(INDEX([1]Temps!$D$7:$AH$30,M$3,DAY($B6))="",NA(),INDEX([1]Temps!$D$7:$AH$30,M$3,DAY($B6)))</f>
        <v>55.9</v>
      </c>
      <c r="N6" s="609">
        <f>IF(INDEX([1]Temps!$D$7:$AH$30,N$3,DAY($B6))="",NA(),INDEX([1]Temps!$D$7:$AH$30,N$3,DAY($B6)))</f>
        <v>60.1</v>
      </c>
      <c r="O6" s="609">
        <f>IF(INDEX([1]Temps!$D$7:$AH$30,O$3,DAY($B6))="",NA(),INDEX([1]Temps!$D$7:$AH$30,O$3,DAY($B6)))</f>
        <v>64</v>
      </c>
      <c r="P6" s="609">
        <f>IF(INDEX([1]Temps!$D$7:$AH$30,P$3,DAY($B6))="",NA(),INDEX([1]Temps!$D$7:$AH$30,P$3,DAY($B6)))</f>
        <v>64.900000000000006</v>
      </c>
      <c r="Q6" s="609">
        <f>IF(INDEX([1]Temps!$D$7:$AH$30,Q$3,DAY($B6))="",NA(),INDEX([1]Temps!$D$7:$AH$30,Q$3,DAY($B6)))</f>
        <v>68</v>
      </c>
      <c r="R6" s="609">
        <f>IF(INDEX([1]Temps!$D$7:$AH$30,R$3,DAY($B6))="",NA(),INDEX([1]Temps!$D$7:$AH$30,R$3,DAY($B6)))</f>
        <v>66.900000000000006</v>
      </c>
      <c r="S6" s="609">
        <f>IF(INDEX([1]Temps!$D$7:$AH$30,S$3,DAY($B6))="",NA(),INDEX([1]Temps!$D$7:$AH$30,S$3,DAY($B6)))</f>
        <v>64</v>
      </c>
      <c r="T6" s="609">
        <f>IF(INDEX([1]Temps!$D$7:$AH$30,T$3,DAY($B6))="",NA(),INDEX([1]Temps!$D$7:$AH$30,T$3,DAY($B6)))</f>
        <v>59</v>
      </c>
      <c r="U6" s="609">
        <f>IF(INDEX([1]Temps!$D$7:$AH$30,U$3,DAY($B6))="",NA(),INDEX([1]Temps!$D$7:$AH$30,U$3,DAY($B6)))</f>
        <v>55.9</v>
      </c>
      <c r="V6" s="609">
        <f>IF(INDEX([1]Temps!$D$7:$AH$30,V$3,DAY($B6))="",NA(),INDEX([1]Temps!$D$7:$AH$30,V$3,DAY($B6)))</f>
        <v>54</v>
      </c>
      <c r="W6" s="609">
        <f>IF(INDEX([1]Temps!$D$7:$AH$30,W$3,DAY($B6))="",NA(),INDEX([1]Temps!$D$7:$AH$30,W$3,DAY($B6)))</f>
        <v>55</v>
      </c>
      <c r="X6" s="609">
        <f>IF(INDEX([1]Temps!$D$7:$AH$30,X$3,DAY($B6))="",NA(),INDEX([1]Temps!$D$7:$AH$30,X$3,DAY($B6)))</f>
        <v>54</v>
      </c>
      <c r="Y6" s="609">
        <f>IF(INDEX([1]Temps!$D$7:$AH$30,Y$3,DAY($B6))="",NA(),INDEX([1]Temps!$D$7:$AH$30,Y$3,DAY($B6)))</f>
        <v>53.1</v>
      </c>
      <c r="Z6" s="609">
        <f>IF(INDEX([1]Temps!$D$7:$AH$30,Z$3,DAY($B6))="",NA(),INDEX([1]Temps!$D$7:$AH$30,Z$3,DAY($B6)))</f>
        <v>52</v>
      </c>
      <c r="AA6" s="584"/>
      <c r="AB6" s="583">
        <f t="shared" si="6"/>
        <v>41946</v>
      </c>
      <c r="AC6" s="587">
        <f>IF(INDEX([1]Temps!$D$43:$AH$66,AC$3,DAY($B6))="",NA(),INDEX([1]Temps!$D$43:$AH$66,AC$3,DAY($B6)))</f>
        <v>39.9</v>
      </c>
      <c r="AD6" s="587">
        <f>IF(INDEX([1]Temps!$D$43:$AH$66,AD$3,DAY($B6))="",NA(),INDEX([1]Temps!$D$43:$AH$66,AD$3,DAY($B6)))</f>
        <v>42.1</v>
      </c>
      <c r="AE6" s="587">
        <f>IF(INDEX([1]Temps!$D$43:$AH$66,AE$3,DAY($B6))="",NA(),INDEX([1]Temps!$D$43:$AH$66,AE$3,DAY($B6)))</f>
        <v>42.1</v>
      </c>
      <c r="AF6" s="587">
        <f>IF(INDEX([1]Temps!$D$43:$AH$66,AF$3,DAY($B6))="",NA(),INDEX([1]Temps!$D$43:$AH$66,AF$3,DAY($B6)))</f>
        <v>42.1</v>
      </c>
      <c r="AG6" s="587">
        <f>IF(INDEX([1]Temps!$D$43:$AH$66,AG$3,DAY($B6))="",NA(),INDEX([1]Temps!$D$43:$AH$66,AG$3,DAY($B6)))</f>
        <v>42.1</v>
      </c>
      <c r="AH6" s="587">
        <f>IF(INDEX([1]Temps!$D$43:$AH$66,AH$3,DAY($B6))="",NA(),INDEX([1]Temps!$D$43:$AH$66,AH$3,DAY($B6)))</f>
        <v>42.1</v>
      </c>
      <c r="AI6" s="587">
        <f>IF(INDEX([1]Temps!$D$43:$AH$66,AI$3,DAY($B6))="",NA(),INDEX([1]Temps!$D$43:$AH$66,AI$3,DAY($B6)))</f>
        <v>41</v>
      </c>
      <c r="AJ6" s="587">
        <f>IF(INDEX([1]Temps!$D$43:$AH$66,AJ$3,DAY($B6))="",NA(),INDEX([1]Temps!$D$43:$AH$66,AJ$3,DAY($B6)))</f>
        <v>42.1</v>
      </c>
      <c r="AK6" s="587">
        <f>IF(INDEX([1]Temps!$D$43:$AH$66,AK$3,DAY($B6))="",NA(),INDEX([1]Temps!$D$43:$AH$66,AK$3,DAY($B6)))</f>
        <v>44.1</v>
      </c>
      <c r="AL6" s="587">
        <f>IF(INDEX([1]Temps!$D$43:$AH$66,AL$3,DAY($B6))="",NA(),INDEX([1]Temps!$D$43:$AH$66,AL$3,DAY($B6)))</f>
        <v>46.9</v>
      </c>
      <c r="AM6" s="587">
        <f>IF(INDEX([1]Temps!$D$43:$AH$66,AM$3,DAY($B6))="",NA(),INDEX([1]Temps!$D$43:$AH$66,AM$3,DAY($B6)))</f>
        <v>53.1</v>
      </c>
      <c r="AN6" s="587">
        <f>IF(INDEX([1]Temps!$D$43:$AH$66,AN$3,DAY($B6))="",NA(),INDEX([1]Temps!$D$43:$AH$66,AN$3,DAY($B6)))</f>
        <v>57</v>
      </c>
      <c r="AO6" s="587">
        <f>IF(INDEX([1]Temps!$D$43:$AH$66,AO$3,DAY($B6))="",NA(),INDEX([1]Temps!$D$43:$AH$66,AO$3,DAY($B6)))</f>
        <v>61</v>
      </c>
      <c r="AP6" s="587">
        <f>IF(INDEX([1]Temps!$D$43:$AH$66,AP$3,DAY($B6))="",NA(),INDEX([1]Temps!$D$43:$AH$66,AP$3,DAY($B6)))</f>
        <v>63</v>
      </c>
      <c r="AQ6" s="587">
        <f>IF(INDEX([1]Temps!$D$43:$AH$66,AQ$3,DAY($B6))="",NA(),INDEX([1]Temps!$D$43:$AH$66,AQ$3,DAY($B6)))</f>
        <v>64.900000000000006</v>
      </c>
      <c r="AR6" s="587">
        <f>IF(INDEX([1]Temps!$D$43:$AH$66,AR$3,DAY($B6))="",NA(),INDEX([1]Temps!$D$43:$AH$66,AR$3,DAY($B6)))</f>
        <v>66.900000000000006</v>
      </c>
      <c r="AS6" s="587">
        <f>IF(INDEX([1]Temps!$D$43:$AH$66,AS$3,DAY($B6))="",NA(),INDEX([1]Temps!$D$43:$AH$66,AS$3,DAY($B6)))</f>
        <v>64.900000000000006</v>
      </c>
      <c r="AT6" s="587">
        <f>IF(INDEX([1]Temps!$D$43:$AH$66,AT$3,DAY($B6))="",NA(),INDEX([1]Temps!$D$43:$AH$66,AT$3,DAY($B6)))</f>
        <v>62.1</v>
      </c>
      <c r="AU6" s="587">
        <f>IF(INDEX([1]Temps!$D$43:$AH$66,AU$3,DAY($B6))="",NA(),INDEX([1]Temps!$D$43:$AH$66,AU$3,DAY($B6)))</f>
        <v>59</v>
      </c>
      <c r="AV6" s="587">
        <f>IF(INDEX([1]Temps!$D$43:$AH$66,AV$3,DAY($B6))="",NA(),INDEX([1]Temps!$D$43:$AH$66,AV$3,DAY($B6)))</f>
        <v>57</v>
      </c>
      <c r="AW6" s="587">
        <f>IF(INDEX([1]Temps!$D$43:$AH$66,AW$3,DAY($B6))="",NA(),INDEX([1]Temps!$D$43:$AH$66,AW$3,DAY($B6)))</f>
        <v>53.1</v>
      </c>
      <c r="AX6" s="587">
        <f>IF(INDEX([1]Temps!$D$43:$AH$66,AX$3,DAY($B6))="",NA(),INDEX([1]Temps!$D$43:$AH$66,AX$3,DAY($B6)))</f>
        <v>51.1</v>
      </c>
      <c r="AY6" s="587">
        <f>IF(INDEX([1]Temps!$D$43:$AH$66,AY$3,DAY($B6))="",NA(),INDEX([1]Temps!$D$43:$AH$66,AY$3,DAY($B6)))</f>
        <v>50</v>
      </c>
      <c r="AZ6" s="587">
        <f>IF(INDEX([1]Temps!$D$43:$AH$66,AZ$3,DAY($B6))="",NA(),INDEX([1]Temps!$D$43:$AH$66,AZ$3,DAY($B6)))</f>
        <v>55.9</v>
      </c>
      <c r="BB6" s="583">
        <f t="shared" si="7"/>
        <v>41946</v>
      </c>
      <c r="BC6" s="587">
        <f>'[1]Hourly Load'!B6</f>
        <v>2355</v>
      </c>
      <c r="BD6" s="587">
        <f>'[1]Hourly Load'!C6</f>
        <v>2397</v>
      </c>
      <c r="BE6" s="587">
        <f>'[1]Hourly Load'!D6</f>
        <v>2349</v>
      </c>
      <c r="BF6" s="587">
        <f>'[1]Hourly Load'!E6</f>
        <v>2356</v>
      </c>
      <c r="BG6" s="587">
        <f>'[1]Hourly Load'!F6</f>
        <v>2378</v>
      </c>
      <c r="BH6" s="587">
        <f>'[1]Hourly Load'!G6</f>
        <v>2521</v>
      </c>
      <c r="BI6" s="587">
        <f>'[1]Hourly Load'!H6</f>
        <v>2797</v>
      </c>
      <c r="BJ6" s="587">
        <f>'[1]Hourly Load'!I6</f>
        <v>2944</v>
      </c>
      <c r="BK6" s="587">
        <f>'[1]Hourly Load'!J6</f>
        <v>2922</v>
      </c>
      <c r="BL6" s="587">
        <f>'[1]Hourly Load'!K6</f>
        <v>2817</v>
      </c>
      <c r="BM6" s="587">
        <f>'[1]Hourly Load'!L6</f>
        <v>2751</v>
      </c>
      <c r="BN6" s="587">
        <f>'[1]Hourly Load'!M6</f>
        <v>2629</v>
      </c>
      <c r="BO6" s="587">
        <f>'[1]Hourly Load'!N6</f>
        <v>2598</v>
      </c>
      <c r="BP6" s="587">
        <f>'[1]Hourly Load'!O6</f>
        <v>2560</v>
      </c>
      <c r="BQ6" s="587">
        <f>'[1]Hourly Load'!P6</f>
        <v>2463</v>
      </c>
      <c r="BR6" s="587">
        <f>'[1]Hourly Load'!Q6</f>
        <v>2418</v>
      </c>
      <c r="BS6" s="587">
        <f>'[1]Hourly Load'!R6</f>
        <v>2434</v>
      </c>
      <c r="BT6" s="587">
        <f>'[1]Hourly Load'!S6</f>
        <v>2496</v>
      </c>
      <c r="BU6" s="587">
        <f>'[1]Hourly Load'!T6</f>
        <v>2603</v>
      </c>
      <c r="BV6" s="587">
        <f>'[1]Hourly Load'!U6</f>
        <v>2618</v>
      </c>
      <c r="BW6" s="587">
        <f>'[1]Hourly Load'!V6</f>
        <v>2604</v>
      </c>
      <c r="BX6" s="587">
        <f>'[1]Hourly Load'!W6</f>
        <v>2522</v>
      </c>
      <c r="BY6" s="587">
        <f>'[1]Hourly Load'!X6</f>
        <v>2390</v>
      </c>
      <c r="BZ6" s="587">
        <f>'[1]Hourly Load'!Y6</f>
        <v>2303</v>
      </c>
      <c r="CA6" s="584"/>
      <c r="CB6" s="583">
        <f t="shared" si="8"/>
        <v>41946</v>
      </c>
      <c r="CC6" s="587">
        <f>'[1]Hourly Load'!AA6</f>
        <v>1097.0511474609375</v>
      </c>
      <c r="CD6" s="587">
        <f>'[1]Hourly Load'!AB6</f>
        <v>1073.7369384765625</v>
      </c>
      <c r="CE6" s="587">
        <f>'[1]Hourly Load'!AC6</f>
        <v>1069.5469970703125</v>
      </c>
      <c r="CF6" s="587">
        <f>'[1]Hourly Load'!AD6</f>
        <v>1063.151123046875</v>
      </c>
      <c r="CG6" s="587">
        <f>'[1]Hourly Load'!AE6</f>
        <v>1091.6429443359375</v>
      </c>
      <c r="CH6" s="587">
        <f>'[1]Hourly Load'!AF6</f>
        <v>1165.6114501953125</v>
      </c>
      <c r="CI6" s="587">
        <f>'[1]Hourly Load'!AG6</f>
        <v>1265.550048828125</v>
      </c>
      <c r="CJ6" s="587">
        <f>'[1]Hourly Load'!AH6</f>
        <v>1331.15087890625</v>
      </c>
      <c r="CK6" s="587">
        <f>'[1]Hourly Load'!AI6</f>
        <v>1361.3360595703125</v>
      </c>
      <c r="CL6" s="587">
        <f>'[1]Hourly Load'!AJ6</f>
        <v>1360.6519775390625</v>
      </c>
      <c r="CM6" s="587">
        <f>'[1]Hourly Load'!AK6</f>
        <v>1365.0550537109375</v>
      </c>
      <c r="CN6" s="587">
        <f>'[1]Hourly Load'!AL6</f>
        <v>1346.1600341796875</v>
      </c>
      <c r="CO6" s="587">
        <f>'[1]Hourly Load'!AM6</f>
        <v>1342.3570556640625</v>
      </c>
      <c r="CP6" s="587">
        <f>'[1]Hourly Load'!AN6</f>
        <v>1335.448974609375</v>
      </c>
      <c r="CQ6" s="587">
        <f>'[1]Hourly Load'!AO6</f>
        <v>1319.1600341796875</v>
      </c>
      <c r="CR6" s="587">
        <f>'[1]Hourly Load'!AP6</f>
        <v>1284.162109375</v>
      </c>
      <c r="CS6" s="587">
        <f>'[1]Hourly Load'!AQ6</f>
        <v>1274.6600341796875</v>
      </c>
      <c r="CT6" s="587">
        <f>'[1]Hourly Load'!AR6</f>
        <v>1296.6611328125</v>
      </c>
      <c r="CU6" s="587">
        <f>'[1]Hourly Load'!AS6</f>
        <v>1376.156982421875</v>
      </c>
      <c r="CV6" s="587">
        <f>'[1]Hourly Load'!AT6</f>
        <v>1366.14599609375</v>
      </c>
      <c r="CW6" s="587">
        <f>'[1]Hourly Load'!AU6</f>
        <v>1322.4591064453125</v>
      </c>
      <c r="CX6" s="587">
        <f>'[1]Hourly Load'!AV6</f>
        <v>1264.4588623046875</v>
      </c>
      <c r="CY6" s="587">
        <f>'[1]Hourly Load'!AW6</f>
        <v>1206.6590576171875</v>
      </c>
      <c r="CZ6" s="587">
        <f>'[1]Hourly Load'!AX6</f>
        <v>1135.3590087890625</v>
      </c>
    </row>
    <row r="7" spans="1:104">
      <c r="A7" s="582">
        <v>4</v>
      </c>
      <c r="B7" s="583">
        <f>'Input Data'!A7</f>
        <v>41947</v>
      </c>
      <c r="C7" s="609">
        <f>IF(INDEX([1]Temps!$D$7:$AH$30,C$3,DAY($B7))="",NA(),INDEX([1]Temps!$D$7:$AH$30,C$3,DAY($B7)))</f>
        <v>52</v>
      </c>
      <c r="D7" s="609">
        <f>IF(INDEX([1]Temps!$D$7:$AH$30,D$3,DAY($B7))="",NA(),INDEX([1]Temps!$D$7:$AH$30,D$3,DAY($B7)))</f>
        <v>51.1</v>
      </c>
      <c r="E7" s="609">
        <f>IF(INDEX([1]Temps!$D$7:$AH$30,E$3,DAY($B7))="",NA(),INDEX([1]Temps!$D$7:$AH$30,E$3,DAY($B7)))</f>
        <v>51.1</v>
      </c>
      <c r="F7" s="609">
        <f>IF(INDEX([1]Temps!$D$7:$AH$30,F$3,DAY($B7))="",NA(),INDEX([1]Temps!$D$7:$AH$30,F$3,DAY($B7)))</f>
        <v>52</v>
      </c>
      <c r="G7" s="609">
        <f>IF(INDEX([1]Temps!$D$7:$AH$30,G$3,DAY($B7))="",NA(),INDEX([1]Temps!$D$7:$AH$30,G$3,DAY($B7)))</f>
        <v>50</v>
      </c>
      <c r="H7" s="609">
        <f>IF(INDEX([1]Temps!$D$7:$AH$30,H$3,DAY($B7))="",NA(),INDEX([1]Temps!$D$7:$AH$30,H$3,DAY($B7)))</f>
        <v>51.1</v>
      </c>
      <c r="I7" s="609">
        <f>IF(INDEX([1]Temps!$D$7:$AH$30,I$3,DAY($B7))="",NA(),INDEX([1]Temps!$D$7:$AH$30,I$3,DAY($B7)))</f>
        <v>50</v>
      </c>
      <c r="J7" s="609">
        <f>IF(INDEX([1]Temps!$D$7:$AH$30,J$3,DAY($B7))="",NA(),INDEX([1]Temps!$D$7:$AH$30,J$3,DAY($B7)))</f>
        <v>53.1</v>
      </c>
      <c r="K7" s="609">
        <f>IF(INDEX([1]Temps!$D$7:$AH$30,K$3,DAY($B7))="",NA(),INDEX([1]Temps!$D$7:$AH$30,K$3,DAY($B7)))</f>
        <v>55.9</v>
      </c>
      <c r="L7" s="609">
        <f>IF(INDEX([1]Temps!$D$7:$AH$30,L$3,DAY($B7))="",NA(),INDEX([1]Temps!$D$7:$AH$30,L$3,DAY($B7)))</f>
        <v>57.9</v>
      </c>
      <c r="M7" s="609">
        <f>IF(INDEX([1]Temps!$D$7:$AH$30,M$3,DAY($B7))="",NA(),INDEX([1]Temps!$D$7:$AH$30,M$3,DAY($B7)))</f>
        <v>62.1</v>
      </c>
      <c r="N7" s="609">
        <f>IF(INDEX([1]Temps!$D$7:$AH$30,N$3,DAY($B7))="",NA(),INDEX([1]Temps!$D$7:$AH$30,N$3,DAY($B7)))</f>
        <v>61</v>
      </c>
      <c r="O7" s="609">
        <f>IF(INDEX([1]Temps!$D$7:$AH$30,O$3,DAY($B7))="",NA(),INDEX([1]Temps!$D$7:$AH$30,O$3,DAY($B7)))</f>
        <v>64</v>
      </c>
      <c r="P7" s="609">
        <f>IF(INDEX([1]Temps!$D$7:$AH$30,P$3,DAY($B7))="",NA(),INDEX([1]Temps!$D$7:$AH$30,P$3,DAY($B7)))</f>
        <v>64</v>
      </c>
      <c r="Q7" s="609">
        <f>IF(INDEX([1]Temps!$D$7:$AH$30,Q$3,DAY($B7))="",NA(),INDEX([1]Temps!$D$7:$AH$30,Q$3,DAY($B7)))</f>
        <v>64.900000000000006</v>
      </c>
      <c r="R7" s="609">
        <f>IF(INDEX([1]Temps!$D$7:$AH$30,R$3,DAY($B7))="",NA(),INDEX([1]Temps!$D$7:$AH$30,R$3,DAY($B7)))</f>
        <v>63</v>
      </c>
      <c r="S7" s="609">
        <f>IF(INDEX([1]Temps!$D$7:$AH$30,S$3,DAY($B7))="",NA(),INDEX([1]Temps!$D$7:$AH$30,S$3,DAY($B7)))</f>
        <v>62.1</v>
      </c>
      <c r="T7" s="609">
        <f>IF(INDEX([1]Temps!$D$7:$AH$30,T$3,DAY($B7))="",NA(),INDEX([1]Temps!$D$7:$AH$30,T$3,DAY($B7)))</f>
        <v>60.1</v>
      </c>
      <c r="U7" s="609">
        <f>IF(INDEX([1]Temps!$D$7:$AH$30,U$3,DAY($B7))="",NA(),INDEX([1]Temps!$D$7:$AH$30,U$3,DAY($B7)))</f>
        <v>57.9</v>
      </c>
      <c r="V7" s="609">
        <f>IF(INDEX([1]Temps!$D$7:$AH$30,V$3,DAY($B7))="",NA(),INDEX([1]Temps!$D$7:$AH$30,V$3,DAY($B7)))</f>
        <v>57</v>
      </c>
      <c r="W7" s="609">
        <f>IF(INDEX([1]Temps!$D$7:$AH$30,W$3,DAY($B7))="",NA(),INDEX([1]Temps!$D$7:$AH$30,W$3,DAY($B7)))</f>
        <v>57</v>
      </c>
      <c r="X7" s="609">
        <f>IF(INDEX([1]Temps!$D$7:$AH$30,X$3,DAY($B7))="",NA(),INDEX([1]Temps!$D$7:$AH$30,X$3,DAY($B7)))</f>
        <v>57</v>
      </c>
      <c r="Y7" s="609">
        <f>IF(INDEX([1]Temps!$D$7:$AH$30,Y$3,DAY($B7))="",NA(),INDEX([1]Temps!$D$7:$AH$30,Y$3,DAY($B7)))</f>
        <v>55</v>
      </c>
      <c r="Z7" s="609">
        <f>IF(INDEX([1]Temps!$D$7:$AH$30,Z$3,DAY($B7))="",NA(),INDEX([1]Temps!$D$7:$AH$30,Z$3,DAY($B7)))</f>
        <v>54</v>
      </c>
      <c r="AA7" s="584"/>
      <c r="AB7" s="583">
        <f t="shared" si="6"/>
        <v>41947</v>
      </c>
      <c r="AC7" s="587">
        <f>IF(INDEX([1]Temps!$D$43:$AH$66,AC$3,DAY($B7))="",NA(),INDEX([1]Temps!$D$43:$AH$66,AC$3,DAY($B7)))</f>
        <v>57</v>
      </c>
      <c r="AD7" s="587">
        <f>IF(INDEX([1]Temps!$D$43:$AH$66,AD$3,DAY($B7))="",NA(),INDEX([1]Temps!$D$43:$AH$66,AD$3,DAY($B7)))</f>
        <v>55</v>
      </c>
      <c r="AE7" s="587">
        <f>IF(INDEX([1]Temps!$D$43:$AH$66,AE$3,DAY($B7))="",NA(),INDEX([1]Temps!$D$43:$AH$66,AE$3,DAY($B7)))</f>
        <v>53.1</v>
      </c>
      <c r="AF7" s="587">
        <f>IF(INDEX([1]Temps!$D$43:$AH$66,AF$3,DAY($B7))="",NA(),INDEX([1]Temps!$D$43:$AH$66,AF$3,DAY($B7)))</f>
        <v>53.1</v>
      </c>
      <c r="AG7" s="587">
        <f>IF(INDEX([1]Temps!$D$43:$AH$66,AG$3,DAY($B7))="",NA(),INDEX([1]Temps!$D$43:$AH$66,AG$3,DAY($B7)))</f>
        <v>52</v>
      </c>
      <c r="AH7" s="587">
        <f>IF(INDEX([1]Temps!$D$43:$AH$66,AH$3,DAY($B7))="",NA(),INDEX([1]Temps!$D$43:$AH$66,AH$3,DAY($B7)))</f>
        <v>52</v>
      </c>
      <c r="AI7" s="587">
        <f>IF(INDEX([1]Temps!$D$43:$AH$66,AI$3,DAY($B7))="",NA(),INDEX([1]Temps!$D$43:$AH$66,AI$3,DAY($B7)))</f>
        <v>52</v>
      </c>
      <c r="AJ7" s="587">
        <f>IF(INDEX([1]Temps!$D$43:$AH$66,AJ$3,DAY($B7))="",NA(),INDEX([1]Temps!$D$43:$AH$66,AJ$3,DAY($B7)))</f>
        <v>50</v>
      </c>
      <c r="AK7" s="587">
        <f>IF(INDEX([1]Temps!$D$43:$AH$66,AK$3,DAY($B7))="",NA(),INDEX([1]Temps!$D$43:$AH$66,AK$3,DAY($B7)))</f>
        <v>54</v>
      </c>
      <c r="AL7" s="587">
        <f>IF(INDEX([1]Temps!$D$43:$AH$66,AL$3,DAY($B7))="",NA(),INDEX([1]Temps!$D$43:$AH$66,AL$3,DAY($B7)))</f>
        <v>57.9</v>
      </c>
      <c r="AM7" s="587">
        <f>IF(INDEX([1]Temps!$D$43:$AH$66,AM$3,DAY($B7))="",NA(),INDEX([1]Temps!$D$43:$AH$66,AM$3,DAY($B7)))</f>
        <v>61</v>
      </c>
      <c r="AN7" s="587">
        <f>IF(INDEX([1]Temps!$D$43:$AH$66,AN$3,DAY($B7))="",NA(),INDEX([1]Temps!$D$43:$AH$66,AN$3,DAY($B7)))</f>
        <v>62.1</v>
      </c>
      <c r="AO7" s="587">
        <f>IF(INDEX([1]Temps!$D$43:$AH$66,AO$3,DAY($B7))="",NA(),INDEX([1]Temps!$D$43:$AH$66,AO$3,DAY($B7)))</f>
        <v>64</v>
      </c>
      <c r="AP7" s="587">
        <f>IF(INDEX([1]Temps!$D$43:$AH$66,AP$3,DAY($B7))="",NA(),INDEX([1]Temps!$D$43:$AH$66,AP$3,DAY($B7)))</f>
        <v>64</v>
      </c>
      <c r="AQ7" s="587">
        <f>IF(INDEX([1]Temps!$D$43:$AH$66,AQ$3,DAY($B7))="",NA(),INDEX([1]Temps!$D$43:$AH$66,AQ$3,DAY($B7)))</f>
        <v>63</v>
      </c>
      <c r="AR7" s="587">
        <f>IF(INDEX([1]Temps!$D$43:$AH$66,AR$3,DAY($B7))="",NA(),INDEX([1]Temps!$D$43:$AH$66,AR$3,DAY($B7)))</f>
        <v>63</v>
      </c>
      <c r="AS7" s="587">
        <f>IF(INDEX([1]Temps!$D$43:$AH$66,AS$3,DAY($B7))="",NA(),INDEX([1]Temps!$D$43:$AH$66,AS$3,DAY($B7)))</f>
        <v>62.1</v>
      </c>
      <c r="AT7" s="587">
        <f>IF(INDEX([1]Temps!$D$43:$AH$66,AT$3,DAY($B7))="",NA(),INDEX([1]Temps!$D$43:$AH$66,AT$3,DAY($B7)))</f>
        <v>61</v>
      </c>
      <c r="AU7" s="587">
        <f>IF(INDEX([1]Temps!$D$43:$AH$66,AU$3,DAY($B7))="",NA(),INDEX([1]Temps!$D$43:$AH$66,AU$3,DAY($B7)))</f>
        <v>57</v>
      </c>
      <c r="AV7" s="587">
        <f>IF(INDEX([1]Temps!$D$43:$AH$66,AV$3,DAY($B7))="",NA(),INDEX([1]Temps!$D$43:$AH$66,AV$3,DAY($B7)))</f>
        <v>57</v>
      </c>
      <c r="AW7" s="587">
        <f>IF(INDEX([1]Temps!$D$43:$AH$66,AW$3,DAY($B7))="",NA(),INDEX([1]Temps!$D$43:$AH$66,AW$3,DAY($B7)))</f>
        <v>55.9</v>
      </c>
      <c r="AX7" s="587">
        <f>IF(INDEX([1]Temps!$D$43:$AH$66,AX$3,DAY($B7))="",NA(),INDEX([1]Temps!$D$43:$AH$66,AX$3,DAY($B7)))</f>
        <v>55.9</v>
      </c>
      <c r="AY7" s="587">
        <f>IF(INDEX([1]Temps!$D$43:$AH$66,AY$3,DAY($B7))="",NA(),INDEX([1]Temps!$D$43:$AH$66,AY$3,DAY($B7)))</f>
        <v>55.9</v>
      </c>
      <c r="AZ7" s="587">
        <f>IF(INDEX([1]Temps!$D$43:$AH$66,AZ$3,DAY($B7))="",NA(),INDEX([1]Temps!$D$43:$AH$66,AZ$3,DAY($B7)))</f>
        <v>55.9</v>
      </c>
      <c r="BB7" s="583">
        <f t="shared" si="7"/>
        <v>41947</v>
      </c>
      <c r="BC7" s="587">
        <f>'[1]Hourly Load'!B7</f>
        <v>2226</v>
      </c>
      <c r="BD7" s="587">
        <f>'[1]Hourly Load'!C7</f>
        <v>2135</v>
      </c>
      <c r="BE7" s="587">
        <f>'[1]Hourly Load'!D7</f>
        <v>2116</v>
      </c>
      <c r="BF7" s="587">
        <f>'[1]Hourly Load'!E7</f>
        <v>2132</v>
      </c>
      <c r="BG7" s="587">
        <f>'[1]Hourly Load'!F7</f>
        <v>2162</v>
      </c>
      <c r="BH7" s="587">
        <f>'[1]Hourly Load'!G7</f>
        <v>2292</v>
      </c>
      <c r="BI7" s="587">
        <f>'[1]Hourly Load'!H7</f>
        <v>2486</v>
      </c>
      <c r="BJ7" s="587">
        <f>'[1]Hourly Load'!I7</f>
        <v>2660</v>
      </c>
      <c r="BK7" s="587">
        <f>'[1]Hourly Load'!J7</f>
        <v>2640</v>
      </c>
      <c r="BL7" s="587">
        <f>'[1]Hourly Load'!K7</f>
        <v>2657</v>
      </c>
      <c r="BM7" s="587">
        <f>'[1]Hourly Load'!L7</f>
        <v>2599</v>
      </c>
      <c r="BN7" s="587">
        <f>'[1]Hourly Load'!M7</f>
        <v>2563</v>
      </c>
      <c r="BO7" s="587">
        <f>'[1]Hourly Load'!N7</f>
        <v>2544</v>
      </c>
      <c r="BP7" s="587">
        <f>'[1]Hourly Load'!O7</f>
        <v>2479</v>
      </c>
      <c r="BQ7" s="587">
        <f>'[1]Hourly Load'!P7</f>
        <v>2452</v>
      </c>
      <c r="BR7" s="587">
        <f>'[1]Hourly Load'!Q7</f>
        <v>2385</v>
      </c>
      <c r="BS7" s="587">
        <f>'[1]Hourly Load'!R7</f>
        <v>2383</v>
      </c>
      <c r="BT7" s="587">
        <f>'[1]Hourly Load'!S7</f>
        <v>2499</v>
      </c>
      <c r="BU7" s="587">
        <f>'[1]Hourly Load'!T7</f>
        <v>2566</v>
      </c>
      <c r="BV7" s="587">
        <f>'[1]Hourly Load'!U7</f>
        <v>2578</v>
      </c>
      <c r="BW7" s="587">
        <f>'[1]Hourly Load'!V7</f>
        <v>2523</v>
      </c>
      <c r="BX7" s="587">
        <f>'[1]Hourly Load'!W7</f>
        <v>2432</v>
      </c>
      <c r="BY7" s="587">
        <f>'[1]Hourly Load'!X7</f>
        <v>2323</v>
      </c>
      <c r="BZ7" s="587">
        <f>'[1]Hourly Load'!Y7</f>
        <v>2174</v>
      </c>
      <c r="CA7" s="584"/>
      <c r="CB7" s="583">
        <f t="shared" si="8"/>
        <v>41947</v>
      </c>
      <c r="CC7" s="587">
        <f>'[1]Hourly Load'!AA7</f>
        <v>1096.843017578125</v>
      </c>
      <c r="CD7" s="587">
        <f>'[1]Hourly Load'!AB7</f>
        <v>1069.85693359375</v>
      </c>
      <c r="CE7" s="587">
        <f>'[1]Hourly Load'!AC7</f>
        <v>1054.5589599609375</v>
      </c>
      <c r="CF7" s="587">
        <f>'[1]Hourly Load'!AD7</f>
        <v>1053.6290283203125</v>
      </c>
      <c r="CG7" s="587">
        <f>'[1]Hourly Load'!AE7</f>
        <v>1047.0589599609375</v>
      </c>
      <c r="CH7" s="587">
        <f>'[1]Hourly Load'!AF7</f>
        <v>1096.347900390625</v>
      </c>
      <c r="CI7" s="587">
        <f>'[1]Hourly Load'!AG7</f>
        <v>1210.4520263671875</v>
      </c>
      <c r="CJ7" s="587">
        <f>'[1]Hourly Load'!AH7</f>
        <v>1248.5589599609375</v>
      </c>
      <c r="CK7" s="587">
        <f>'[1]Hourly Load'!AI7</f>
        <v>1268.4599609375</v>
      </c>
      <c r="CL7" s="587">
        <f>'[1]Hourly Load'!AJ7</f>
        <v>1293.06005859375</v>
      </c>
      <c r="CM7" s="587">
        <f>'[1]Hourly Load'!AK7</f>
        <v>1318.8609619140625</v>
      </c>
      <c r="CN7" s="587">
        <f>'[1]Hourly Load'!AL7</f>
        <v>1315.7449951171875</v>
      </c>
      <c r="CO7" s="587">
        <f>'[1]Hourly Load'!AM7</f>
        <v>1315.8599853515625</v>
      </c>
      <c r="CP7" s="587">
        <f>'[1]Hourly Load'!AN7</f>
        <v>1308.660888671875</v>
      </c>
      <c r="CQ7" s="587">
        <f>'[1]Hourly Load'!AO7</f>
        <v>1302.16015625</v>
      </c>
      <c r="CR7" s="587">
        <f>'[1]Hourly Load'!AP7</f>
        <v>1285.6611328125</v>
      </c>
      <c r="CS7" s="587">
        <f>'[1]Hourly Load'!AQ7</f>
        <v>1293.56103515625</v>
      </c>
      <c r="CT7" s="587">
        <f>'[1]Hourly Load'!AR7</f>
        <v>1308.66015625</v>
      </c>
      <c r="CU7" s="587">
        <f>'[1]Hourly Load'!AS7</f>
        <v>1350.3809814453125</v>
      </c>
      <c r="CV7" s="587">
        <f>'[1]Hourly Load'!AT7</f>
        <v>1329.7591552734375</v>
      </c>
      <c r="CW7" s="587">
        <f>'[1]Hourly Load'!AU7</f>
        <v>1297.6600341796875</v>
      </c>
      <c r="CX7" s="587">
        <f>'[1]Hourly Load'!AV7</f>
        <v>1249.860107421875</v>
      </c>
      <c r="CY7" s="587">
        <f>'[1]Hourly Load'!AW7</f>
        <v>1182.5589599609375</v>
      </c>
      <c r="CZ7" s="587">
        <f>'[1]Hourly Load'!AX7</f>
        <v>1108.1600341796875</v>
      </c>
    </row>
    <row r="8" spans="1:104">
      <c r="A8" s="582">
        <v>5</v>
      </c>
      <c r="B8" s="583">
        <f>'Input Data'!A8</f>
        <v>41948</v>
      </c>
      <c r="C8" s="609">
        <f>IF(INDEX([1]Temps!$D$7:$AH$30,C$3,DAY($B8))="",NA(),INDEX([1]Temps!$D$7:$AH$30,C$3,DAY($B8)))</f>
        <v>54</v>
      </c>
      <c r="D8" s="609">
        <f>IF(INDEX([1]Temps!$D$7:$AH$30,D$3,DAY($B8))="",NA(),INDEX([1]Temps!$D$7:$AH$30,D$3,DAY($B8)))</f>
        <v>53.1</v>
      </c>
      <c r="E8" s="609">
        <f>IF(INDEX([1]Temps!$D$7:$AH$30,E$3,DAY($B8))="",NA(),INDEX([1]Temps!$D$7:$AH$30,E$3,DAY($B8)))</f>
        <v>53.1</v>
      </c>
      <c r="F8" s="609">
        <f>IF(INDEX([1]Temps!$D$7:$AH$30,F$3,DAY($B8))="",NA(),INDEX([1]Temps!$D$7:$AH$30,F$3,DAY($B8)))</f>
        <v>53.1</v>
      </c>
      <c r="G8" s="609">
        <f>IF(INDEX([1]Temps!$D$7:$AH$30,G$3,DAY($B8))="",NA(),INDEX([1]Temps!$D$7:$AH$30,G$3,DAY($B8)))</f>
        <v>53.1</v>
      </c>
      <c r="H8" s="609">
        <f>IF(INDEX([1]Temps!$D$7:$AH$30,H$3,DAY($B8))="",NA(),INDEX([1]Temps!$D$7:$AH$30,H$3,DAY($B8)))</f>
        <v>53.225000000000001</v>
      </c>
      <c r="I8" s="609">
        <f>IF(INDEX([1]Temps!$D$7:$AH$30,I$3,DAY($B8))="",NA(),INDEX([1]Temps!$D$7:$AH$30,I$3,DAY($B8)))</f>
        <v>53.1</v>
      </c>
      <c r="J8" s="609">
        <f>IF(INDEX([1]Temps!$D$7:$AH$30,J$3,DAY($B8))="",NA(),INDEX([1]Temps!$D$7:$AH$30,J$3,DAY($B8)))</f>
        <v>53.2</v>
      </c>
      <c r="K8" s="609">
        <f>IF(INDEX([1]Temps!$D$7:$AH$30,K$3,DAY($B8))="",NA(),INDEX([1]Temps!$D$7:$AH$30,K$3,DAY($B8)))</f>
        <v>53.1</v>
      </c>
      <c r="L8" s="609">
        <f>IF(INDEX([1]Temps!$D$7:$AH$30,L$3,DAY($B8))="",NA(),INDEX([1]Temps!$D$7:$AH$30,L$3,DAY($B8)))</f>
        <v>53.266666666666673</v>
      </c>
      <c r="M8" s="609">
        <f>IF(INDEX([1]Temps!$D$7:$AH$30,M$3,DAY($B8))="",NA(),INDEX([1]Temps!$D$7:$AH$30,M$3,DAY($B8)))</f>
        <v>53.1</v>
      </c>
      <c r="N8" s="609">
        <f>IF(INDEX([1]Temps!$D$7:$AH$30,N$3,DAY($B8))="",NA(),INDEX([1]Temps!$D$7:$AH$30,N$3,DAY($B8)))</f>
        <v>53.1</v>
      </c>
      <c r="O8" s="609">
        <f>IF(INDEX([1]Temps!$D$7:$AH$30,O$3,DAY($B8))="",NA(),INDEX([1]Temps!$D$7:$AH$30,O$3,DAY($B8)))</f>
        <v>53.1</v>
      </c>
      <c r="P8" s="609">
        <f>IF(INDEX([1]Temps!$D$7:$AH$30,P$3,DAY($B8))="",NA(),INDEX([1]Temps!$D$7:$AH$30,P$3,DAY($B8)))</f>
        <v>53.1</v>
      </c>
      <c r="Q8" s="609">
        <f>IF(INDEX([1]Temps!$D$7:$AH$30,Q$3,DAY($B8))="",NA(),INDEX([1]Temps!$D$7:$AH$30,Q$3,DAY($B8)))</f>
        <v>53.1</v>
      </c>
      <c r="R8" s="609">
        <f>IF(INDEX([1]Temps!$D$7:$AH$30,R$3,DAY($B8))="",NA(),INDEX([1]Temps!$D$7:$AH$30,R$3,DAY($B8)))</f>
        <v>53.1</v>
      </c>
      <c r="S8" s="609">
        <f>IF(INDEX([1]Temps!$D$7:$AH$30,S$3,DAY($B8))="",NA(),INDEX([1]Temps!$D$7:$AH$30,S$3,DAY($B8)))</f>
        <v>53.1</v>
      </c>
      <c r="T8" s="609">
        <f>IF(INDEX([1]Temps!$D$7:$AH$30,T$3,DAY($B8))="",NA(),INDEX([1]Temps!$D$7:$AH$30,T$3,DAY($B8)))</f>
        <v>53.1</v>
      </c>
      <c r="U8" s="609">
        <f>IF(INDEX([1]Temps!$D$7:$AH$30,U$3,DAY($B8))="",NA(),INDEX([1]Temps!$D$7:$AH$30,U$3,DAY($B8)))</f>
        <v>53.1</v>
      </c>
      <c r="V8" s="609">
        <f>IF(INDEX([1]Temps!$D$7:$AH$30,V$3,DAY($B8))="",NA(),INDEX([1]Temps!$D$7:$AH$30,V$3,DAY($B8)))</f>
        <v>52</v>
      </c>
      <c r="W8" s="609">
        <f>IF(INDEX([1]Temps!$D$7:$AH$30,W$3,DAY($B8))="",NA(),INDEX([1]Temps!$D$7:$AH$30,W$3,DAY($B8)))</f>
        <v>52</v>
      </c>
      <c r="X8" s="609">
        <f>IF(INDEX([1]Temps!$D$7:$AH$30,X$3,DAY($B8))="",NA(),INDEX([1]Temps!$D$7:$AH$30,X$3,DAY($B8)))</f>
        <v>52</v>
      </c>
      <c r="Y8" s="609">
        <f>IF(INDEX([1]Temps!$D$7:$AH$30,Y$3,DAY($B8))="",NA(),INDEX([1]Temps!$D$7:$AH$30,Y$3,DAY($B8)))</f>
        <v>52</v>
      </c>
      <c r="Z8" s="609">
        <f>IF(INDEX([1]Temps!$D$7:$AH$30,Z$3,DAY($B8))="",NA(),INDEX([1]Temps!$D$7:$AH$30,Z$3,DAY($B8)))</f>
        <v>52</v>
      </c>
      <c r="AA8" s="584"/>
      <c r="AB8" s="583">
        <f t="shared" si="6"/>
        <v>41948</v>
      </c>
      <c r="AC8" s="587">
        <f>IF(INDEX([1]Temps!$D$43:$AH$66,AC$3,DAY($B8))="",NA(),INDEX([1]Temps!$D$43:$AH$66,AC$3,DAY($B8)))</f>
        <v>55</v>
      </c>
      <c r="AD8" s="587">
        <f>IF(INDEX([1]Temps!$D$43:$AH$66,AD$3,DAY($B8))="",NA(),INDEX([1]Temps!$D$43:$AH$66,AD$3,DAY($B8)))</f>
        <v>55</v>
      </c>
      <c r="AE8" s="587">
        <f>IF(INDEX([1]Temps!$D$43:$AH$66,AE$3,DAY($B8))="",NA(),INDEX([1]Temps!$D$43:$AH$66,AE$3,DAY($B8)))</f>
        <v>55</v>
      </c>
      <c r="AF8" s="587">
        <f>IF(INDEX([1]Temps!$D$43:$AH$66,AF$3,DAY($B8))="",NA(),INDEX([1]Temps!$D$43:$AH$66,AF$3,DAY($B8)))</f>
        <v>54</v>
      </c>
      <c r="AG8" s="587">
        <f>IF(INDEX([1]Temps!$D$43:$AH$66,AG$3,DAY($B8))="",NA(),INDEX([1]Temps!$D$43:$AH$66,AG$3,DAY($B8)))</f>
        <v>54</v>
      </c>
      <c r="AH8" s="587">
        <f>IF(INDEX([1]Temps!$D$43:$AH$66,AH$3,DAY($B8))="",NA(),INDEX([1]Temps!$D$43:$AH$66,AH$3,DAY($B8)))</f>
        <v>54</v>
      </c>
      <c r="AI8" s="587">
        <f>IF(INDEX([1]Temps!$D$43:$AH$66,AI$3,DAY($B8))="",NA(),INDEX([1]Temps!$D$43:$AH$66,AI$3,DAY($B8)))</f>
        <v>52.55</v>
      </c>
      <c r="AJ8" s="587">
        <f>IF(INDEX([1]Temps!$D$43:$AH$66,AJ$3,DAY($B8))="",NA(),INDEX([1]Temps!$D$43:$AH$66,AJ$3,DAY($B8)))</f>
        <v>52</v>
      </c>
      <c r="AK8" s="587">
        <f>IF(INDEX([1]Temps!$D$43:$AH$66,AK$3,DAY($B8))="",NA(),INDEX([1]Temps!$D$43:$AH$66,AK$3,DAY($B8)))</f>
        <v>52</v>
      </c>
      <c r="AL8" s="587">
        <f>IF(INDEX([1]Temps!$D$43:$AH$66,AL$3,DAY($B8))="",NA(),INDEX([1]Temps!$D$43:$AH$66,AL$3,DAY($B8)))</f>
        <v>53.1</v>
      </c>
      <c r="AM8" s="587">
        <f>IF(INDEX([1]Temps!$D$43:$AH$66,AM$3,DAY($B8))="",NA(),INDEX([1]Temps!$D$43:$AH$66,AM$3,DAY($B8)))</f>
        <v>55.2</v>
      </c>
      <c r="AN8" s="587">
        <f>IF(INDEX([1]Temps!$D$43:$AH$66,AN$3,DAY($B8))="",NA(),INDEX([1]Temps!$D$43:$AH$66,AN$3,DAY($B8)))</f>
        <v>55</v>
      </c>
      <c r="AO8" s="587">
        <f>IF(INDEX([1]Temps!$D$43:$AH$66,AO$3,DAY($B8))="",NA(),INDEX([1]Temps!$D$43:$AH$66,AO$3,DAY($B8)))</f>
        <v>55.9</v>
      </c>
      <c r="AP8" s="587">
        <f>IF(INDEX([1]Temps!$D$43:$AH$66,AP$3,DAY($B8))="",NA(),INDEX([1]Temps!$D$43:$AH$66,AP$3,DAY($B8)))</f>
        <v>57</v>
      </c>
      <c r="AQ8" s="587">
        <f>IF(INDEX([1]Temps!$D$43:$AH$66,AQ$3,DAY($B8))="",NA(),INDEX([1]Temps!$D$43:$AH$66,AQ$3,DAY($B8)))</f>
        <v>55.9</v>
      </c>
      <c r="AR8" s="587">
        <f>IF(INDEX([1]Temps!$D$43:$AH$66,AR$3,DAY($B8))="",NA(),INDEX([1]Temps!$D$43:$AH$66,AR$3,DAY($B8)))</f>
        <v>55.9</v>
      </c>
      <c r="AS8" s="587">
        <f>IF(INDEX([1]Temps!$D$43:$AH$66,AS$3,DAY($B8))="",NA(),INDEX([1]Temps!$D$43:$AH$66,AS$3,DAY($B8)))</f>
        <v>55.9</v>
      </c>
      <c r="AT8" s="587">
        <f>IF(INDEX([1]Temps!$D$43:$AH$66,AT$3,DAY($B8))="",NA(),INDEX([1]Temps!$D$43:$AH$66,AT$3,DAY($B8)))</f>
        <v>55.9</v>
      </c>
      <c r="AU8" s="587">
        <f>IF(INDEX([1]Temps!$D$43:$AH$66,AU$3,DAY($B8))="",NA(),INDEX([1]Temps!$D$43:$AH$66,AU$3,DAY($B8)))</f>
        <v>55.133333333333333</v>
      </c>
      <c r="AV8" s="587">
        <f>IF(INDEX([1]Temps!$D$43:$AH$66,AV$3,DAY($B8))="",NA(),INDEX([1]Temps!$D$43:$AH$66,AV$3,DAY($B8)))</f>
        <v>54</v>
      </c>
      <c r="AW8" s="587">
        <f>IF(INDEX([1]Temps!$D$43:$AH$66,AW$3,DAY($B8))="",NA(),INDEX([1]Temps!$D$43:$AH$66,AW$3,DAY($B8)))</f>
        <v>54.25</v>
      </c>
      <c r="AX8" s="587">
        <f>IF(INDEX([1]Temps!$D$43:$AH$66,AX$3,DAY($B8))="",NA(),INDEX([1]Temps!$D$43:$AH$66,AX$3,DAY($B8)))</f>
        <v>55</v>
      </c>
      <c r="AY8" s="587">
        <f>IF(INDEX([1]Temps!$D$43:$AH$66,AY$3,DAY($B8))="",NA(),INDEX([1]Temps!$D$43:$AH$66,AY$3,DAY($B8)))</f>
        <v>54</v>
      </c>
      <c r="AZ8" s="587">
        <f>IF(INDEX([1]Temps!$D$43:$AH$66,AZ$3,DAY($B8))="",NA(),INDEX([1]Temps!$D$43:$AH$66,AZ$3,DAY($B8)))</f>
        <v>54</v>
      </c>
      <c r="BB8" s="583">
        <f t="shared" si="7"/>
        <v>41948</v>
      </c>
      <c r="BC8" s="587">
        <f>'[1]Hourly Load'!B8</f>
        <v>2083</v>
      </c>
      <c r="BD8" s="587">
        <f>'[1]Hourly Load'!C8</f>
        <v>1999</v>
      </c>
      <c r="BE8" s="587">
        <f>'[1]Hourly Load'!D8</f>
        <v>1953.9998779296875</v>
      </c>
      <c r="BF8" s="587">
        <f>'[1]Hourly Load'!E8</f>
        <v>1940.0001220703125</v>
      </c>
      <c r="BG8" s="587">
        <f>'[1]Hourly Load'!F8</f>
        <v>1951.9998779296875</v>
      </c>
      <c r="BH8" s="587">
        <f>'[1]Hourly Load'!G8</f>
        <v>2064</v>
      </c>
      <c r="BI8" s="587">
        <f>'[1]Hourly Load'!H8</f>
        <v>2337</v>
      </c>
      <c r="BJ8" s="587">
        <f>'[1]Hourly Load'!I8</f>
        <v>2499</v>
      </c>
      <c r="BK8" s="587">
        <f>'[1]Hourly Load'!J8</f>
        <v>2550</v>
      </c>
      <c r="BL8" s="587">
        <f>'[1]Hourly Load'!K8</f>
        <v>2559</v>
      </c>
      <c r="BM8" s="587">
        <f>'[1]Hourly Load'!L8</f>
        <v>2603</v>
      </c>
      <c r="BN8" s="587">
        <f>'[1]Hourly Load'!M8</f>
        <v>2608</v>
      </c>
      <c r="BO8" s="587">
        <f>'[1]Hourly Load'!N8</f>
        <v>2617</v>
      </c>
      <c r="BP8" s="587">
        <f>'[1]Hourly Load'!O8</f>
        <v>2586</v>
      </c>
      <c r="BQ8" s="587">
        <f>'[1]Hourly Load'!P8</f>
        <v>2571</v>
      </c>
      <c r="BR8" s="587">
        <f>'[1]Hourly Load'!Q8</f>
        <v>2571</v>
      </c>
      <c r="BS8" s="587">
        <f>'[1]Hourly Load'!R8</f>
        <v>2546</v>
      </c>
      <c r="BT8" s="587">
        <f>'[1]Hourly Load'!S8</f>
        <v>2668</v>
      </c>
      <c r="BU8" s="587">
        <f>'[1]Hourly Load'!T8</f>
        <v>2673</v>
      </c>
      <c r="BV8" s="587">
        <f>'[1]Hourly Load'!U8</f>
        <v>2637</v>
      </c>
      <c r="BW8" s="587">
        <f>'[1]Hourly Load'!V8</f>
        <v>2579</v>
      </c>
      <c r="BX8" s="587">
        <f>'[1]Hourly Load'!W8</f>
        <v>2466</v>
      </c>
      <c r="BY8" s="587">
        <f>'[1]Hourly Load'!X8</f>
        <v>2355</v>
      </c>
      <c r="BZ8" s="587">
        <f>'[1]Hourly Load'!Y8</f>
        <v>2170</v>
      </c>
      <c r="CA8" s="584"/>
      <c r="CB8" s="583">
        <f t="shared" si="8"/>
        <v>41948</v>
      </c>
      <c r="CC8" s="587">
        <f>'[1]Hourly Load'!AA8</f>
        <v>1077.8431396484375</v>
      </c>
      <c r="CD8" s="587">
        <f>'[1]Hourly Load'!AB8</f>
        <v>1053.0579833984375</v>
      </c>
      <c r="CE8" s="587">
        <f>'[1]Hourly Load'!AC8</f>
        <v>1041.3599853515625</v>
      </c>
      <c r="CF8" s="587">
        <f>'[1]Hourly Load'!AD8</f>
        <v>1030.4591064453125</v>
      </c>
      <c r="CG8" s="587">
        <f>'[1]Hourly Load'!AE8</f>
        <v>1021.7589721679687</v>
      </c>
      <c r="CH8" s="587">
        <f>'[1]Hourly Load'!AF8</f>
        <v>1060.5528564453125</v>
      </c>
      <c r="CI8" s="587">
        <f>'[1]Hourly Load'!AG8</f>
        <v>1216.6470947265625</v>
      </c>
      <c r="CJ8" s="587">
        <f>'[1]Hourly Load'!AH8</f>
        <v>1291.159912109375</v>
      </c>
      <c r="CK8" s="587">
        <f>'[1]Hourly Load'!AI8</f>
        <v>1300.759033203125</v>
      </c>
      <c r="CL8" s="587">
        <f>'[1]Hourly Load'!AJ8</f>
        <v>1319.5589599609375</v>
      </c>
      <c r="CM8" s="587">
        <f>'[1]Hourly Load'!AK8</f>
        <v>1346.2601318359375</v>
      </c>
      <c r="CN8" s="587">
        <f>'[1]Hourly Load'!AL8</f>
        <v>1353.8441162109375</v>
      </c>
      <c r="CO8" s="587">
        <f>'[1]Hourly Load'!AM8</f>
        <v>1345.6600341796875</v>
      </c>
      <c r="CP8" s="587">
        <f>'[1]Hourly Load'!AN8</f>
        <v>1348.66015625</v>
      </c>
      <c r="CQ8" s="587">
        <f>'[1]Hourly Load'!AO8</f>
        <v>1345.130615234375</v>
      </c>
      <c r="CR8" s="587">
        <f>'[1]Hourly Load'!AP8</f>
        <v>1334.66015625</v>
      </c>
      <c r="CS8" s="587">
        <f>'[1]Hourly Load'!AQ8</f>
        <v>1341.7598876953125</v>
      </c>
      <c r="CT8" s="587">
        <f>'[1]Hourly Load'!AR8</f>
        <v>1383.7430419921875</v>
      </c>
      <c r="CU8" s="587">
        <f>'[1]Hourly Load'!AS8</f>
        <v>1379.458984375</v>
      </c>
      <c r="CV8" s="587">
        <f>'[1]Hourly Load'!AT8</f>
        <v>1365.6600341796875</v>
      </c>
      <c r="CW8" s="587">
        <f>'[1]Hourly Load'!AU8</f>
        <v>1339.759033203125</v>
      </c>
      <c r="CX8" s="587">
        <f>'[1]Hourly Load'!AV8</f>
        <v>1282.1590576171875</v>
      </c>
      <c r="CY8" s="587">
        <f>'[1]Hourly Load'!AW8</f>
        <v>1213.7530517578125</v>
      </c>
      <c r="CZ8" s="587">
        <f>'[1]Hourly Load'!AX8</f>
        <v>1130.8489990234375</v>
      </c>
    </row>
    <row r="9" spans="1:104">
      <c r="A9" s="582">
        <v>6</v>
      </c>
      <c r="B9" s="583">
        <f>'Input Data'!A9</f>
        <v>41949</v>
      </c>
      <c r="C9" s="609">
        <f>IF(INDEX([1]Temps!$D$7:$AH$30,C$3,DAY($B9))="",NA(),INDEX([1]Temps!$D$7:$AH$30,C$3,DAY($B9)))</f>
        <v>51.933333333333337</v>
      </c>
      <c r="D9" s="609">
        <f>IF(INDEX([1]Temps!$D$7:$AH$30,D$3,DAY($B9))="",NA(),INDEX([1]Temps!$D$7:$AH$30,D$3,DAY($B9)))</f>
        <v>52.733333333333327</v>
      </c>
      <c r="E9" s="609">
        <f>IF(INDEX([1]Temps!$D$7:$AH$30,E$3,DAY($B9))="",NA(),INDEX([1]Temps!$D$7:$AH$30,E$3,DAY($B9)))</f>
        <v>53.1</v>
      </c>
      <c r="F9" s="609">
        <f>IF(INDEX([1]Temps!$D$7:$AH$30,F$3,DAY($B9))="",NA(),INDEX([1]Temps!$D$7:$AH$30,F$3,DAY($B9)))</f>
        <v>53.1</v>
      </c>
      <c r="G9" s="609">
        <f>IF(INDEX([1]Temps!$D$7:$AH$30,G$3,DAY($B9))="",NA(),INDEX([1]Temps!$D$7:$AH$30,G$3,DAY($B9)))</f>
        <v>51.933333333333337</v>
      </c>
      <c r="H9" s="609">
        <f>IF(INDEX([1]Temps!$D$7:$AH$30,H$3,DAY($B9))="",NA(),INDEX([1]Temps!$D$7:$AH$30,H$3,DAY($B9)))</f>
        <v>50.54999999999999</v>
      </c>
      <c r="I9" s="609">
        <f>IF(INDEX([1]Temps!$D$7:$AH$30,I$3,DAY($B9))="",NA(),INDEX([1]Temps!$D$7:$AH$30,I$3,DAY($B9)))</f>
        <v>48.9</v>
      </c>
      <c r="J9" s="609">
        <f>IF(INDEX([1]Temps!$D$7:$AH$30,J$3,DAY($B9))="",NA(),INDEX([1]Temps!$D$7:$AH$30,J$3,DAY($B9)))</f>
        <v>48.9</v>
      </c>
      <c r="K9" s="609">
        <f>IF(INDEX([1]Temps!$D$7:$AH$30,K$3,DAY($B9))="",NA(),INDEX([1]Temps!$D$7:$AH$30,K$3,DAY($B9)))</f>
        <v>50.55</v>
      </c>
      <c r="L9" s="609">
        <f>IF(INDEX([1]Temps!$D$7:$AH$30,L$3,DAY($B9))="",NA(),INDEX([1]Temps!$D$7:$AH$30,L$3,DAY($B9)))</f>
        <v>51.1</v>
      </c>
      <c r="M9" s="609">
        <f>IF(INDEX([1]Temps!$D$7:$AH$30,M$3,DAY($B9))="",NA(),INDEX([1]Temps!$D$7:$AH$30,M$3,DAY($B9)))</f>
        <v>50</v>
      </c>
      <c r="N9" s="609">
        <f>IF(INDEX([1]Temps!$D$7:$AH$30,N$3,DAY($B9))="",NA(),INDEX([1]Temps!$D$7:$AH$30,N$3,DAY($B9)))</f>
        <v>50</v>
      </c>
      <c r="O9" s="609">
        <f>IF(INDEX([1]Temps!$D$7:$AH$30,O$3,DAY($B9))="",NA(),INDEX([1]Temps!$D$7:$AH$30,O$3,DAY($B9)))</f>
        <v>48.55</v>
      </c>
      <c r="P9" s="609">
        <f>IF(INDEX([1]Temps!$D$7:$AH$30,P$3,DAY($B9))="",NA(),INDEX([1]Temps!$D$7:$AH$30,P$3,DAY($B9)))</f>
        <v>48.9</v>
      </c>
      <c r="Q9" s="609">
        <f>IF(INDEX([1]Temps!$D$7:$AH$30,Q$3,DAY($B9))="",NA(),INDEX([1]Temps!$D$7:$AH$30,Q$3,DAY($B9)))</f>
        <v>46</v>
      </c>
      <c r="R9" s="609">
        <f>IF(INDEX([1]Temps!$D$7:$AH$30,R$3,DAY($B9))="",NA(),INDEX([1]Temps!$D$7:$AH$30,R$3,DAY($B9)))</f>
        <v>46.424999999999997</v>
      </c>
      <c r="S9" s="609">
        <f>IF(INDEX([1]Temps!$D$7:$AH$30,S$3,DAY($B9))="",NA(),INDEX([1]Temps!$D$7:$AH$30,S$3,DAY($B9)))</f>
        <v>45</v>
      </c>
      <c r="T9" s="609">
        <f>IF(INDEX([1]Temps!$D$7:$AH$30,T$3,DAY($B9))="",NA(),INDEX([1]Temps!$D$7:$AH$30,T$3,DAY($B9)))</f>
        <v>44.1</v>
      </c>
      <c r="U9" s="609">
        <f>IF(INDEX([1]Temps!$D$7:$AH$30,U$3,DAY($B9))="",NA(),INDEX([1]Temps!$D$7:$AH$30,U$3,DAY($B9)))</f>
        <v>44.1</v>
      </c>
      <c r="V9" s="609">
        <f>IF(INDEX([1]Temps!$D$7:$AH$30,V$3,DAY($B9))="",NA(),INDEX([1]Temps!$D$7:$AH$30,V$3,DAY($B9)))</f>
        <v>43</v>
      </c>
      <c r="W9" s="609">
        <f>IF(INDEX([1]Temps!$D$7:$AH$30,W$3,DAY($B9))="",NA(),INDEX([1]Temps!$D$7:$AH$30,W$3,DAY($B9)))</f>
        <v>42.45</v>
      </c>
      <c r="X9" s="609">
        <f>IF(INDEX([1]Temps!$D$7:$AH$30,X$3,DAY($B9))="",NA(),INDEX([1]Temps!$D$7:$AH$30,X$3,DAY($B9)))</f>
        <v>42.1</v>
      </c>
      <c r="Y9" s="609">
        <f>IF(INDEX([1]Temps!$D$7:$AH$30,Y$3,DAY($B9))="",NA(),INDEX([1]Temps!$D$7:$AH$30,Y$3,DAY($B9)))</f>
        <v>41</v>
      </c>
      <c r="Z9" s="609">
        <f>IF(INDEX([1]Temps!$D$7:$AH$30,Z$3,DAY($B9))="",NA(),INDEX([1]Temps!$D$7:$AH$30,Z$3,DAY($B9)))</f>
        <v>41</v>
      </c>
      <c r="AA9" s="584"/>
      <c r="AB9" s="583">
        <f t="shared" si="6"/>
        <v>41949</v>
      </c>
      <c r="AC9" s="587">
        <f>IF(INDEX([1]Temps!$D$43:$AH$66,AC$3,DAY($B9))="",NA(),INDEX([1]Temps!$D$43:$AH$66,AC$3,DAY($B9)))</f>
        <v>54.666666666666664</v>
      </c>
      <c r="AD9" s="587">
        <f>IF(INDEX([1]Temps!$D$43:$AH$66,AD$3,DAY($B9))="",NA(),INDEX([1]Temps!$D$43:$AH$66,AD$3,DAY($B9)))</f>
        <v>54.666666666666664</v>
      </c>
      <c r="AE9" s="587">
        <f>IF(INDEX([1]Temps!$D$43:$AH$66,AE$3,DAY($B9))="",NA(),INDEX([1]Temps!$D$43:$AH$66,AE$3,DAY($B9)))</f>
        <v>54</v>
      </c>
      <c r="AF9" s="587">
        <f>IF(INDEX([1]Temps!$D$43:$AH$66,AF$3,DAY($B9))="",NA(),INDEX([1]Temps!$D$43:$AH$66,AF$3,DAY($B9)))</f>
        <v>52</v>
      </c>
      <c r="AG9" s="587">
        <f>IF(INDEX([1]Temps!$D$43:$AH$66,AG$3,DAY($B9))="",NA(),INDEX([1]Temps!$D$43:$AH$66,AG$3,DAY($B9)))</f>
        <v>51.55</v>
      </c>
      <c r="AH9" s="587">
        <f>IF(INDEX([1]Temps!$D$43:$AH$66,AH$3,DAY($B9))="",NA(),INDEX([1]Temps!$D$43:$AH$66,AH$3,DAY($B9)))</f>
        <v>51.1</v>
      </c>
      <c r="AI9" s="587">
        <f>IF(INDEX([1]Temps!$D$43:$AH$66,AI$3,DAY($B9))="",NA(),INDEX([1]Temps!$D$43:$AH$66,AI$3,DAY($B9)))</f>
        <v>50</v>
      </c>
      <c r="AJ9" s="587">
        <f>IF(INDEX([1]Temps!$D$43:$AH$66,AJ$3,DAY($B9))="",NA(),INDEX([1]Temps!$D$43:$AH$66,AJ$3,DAY($B9)))</f>
        <v>50</v>
      </c>
      <c r="AK9" s="587">
        <f>IF(INDEX([1]Temps!$D$43:$AH$66,AK$3,DAY($B9))="",NA(),INDEX([1]Temps!$D$43:$AH$66,AK$3,DAY($B9)))</f>
        <v>50</v>
      </c>
      <c r="AL9" s="587">
        <f>IF(INDEX([1]Temps!$D$43:$AH$66,AL$3,DAY($B9))="",NA(),INDEX([1]Temps!$D$43:$AH$66,AL$3,DAY($B9)))</f>
        <v>50.55</v>
      </c>
      <c r="AM9" s="587">
        <f>IF(INDEX([1]Temps!$D$43:$AH$66,AM$3,DAY($B9))="",NA(),INDEX([1]Temps!$D$43:$AH$66,AM$3,DAY($B9)))</f>
        <v>52</v>
      </c>
      <c r="AN9" s="587">
        <f>IF(INDEX([1]Temps!$D$43:$AH$66,AN$3,DAY($B9))="",NA(),INDEX([1]Temps!$D$43:$AH$66,AN$3,DAY($B9)))</f>
        <v>51.55</v>
      </c>
      <c r="AO9" s="587">
        <f>IF(INDEX([1]Temps!$D$43:$AH$66,AO$3,DAY($B9))="",NA(),INDEX([1]Temps!$D$43:$AH$66,AO$3,DAY($B9)))</f>
        <v>48</v>
      </c>
      <c r="AP9" s="587">
        <f>IF(INDEX([1]Temps!$D$43:$AH$66,AP$3,DAY($B9))="",NA(),INDEX([1]Temps!$D$43:$AH$66,AP$3,DAY($B9)))</f>
        <v>48.2</v>
      </c>
      <c r="AQ9" s="587">
        <f>IF(INDEX([1]Temps!$D$43:$AH$66,AQ$3,DAY($B9))="",NA(),INDEX([1]Temps!$D$43:$AH$66,AQ$3,DAY($B9)))</f>
        <v>48.366666666666667</v>
      </c>
      <c r="AR9" s="587">
        <f>IF(INDEX([1]Temps!$D$43:$AH$66,AR$3,DAY($B9))="",NA(),INDEX([1]Temps!$D$43:$AH$66,AR$3,DAY($B9)))</f>
        <v>46.9</v>
      </c>
      <c r="AS9" s="587">
        <f>IF(INDEX([1]Temps!$D$43:$AH$66,AS$3,DAY($B9))="",NA(),INDEX([1]Temps!$D$43:$AH$66,AS$3,DAY($B9)))</f>
        <v>46</v>
      </c>
      <c r="AT9" s="587">
        <f>IF(INDEX([1]Temps!$D$43:$AH$66,AT$3,DAY($B9))="",NA(),INDEX([1]Temps!$D$43:$AH$66,AT$3,DAY($B9)))</f>
        <v>45.5</v>
      </c>
      <c r="AU9" s="587">
        <f>IF(INDEX([1]Temps!$D$43:$AH$66,AU$3,DAY($B9))="",NA(),INDEX([1]Temps!$D$43:$AH$66,AU$3,DAY($B9)))</f>
        <v>45</v>
      </c>
      <c r="AV9" s="587">
        <f>IF(INDEX([1]Temps!$D$43:$AH$66,AV$3,DAY($B9))="",NA(),INDEX([1]Temps!$D$43:$AH$66,AV$3,DAY($B9)))</f>
        <v>44.35</v>
      </c>
      <c r="AW9" s="587">
        <f>IF(INDEX([1]Temps!$D$43:$AH$66,AW$3,DAY($B9))="",NA(),INDEX([1]Temps!$D$43:$AH$66,AW$3,DAY($B9)))</f>
        <v>44.1</v>
      </c>
      <c r="AX9" s="587">
        <f>IF(INDEX([1]Temps!$D$43:$AH$66,AX$3,DAY($B9))="",NA(),INDEX([1]Temps!$D$43:$AH$66,AX$3,DAY($B9)))</f>
        <v>44.1</v>
      </c>
      <c r="AY9" s="587">
        <f>IF(INDEX([1]Temps!$D$43:$AH$66,AY$3,DAY($B9))="",NA(),INDEX([1]Temps!$D$43:$AH$66,AY$3,DAY($B9)))</f>
        <v>43</v>
      </c>
      <c r="AZ9" s="587">
        <f>IF(INDEX([1]Temps!$D$43:$AH$66,AZ$3,DAY($B9))="",NA(),INDEX([1]Temps!$D$43:$AH$66,AZ$3,DAY($B9)))</f>
        <v>43</v>
      </c>
      <c r="BB9" s="583">
        <f t="shared" si="7"/>
        <v>41949</v>
      </c>
      <c r="BC9" s="587">
        <f>'[1]Hourly Load'!B9</f>
        <v>2095</v>
      </c>
      <c r="BD9" s="587">
        <f>'[1]Hourly Load'!C9</f>
        <v>2024.9998779296875</v>
      </c>
      <c r="BE9" s="587">
        <f>'[1]Hourly Load'!D9</f>
        <v>1996</v>
      </c>
      <c r="BF9" s="587">
        <f>'[1]Hourly Load'!E9</f>
        <v>1923.9998779296875</v>
      </c>
      <c r="BG9" s="587">
        <f>'[1]Hourly Load'!F9</f>
        <v>1960.9998779296875</v>
      </c>
      <c r="BH9" s="587">
        <f>'[1]Hourly Load'!G9</f>
        <v>2082</v>
      </c>
      <c r="BI9" s="587">
        <f>'[1]Hourly Load'!H9</f>
        <v>2380</v>
      </c>
      <c r="BJ9" s="587">
        <f>'[1]Hourly Load'!I9</f>
        <v>2507</v>
      </c>
      <c r="BK9" s="587">
        <f>'[1]Hourly Load'!J9</f>
        <v>2507</v>
      </c>
      <c r="BL9" s="587">
        <f>'[1]Hourly Load'!K9</f>
        <v>2527</v>
      </c>
      <c r="BM9" s="587">
        <f>'[1]Hourly Load'!L9</f>
        <v>2538</v>
      </c>
      <c r="BN9" s="587">
        <f>'[1]Hourly Load'!M9</f>
        <v>2592</v>
      </c>
      <c r="BO9" s="587">
        <f>'[1]Hourly Load'!N9</f>
        <v>2603</v>
      </c>
      <c r="BP9" s="587">
        <f>'[1]Hourly Load'!O9</f>
        <v>2599</v>
      </c>
      <c r="BQ9" s="587">
        <f>'[1]Hourly Load'!P9</f>
        <v>2547</v>
      </c>
      <c r="BR9" s="587">
        <f>'[1]Hourly Load'!Q9</f>
        <v>2621</v>
      </c>
      <c r="BS9" s="587">
        <f>'[1]Hourly Load'!R9</f>
        <v>2662</v>
      </c>
      <c r="BT9" s="587">
        <f>'[1]Hourly Load'!S9</f>
        <v>2758</v>
      </c>
      <c r="BU9" s="587">
        <f>'[1]Hourly Load'!T9</f>
        <v>2796</v>
      </c>
      <c r="BV9" s="587">
        <f>'[1]Hourly Load'!U9</f>
        <v>2762</v>
      </c>
      <c r="BW9" s="587">
        <f>'[1]Hourly Load'!V9</f>
        <v>2770</v>
      </c>
      <c r="BX9" s="587">
        <f>'[1]Hourly Load'!W9</f>
        <v>2669</v>
      </c>
      <c r="BY9" s="587">
        <f>'[1]Hourly Load'!X9</f>
        <v>2587</v>
      </c>
      <c r="BZ9" s="587">
        <f>'[1]Hourly Load'!Y9</f>
        <v>2461</v>
      </c>
      <c r="CA9" s="584"/>
      <c r="CB9" s="583">
        <f t="shared" si="8"/>
        <v>41949</v>
      </c>
      <c r="CC9" s="587">
        <f>'[1]Hourly Load'!AA9</f>
        <v>1089.259033203125</v>
      </c>
      <c r="CD9" s="587">
        <f>'[1]Hourly Load'!AB9</f>
        <v>1069.5589599609375</v>
      </c>
      <c r="CE9" s="587">
        <f>'[1]Hourly Load'!AC9</f>
        <v>1048.6590576171875</v>
      </c>
      <c r="CF9" s="587">
        <f>'[1]Hourly Load'!AD9</f>
        <v>1028.3590087890625</v>
      </c>
      <c r="CG9" s="587">
        <f>'[1]Hourly Load'!AE9</f>
        <v>1019.4420166015625</v>
      </c>
      <c r="CH9" s="587">
        <f>'[1]Hourly Load'!AF9</f>
        <v>1070.95703125</v>
      </c>
      <c r="CI9" s="587">
        <f>'[1]Hourly Load'!AG9</f>
        <v>1200.4580078125</v>
      </c>
      <c r="CJ9" s="587">
        <f>'[1]Hourly Load'!AH9</f>
        <v>1257.8590087890625</v>
      </c>
      <c r="CK9" s="587">
        <f>'[1]Hourly Load'!AI9</f>
        <v>1291.8590087890625</v>
      </c>
      <c r="CL9" s="587">
        <f>'[1]Hourly Load'!AJ9</f>
        <v>1341.467529296875</v>
      </c>
      <c r="CM9" s="587">
        <f>'[1]Hourly Load'!AK9</f>
        <v>1356.5579833984375</v>
      </c>
      <c r="CN9" s="587">
        <f>'[1]Hourly Load'!AL9</f>
        <v>1353.360107421875</v>
      </c>
      <c r="CO9" s="587">
        <f>'[1]Hourly Load'!AM9</f>
        <v>1374.35302734375</v>
      </c>
      <c r="CP9" s="587">
        <f>'[1]Hourly Load'!AN9</f>
        <v>1371.64794921875</v>
      </c>
      <c r="CQ9" s="587">
        <f>'[1]Hourly Load'!AO9</f>
        <v>1375.337890625</v>
      </c>
      <c r="CR9" s="587">
        <f>'[1]Hourly Load'!AP9</f>
        <v>1365.032958984375</v>
      </c>
      <c r="CS9" s="587">
        <f>'[1]Hourly Load'!AQ9</f>
        <v>1375.5439453125</v>
      </c>
      <c r="CT9" s="587">
        <f>'[1]Hourly Load'!AR9</f>
        <v>1429.5439453125</v>
      </c>
      <c r="CU9" s="587">
        <f>'[1]Hourly Load'!AS9</f>
        <v>1461.3428955078125</v>
      </c>
      <c r="CV9" s="587">
        <f>'[1]Hourly Load'!AT9</f>
        <v>1457.9420166015625</v>
      </c>
      <c r="CW9" s="587">
        <f>'[1]Hourly Load'!AU9</f>
        <v>1417.927001953125</v>
      </c>
      <c r="CX9" s="587">
        <f>'[1]Hourly Load'!AV9</f>
        <v>1367.343017578125</v>
      </c>
      <c r="CY9" s="587">
        <f>'[1]Hourly Load'!AW9</f>
        <v>1289.64404296875</v>
      </c>
      <c r="CZ9" s="587">
        <f>'[1]Hourly Load'!AX9</f>
        <v>1220.64306640625</v>
      </c>
    </row>
    <row r="10" spans="1:104">
      <c r="A10" s="582">
        <v>7</v>
      </c>
      <c r="B10" s="583">
        <f>'Input Data'!A10</f>
        <v>41950</v>
      </c>
      <c r="C10" s="609">
        <f>IF(INDEX([1]Temps!$D$7:$AH$30,C$3,DAY($B10))="",NA(),INDEX([1]Temps!$D$7:$AH$30,C$3,DAY($B10)))</f>
        <v>41</v>
      </c>
      <c r="D10" s="609">
        <f>IF(INDEX([1]Temps!$D$7:$AH$30,D$3,DAY($B10))="",NA(),INDEX([1]Temps!$D$7:$AH$30,D$3,DAY($B10)))</f>
        <v>39.9</v>
      </c>
      <c r="E10" s="609">
        <f>IF(INDEX([1]Temps!$D$7:$AH$30,E$3,DAY($B10))="",NA(),INDEX([1]Temps!$D$7:$AH$30,E$3,DAY($B10)))</f>
        <v>39.9</v>
      </c>
      <c r="F10" s="609">
        <f>IF(INDEX([1]Temps!$D$7:$AH$30,F$3,DAY($B10))="",NA(),INDEX([1]Temps!$D$7:$AH$30,F$3,DAY($B10)))</f>
        <v>39.9</v>
      </c>
      <c r="G10" s="609">
        <f>IF(INDEX([1]Temps!$D$7:$AH$30,G$3,DAY($B10))="",NA(),INDEX([1]Temps!$D$7:$AH$30,G$3,DAY($B10)))</f>
        <v>39.9</v>
      </c>
      <c r="H10" s="609">
        <f>IF(INDEX([1]Temps!$D$7:$AH$30,H$3,DAY($B10))="",NA(),INDEX([1]Temps!$D$7:$AH$30,H$3,DAY($B10)))</f>
        <v>39</v>
      </c>
      <c r="I10" s="609">
        <f>IF(INDEX([1]Temps!$D$7:$AH$30,I$3,DAY($B10))="",NA(),INDEX([1]Temps!$D$7:$AH$30,I$3,DAY($B10)))</f>
        <v>39</v>
      </c>
      <c r="J10" s="609">
        <f>IF(INDEX([1]Temps!$D$7:$AH$30,J$3,DAY($B10))="",NA(),INDEX([1]Temps!$D$7:$AH$30,J$3,DAY($B10)))</f>
        <v>39</v>
      </c>
      <c r="K10" s="609">
        <f>IF(INDEX([1]Temps!$D$7:$AH$30,K$3,DAY($B10))="",NA(),INDEX([1]Temps!$D$7:$AH$30,K$3,DAY($B10)))</f>
        <v>39</v>
      </c>
      <c r="L10" s="609">
        <f>IF(INDEX([1]Temps!$D$7:$AH$30,L$3,DAY($B10))="",NA(),INDEX([1]Temps!$D$7:$AH$30,L$3,DAY($B10)))</f>
        <v>39.9</v>
      </c>
      <c r="M10" s="609">
        <f>IF(INDEX([1]Temps!$D$7:$AH$30,M$3,DAY($B10))="",NA(),INDEX([1]Temps!$D$7:$AH$30,M$3,DAY($B10)))</f>
        <v>39.9</v>
      </c>
      <c r="N10" s="609">
        <f>IF(INDEX([1]Temps!$D$7:$AH$30,N$3,DAY($B10))="",NA(),INDEX([1]Temps!$D$7:$AH$30,N$3,DAY($B10)))</f>
        <v>42.1</v>
      </c>
      <c r="O10" s="609">
        <f>IF(INDEX([1]Temps!$D$7:$AH$30,O$3,DAY($B10))="",NA(),INDEX([1]Temps!$D$7:$AH$30,O$3,DAY($B10)))</f>
        <v>44.1</v>
      </c>
      <c r="P10" s="609">
        <f>IF(INDEX([1]Temps!$D$7:$AH$30,P$3,DAY($B10))="",NA(),INDEX([1]Temps!$D$7:$AH$30,P$3,DAY($B10)))</f>
        <v>45</v>
      </c>
      <c r="Q10" s="609">
        <f>IF(INDEX([1]Temps!$D$7:$AH$30,Q$3,DAY($B10))="",NA(),INDEX([1]Temps!$D$7:$AH$30,Q$3,DAY($B10)))</f>
        <v>45</v>
      </c>
      <c r="R10" s="609">
        <f>IF(INDEX([1]Temps!$D$7:$AH$30,R$3,DAY($B10))="",NA(),INDEX([1]Temps!$D$7:$AH$30,R$3,DAY($B10)))</f>
        <v>45</v>
      </c>
      <c r="S10" s="609">
        <f>IF(INDEX([1]Temps!$D$7:$AH$30,S$3,DAY($B10))="",NA(),INDEX([1]Temps!$D$7:$AH$30,S$3,DAY($B10)))</f>
        <v>44.1</v>
      </c>
      <c r="T10" s="609">
        <f>IF(INDEX([1]Temps!$D$7:$AH$30,T$3,DAY($B10))="",NA(),INDEX([1]Temps!$D$7:$AH$30,T$3,DAY($B10)))</f>
        <v>42.1</v>
      </c>
      <c r="U10" s="609">
        <f>IF(INDEX([1]Temps!$D$7:$AH$30,U$3,DAY($B10))="",NA(),INDEX([1]Temps!$D$7:$AH$30,U$3,DAY($B10)))</f>
        <v>39.9</v>
      </c>
      <c r="V10" s="609">
        <f>IF(INDEX([1]Temps!$D$7:$AH$30,V$3,DAY($B10))="",NA(),INDEX([1]Temps!$D$7:$AH$30,V$3,DAY($B10)))</f>
        <v>37</v>
      </c>
      <c r="W10" s="609">
        <f>IF(INDEX([1]Temps!$D$7:$AH$30,W$3,DAY($B10))="",NA(),INDEX([1]Temps!$D$7:$AH$30,W$3,DAY($B10)))</f>
        <v>36</v>
      </c>
      <c r="X10" s="609">
        <f>IF(INDEX([1]Temps!$D$7:$AH$30,X$3,DAY($B10))="",NA(),INDEX([1]Temps!$D$7:$AH$30,X$3,DAY($B10)))</f>
        <v>35.1</v>
      </c>
      <c r="Y10" s="609">
        <f>IF(INDEX([1]Temps!$D$7:$AH$30,Y$3,DAY($B10))="",NA(),INDEX([1]Temps!$D$7:$AH$30,Y$3,DAY($B10)))</f>
        <v>36</v>
      </c>
      <c r="Z10" s="609">
        <f>IF(INDEX([1]Temps!$D$7:$AH$30,Z$3,DAY($B10))="",NA(),INDEX([1]Temps!$D$7:$AH$30,Z$3,DAY($B10)))</f>
        <v>36</v>
      </c>
      <c r="AA10" s="584"/>
      <c r="AB10" s="583">
        <f t="shared" si="6"/>
        <v>41950</v>
      </c>
      <c r="AC10" s="587">
        <f>IF(INDEX([1]Temps!$D$43:$AH$66,AC$3,DAY($B10))="",NA(),INDEX([1]Temps!$D$43:$AH$66,AC$3,DAY($B10)))</f>
        <v>43</v>
      </c>
      <c r="AD10" s="587">
        <f>IF(INDEX([1]Temps!$D$43:$AH$66,AD$3,DAY($B10))="",NA(),INDEX([1]Temps!$D$43:$AH$66,AD$3,DAY($B10)))</f>
        <v>42.1</v>
      </c>
      <c r="AE10" s="587">
        <f>IF(INDEX([1]Temps!$D$43:$AH$66,AE$3,DAY($B10))="",NA(),INDEX([1]Temps!$D$43:$AH$66,AE$3,DAY($B10)))</f>
        <v>42.1</v>
      </c>
      <c r="AF10" s="587">
        <f>IF(INDEX([1]Temps!$D$43:$AH$66,AF$3,DAY($B10))="",NA(),INDEX([1]Temps!$D$43:$AH$66,AF$3,DAY($B10)))</f>
        <v>42.1</v>
      </c>
      <c r="AG10" s="587">
        <f>IF(INDEX([1]Temps!$D$43:$AH$66,AG$3,DAY($B10))="",NA(),INDEX([1]Temps!$D$43:$AH$66,AG$3,DAY($B10)))</f>
        <v>42.1</v>
      </c>
      <c r="AH10" s="587">
        <f>IF(INDEX([1]Temps!$D$43:$AH$66,AH$3,DAY($B10))="",NA(),INDEX([1]Temps!$D$43:$AH$66,AH$3,DAY($B10)))</f>
        <v>41.733333333333334</v>
      </c>
      <c r="AI10" s="587">
        <f>IF(INDEX([1]Temps!$D$43:$AH$66,AI$3,DAY($B10))="",NA(),INDEX([1]Temps!$D$43:$AH$66,AI$3,DAY($B10)))</f>
        <v>41</v>
      </c>
      <c r="AJ10" s="587">
        <f>IF(INDEX([1]Temps!$D$43:$AH$66,AJ$3,DAY($B10))="",NA(),INDEX([1]Temps!$D$43:$AH$66,AJ$3,DAY($B10)))</f>
        <v>41</v>
      </c>
      <c r="AK10" s="587">
        <f>IF(INDEX([1]Temps!$D$43:$AH$66,AK$3,DAY($B10))="",NA(),INDEX([1]Temps!$D$43:$AH$66,AK$3,DAY($B10)))</f>
        <v>41</v>
      </c>
      <c r="AL10" s="587">
        <f>IF(INDEX([1]Temps!$D$43:$AH$66,AL$3,DAY($B10))="",NA(),INDEX([1]Temps!$D$43:$AH$66,AL$3,DAY($B10)))</f>
        <v>42.1</v>
      </c>
      <c r="AM10" s="587">
        <f>IF(INDEX([1]Temps!$D$43:$AH$66,AM$3,DAY($B10))="",NA(),INDEX([1]Temps!$D$43:$AH$66,AM$3,DAY($B10)))</f>
        <v>44.1</v>
      </c>
      <c r="AN10" s="587">
        <f>IF(INDEX([1]Temps!$D$43:$AH$66,AN$3,DAY($B10))="",NA(),INDEX([1]Temps!$D$43:$AH$66,AN$3,DAY($B10)))</f>
        <v>46</v>
      </c>
      <c r="AO10" s="587">
        <f>IF(INDEX([1]Temps!$D$43:$AH$66,AO$3,DAY($B10))="",NA(),INDEX([1]Temps!$D$43:$AH$66,AO$3,DAY($B10)))</f>
        <v>46.9</v>
      </c>
      <c r="AP10" s="587">
        <f>IF(INDEX([1]Temps!$D$43:$AH$66,AP$3,DAY($B10))="",NA(),INDEX([1]Temps!$D$43:$AH$66,AP$3,DAY($B10)))</f>
        <v>48.9</v>
      </c>
      <c r="AQ10" s="587">
        <f>IF(INDEX([1]Temps!$D$43:$AH$66,AQ$3,DAY($B10))="",NA(),INDEX([1]Temps!$D$43:$AH$66,AQ$3,DAY($B10)))</f>
        <v>48.9</v>
      </c>
      <c r="AR10" s="587">
        <f>IF(INDEX([1]Temps!$D$43:$AH$66,AR$3,DAY($B10))="",NA(),INDEX([1]Temps!$D$43:$AH$66,AR$3,DAY($B10)))</f>
        <v>48.9</v>
      </c>
      <c r="AS10" s="587">
        <f>IF(INDEX([1]Temps!$D$43:$AH$66,AS$3,DAY($B10))="",NA(),INDEX([1]Temps!$D$43:$AH$66,AS$3,DAY($B10)))</f>
        <v>48</v>
      </c>
      <c r="AT10" s="587">
        <f>IF(INDEX([1]Temps!$D$43:$AH$66,AT$3,DAY($B10))="",NA(),INDEX([1]Temps!$D$43:$AH$66,AT$3,DAY($B10)))</f>
        <v>46.9</v>
      </c>
      <c r="AU10" s="587">
        <f>IF(INDEX([1]Temps!$D$43:$AH$66,AU$3,DAY($B10))="",NA(),INDEX([1]Temps!$D$43:$AH$66,AU$3,DAY($B10)))</f>
        <v>45</v>
      </c>
      <c r="AV10" s="587">
        <f>IF(INDEX([1]Temps!$D$43:$AH$66,AV$3,DAY($B10))="",NA(),INDEX([1]Temps!$D$43:$AH$66,AV$3,DAY($B10)))</f>
        <v>44.1</v>
      </c>
      <c r="AW10" s="587">
        <f>IF(INDEX([1]Temps!$D$43:$AH$66,AW$3,DAY($B10))="",NA(),INDEX([1]Temps!$D$43:$AH$66,AW$3,DAY($B10)))</f>
        <v>41</v>
      </c>
      <c r="AX10" s="587">
        <f>IF(INDEX([1]Temps!$D$43:$AH$66,AX$3,DAY($B10))="",NA(),INDEX([1]Temps!$D$43:$AH$66,AX$3,DAY($B10)))</f>
        <v>41</v>
      </c>
      <c r="AY10" s="587">
        <f>IF(INDEX([1]Temps!$D$43:$AH$66,AY$3,DAY($B10))="",NA(),INDEX([1]Temps!$D$43:$AH$66,AY$3,DAY($B10)))</f>
        <v>39</v>
      </c>
      <c r="AZ10" s="587">
        <f>IF(INDEX([1]Temps!$D$43:$AH$66,AZ$3,DAY($B10))="",NA(),INDEX([1]Temps!$D$43:$AH$66,AZ$3,DAY($B10)))</f>
        <v>37</v>
      </c>
      <c r="BB10" s="583">
        <f t="shared" si="7"/>
        <v>41950</v>
      </c>
      <c r="BC10" s="587">
        <f>'[1]Hourly Load'!B10</f>
        <v>2300</v>
      </c>
      <c r="BD10" s="587">
        <f>'[1]Hourly Load'!C10</f>
        <v>2311</v>
      </c>
      <c r="BE10" s="587">
        <f>'[1]Hourly Load'!D10</f>
        <v>2228</v>
      </c>
      <c r="BF10" s="587">
        <f>'[1]Hourly Load'!E10</f>
        <v>2234</v>
      </c>
      <c r="BG10" s="587">
        <f>'[1]Hourly Load'!F10</f>
        <v>2275</v>
      </c>
      <c r="BH10" s="587">
        <f>'[1]Hourly Load'!G10</f>
        <v>2404</v>
      </c>
      <c r="BI10" s="587">
        <f>'[1]Hourly Load'!H10</f>
        <v>2681</v>
      </c>
      <c r="BJ10" s="587">
        <f>'[1]Hourly Load'!I10</f>
        <v>2809</v>
      </c>
      <c r="BK10" s="587">
        <f>'[1]Hourly Load'!J10</f>
        <v>2824</v>
      </c>
      <c r="BL10" s="587">
        <f>'[1]Hourly Load'!K10</f>
        <v>2829</v>
      </c>
      <c r="BM10" s="587">
        <f>'[1]Hourly Load'!L10</f>
        <v>2807</v>
      </c>
      <c r="BN10" s="587">
        <f>'[1]Hourly Load'!M10</f>
        <v>2778</v>
      </c>
      <c r="BO10" s="587">
        <f>'[1]Hourly Load'!N10</f>
        <v>2644</v>
      </c>
      <c r="BP10" s="587">
        <f>'[1]Hourly Load'!O10</f>
        <v>2589</v>
      </c>
      <c r="BQ10" s="587">
        <f>'[1]Hourly Load'!P10</f>
        <v>2516</v>
      </c>
      <c r="BR10" s="587">
        <f>'[1]Hourly Load'!Q10</f>
        <v>2434</v>
      </c>
      <c r="BS10" s="587">
        <f>'[1]Hourly Load'!R10</f>
        <v>2429</v>
      </c>
      <c r="BT10" s="587">
        <f>'[1]Hourly Load'!S10</f>
        <v>2537</v>
      </c>
      <c r="BU10" s="587">
        <f>'[1]Hourly Load'!T10</f>
        <v>2704</v>
      </c>
      <c r="BV10" s="587">
        <f>'[1]Hourly Load'!U10</f>
        <v>2747</v>
      </c>
      <c r="BW10" s="587">
        <f>'[1]Hourly Load'!V10</f>
        <v>2709</v>
      </c>
      <c r="BX10" s="587">
        <f>'[1]Hourly Load'!W10</f>
        <v>2683</v>
      </c>
      <c r="BY10" s="587">
        <f>'[1]Hourly Load'!X10</f>
        <v>2635</v>
      </c>
      <c r="BZ10" s="587">
        <f>'[1]Hourly Load'!Y10</f>
        <v>2571</v>
      </c>
      <c r="CA10" s="584"/>
      <c r="CB10" s="583">
        <f t="shared" si="8"/>
        <v>41950</v>
      </c>
      <c r="CC10" s="587">
        <f>'[1]Hourly Load'!AA10</f>
        <v>1176.1419677734375</v>
      </c>
      <c r="CD10" s="587">
        <f>'[1]Hourly Load'!AB10</f>
        <v>1154.326904296875</v>
      </c>
      <c r="CE10" s="587">
        <f>'[1]Hourly Load'!AC10</f>
        <v>1135.7430419921875</v>
      </c>
      <c r="CF10" s="587">
        <f>'[1]Hourly Load'!AD10</f>
        <v>1124.2440185546875</v>
      </c>
      <c r="CG10" s="587">
        <f>'[1]Hourly Load'!AE10</f>
        <v>1128.1429443359375</v>
      </c>
      <c r="CH10" s="587">
        <f>'[1]Hourly Load'!AF10</f>
        <v>1198.8380126953125</v>
      </c>
      <c r="CI10" s="587">
        <f>'[1]Hourly Load'!AG10</f>
        <v>1319.131103515625</v>
      </c>
      <c r="CJ10" s="587">
        <f>'[1]Hourly Load'!AH10</f>
        <v>1380.4439697265625</v>
      </c>
      <c r="CK10" s="587">
        <f>'[1]Hourly Load'!AI10</f>
        <v>1387.444091796875</v>
      </c>
      <c r="CL10" s="587">
        <f>'[1]Hourly Load'!AJ10</f>
        <v>1387.343994140625</v>
      </c>
      <c r="CM10" s="587">
        <f>'[1]Hourly Load'!AK10</f>
        <v>1379.33203125</v>
      </c>
      <c r="CN10" s="587">
        <f>'[1]Hourly Load'!AL10</f>
        <v>1363.93994140625</v>
      </c>
      <c r="CO10" s="587">
        <f>'[1]Hourly Load'!AM10</f>
        <v>1338.344970703125</v>
      </c>
      <c r="CP10" s="587">
        <f>'[1]Hourly Load'!AN10</f>
        <v>1328.3460693359375</v>
      </c>
      <c r="CQ10" s="587">
        <f>'[1]Hourly Load'!AO10</f>
        <v>1300.74609375</v>
      </c>
      <c r="CR10" s="587">
        <f>'[1]Hourly Load'!AP10</f>
        <v>1280.546142578125</v>
      </c>
      <c r="CS10" s="587">
        <f>'[1]Hourly Load'!AQ10</f>
        <v>1260.93505859375</v>
      </c>
      <c r="CT10" s="587">
        <f>'[1]Hourly Load'!AR10</f>
        <v>1297.739013671875</v>
      </c>
      <c r="CU10" s="587">
        <f>'[1]Hourly Load'!AS10</f>
        <v>1370.1429443359375</v>
      </c>
      <c r="CV10" s="587">
        <f>'[1]Hourly Load'!AT10</f>
        <v>1363.9429931640625</v>
      </c>
      <c r="CW10" s="587">
        <f>'[1]Hourly Load'!AU10</f>
        <v>1342.943115234375</v>
      </c>
      <c r="CX10" s="587">
        <f>'[1]Hourly Load'!AV10</f>
        <v>1309.22705078125</v>
      </c>
      <c r="CY10" s="587">
        <f>'[1]Hourly Load'!AW10</f>
        <v>1247.5419921875</v>
      </c>
      <c r="CZ10" s="587">
        <f>'[1]Hourly Load'!AX10</f>
        <v>1200.4429931640625</v>
      </c>
    </row>
    <row r="11" spans="1:104">
      <c r="A11" s="582">
        <v>8</v>
      </c>
      <c r="B11" s="583">
        <f>'Input Data'!A11</f>
        <v>41951</v>
      </c>
      <c r="C11" s="609">
        <f>IF(INDEX([1]Temps!$D$7:$AH$30,C$3,DAY($B11))="",NA(),INDEX([1]Temps!$D$7:$AH$30,C$3,DAY($B11)))</f>
        <v>35.1</v>
      </c>
      <c r="D11" s="609">
        <f>IF(INDEX([1]Temps!$D$7:$AH$30,D$3,DAY($B11))="",NA(),INDEX([1]Temps!$D$7:$AH$30,D$3,DAY($B11)))</f>
        <v>34</v>
      </c>
      <c r="E11" s="609">
        <f>IF(INDEX([1]Temps!$D$7:$AH$30,E$3,DAY($B11))="",NA(),INDEX([1]Temps!$D$7:$AH$30,E$3,DAY($B11)))</f>
        <v>34</v>
      </c>
      <c r="F11" s="609">
        <f>IF(INDEX([1]Temps!$D$7:$AH$30,F$3,DAY($B11))="",NA(),INDEX([1]Temps!$D$7:$AH$30,F$3,DAY($B11)))</f>
        <v>33.1</v>
      </c>
      <c r="G11" s="609">
        <f>IF(INDEX([1]Temps!$D$7:$AH$30,G$3,DAY($B11))="",NA(),INDEX([1]Temps!$D$7:$AH$30,G$3,DAY($B11)))</f>
        <v>33.1</v>
      </c>
      <c r="H11" s="609">
        <f>IF(INDEX([1]Temps!$D$7:$AH$30,H$3,DAY($B11))="",NA(),INDEX([1]Temps!$D$7:$AH$30,H$3,DAY($B11)))</f>
        <v>33.1</v>
      </c>
      <c r="I11" s="609">
        <f>IF(INDEX([1]Temps!$D$7:$AH$30,I$3,DAY($B11))="",NA(),INDEX([1]Temps!$D$7:$AH$30,I$3,DAY($B11)))</f>
        <v>35.1</v>
      </c>
      <c r="J11" s="609">
        <f>IF(INDEX([1]Temps!$D$7:$AH$30,J$3,DAY($B11))="",NA(),INDEX([1]Temps!$D$7:$AH$30,J$3,DAY($B11)))</f>
        <v>37</v>
      </c>
      <c r="K11" s="609">
        <f>IF(INDEX([1]Temps!$D$7:$AH$30,K$3,DAY($B11))="",NA(),INDEX([1]Temps!$D$7:$AH$30,K$3,DAY($B11)))</f>
        <v>41</v>
      </c>
      <c r="L11" s="609">
        <f>IF(INDEX([1]Temps!$D$7:$AH$30,L$3,DAY($B11))="",NA(),INDEX([1]Temps!$D$7:$AH$30,L$3,DAY($B11)))</f>
        <v>43</v>
      </c>
      <c r="M11" s="609">
        <f>IF(INDEX([1]Temps!$D$7:$AH$30,M$3,DAY($B11))="",NA(),INDEX([1]Temps!$D$7:$AH$30,M$3,DAY($B11)))</f>
        <v>51.1</v>
      </c>
      <c r="N11" s="609">
        <f>IF(INDEX([1]Temps!$D$7:$AH$30,N$3,DAY($B11))="",NA(),INDEX([1]Temps!$D$7:$AH$30,N$3,DAY($B11)))</f>
        <v>52</v>
      </c>
      <c r="O11" s="609">
        <f>IF(INDEX([1]Temps!$D$7:$AH$30,O$3,DAY($B11))="",NA(),INDEX([1]Temps!$D$7:$AH$30,O$3,DAY($B11)))</f>
        <v>55</v>
      </c>
      <c r="P11" s="609">
        <f>IF(INDEX([1]Temps!$D$7:$AH$30,P$3,DAY($B11))="",NA(),INDEX([1]Temps!$D$7:$AH$30,P$3,DAY($B11)))</f>
        <v>53.1</v>
      </c>
      <c r="Q11" s="609">
        <f>IF(INDEX([1]Temps!$D$7:$AH$30,Q$3,DAY($B11))="",NA(),INDEX([1]Temps!$D$7:$AH$30,Q$3,DAY($B11)))</f>
        <v>54</v>
      </c>
      <c r="R11" s="609">
        <f>IF(INDEX([1]Temps!$D$7:$AH$30,R$3,DAY($B11))="",NA(),INDEX([1]Temps!$D$7:$AH$30,R$3,DAY($B11)))</f>
        <v>53.1</v>
      </c>
      <c r="S11" s="609">
        <f>IF(INDEX([1]Temps!$D$7:$AH$30,S$3,DAY($B11))="",NA(),INDEX([1]Temps!$D$7:$AH$30,S$3,DAY($B11)))</f>
        <v>51.1</v>
      </c>
      <c r="T11" s="609">
        <f>IF(INDEX([1]Temps!$D$7:$AH$30,T$3,DAY($B11))="",NA(),INDEX([1]Temps!$D$7:$AH$30,T$3,DAY($B11)))</f>
        <v>50</v>
      </c>
      <c r="U11" s="609">
        <f>IF(INDEX([1]Temps!$D$7:$AH$30,U$3,DAY($B11))="",NA(),INDEX([1]Temps!$D$7:$AH$30,U$3,DAY($B11)))</f>
        <v>48.9</v>
      </c>
      <c r="V11" s="609">
        <f>IF(INDEX([1]Temps!$D$7:$AH$30,V$3,DAY($B11))="",NA(),INDEX([1]Temps!$D$7:$AH$30,V$3,DAY($B11)))</f>
        <v>48.9</v>
      </c>
      <c r="W11" s="609">
        <f>IF(INDEX([1]Temps!$D$7:$AH$30,W$3,DAY($B11))="",NA(),INDEX([1]Temps!$D$7:$AH$30,W$3,DAY($B11)))</f>
        <v>48</v>
      </c>
      <c r="X11" s="609">
        <f>IF(INDEX([1]Temps!$D$7:$AH$30,X$3,DAY($B11))="",NA(),INDEX([1]Temps!$D$7:$AH$30,X$3,DAY($B11)))</f>
        <v>46.9</v>
      </c>
      <c r="Y11" s="609">
        <f>IF(INDEX([1]Temps!$D$7:$AH$30,Y$3,DAY($B11))="",NA(),INDEX([1]Temps!$D$7:$AH$30,Y$3,DAY($B11)))</f>
        <v>45</v>
      </c>
      <c r="Z11" s="609">
        <f>IF(INDEX([1]Temps!$D$7:$AH$30,Z$3,DAY($B11))="",NA(),INDEX([1]Temps!$D$7:$AH$30,Z$3,DAY($B11)))</f>
        <v>44.1</v>
      </c>
      <c r="AA11" s="584"/>
      <c r="AB11" s="583">
        <f t="shared" si="6"/>
        <v>41951</v>
      </c>
      <c r="AC11" s="587">
        <f>IF(INDEX([1]Temps!$D$43:$AH$66,AC$3,DAY($B11))="",NA(),INDEX([1]Temps!$D$43:$AH$66,AC$3,DAY($B11)))</f>
        <v>37.9</v>
      </c>
      <c r="AD11" s="587">
        <f>IF(INDEX([1]Temps!$D$43:$AH$66,AD$3,DAY($B11))="",NA(),INDEX([1]Temps!$D$43:$AH$66,AD$3,DAY($B11)))</f>
        <v>37.9</v>
      </c>
      <c r="AE11" s="587">
        <f>IF(INDEX([1]Temps!$D$43:$AH$66,AE$3,DAY($B11))="",NA(),INDEX([1]Temps!$D$43:$AH$66,AE$3,DAY($B11)))</f>
        <v>36</v>
      </c>
      <c r="AF11" s="587">
        <f>IF(INDEX([1]Temps!$D$43:$AH$66,AF$3,DAY($B11))="",NA(),INDEX([1]Temps!$D$43:$AH$66,AF$3,DAY($B11)))</f>
        <v>36</v>
      </c>
      <c r="AG11" s="587">
        <f>IF(INDEX([1]Temps!$D$43:$AH$66,AG$3,DAY($B11))="",NA(),INDEX([1]Temps!$D$43:$AH$66,AG$3,DAY($B11)))</f>
        <v>36</v>
      </c>
      <c r="AH11" s="587">
        <f>IF(INDEX([1]Temps!$D$43:$AH$66,AH$3,DAY($B11))="",NA(),INDEX([1]Temps!$D$43:$AH$66,AH$3,DAY($B11)))</f>
        <v>36</v>
      </c>
      <c r="AI11" s="587">
        <f>IF(INDEX([1]Temps!$D$43:$AH$66,AI$3,DAY($B11))="",NA(),INDEX([1]Temps!$D$43:$AH$66,AI$3,DAY($B11)))</f>
        <v>37.9</v>
      </c>
      <c r="AJ11" s="587">
        <f>IF(INDEX([1]Temps!$D$43:$AH$66,AJ$3,DAY($B11))="",NA(),INDEX([1]Temps!$D$43:$AH$66,AJ$3,DAY($B11)))</f>
        <v>39</v>
      </c>
      <c r="AK11" s="587">
        <f>IF(INDEX([1]Temps!$D$43:$AH$66,AK$3,DAY($B11))="",NA(),INDEX([1]Temps!$D$43:$AH$66,AK$3,DAY($B11)))</f>
        <v>41</v>
      </c>
      <c r="AL11" s="587">
        <f>IF(INDEX([1]Temps!$D$43:$AH$66,AL$3,DAY($B11))="",NA(),INDEX([1]Temps!$D$43:$AH$66,AL$3,DAY($B11)))</f>
        <v>46</v>
      </c>
      <c r="AM11" s="587">
        <f>IF(INDEX([1]Temps!$D$43:$AH$66,AM$3,DAY($B11))="",NA(),INDEX([1]Temps!$D$43:$AH$66,AM$3,DAY($B11)))</f>
        <v>48.9</v>
      </c>
      <c r="AN11" s="587">
        <f>IF(INDEX([1]Temps!$D$43:$AH$66,AN$3,DAY($B11))="",NA(),INDEX([1]Temps!$D$43:$AH$66,AN$3,DAY($B11)))</f>
        <v>51.1</v>
      </c>
      <c r="AO11" s="587">
        <f>IF(INDEX([1]Temps!$D$43:$AH$66,AO$3,DAY($B11))="",NA(),INDEX([1]Temps!$D$43:$AH$66,AO$3,DAY($B11)))</f>
        <v>54</v>
      </c>
      <c r="AP11" s="587">
        <f>IF(INDEX([1]Temps!$D$43:$AH$66,AP$3,DAY($B11))="",NA(),INDEX([1]Temps!$D$43:$AH$66,AP$3,DAY($B11)))</f>
        <v>55</v>
      </c>
      <c r="AQ11" s="587">
        <f>IF(INDEX([1]Temps!$D$43:$AH$66,AQ$3,DAY($B11))="",NA(),INDEX([1]Temps!$D$43:$AH$66,AQ$3,DAY($B11)))</f>
        <v>55.9</v>
      </c>
      <c r="AR11" s="587">
        <f>IF(INDEX([1]Temps!$D$43:$AH$66,AR$3,DAY($B11))="",NA(),INDEX([1]Temps!$D$43:$AH$66,AR$3,DAY($B11)))</f>
        <v>55.9</v>
      </c>
      <c r="AS11" s="587">
        <f>IF(INDEX([1]Temps!$D$43:$AH$66,AS$3,DAY($B11))="",NA(),INDEX([1]Temps!$D$43:$AH$66,AS$3,DAY($B11)))</f>
        <v>54</v>
      </c>
      <c r="AT11" s="587">
        <f>IF(INDEX([1]Temps!$D$43:$AH$66,AT$3,DAY($B11))="",NA(),INDEX([1]Temps!$D$43:$AH$66,AT$3,DAY($B11)))</f>
        <v>51.1</v>
      </c>
      <c r="AU11" s="587">
        <f>IF(INDEX([1]Temps!$D$43:$AH$66,AU$3,DAY($B11))="",NA(),INDEX([1]Temps!$D$43:$AH$66,AU$3,DAY($B11)))</f>
        <v>48.9</v>
      </c>
      <c r="AV11" s="587">
        <f>IF(INDEX([1]Temps!$D$43:$AH$66,AV$3,DAY($B11))="",NA(),INDEX([1]Temps!$D$43:$AH$66,AV$3,DAY($B11)))</f>
        <v>46.9</v>
      </c>
      <c r="AW11" s="587">
        <f>IF(INDEX([1]Temps!$D$43:$AH$66,AW$3,DAY($B11))="",NA(),INDEX([1]Temps!$D$43:$AH$66,AW$3,DAY($B11)))</f>
        <v>46.9</v>
      </c>
      <c r="AX11" s="587">
        <f>IF(INDEX([1]Temps!$D$43:$AH$66,AX$3,DAY($B11))="",NA(),INDEX([1]Temps!$D$43:$AH$66,AX$3,DAY($B11)))</f>
        <v>46.9</v>
      </c>
      <c r="AY11" s="587">
        <f>IF(INDEX([1]Temps!$D$43:$AH$66,AY$3,DAY($B11))="",NA(),INDEX([1]Temps!$D$43:$AH$66,AY$3,DAY($B11)))</f>
        <v>46.9</v>
      </c>
      <c r="AZ11" s="587">
        <f>IF(INDEX([1]Temps!$D$43:$AH$66,AZ$3,DAY($B11))="",NA(),INDEX([1]Temps!$D$43:$AH$66,AZ$3,DAY($B11)))</f>
        <v>46</v>
      </c>
      <c r="BB11" s="583">
        <f t="shared" si="7"/>
        <v>41951</v>
      </c>
      <c r="BC11" s="587">
        <f>'[1]Hourly Load'!B11</f>
        <v>2518</v>
      </c>
      <c r="BD11" s="587">
        <f>'[1]Hourly Load'!C11</f>
        <v>2444</v>
      </c>
      <c r="BE11" s="587">
        <f>'[1]Hourly Load'!D11</f>
        <v>2392</v>
      </c>
      <c r="BF11" s="587">
        <f>'[1]Hourly Load'!E11</f>
        <v>2395</v>
      </c>
      <c r="BG11" s="587">
        <f>'[1]Hourly Load'!F11</f>
        <v>2442</v>
      </c>
      <c r="BH11" s="587">
        <f>'[1]Hourly Load'!G11</f>
        <v>2500</v>
      </c>
      <c r="BI11" s="587">
        <f>'[1]Hourly Load'!H11</f>
        <v>2565</v>
      </c>
      <c r="BJ11" s="587">
        <f>'[1]Hourly Load'!I11</f>
        <v>2605</v>
      </c>
      <c r="BK11" s="587">
        <f>'[1]Hourly Load'!J11</f>
        <v>2624</v>
      </c>
      <c r="BL11" s="587">
        <f>'[1]Hourly Load'!K11</f>
        <v>2627</v>
      </c>
      <c r="BM11" s="587">
        <f>'[1]Hourly Load'!L11</f>
        <v>2548</v>
      </c>
      <c r="BN11" s="587">
        <f>'[1]Hourly Load'!M11</f>
        <v>2426</v>
      </c>
      <c r="BO11" s="587">
        <f>'[1]Hourly Load'!N11</f>
        <v>2352</v>
      </c>
      <c r="BP11" s="587">
        <f>'[1]Hourly Load'!O11</f>
        <v>2270</v>
      </c>
      <c r="BQ11" s="587">
        <f>'[1]Hourly Load'!P11</f>
        <v>2234</v>
      </c>
      <c r="BR11" s="587">
        <f>'[1]Hourly Load'!Q11</f>
        <v>2224</v>
      </c>
      <c r="BS11" s="587">
        <f>'[1]Hourly Load'!R11</f>
        <v>2217</v>
      </c>
      <c r="BT11" s="587">
        <f>'[1]Hourly Load'!S11</f>
        <v>2377</v>
      </c>
      <c r="BU11" s="587">
        <f>'[1]Hourly Load'!T11</f>
        <v>2431</v>
      </c>
      <c r="BV11" s="587">
        <f>'[1]Hourly Load'!U11</f>
        <v>2393</v>
      </c>
      <c r="BW11" s="587">
        <f>'[1]Hourly Load'!V11</f>
        <v>2395</v>
      </c>
      <c r="BX11" s="587">
        <f>'[1]Hourly Load'!W11</f>
        <v>2319</v>
      </c>
      <c r="BY11" s="587">
        <f>'[1]Hourly Load'!X11</f>
        <v>2218</v>
      </c>
      <c r="BZ11" s="587">
        <f>'[1]Hourly Load'!Y11</f>
        <v>2177</v>
      </c>
      <c r="CA11" s="584"/>
      <c r="CB11" s="583">
        <f t="shared" si="8"/>
        <v>41951</v>
      </c>
      <c r="CC11" s="587">
        <f>'[1]Hourly Load'!AA11</f>
        <v>1158.3428955078125</v>
      </c>
      <c r="CD11" s="587">
        <f>'[1]Hourly Load'!AB11</f>
        <v>1133.3280029296875</v>
      </c>
      <c r="CE11" s="587">
        <f>'[1]Hourly Load'!AC11</f>
        <v>1148.8399658203125</v>
      </c>
      <c r="CF11" s="587">
        <f>'[1]Hourly Load'!AD11</f>
        <v>1131.8431396484375</v>
      </c>
      <c r="CG11" s="587">
        <f>'[1]Hourly Load'!AE11</f>
        <v>1129.343994140625</v>
      </c>
      <c r="CH11" s="587">
        <f>'[1]Hourly Load'!AF11</f>
        <v>1156.72802734375</v>
      </c>
      <c r="CI11" s="587">
        <f>'[1]Hourly Load'!AG11</f>
        <v>1185.5399169921875</v>
      </c>
      <c r="CJ11" s="587">
        <f>'[1]Hourly Load'!AH11</f>
        <v>1211.343994140625</v>
      </c>
      <c r="CK11" s="587">
        <f>'[1]Hourly Load'!AI11</f>
        <v>1244.945068359375</v>
      </c>
      <c r="CL11" s="587">
        <f>'[1]Hourly Load'!AJ11</f>
        <v>1264.9410400390625</v>
      </c>
      <c r="CM11" s="587">
        <f>'[1]Hourly Load'!AK11</f>
        <v>1262.3321533203125</v>
      </c>
      <c r="CN11" s="587">
        <f>'[1]Hourly Load'!AL11</f>
        <v>1241.8441162109375</v>
      </c>
      <c r="CO11" s="587">
        <f>'[1]Hourly Load'!AM11</f>
        <v>1199.345947265625</v>
      </c>
      <c r="CP11" s="587">
        <f>'[1]Hourly Load'!AN11</f>
        <v>1179.845947265625</v>
      </c>
      <c r="CQ11" s="587">
        <f>'[1]Hourly Load'!AO11</f>
        <v>1157.1461181640625</v>
      </c>
      <c r="CR11" s="587">
        <f>'[1]Hourly Load'!AP11</f>
        <v>1140.7469482421875</v>
      </c>
      <c r="CS11" s="587">
        <f>'[1]Hourly Load'!AQ11</f>
        <v>1165.9420166015625</v>
      </c>
      <c r="CT11" s="587">
        <f>'[1]Hourly Load'!AR11</f>
        <v>1228.9329833984375</v>
      </c>
      <c r="CU11" s="587">
        <f>'[1]Hourly Load'!AS11</f>
        <v>1283.9449462890625</v>
      </c>
      <c r="CV11" s="587">
        <f>'[1]Hourly Load'!AT11</f>
        <v>1265.6429443359375</v>
      </c>
      <c r="CW11" s="587">
        <f>'[1]Hourly Load'!AU11</f>
        <v>1247.4439697265625</v>
      </c>
      <c r="CX11" s="587">
        <f>'[1]Hourly Load'!AV11</f>
        <v>1221.94287109375</v>
      </c>
      <c r="CY11" s="587">
        <f>'[1]Hourly Load'!AW11</f>
        <v>1148.531982421875</v>
      </c>
      <c r="CZ11" s="587">
        <f>'[1]Hourly Load'!AX11</f>
        <v>1075.0389404296875</v>
      </c>
    </row>
    <row r="12" spans="1:104">
      <c r="A12" s="582">
        <v>9</v>
      </c>
      <c r="B12" s="583">
        <f>'Input Data'!A12</f>
        <v>41952</v>
      </c>
      <c r="C12" s="609">
        <f>IF(INDEX([1]Temps!$D$7:$AH$30,C$3,DAY($B12))="",NA(),INDEX([1]Temps!$D$7:$AH$30,C$3,DAY($B12)))</f>
        <v>43</v>
      </c>
      <c r="D12" s="609">
        <f>IF(INDEX([1]Temps!$D$7:$AH$30,D$3,DAY($B12))="",NA(),INDEX([1]Temps!$D$7:$AH$30,D$3,DAY($B12)))</f>
        <v>42.1</v>
      </c>
      <c r="E12" s="609">
        <f>IF(INDEX([1]Temps!$D$7:$AH$30,E$3,DAY($B12))="",NA(),INDEX([1]Temps!$D$7:$AH$30,E$3,DAY($B12)))</f>
        <v>41</v>
      </c>
      <c r="F12" s="609">
        <f>IF(INDEX([1]Temps!$D$7:$AH$30,F$3,DAY($B12))="",NA(),INDEX([1]Temps!$D$7:$AH$30,F$3,DAY($B12)))</f>
        <v>41</v>
      </c>
      <c r="G12" s="609">
        <f>IF(INDEX([1]Temps!$D$7:$AH$30,G$3,DAY($B12))="",NA(),INDEX([1]Temps!$D$7:$AH$30,G$3,DAY($B12)))</f>
        <v>39</v>
      </c>
      <c r="H12" s="609">
        <f>IF(INDEX([1]Temps!$D$7:$AH$30,H$3,DAY($B12))="",NA(),INDEX([1]Temps!$D$7:$AH$30,H$3,DAY($B12)))</f>
        <v>37.9</v>
      </c>
      <c r="I12" s="609">
        <f>IF(INDEX([1]Temps!$D$7:$AH$30,I$3,DAY($B12))="",NA(),INDEX([1]Temps!$D$7:$AH$30,I$3,DAY($B12)))</f>
        <v>35.1</v>
      </c>
      <c r="J12" s="609">
        <f>IF(INDEX([1]Temps!$D$7:$AH$30,J$3,DAY($B12))="",NA(),INDEX([1]Temps!$D$7:$AH$30,J$3,DAY($B12)))</f>
        <v>35.1</v>
      </c>
      <c r="K12" s="609">
        <f>IF(INDEX([1]Temps!$D$7:$AH$30,K$3,DAY($B12))="",NA(),INDEX([1]Temps!$D$7:$AH$30,K$3,DAY($B12)))</f>
        <v>39.9</v>
      </c>
      <c r="L12" s="609">
        <f>IF(INDEX([1]Temps!$D$7:$AH$30,L$3,DAY($B12))="",NA(),INDEX([1]Temps!$D$7:$AH$30,L$3,DAY($B12)))</f>
        <v>44.1</v>
      </c>
      <c r="M12" s="609">
        <f>IF(INDEX([1]Temps!$D$7:$AH$30,M$3,DAY($B12))="",NA(),INDEX([1]Temps!$D$7:$AH$30,M$3,DAY($B12)))</f>
        <v>46</v>
      </c>
      <c r="N12" s="609">
        <f>IF(INDEX([1]Temps!$D$7:$AH$30,N$3,DAY($B12))="",NA(),INDEX([1]Temps!$D$7:$AH$30,N$3,DAY($B12)))</f>
        <v>48</v>
      </c>
      <c r="O12" s="609">
        <f>IF(INDEX([1]Temps!$D$7:$AH$30,O$3,DAY($B12))="",NA(),INDEX([1]Temps!$D$7:$AH$30,O$3,DAY($B12)))</f>
        <v>50</v>
      </c>
      <c r="P12" s="609">
        <f>IF(INDEX([1]Temps!$D$7:$AH$30,P$3,DAY($B12))="",NA(),INDEX([1]Temps!$D$7:$AH$30,P$3,DAY($B12)))</f>
        <v>51.1</v>
      </c>
      <c r="Q12" s="609">
        <f>IF(INDEX([1]Temps!$D$7:$AH$30,Q$3,DAY($B12))="",NA(),INDEX([1]Temps!$D$7:$AH$30,Q$3,DAY($B12)))</f>
        <v>52</v>
      </c>
      <c r="R12" s="609">
        <f>IF(INDEX([1]Temps!$D$7:$AH$30,R$3,DAY($B12))="",NA(),INDEX([1]Temps!$D$7:$AH$30,R$3,DAY($B12)))</f>
        <v>53.1</v>
      </c>
      <c r="S12" s="609">
        <f>IF(INDEX([1]Temps!$D$7:$AH$30,S$3,DAY($B12))="",NA(),INDEX([1]Temps!$D$7:$AH$30,S$3,DAY($B12)))</f>
        <v>50</v>
      </c>
      <c r="T12" s="609">
        <f>IF(INDEX([1]Temps!$D$7:$AH$30,T$3,DAY($B12))="",NA(),INDEX([1]Temps!$D$7:$AH$30,T$3,DAY($B12)))</f>
        <v>50</v>
      </c>
      <c r="U12" s="609">
        <f>IF(INDEX([1]Temps!$D$7:$AH$30,U$3,DAY($B12))="",NA(),INDEX([1]Temps!$D$7:$AH$30,U$3,DAY($B12)))</f>
        <v>46.9</v>
      </c>
      <c r="V12" s="609">
        <f>IF(INDEX([1]Temps!$D$7:$AH$30,V$3,DAY($B12))="",NA(),INDEX([1]Temps!$D$7:$AH$30,V$3,DAY($B12)))</f>
        <v>42.1</v>
      </c>
      <c r="W12" s="609">
        <f>IF(INDEX([1]Temps!$D$7:$AH$30,W$3,DAY($B12))="",NA(),INDEX([1]Temps!$D$7:$AH$30,W$3,DAY($B12)))</f>
        <v>43</v>
      </c>
      <c r="X12" s="609">
        <f>IF(INDEX([1]Temps!$D$7:$AH$30,X$3,DAY($B12))="",NA(),INDEX([1]Temps!$D$7:$AH$30,X$3,DAY($B12)))</f>
        <v>37.9</v>
      </c>
      <c r="Y12" s="609">
        <f>IF(INDEX([1]Temps!$D$7:$AH$30,Y$3,DAY($B12))="",NA(),INDEX([1]Temps!$D$7:$AH$30,Y$3,DAY($B12)))</f>
        <v>43</v>
      </c>
      <c r="Z12" s="609">
        <f>IF(INDEX([1]Temps!$D$7:$AH$30,Z$3,DAY($B12))="",NA(),INDEX([1]Temps!$D$7:$AH$30,Z$3,DAY($B12)))</f>
        <v>39.9</v>
      </c>
      <c r="AA12" s="584"/>
      <c r="AB12" s="583">
        <f t="shared" si="6"/>
        <v>41952</v>
      </c>
      <c r="AC12" s="587">
        <f>IF(INDEX([1]Temps!$D$43:$AH$66,AC$3,DAY($B12))="",NA(),INDEX([1]Temps!$D$43:$AH$66,AC$3,DAY($B12)))</f>
        <v>42.1</v>
      </c>
      <c r="AD12" s="587">
        <f>IF(INDEX([1]Temps!$D$43:$AH$66,AD$3,DAY($B12))="",NA(),INDEX([1]Temps!$D$43:$AH$66,AD$3,DAY($B12)))</f>
        <v>39</v>
      </c>
      <c r="AE12" s="587">
        <f>IF(INDEX([1]Temps!$D$43:$AH$66,AE$3,DAY($B12))="",NA(),INDEX([1]Temps!$D$43:$AH$66,AE$3,DAY($B12)))</f>
        <v>39</v>
      </c>
      <c r="AF12" s="587">
        <f>IF(INDEX([1]Temps!$D$43:$AH$66,AF$3,DAY($B12))="",NA(),INDEX([1]Temps!$D$43:$AH$66,AF$3,DAY($B12)))</f>
        <v>36</v>
      </c>
      <c r="AG12" s="587">
        <f>IF(INDEX([1]Temps!$D$43:$AH$66,AG$3,DAY($B12))="",NA(),INDEX([1]Temps!$D$43:$AH$66,AG$3,DAY($B12)))</f>
        <v>35.1</v>
      </c>
      <c r="AH12" s="587">
        <f>IF(INDEX([1]Temps!$D$43:$AH$66,AH$3,DAY($B12))="",NA(),INDEX([1]Temps!$D$43:$AH$66,AH$3,DAY($B12)))</f>
        <v>34</v>
      </c>
      <c r="AI12" s="587">
        <f>IF(INDEX([1]Temps!$D$43:$AH$66,AI$3,DAY($B12))="",NA(),INDEX([1]Temps!$D$43:$AH$66,AI$3,DAY($B12)))</f>
        <v>33.1</v>
      </c>
      <c r="AJ12" s="587">
        <f>IF(INDEX([1]Temps!$D$43:$AH$66,AJ$3,DAY($B12))="",NA(),INDEX([1]Temps!$D$43:$AH$66,AJ$3,DAY($B12)))</f>
        <v>34</v>
      </c>
      <c r="AK12" s="587">
        <f>IF(INDEX([1]Temps!$D$43:$AH$66,AK$3,DAY($B12))="",NA(),INDEX([1]Temps!$D$43:$AH$66,AK$3,DAY($B12)))</f>
        <v>41</v>
      </c>
      <c r="AL12" s="587">
        <f>IF(INDEX([1]Temps!$D$43:$AH$66,AL$3,DAY($B12))="",NA(),INDEX([1]Temps!$D$43:$AH$66,AL$3,DAY($B12)))</f>
        <v>45</v>
      </c>
      <c r="AM12" s="587">
        <f>IF(INDEX([1]Temps!$D$43:$AH$66,AM$3,DAY($B12))="",NA(),INDEX([1]Temps!$D$43:$AH$66,AM$3,DAY($B12)))</f>
        <v>46.9</v>
      </c>
      <c r="AN12" s="587">
        <f>IF(INDEX([1]Temps!$D$43:$AH$66,AN$3,DAY($B12))="",NA(),INDEX([1]Temps!$D$43:$AH$66,AN$3,DAY($B12)))</f>
        <v>48.9</v>
      </c>
      <c r="AO12" s="587">
        <f>IF(INDEX([1]Temps!$D$43:$AH$66,AO$3,DAY($B12))="",NA(),INDEX([1]Temps!$D$43:$AH$66,AO$3,DAY($B12)))</f>
        <v>51.1</v>
      </c>
      <c r="AP12" s="587">
        <f>IF(INDEX([1]Temps!$D$43:$AH$66,AP$3,DAY($B12))="",NA(),INDEX([1]Temps!$D$43:$AH$66,AP$3,DAY($B12)))</f>
        <v>54</v>
      </c>
      <c r="AQ12" s="587">
        <f>IF(INDEX([1]Temps!$D$43:$AH$66,AQ$3,DAY($B12))="",NA(),INDEX([1]Temps!$D$43:$AH$66,AQ$3,DAY($B12)))</f>
        <v>54</v>
      </c>
      <c r="AR12" s="587">
        <f>IF(INDEX([1]Temps!$D$43:$AH$66,AR$3,DAY($B12))="",NA(),INDEX([1]Temps!$D$43:$AH$66,AR$3,DAY($B12)))</f>
        <v>55</v>
      </c>
      <c r="AS12" s="587">
        <f>IF(INDEX([1]Temps!$D$43:$AH$66,AS$3,DAY($B12))="",NA(),INDEX([1]Temps!$D$43:$AH$66,AS$3,DAY($B12)))</f>
        <v>54</v>
      </c>
      <c r="AT12" s="587">
        <f>IF(INDEX([1]Temps!$D$43:$AH$66,AT$3,DAY($B12))="",NA(),INDEX([1]Temps!$D$43:$AH$66,AT$3,DAY($B12)))</f>
        <v>52</v>
      </c>
      <c r="AU12" s="587">
        <f>IF(INDEX([1]Temps!$D$43:$AH$66,AU$3,DAY($B12))="",NA(),INDEX([1]Temps!$D$43:$AH$66,AU$3,DAY($B12)))</f>
        <v>50</v>
      </c>
      <c r="AV12" s="587">
        <f>IF(INDEX([1]Temps!$D$43:$AH$66,AV$3,DAY($B12))="",NA(),INDEX([1]Temps!$D$43:$AH$66,AV$3,DAY($B12)))</f>
        <v>46</v>
      </c>
      <c r="AW12" s="587">
        <f>IF(INDEX([1]Temps!$D$43:$AH$66,AW$3,DAY($B12))="",NA(),INDEX([1]Temps!$D$43:$AH$66,AW$3,DAY($B12)))</f>
        <v>44.1</v>
      </c>
      <c r="AX12" s="587">
        <f>IF(INDEX([1]Temps!$D$43:$AH$66,AX$3,DAY($B12))="",NA(),INDEX([1]Temps!$D$43:$AH$66,AX$3,DAY($B12)))</f>
        <v>45</v>
      </c>
      <c r="AY12" s="587">
        <f>IF(INDEX([1]Temps!$D$43:$AH$66,AY$3,DAY($B12))="",NA(),INDEX([1]Temps!$D$43:$AH$66,AY$3,DAY($B12)))</f>
        <v>46</v>
      </c>
      <c r="AZ12" s="587">
        <f>IF(INDEX([1]Temps!$D$43:$AH$66,AZ$3,DAY($B12))="",NA(),INDEX([1]Temps!$D$43:$AH$66,AZ$3,DAY($B12)))</f>
        <v>44.1</v>
      </c>
      <c r="BB12" s="583">
        <f t="shared" si="7"/>
        <v>41952</v>
      </c>
      <c r="BC12" s="587">
        <f>'[1]Hourly Load'!B12</f>
        <v>2116</v>
      </c>
      <c r="BD12" s="587">
        <f>'[1]Hourly Load'!C12</f>
        <v>2064</v>
      </c>
      <c r="BE12" s="587">
        <f>'[1]Hourly Load'!D12</f>
        <v>2062</v>
      </c>
      <c r="BF12" s="587">
        <f>'[1]Hourly Load'!E12</f>
        <v>2055</v>
      </c>
      <c r="BG12" s="587">
        <f>'[1]Hourly Load'!F12</f>
        <v>2066</v>
      </c>
      <c r="BH12" s="587">
        <f>'[1]Hourly Load'!G12</f>
        <v>2140</v>
      </c>
      <c r="BI12" s="587">
        <f>'[1]Hourly Load'!H12</f>
        <v>2236</v>
      </c>
      <c r="BJ12" s="587">
        <f>'[1]Hourly Load'!I12</f>
        <v>2299</v>
      </c>
      <c r="BK12" s="587">
        <f>'[1]Hourly Load'!J12</f>
        <v>2352</v>
      </c>
      <c r="BL12" s="587">
        <f>'[1]Hourly Load'!K12</f>
        <v>2280</v>
      </c>
      <c r="BM12" s="587">
        <f>'[1]Hourly Load'!L12</f>
        <v>2196</v>
      </c>
      <c r="BN12" s="587">
        <f>'[1]Hourly Load'!M12</f>
        <v>2091</v>
      </c>
      <c r="BO12" s="587">
        <f>'[1]Hourly Load'!N12</f>
        <v>2079</v>
      </c>
      <c r="BP12" s="587">
        <f>'[1]Hourly Load'!O12</f>
        <v>2059</v>
      </c>
      <c r="BQ12" s="587">
        <f>'[1]Hourly Load'!P12</f>
        <v>1985.0001220703125</v>
      </c>
      <c r="BR12" s="587">
        <f>'[1]Hourly Load'!Q12</f>
        <v>2002.9998779296875</v>
      </c>
      <c r="BS12" s="587">
        <f>'[1]Hourly Load'!R12</f>
        <v>1955.0001220703125</v>
      </c>
      <c r="BT12" s="587">
        <f>'[1]Hourly Load'!S12</f>
        <v>2203</v>
      </c>
      <c r="BU12" s="587">
        <f>'[1]Hourly Load'!T12</f>
        <v>2283</v>
      </c>
      <c r="BV12" s="587">
        <f>'[1]Hourly Load'!U12</f>
        <v>2346</v>
      </c>
      <c r="BW12" s="587">
        <f>'[1]Hourly Load'!V12</f>
        <v>2347</v>
      </c>
      <c r="BX12" s="587">
        <f>'[1]Hourly Load'!W12</f>
        <v>2249</v>
      </c>
      <c r="BY12" s="587">
        <f>'[1]Hourly Load'!X12</f>
        <v>2232</v>
      </c>
      <c r="BZ12" s="587">
        <f>'[1]Hourly Load'!Y12</f>
        <v>2170</v>
      </c>
      <c r="CA12" s="584"/>
      <c r="CB12" s="583">
        <f t="shared" si="8"/>
        <v>41952</v>
      </c>
      <c r="CC12" s="587">
        <f>'[1]Hourly Load'!AA12</f>
        <v>1050.8428955078125</v>
      </c>
      <c r="CD12" s="587">
        <f>'[1]Hourly Load'!AB12</f>
        <v>1039.2440185546875</v>
      </c>
      <c r="CE12" s="587">
        <f>'[1]Hourly Load'!AC12</f>
        <v>1029.44091796875</v>
      </c>
      <c r="CF12" s="587">
        <f>'[1]Hourly Load'!AD12</f>
        <v>1030.1270751953125</v>
      </c>
      <c r="CG12" s="587">
        <f>'[1]Hourly Load'!AE12</f>
        <v>1039.444091796875</v>
      </c>
      <c r="CH12" s="587">
        <f>'[1]Hourly Load'!AF12</f>
        <v>1074.04296875</v>
      </c>
      <c r="CI12" s="587">
        <f>'[1]Hourly Load'!AG12</f>
        <v>1108.9420166015625</v>
      </c>
      <c r="CJ12" s="587">
        <f>'[1]Hourly Load'!AH12</f>
        <v>1135.3310546875</v>
      </c>
      <c r="CK12" s="587">
        <f>'[1]Hourly Load'!AI12</f>
        <v>1169.64404296875</v>
      </c>
      <c r="CL12" s="587">
        <f>'[1]Hourly Load'!AJ12</f>
        <v>1168.0439453125</v>
      </c>
      <c r="CM12" s="587">
        <f>'[1]Hourly Load'!AK12</f>
        <v>1175.7449951171875</v>
      </c>
      <c r="CN12" s="587">
        <f>'[1]Hourly Load'!AL12</f>
        <v>1133.945068359375</v>
      </c>
      <c r="CO12" s="587">
        <f>'[1]Hourly Load'!AM12</f>
        <v>1158.845947265625</v>
      </c>
      <c r="CP12" s="587">
        <f>'[1]Hourly Load'!AN12</f>
        <v>1134.532958984375</v>
      </c>
      <c r="CQ12" s="587">
        <f>'[1]Hourly Load'!AO12</f>
        <v>1123.946044921875</v>
      </c>
      <c r="CR12" s="587">
        <f>'[1]Hourly Load'!AP12</f>
        <v>1119.248046875</v>
      </c>
      <c r="CS12" s="587">
        <f>'[1]Hourly Load'!AQ12</f>
        <v>1128.4468994140625</v>
      </c>
      <c r="CT12" s="587">
        <f>'[1]Hourly Load'!AR12</f>
        <v>1206.14599609375</v>
      </c>
      <c r="CU12" s="587">
        <f>'[1]Hourly Load'!AS12</f>
        <v>1285.5450439453125</v>
      </c>
      <c r="CV12" s="587">
        <f>'[1]Hourly Load'!AT12</f>
        <v>1290.2330322265625</v>
      </c>
      <c r="CW12" s="587">
        <f>'[1]Hourly Load'!AU12</f>
        <v>1278.1358642578125</v>
      </c>
      <c r="CX12" s="587">
        <f>'[1]Hourly Load'!AV12</f>
        <v>1233.64404296875</v>
      </c>
      <c r="CY12" s="587">
        <f>'[1]Hourly Load'!AW12</f>
        <v>1172.4439697265625</v>
      </c>
      <c r="CZ12" s="587">
        <f>'[1]Hourly Load'!AX12</f>
        <v>1116.343017578125</v>
      </c>
    </row>
    <row r="13" spans="1:104">
      <c r="A13" s="582">
        <v>10</v>
      </c>
      <c r="B13" s="583">
        <f>'Input Data'!A13</f>
        <v>41953</v>
      </c>
      <c r="C13" s="609">
        <f>IF(INDEX([1]Temps!$D$7:$AH$30,C$3,DAY($B13))="",NA(),INDEX([1]Temps!$D$7:$AH$30,C$3,DAY($B13)))</f>
        <v>39.9</v>
      </c>
      <c r="D13" s="609">
        <f>IF(INDEX([1]Temps!$D$7:$AH$30,D$3,DAY($B13))="",NA(),INDEX([1]Temps!$D$7:$AH$30,D$3,DAY($B13)))</f>
        <v>39.9</v>
      </c>
      <c r="E13" s="609">
        <f>IF(INDEX([1]Temps!$D$7:$AH$30,E$3,DAY($B13))="",NA(),INDEX([1]Temps!$D$7:$AH$30,E$3,DAY($B13)))</f>
        <v>37.9</v>
      </c>
      <c r="F13" s="609">
        <f>IF(INDEX([1]Temps!$D$7:$AH$30,F$3,DAY($B13))="",NA(),INDEX([1]Temps!$D$7:$AH$30,F$3,DAY($B13)))</f>
        <v>39</v>
      </c>
      <c r="G13" s="609">
        <f>IF(INDEX([1]Temps!$D$7:$AH$30,G$3,DAY($B13))="",NA(),INDEX([1]Temps!$D$7:$AH$30,G$3,DAY($B13)))</f>
        <v>37</v>
      </c>
      <c r="H13" s="609">
        <f>IF(INDEX([1]Temps!$D$7:$AH$30,H$3,DAY($B13))="",NA(),INDEX([1]Temps!$D$7:$AH$30,H$3,DAY($B13)))</f>
        <v>37</v>
      </c>
      <c r="I13" s="609">
        <f>IF(INDEX([1]Temps!$D$7:$AH$30,I$3,DAY($B13))="",NA(),INDEX([1]Temps!$D$7:$AH$30,I$3,DAY($B13)))</f>
        <v>37.9</v>
      </c>
      <c r="J13" s="609">
        <f>IF(INDEX([1]Temps!$D$7:$AH$30,J$3,DAY($B13))="",NA(),INDEX([1]Temps!$D$7:$AH$30,J$3,DAY($B13)))</f>
        <v>39</v>
      </c>
      <c r="K13" s="609">
        <f>IF(INDEX([1]Temps!$D$7:$AH$30,K$3,DAY($B13))="",NA(),INDEX([1]Temps!$D$7:$AH$30,K$3,DAY($B13)))</f>
        <v>44.1</v>
      </c>
      <c r="L13" s="609">
        <f>IF(INDEX([1]Temps!$D$7:$AH$30,L$3,DAY($B13))="",NA(),INDEX([1]Temps!$D$7:$AH$30,L$3,DAY($B13)))</f>
        <v>51.1</v>
      </c>
      <c r="M13" s="609">
        <f>IF(INDEX([1]Temps!$D$7:$AH$30,M$3,DAY($B13))="",NA(),INDEX([1]Temps!$D$7:$AH$30,M$3,DAY($B13)))</f>
        <v>55</v>
      </c>
      <c r="N13" s="609">
        <f>IF(INDEX([1]Temps!$D$7:$AH$30,N$3,DAY($B13))="",NA(),INDEX([1]Temps!$D$7:$AH$30,N$3,DAY($B13)))</f>
        <v>59</v>
      </c>
      <c r="O13" s="609">
        <f>IF(INDEX([1]Temps!$D$7:$AH$30,O$3,DAY($B13))="",NA(),INDEX([1]Temps!$D$7:$AH$30,O$3,DAY($B13)))</f>
        <v>62.1</v>
      </c>
      <c r="P13" s="609">
        <f>IF(INDEX([1]Temps!$D$7:$AH$30,P$3,DAY($B13))="",NA(),INDEX([1]Temps!$D$7:$AH$30,P$3,DAY($B13)))</f>
        <v>63</v>
      </c>
      <c r="Q13" s="609">
        <f>IF(INDEX([1]Temps!$D$7:$AH$30,Q$3,DAY($B13))="",NA(),INDEX([1]Temps!$D$7:$AH$30,Q$3,DAY($B13)))</f>
        <v>64.900000000000006</v>
      </c>
      <c r="R13" s="609">
        <f>IF(INDEX([1]Temps!$D$7:$AH$30,R$3,DAY($B13))="",NA(),INDEX([1]Temps!$D$7:$AH$30,R$3,DAY($B13)))</f>
        <v>63</v>
      </c>
      <c r="S13" s="609">
        <f>IF(INDEX([1]Temps!$D$7:$AH$30,S$3,DAY($B13))="",NA(),INDEX([1]Temps!$D$7:$AH$30,S$3,DAY($B13)))</f>
        <v>61</v>
      </c>
      <c r="T13" s="609">
        <f>IF(INDEX([1]Temps!$D$7:$AH$30,T$3,DAY($B13))="",NA(),INDEX([1]Temps!$D$7:$AH$30,T$3,DAY($B13)))</f>
        <v>55.9</v>
      </c>
      <c r="U13" s="609">
        <f>IF(INDEX([1]Temps!$D$7:$AH$30,U$3,DAY($B13))="",NA(),INDEX([1]Temps!$D$7:$AH$30,U$3,DAY($B13)))</f>
        <v>57</v>
      </c>
      <c r="V13" s="609">
        <f>IF(INDEX([1]Temps!$D$7:$AH$30,V$3,DAY($B13))="",NA(),INDEX([1]Temps!$D$7:$AH$30,V$3,DAY($B13)))</f>
        <v>57</v>
      </c>
      <c r="W13" s="609">
        <f>IF(INDEX([1]Temps!$D$7:$AH$30,W$3,DAY($B13))="",NA(),INDEX([1]Temps!$D$7:$AH$30,W$3,DAY($B13)))</f>
        <v>55</v>
      </c>
      <c r="X13" s="609">
        <f>IF(INDEX([1]Temps!$D$7:$AH$30,X$3,DAY($B13))="",NA(),INDEX([1]Temps!$D$7:$AH$30,X$3,DAY($B13)))</f>
        <v>53.1</v>
      </c>
      <c r="Y13" s="609">
        <f>IF(INDEX([1]Temps!$D$7:$AH$30,Y$3,DAY($B13))="",NA(),INDEX([1]Temps!$D$7:$AH$30,Y$3,DAY($B13)))</f>
        <v>51.1</v>
      </c>
      <c r="Z13" s="609">
        <f>IF(INDEX([1]Temps!$D$7:$AH$30,Z$3,DAY($B13))="",NA(),INDEX([1]Temps!$D$7:$AH$30,Z$3,DAY($B13)))</f>
        <v>50</v>
      </c>
      <c r="AA13" s="584"/>
      <c r="AB13" s="583">
        <f t="shared" si="6"/>
        <v>41953</v>
      </c>
      <c r="AC13" s="587">
        <f>IF(INDEX([1]Temps!$D$43:$AH$66,AC$3,DAY($B13))="",NA(),INDEX([1]Temps!$D$43:$AH$66,AC$3,DAY($B13)))</f>
        <v>42.1</v>
      </c>
      <c r="AD13" s="587">
        <f>IF(INDEX([1]Temps!$D$43:$AH$66,AD$3,DAY($B13))="",NA(),INDEX([1]Temps!$D$43:$AH$66,AD$3,DAY($B13)))</f>
        <v>42.1</v>
      </c>
      <c r="AE13" s="587">
        <f>IF(INDEX([1]Temps!$D$43:$AH$66,AE$3,DAY($B13))="",NA(),INDEX([1]Temps!$D$43:$AH$66,AE$3,DAY($B13)))</f>
        <v>37.9</v>
      </c>
      <c r="AF13" s="587">
        <f>IF(INDEX([1]Temps!$D$43:$AH$66,AF$3,DAY($B13))="",NA(),INDEX([1]Temps!$D$43:$AH$66,AF$3,DAY($B13)))</f>
        <v>39</v>
      </c>
      <c r="AG13" s="587">
        <f>IF(INDEX([1]Temps!$D$43:$AH$66,AG$3,DAY($B13))="",NA(),INDEX([1]Temps!$D$43:$AH$66,AG$3,DAY($B13)))</f>
        <v>39</v>
      </c>
      <c r="AH13" s="587">
        <f>IF(INDEX([1]Temps!$D$43:$AH$66,AH$3,DAY($B13))="",NA(),INDEX([1]Temps!$D$43:$AH$66,AH$3,DAY($B13)))</f>
        <v>37</v>
      </c>
      <c r="AI13" s="587">
        <f>IF(INDEX([1]Temps!$D$43:$AH$66,AI$3,DAY($B13))="",NA(),INDEX([1]Temps!$D$43:$AH$66,AI$3,DAY($B13)))</f>
        <v>37.9</v>
      </c>
      <c r="AJ13" s="587">
        <f>IF(INDEX([1]Temps!$D$43:$AH$66,AJ$3,DAY($B13))="",NA(),INDEX([1]Temps!$D$43:$AH$66,AJ$3,DAY($B13)))</f>
        <v>39.9</v>
      </c>
      <c r="AK13" s="587">
        <f>IF(INDEX([1]Temps!$D$43:$AH$66,AK$3,DAY($B13))="",NA(),INDEX([1]Temps!$D$43:$AH$66,AK$3,DAY($B13)))</f>
        <v>45</v>
      </c>
      <c r="AL13" s="587">
        <f>IF(INDEX([1]Temps!$D$43:$AH$66,AL$3,DAY($B13))="",NA(),INDEX([1]Temps!$D$43:$AH$66,AL$3,DAY($B13)))</f>
        <v>50</v>
      </c>
      <c r="AM13" s="587">
        <f>IF(INDEX([1]Temps!$D$43:$AH$66,AM$3,DAY($B13))="",NA(),INDEX([1]Temps!$D$43:$AH$66,AM$3,DAY($B13)))</f>
        <v>54</v>
      </c>
      <c r="AN13" s="587">
        <f>IF(INDEX([1]Temps!$D$43:$AH$66,AN$3,DAY($B13))="",NA(),INDEX([1]Temps!$D$43:$AH$66,AN$3,DAY($B13)))</f>
        <v>57</v>
      </c>
      <c r="AO13" s="587">
        <f>IF(INDEX([1]Temps!$D$43:$AH$66,AO$3,DAY($B13))="",NA(),INDEX([1]Temps!$D$43:$AH$66,AO$3,DAY($B13)))</f>
        <v>61</v>
      </c>
      <c r="AP13" s="587">
        <f>IF(INDEX([1]Temps!$D$43:$AH$66,AP$3,DAY($B13))="",NA(),INDEX([1]Temps!$D$43:$AH$66,AP$3,DAY($B13)))</f>
        <v>63</v>
      </c>
      <c r="AQ13" s="587">
        <f>IF(INDEX([1]Temps!$D$43:$AH$66,AQ$3,DAY($B13))="",NA(),INDEX([1]Temps!$D$43:$AH$66,AQ$3,DAY($B13)))</f>
        <v>64</v>
      </c>
      <c r="AR13" s="587">
        <f>IF(INDEX([1]Temps!$D$43:$AH$66,AR$3,DAY($B13))="",NA(),INDEX([1]Temps!$D$43:$AH$66,AR$3,DAY($B13)))</f>
        <v>64.900000000000006</v>
      </c>
      <c r="AS13" s="587">
        <f>IF(INDEX([1]Temps!$D$43:$AH$66,AS$3,DAY($B13))="",NA(),INDEX([1]Temps!$D$43:$AH$66,AS$3,DAY($B13)))</f>
        <v>64</v>
      </c>
      <c r="AT13" s="587">
        <f>IF(INDEX([1]Temps!$D$43:$AH$66,AT$3,DAY($B13))="",NA(),INDEX([1]Temps!$D$43:$AH$66,AT$3,DAY($B13)))</f>
        <v>62.1</v>
      </c>
      <c r="AU13" s="587">
        <f>IF(INDEX([1]Temps!$D$43:$AH$66,AU$3,DAY($B13))="",NA(),INDEX([1]Temps!$D$43:$AH$66,AU$3,DAY($B13)))</f>
        <v>60.1</v>
      </c>
      <c r="AV13" s="587">
        <f>IF(INDEX([1]Temps!$D$43:$AH$66,AV$3,DAY($B13))="",NA(),INDEX([1]Temps!$D$43:$AH$66,AV$3,DAY($B13)))</f>
        <v>57.9</v>
      </c>
      <c r="AW13" s="587">
        <f>IF(INDEX([1]Temps!$D$43:$AH$66,AW$3,DAY($B13))="",NA(),INDEX([1]Temps!$D$43:$AH$66,AW$3,DAY($B13)))</f>
        <v>57</v>
      </c>
      <c r="AX13" s="587">
        <f>IF(INDEX([1]Temps!$D$43:$AH$66,AX$3,DAY($B13))="",NA(),INDEX([1]Temps!$D$43:$AH$66,AX$3,DAY($B13)))</f>
        <v>59</v>
      </c>
      <c r="AY13" s="587">
        <f>IF(INDEX([1]Temps!$D$43:$AH$66,AY$3,DAY($B13))="",NA(),INDEX([1]Temps!$D$43:$AH$66,AY$3,DAY($B13)))</f>
        <v>59</v>
      </c>
      <c r="AZ13" s="587">
        <f>IF(INDEX([1]Temps!$D$43:$AH$66,AZ$3,DAY($B13))="",NA(),INDEX([1]Temps!$D$43:$AH$66,AZ$3,DAY($B13)))</f>
        <v>57.9</v>
      </c>
      <c r="BB13" s="583">
        <f t="shared" si="7"/>
        <v>41953</v>
      </c>
      <c r="BC13" s="587">
        <f>'[1]Hourly Load'!B13</f>
        <v>2173</v>
      </c>
      <c r="BD13" s="587">
        <f>'[1]Hourly Load'!C13</f>
        <v>2137</v>
      </c>
      <c r="BE13" s="587">
        <f>'[1]Hourly Load'!D13</f>
        <v>2122</v>
      </c>
      <c r="BF13" s="587">
        <f>'[1]Hourly Load'!E13</f>
        <v>2183</v>
      </c>
      <c r="BG13" s="587">
        <f>'[1]Hourly Load'!F13</f>
        <v>2269</v>
      </c>
      <c r="BH13" s="587">
        <f>'[1]Hourly Load'!G13</f>
        <v>2458</v>
      </c>
      <c r="BI13" s="587">
        <f>'[1]Hourly Load'!H13</f>
        <v>2761</v>
      </c>
      <c r="BJ13" s="587">
        <f>'[1]Hourly Load'!I13</f>
        <v>2894</v>
      </c>
      <c r="BK13" s="587">
        <f>'[1]Hourly Load'!J13</f>
        <v>2849</v>
      </c>
      <c r="BL13" s="587">
        <f>'[1]Hourly Load'!K13</f>
        <v>2759</v>
      </c>
      <c r="BM13" s="587">
        <f>'[1]Hourly Load'!L13</f>
        <v>2664</v>
      </c>
      <c r="BN13" s="587">
        <f>'[1]Hourly Load'!M13</f>
        <v>2564</v>
      </c>
      <c r="BO13" s="587">
        <f>'[1]Hourly Load'!N13</f>
        <v>2536</v>
      </c>
      <c r="BP13" s="587">
        <f>'[1]Hourly Load'!O13</f>
        <v>2493</v>
      </c>
      <c r="BQ13" s="587">
        <f>'[1]Hourly Load'!P13</f>
        <v>2426</v>
      </c>
      <c r="BR13" s="587">
        <f>'[1]Hourly Load'!Q13</f>
        <v>2354</v>
      </c>
      <c r="BS13" s="587">
        <f>'[1]Hourly Load'!R13</f>
        <v>2362</v>
      </c>
      <c r="BT13" s="587">
        <f>'[1]Hourly Load'!S13</f>
        <v>2469</v>
      </c>
      <c r="BU13" s="587">
        <f>'[1]Hourly Load'!T13</f>
        <v>2607</v>
      </c>
      <c r="BV13" s="587">
        <f>'[1]Hourly Load'!U13</f>
        <v>2573</v>
      </c>
      <c r="BW13" s="587">
        <f>'[1]Hourly Load'!V13</f>
        <v>2587</v>
      </c>
      <c r="BX13" s="587">
        <f>'[1]Hourly Load'!W13</f>
        <v>2413</v>
      </c>
      <c r="BY13" s="587">
        <f>'[1]Hourly Load'!X13</f>
        <v>2354</v>
      </c>
      <c r="BZ13" s="587">
        <f>'[1]Hourly Load'!Y13</f>
        <v>2220</v>
      </c>
      <c r="CA13" s="584"/>
      <c r="CB13" s="583">
        <f t="shared" si="8"/>
        <v>41953</v>
      </c>
      <c r="CC13" s="587">
        <f>'[1]Hourly Load'!AA13</f>
        <v>1070.4300537109375</v>
      </c>
      <c r="CD13" s="587">
        <f>'[1]Hourly Load'!AB13</f>
        <v>1057.239990234375</v>
      </c>
      <c r="CE13" s="587">
        <f>'[1]Hourly Load'!AC13</f>
        <v>1045.943115234375</v>
      </c>
      <c r="CF13" s="587">
        <f>'[1]Hourly Load'!AD13</f>
        <v>1053.8441162109375</v>
      </c>
      <c r="CG13" s="587">
        <f>'[1]Hourly Load'!AE13</f>
        <v>1093.2340087890625</v>
      </c>
      <c r="CH13" s="587">
        <f>'[1]Hourly Load'!AF13</f>
        <v>1164.7349853515625</v>
      </c>
      <c r="CI13" s="587">
        <f>'[1]Hourly Load'!AG13</f>
        <v>1303.2430419921875</v>
      </c>
      <c r="CJ13" s="587">
        <f>'[1]Hourly Load'!AH13</f>
        <v>1365.5439453125</v>
      </c>
      <c r="CK13" s="587">
        <f>'[1]Hourly Load'!AI13</f>
        <v>1370.737060546875</v>
      </c>
      <c r="CL13" s="587">
        <f>'[1]Hourly Load'!AJ13</f>
        <v>1356.136962890625</v>
      </c>
      <c r="CM13" s="587">
        <f>'[1]Hourly Load'!AK13</f>
        <v>1349.14501953125</v>
      </c>
      <c r="CN13" s="587">
        <f>'[1]Hourly Load'!AL13</f>
        <v>1346.225341796875</v>
      </c>
      <c r="CO13" s="587">
        <f>'[1]Hourly Load'!AM13</f>
        <v>1322.85205078125</v>
      </c>
      <c r="CP13" s="587">
        <f>'[1]Hourly Load'!AN13</f>
        <v>1317.455078125</v>
      </c>
      <c r="CQ13" s="587">
        <f>'[1]Hourly Load'!AO13</f>
        <v>1291.6590576171875</v>
      </c>
      <c r="CR13" s="587">
        <f>'[1]Hourly Load'!AP13</f>
        <v>1269.9500732421875</v>
      </c>
      <c r="CS13" s="587">
        <f>'[1]Hourly Load'!AQ13</f>
        <v>1271.041015625</v>
      </c>
      <c r="CT13" s="587">
        <f>'[1]Hourly Load'!AR13</f>
        <v>1311.2349853515625</v>
      </c>
      <c r="CU13" s="587">
        <f>'[1]Hourly Load'!AS13</f>
        <v>1395.8460693359375</v>
      </c>
      <c r="CV13" s="587">
        <f>'[1]Hourly Load'!AT13</f>
        <v>1371.0469970703125</v>
      </c>
      <c r="CW13" s="587">
        <f>'[1]Hourly Load'!AU13</f>
        <v>1350.0458984375</v>
      </c>
      <c r="CX13" s="587">
        <f>'[1]Hourly Load'!AV13</f>
        <v>1294.14599609375</v>
      </c>
      <c r="CY13" s="587">
        <f>'[1]Hourly Load'!AW13</f>
        <v>1223.7469482421875</v>
      </c>
      <c r="CZ13" s="587">
        <f>'[1]Hourly Load'!AX13</f>
        <v>1152.0458984375</v>
      </c>
    </row>
    <row r="14" spans="1:104">
      <c r="A14" s="582">
        <v>11</v>
      </c>
      <c r="B14" s="583">
        <f>'Input Data'!A14</f>
        <v>41954</v>
      </c>
      <c r="C14" s="609">
        <f>IF(INDEX([1]Temps!$D$7:$AH$30,C$3,DAY($B14))="",NA(),INDEX([1]Temps!$D$7:$AH$30,C$3,DAY($B14)))</f>
        <v>51.1</v>
      </c>
      <c r="D14" s="609">
        <f>IF(INDEX([1]Temps!$D$7:$AH$30,D$3,DAY($B14))="",NA(),INDEX([1]Temps!$D$7:$AH$30,D$3,DAY($B14)))</f>
        <v>51.1</v>
      </c>
      <c r="E14" s="609">
        <f>IF(INDEX([1]Temps!$D$7:$AH$30,E$3,DAY($B14))="",NA(),INDEX([1]Temps!$D$7:$AH$30,E$3,DAY($B14)))</f>
        <v>48</v>
      </c>
      <c r="F14" s="609">
        <f>IF(INDEX([1]Temps!$D$7:$AH$30,F$3,DAY($B14))="",NA(),INDEX([1]Temps!$D$7:$AH$30,F$3,DAY($B14)))</f>
        <v>48</v>
      </c>
      <c r="G14" s="609">
        <f>IF(INDEX([1]Temps!$D$7:$AH$30,G$3,DAY($B14))="",NA(),INDEX([1]Temps!$D$7:$AH$30,G$3,DAY($B14)))</f>
        <v>52</v>
      </c>
      <c r="H14" s="609">
        <f>IF(INDEX([1]Temps!$D$7:$AH$30,H$3,DAY($B14))="",NA(),INDEX([1]Temps!$D$7:$AH$30,H$3,DAY($B14)))</f>
        <v>53.1</v>
      </c>
      <c r="I14" s="609">
        <f>IF(INDEX([1]Temps!$D$7:$AH$30,I$3,DAY($B14))="",NA(),INDEX([1]Temps!$D$7:$AH$30,I$3,DAY($B14)))</f>
        <v>50</v>
      </c>
      <c r="J14" s="609">
        <f>IF(INDEX([1]Temps!$D$7:$AH$30,J$3,DAY($B14))="",NA(),INDEX([1]Temps!$D$7:$AH$30,J$3,DAY($B14)))</f>
        <v>52</v>
      </c>
      <c r="K14" s="609">
        <f>IF(INDEX([1]Temps!$D$7:$AH$30,K$3,DAY($B14))="",NA(),INDEX([1]Temps!$D$7:$AH$30,K$3,DAY($B14)))</f>
        <v>55</v>
      </c>
      <c r="L14" s="609">
        <f>IF(INDEX([1]Temps!$D$7:$AH$30,L$3,DAY($B14))="",NA(),INDEX([1]Temps!$D$7:$AH$30,L$3,DAY($B14)))</f>
        <v>57.9</v>
      </c>
      <c r="M14" s="609">
        <f>IF(INDEX([1]Temps!$D$7:$AH$30,M$3,DAY($B14))="",NA(),INDEX([1]Temps!$D$7:$AH$30,M$3,DAY($B14)))</f>
        <v>61</v>
      </c>
      <c r="N14" s="609">
        <f>IF(INDEX([1]Temps!$D$7:$AH$30,N$3,DAY($B14))="",NA(),INDEX([1]Temps!$D$7:$AH$30,N$3,DAY($B14)))</f>
        <v>62.55</v>
      </c>
      <c r="O14" s="609">
        <f>IF(INDEX([1]Temps!$D$7:$AH$30,O$3,DAY($B14))="",NA(),INDEX([1]Temps!$D$7:$AH$30,O$3,DAY($B14)))</f>
        <v>64.900000000000006</v>
      </c>
      <c r="P14" s="609">
        <f>IF(INDEX([1]Temps!$D$7:$AH$30,P$3,DAY($B14))="",NA(),INDEX([1]Temps!$D$7:$AH$30,P$3,DAY($B14)))</f>
        <v>64.900000000000006</v>
      </c>
      <c r="Q14" s="609">
        <f>IF(INDEX([1]Temps!$D$7:$AH$30,Q$3,DAY($B14))="",NA(),INDEX([1]Temps!$D$7:$AH$30,Q$3,DAY($B14)))</f>
        <v>66</v>
      </c>
      <c r="R14" s="609">
        <f>IF(INDEX([1]Temps!$D$7:$AH$30,R$3,DAY($B14))="",NA(),INDEX([1]Temps!$D$7:$AH$30,R$3,DAY($B14)))</f>
        <v>64</v>
      </c>
      <c r="S14" s="609">
        <f>IF(INDEX([1]Temps!$D$7:$AH$30,S$3,DAY($B14))="",NA(),INDEX([1]Temps!$D$7:$AH$30,S$3,DAY($B14)))</f>
        <v>63</v>
      </c>
      <c r="T14" s="609">
        <f>IF(INDEX([1]Temps!$D$7:$AH$30,T$3,DAY($B14))="",NA(),INDEX([1]Temps!$D$7:$AH$30,T$3,DAY($B14)))</f>
        <v>60.55</v>
      </c>
      <c r="U14" s="609">
        <f>IF(INDEX([1]Temps!$D$7:$AH$30,U$3,DAY($B14))="",NA(),INDEX([1]Temps!$D$7:$AH$30,U$3,DAY($B14)))</f>
        <v>58.45</v>
      </c>
      <c r="V14" s="609">
        <f>IF(INDEX([1]Temps!$D$7:$AH$30,V$3,DAY($B14))="",NA(),INDEX([1]Temps!$D$7:$AH$30,V$3,DAY($B14)))</f>
        <v>48.9</v>
      </c>
      <c r="W14" s="609">
        <f>IF(INDEX([1]Temps!$D$7:$AH$30,W$3,DAY($B14))="",NA(),INDEX([1]Temps!$D$7:$AH$30,W$3,DAY($B14)))</f>
        <v>43</v>
      </c>
      <c r="X14" s="609">
        <f>IF(INDEX([1]Temps!$D$7:$AH$30,X$3,DAY($B14))="",NA(),INDEX([1]Temps!$D$7:$AH$30,X$3,DAY($B14)))</f>
        <v>41</v>
      </c>
      <c r="Y14" s="609">
        <f>IF(INDEX([1]Temps!$D$7:$AH$30,Y$3,DAY($B14))="",NA(),INDEX([1]Temps!$D$7:$AH$30,Y$3,DAY($B14)))</f>
        <v>39.9</v>
      </c>
      <c r="Z14" s="609">
        <f>IF(INDEX([1]Temps!$D$7:$AH$30,Z$3,DAY($B14))="",NA(),INDEX([1]Temps!$D$7:$AH$30,Z$3,DAY($B14)))</f>
        <v>37.9</v>
      </c>
      <c r="AA14" s="584"/>
      <c r="AB14" s="583">
        <f t="shared" si="6"/>
        <v>41954</v>
      </c>
      <c r="AC14" s="587">
        <f>IF(INDEX([1]Temps!$D$43:$AH$66,AC$3,DAY($B14))="",NA(),INDEX([1]Temps!$D$43:$AH$66,AC$3,DAY($B14)))</f>
        <v>57</v>
      </c>
      <c r="AD14" s="587">
        <f>IF(INDEX([1]Temps!$D$43:$AH$66,AD$3,DAY($B14))="",NA(),INDEX([1]Temps!$D$43:$AH$66,AD$3,DAY($B14)))</f>
        <v>55.9</v>
      </c>
      <c r="AE14" s="587">
        <f>IF(INDEX([1]Temps!$D$43:$AH$66,AE$3,DAY($B14))="",NA(),INDEX([1]Temps!$D$43:$AH$66,AE$3,DAY($B14)))</f>
        <v>55.9</v>
      </c>
      <c r="AF14" s="587">
        <f>IF(INDEX([1]Temps!$D$43:$AH$66,AF$3,DAY($B14))="",NA(),INDEX([1]Temps!$D$43:$AH$66,AF$3,DAY($B14)))</f>
        <v>57</v>
      </c>
      <c r="AG14" s="587">
        <f>IF(INDEX([1]Temps!$D$43:$AH$66,AG$3,DAY($B14))="",NA(),INDEX([1]Temps!$D$43:$AH$66,AG$3,DAY($B14)))</f>
        <v>57</v>
      </c>
      <c r="AH14" s="587">
        <f>IF(INDEX([1]Temps!$D$43:$AH$66,AH$3,DAY($B14))="",NA(),INDEX([1]Temps!$D$43:$AH$66,AH$3,DAY($B14)))</f>
        <v>55.9</v>
      </c>
      <c r="AI14" s="587">
        <f>IF(INDEX([1]Temps!$D$43:$AH$66,AI$3,DAY($B14))="",NA(),INDEX([1]Temps!$D$43:$AH$66,AI$3,DAY($B14)))</f>
        <v>55.9</v>
      </c>
      <c r="AJ14" s="587">
        <f>IF(INDEX([1]Temps!$D$43:$AH$66,AJ$3,DAY($B14))="",NA(),INDEX([1]Temps!$D$43:$AH$66,AJ$3,DAY($B14)))</f>
        <v>55.9</v>
      </c>
      <c r="AK14" s="587">
        <f>IF(INDEX([1]Temps!$D$43:$AH$66,AK$3,DAY($B14))="",NA(),INDEX([1]Temps!$D$43:$AH$66,AK$3,DAY($B14)))</f>
        <v>57.9</v>
      </c>
      <c r="AL14" s="587">
        <f>IF(INDEX([1]Temps!$D$43:$AH$66,AL$3,DAY($B14))="",NA(),INDEX([1]Temps!$D$43:$AH$66,AL$3,DAY($B14)))</f>
        <v>60.1</v>
      </c>
      <c r="AM14" s="587">
        <f>IF(INDEX([1]Temps!$D$43:$AH$66,AM$3,DAY($B14))="",NA(),INDEX([1]Temps!$D$43:$AH$66,AM$3,DAY($B14)))</f>
        <v>63</v>
      </c>
      <c r="AN14" s="587">
        <f>IF(INDEX([1]Temps!$D$43:$AH$66,AN$3,DAY($B14))="",NA(),INDEX([1]Temps!$D$43:$AH$66,AN$3,DAY($B14)))</f>
        <v>63</v>
      </c>
      <c r="AO14" s="587">
        <f>IF(INDEX([1]Temps!$D$43:$AH$66,AO$3,DAY($B14))="",NA(),INDEX([1]Temps!$D$43:$AH$66,AO$3,DAY($B14)))</f>
        <v>64</v>
      </c>
      <c r="AP14" s="587">
        <f>IF(INDEX([1]Temps!$D$43:$AH$66,AP$3,DAY($B14))="",NA(),INDEX([1]Temps!$D$43:$AH$66,AP$3,DAY($B14)))</f>
        <v>63</v>
      </c>
      <c r="AQ14" s="587">
        <f>IF(INDEX([1]Temps!$D$43:$AH$66,AQ$3,DAY($B14))="",NA(),INDEX([1]Temps!$D$43:$AH$66,AQ$3,DAY($B14)))</f>
        <v>63</v>
      </c>
      <c r="AR14" s="587">
        <f>IF(INDEX([1]Temps!$D$43:$AH$66,AR$3,DAY($B14))="",NA(),INDEX([1]Temps!$D$43:$AH$66,AR$3,DAY($B14)))</f>
        <v>57.9</v>
      </c>
      <c r="AS14" s="587">
        <f>IF(INDEX([1]Temps!$D$43:$AH$66,AS$3,DAY($B14))="",NA(),INDEX([1]Temps!$D$43:$AH$66,AS$3,DAY($B14)))</f>
        <v>52.42</v>
      </c>
      <c r="AT14" s="587">
        <f>IF(INDEX([1]Temps!$D$43:$AH$66,AT$3,DAY($B14))="",NA(),INDEX([1]Temps!$D$43:$AH$66,AT$3,DAY($B14)))</f>
        <v>48.300000000000004</v>
      </c>
      <c r="AU14" s="587">
        <f>IF(INDEX([1]Temps!$D$43:$AH$66,AU$3,DAY($B14))="",NA(),INDEX([1]Temps!$D$43:$AH$66,AU$3,DAY($B14)))</f>
        <v>44.1</v>
      </c>
      <c r="AV14" s="587">
        <f>IF(INDEX([1]Temps!$D$43:$AH$66,AV$3,DAY($B14))="",NA(),INDEX([1]Temps!$D$43:$AH$66,AV$3,DAY($B14)))</f>
        <v>41.55</v>
      </c>
      <c r="AW14" s="587">
        <f>IF(INDEX([1]Temps!$D$43:$AH$66,AW$3,DAY($B14))="",NA(),INDEX([1]Temps!$D$43:$AH$66,AW$3,DAY($B14)))</f>
        <v>40.725000000000001</v>
      </c>
      <c r="AX14" s="587">
        <f>IF(INDEX([1]Temps!$D$43:$AH$66,AX$3,DAY($B14))="",NA(),INDEX([1]Temps!$D$43:$AH$66,AX$3,DAY($B14)))</f>
        <v>37.9</v>
      </c>
      <c r="AY14" s="587">
        <f>IF(INDEX([1]Temps!$D$43:$AH$66,AY$3,DAY($B14))="",NA(),INDEX([1]Temps!$D$43:$AH$66,AY$3,DAY($B14)))</f>
        <v>37</v>
      </c>
      <c r="AZ14" s="587">
        <f>IF(INDEX([1]Temps!$D$43:$AH$66,AZ$3,DAY($B14))="",NA(),INDEX([1]Temps!$D$43:$AH$66,AZ$3,DAY($B14)))</f>
        <v>37</v>
      </c>
      <c r="BB14" s="583">
        <f t="shared" si="7"/>
        <v>41954</v>
      </c>
      <c r="BC14" s="587">
        <f>'[1]Hourly Load'!B14</f>
        <v>2155</v>
      </c>
      <c r="BD14" s="587">
        <f>'[1]Hourly Load'!C14</f>
        <v>2118</v>
      </c>
      <c r="BE14" s="587">
        <f>'[1]Hourly Load'!D14</f>
        <v>2065</v>
      </c>
      <c r="BF14" s="587">
        <f>'[1]Hourly Load'!E14</f>
        <v>2047</v>
      </c>
      <c r="BG14" s="587">
        <f>'[1]Hourly Load'!F14</f>
        <v>2062</v>
      </c>
      <c r="BH14" s="587">
        <f>'[1]Hourly Load'!G14</f>
        <v>2253</v>
      </c>
      <c r="BI14" s="587">
        <f>'[1]Hourly Load'!H14</f>
        <v>2446</v>
      </c>
      <c r="BJ14" s="587">
        <f>'[1]Hourly Load'!I14</f>
        <v>2595</v>
      </c>
      <c r="BK14" s="587">
        <f>'[1]Hourly Load'!J14</f>
        <v>2573</v>
      </c>
      <c r="BL14" s="587">
        <f>'[1]Hourly Load'!K14</f>
        <v>2534</v>
      </c>
      <c r="BM14" s="587">
        <f>'[1]Hourly Load'!L14</f>
        <v>2507</v>
      </c>
      <c r="BN14" s="587">
        <f>'[1]Hourly Load'!M14</f>
        <v>2462</v>
      </c>
      <c r="BO14" s="587">
        <f>'[1]Hourly Load'!N14</f>
        <v>2467</v>
      </c>
      <c r="BP14" s="587">
        <f>'[1]Hourly Load'!O14</f>
        <v>2477</v>
      </c>
      <c r="BQ14" s="587">
        <f>'[1]Hourly Load'!P14</f>
        <v>2404</v>
      </c>
      <c r="BR14" s="587">
        <f>'[1]Hourly Load'!Q14</f>
        <v>2410</v>
      </c>
      <c r="BS14" s="587">
        <f>'[1]Hourly Load'!R14</f>
        <v>2451</v>
      </c>
      <c r="BT14" s="587">
        <f>'[1]Hourly Load'!S14</f>
        <v>2543</v>
      </c>
      <c r="BU14" s="587">
        <f>'[1]Hourly Load'!T14</f>
        <v>2547</v>
      </c>
      <c r="BV14" s="587">
        <f>'[1]Hourly Load'!U14</f>
        <v>2568</v>
      </c>
      <c r="BW14" s="587">
        <f>'[1]Hourly Load'!V14</f>
        <v>2592</v>
      </c>
      <c r="BX14" s="587">
        <f>'[1]Hourly Load'!W14</f>
        <v>2436</v>
      </c>
      <c r="BY14" s="587">
        <f>'[1]Hourly Load'!X14</f>
        <v>2312</v>
      </c>
      <c r="BZ14" s="587">
        <f>'[1]Hourly Load'!Y14</f>
        <v>2259</v>
      </c>
      <c r="CA14" s="584"/>
      <c r="CB14" s="583">
        <f t="shared" si="8"/>
        <v>41954</v>
      </c>
      <c r="CC14" s="587">
        <f>'[1]Hourly Load'!AA14</f>
        <v>1097.93408203125</v>
      </c>
      <c r="CD14" s="587">
        <f>'[1]Hourly Load'!AB14</f>
        <v>1076.8399658203125</v>
      </c>
      <c r="CE14" s="587">
        <f>'[1]Hourly Load'!AC14</f>
        <v>1054.14599609375</v>
      </c>
      <c r="CF14" s="587">
        <f>'[1]Hourly Load'!AD14</f>
        <v>1046.0469970703125</v>
      </c>
      <c r="CG14" s="587">
        <f>'[1]Hourly Load'!AE14</f>
        <v>1043.446044921875</v>
      </c>
      <c r="CH14" s="587">
        <f>'[1]Hourly Load'!AF14</f>
        <v>1099.64697265625</v>
      </c>
      <c r="CI14" s="587">
        <f>'[1]Hourly Load'!AG14</f>
        <v>1216.447021484375</v>
      </c>
      <c r="CJ14" s="587">
        <f>'[1]Hourly Load'!AH14</f>
        <v>1279.14794921875</v>
      </c>
      <c r="CK14" s="587">
        <f>'[1]Hourly Load'!AI14</f>
        <v>1269.6380615234375</v>
      </c>
      <c r="CL14" s="587">
        <f>'[1]Hourly Load'!AJ14</f>
        <v>1289.3590087890625</v>
      </c>
      <c r="CM14" s="587">
        <f>'[1]Hourly Load'!AK14</f>
        <v>1307.240966796875</v>
      </c>
      <c r="CN14" s="587">
        <f>'[1]Hourly Load'!AL14</f>
        <v>1312.741943359375</v>
      </c>
      <c r="CO14" s="587">
        <f>'[1]Hourly Load'!AM14</f>
        <v>1311.239990234375</v>
      </c>
      <c r="CP14" s="587">
        <f>'[1]Hourly Load'!AN14</f>
        <v>1312.5479736328125</v>
      </c>
      <c r="CQ14" s="587">
        <f>'[1]Hourly Load'!AO14</f>
        <v>1316.248046875</v>
      </c>
      <c r="CR14" s="587">
        <f>'[1]Hourly Load'!AP14</f>
        <v>1297.5460205078125</v>
      </c>
      <c r="CS14" s="587">
        <f>'[1]Hourly Load'!AQ14</f>
        <v>1306.842041015625</v>
      </c>
      <c r="CT14" s="587">
        <f>'[1]Hourly Load'!AR14</f>
        <v>1349.5390625</v>
      </c>
      <c r="CU14" s="587">
        <f>'[1]Hourly Load'!AS14</f>
        <v>1378.43701171875</v>
      </c>
      <c r="CV14" s="587">
        <f>'[1]Hourly Load'!AT14</f>
        <v>1379.7359619140625</v>
      </c>
      <c r="CW14" s="587">
        <f>'[1]Hourly Load'!AU14</f>
        <v>1366.43505859375</v>
      </c>
      <c r="CX14" s="587">
        <f>'[1]Hourly Load'!AV14</f>
        <v>1321.1300048828125</v>
      </c>
      <c r="CY14" s="587">
        <f>'[1]Hourly Load'!AW14</f>
        <v>1272.6290283203125</v>
      </c>
      <c r="CZ14" s="587">
        <f>'[1]Hourly Load'!AX14</f>
        <v>1212.7139892578125</v>
      </c>
    </row>
    <row r="15" spans="1:104">
      <c r="A15" s="582">
        <v>12</v>
      </c>
      <c r="B15" s="583">
        <f>'Input Data'!A15</f>
        <v>41955</v>
      </c>
      <c r="C15" s="609">
        <f>IF(INDEX([1]Temps!$D$7:$AH$30,C$3,DAY($B15))="",NA(),INDEX([1]Temps!$D$7:$AH$30,C$3,DAY($B15)))</f>
        <v>36.5</v>
      </c>
      <c r="D15" s="609">
        <f>IF(INDEX([1]Temps!$D$7:$AH$30,D$3,DAY($B15))="",NA(),INDEX([1]Temps!$D$7:$AH$30,D$3,DAY($B15)))</f>
        <v>35.549999999999997</v>
      </c>
      <c r="E15" s="609">
        <f>IF(INDEX([1]Temps!$D$7:$AH$30,E$3,DAY($B15))="",NA(),INDEX([1]Temps!$D$7:$AH$30,E$3,DAY($B15)))</f>
        <v>35.1</v>
      </c>
      <c r="F15" s="609">
        <f>IF(INDEX([1]Temps!$D$7:$AH$30,F$3,DAY($B15))="",NA(),INDEX([1]Temps!$D$7:$AH$30,F$3,DAY($B15)))</f>
        <v>35.1</v>
      </c>
      <c r="G15" s="609">
        <f>IF(INDEX([1]Temps!$D$7:$AH$30,G$3,DAY($B15))="",NA(),INDEX([1]Temps!$D$7:$AH$30,G$3,DAY($B15)))</f>
        <v>34.549999999999997</v>
      </c>
      <c r="H15" s="609">
        <f>IF(INDEX([1]Temps!$D$7:$AH$30,H$3,DAY($B15))="",NA(),INDEX([1]Temps!$D$7:$AH$30,H$3,DAY($B15)))</f>
        <v>34</v>
      </c>
      <c r="I15" s="609">
        <f>IF(INDEX([1]Temps!$D$7:$AH$30,I$3,DAY($B15))="",NA(),INDEX([1]Temps!$D$7:$AH$30,I$3,DAY($B15)))</f>
        <v>34</v>
      </c>
      <c r="J15" s="609">
        <f>IF(INDEX([1]Temps!$D$7:$AH$30,J$3,DAY($B15))="",NA(),INDEX([1]Temps!$D$7:$AH$30,J$3,DAY($B15)))</f>
        <v>34</v>
      </c>
      <c r="K15" s="609">
        <f>IF(INDEX([1]Temps!$D$7:$AH$30,K$3,DAY($B15))="",NA(),INDEX([1]Temps!$D$7:$AH$30,K$3,DAY($B15)))</f>
        <v>35.1</v>
      </c>
      <c r="L15" s="609">
        <f>IF(INDEX([1]Temps!$D$7:$AH$30,L$3,DAY($B15))="",NA(),INDEX([1]Temps!$D$7:$AH$30,L$3,DAY($B15)))</f>
        <v>35.1</v>
      </c>
      <c r="M15" s="609">
        <f>IF(INDEX([1]Temps!$D$7:$AH$30,M$3,DAY($B15))="",NA(),INDEX([1]Temps!$D$7:$AH$30,M$3,DAY($B15)))</f>
        <v>35.6</v>
      </c>
      <c r="N15" s="609">
        <f>IF(INDEX([1]Temps!$D$7:$AH$30,N$3,DAY($B15))="",NA(),INDEX([1]Temps!$D$7:$AH$30,N$3,DAY($B15)))</f>
        <v>36</v>
      </c>
      <c r="O15" s="609">
        <f>IF(INDEX([1]Temps!$D$7:$AH$30,O$3,DAY($B15))="",NA(),INDEX([1]Temps!$D$7:$AH$30,O$3,DAY($B15)))</f>
        <v>37</v>
      </c>
      <c r="P15" s="609">
        <f>IF(INDEX([1]Temps!$D$7:$AH$30,P$3,DAY($B15))="",NA(),INDEX([1]Temps!$D$7:$AH$30,P$3,DAY($B15)))</f>
        <v>36</v>
      </c>
      <c r="Q15" s="609">
        <f>IF(INDEX([1]Temps!$D$7:$AH$30,Q$3,DAY($B15))="",NA(),INDEX([1]Temps!$D$7:$AH$30,Q$3,DAY($B15)))</f>
        <v>36</v>
      </c>
      <c r="R15" s="609">
        <f>IF(INDEX([1]Temps!$D$7:$AH$30,R$3,DAY($B15))="",NA(),INDEX([1]Temps!$D$7:$AH$30,R$3,DAY($B15)))</f>
        <v>36</v>
      </c>
      <c r="S15" s="609">
        <f>IF(INDEX([1]Temps!$D$7:$AH$30,S$3,DAY($B15))="",NA(),INDEX([1]Temps!$D$7:$AH$30,S$3,DAY($B15)))</f>
        <v>35.1</v>
      </c>
      <c r="T15" s="609">
        <f>IF(INDEX([1]Temps!$D$7:$AH$30,T$3,DAY($B15))="",NA(),INDEX([1]Temps!$D$7:$AH$30,T$3,DAY($B15)))</f>
        <v>35.1</v>
      </c>
      <c r="U15" s="609">
        <f>IF(INDEX([1]Temps!$D$7:$AH$30,U$3,DAY($B15))="",NA(),INDEX([1]Temps!$D$7:$AH$30,U$3,DAY($B15)))</f>
        <v>35.1</v>
      </c>
      <c r="V15" s="609">
        <f>IF(INDEX([1]Temps!$D$7:$AH$30,V$3,DAY($B15))="",NA(),INDEX([1]Temps!$D$7:$AH$30,V$3,DAY($B15)))</f>
        <v>35.1</v>
      </c>
      <c r="W15" s="609">
        <f>IF(INDEX([1]Temps!$D$7:$AH$30,W$3,DAY($B15))="",NA(),INDEX([1]Temps!$D$7:$AH$30,W$3,DAY($B15)))</f>
        <v>35.1</v>
      </c>
      <c r="X15" s="609">
        <f>IF(INDEX([1]Temps!$D$7:$AH$30,X$3,DAY($B15))="",NA(),INDEX([1]Temps!$D$7:$AH$30,X$3,DAY($B15)))</f>
        <v>35.1</v>
      </c>
      <c r="Y15" s="609">
        <f>IF(INDEX([1]Temps!$D$7:$AH$30,Y$3,DAY($B15))="",NA(),INDEX([1]Temps!$D$7:$AH$30,Y$3,DAY($B15)))</f>
        <v>35.1</v>
      </c>
      <c r="Z15" s="609">
        <f>IF(INDEX([1]Temps!$D$7:$AH$30,Z$3,DAY($B15))="",NA(),INDEX([1]Temps!$D$7:$AH$30,Z$3,DAY($B15)))</f>
        <v>34</v>
      </c>
      <c r="AA15" s="584"/>
      <c r="AB15" s="583">
        <f t="shared" si="6"/>
        <v>41955</v>
      </c>
      <c r="AC15" s="587">
        <f>IF(INDEX([1]Temps!$D$43:$AH$66,AC$3,DAY($B15))="",NA(),INDEX([1]Temps!$D$43:$AH$66,AC$3,DAY($B15)))</f>
        <v>37</v>
      </c>
      <c r="AD15" s="587">
        <f>IF(INDEX([1]Temps!$D$43:$AH$66,AD$3,DAY($B15))="",NA(),INDEX([1]Temps!$D$43:$AH$66,AD$3,DAY($B15)))</f>
        <v>37</v>
      </c>
      <c r="AE15" s="587">
        <f>IF(INDEX([1]Temps!$D$43:$AH$66,AE$3,DAY($B15))="",NA(),INDEX([1]Temps!$D$43:$AH$66,AE$3,DAY($B15)))</f>
        <v>37</v>
      </c>
      <c r="AF15" s="587">
        <f>IF(INDEX([1]Temps!$D$43:$AH$66,AF$3,DAY($B15))="",NA(),INDEX([1]Temps!$D$43:$AH$66,AF$3,DAY($B15)))</f>
        <v>37</v>
      </c>
      <c r="AG15" s="587">
        <f>IF(INDEX([1]Temps!$D$43:$AH$66,AG$3,DAY($B15))="",NA(),INDEX([1]Temps!$D$43:$AH$66,AG$3,DAY($B15)))</f>
        <v>37</v>
      </c>
      <c r="AH15" s="587">
        <f>IF(INDEX([1]Temps!$D$43:$AH$66,AH$3,DAY($B15))="",NA(),INDEX([1]Temps!$D$43:$AH$66,AH$3,DAY($B15)))</f>
        <v>37</v>
      </c>
      <c r="AI15" s="587">
        <f>IF(INDEX([1]Temps!$D$43:$AH$66,AI$3,DAY($B15))="",NA(),INDEX([1]Temps!$D$43:$AH$66,AI$3,DAY($B15)))</f>
        <v>37</v>
      </c>
      <c r="AJ15" s="587">
        <f>IF(INDEX([1]Temps!$D$43:$AH$66,AJ$3,DAY($B15))="",NA(),INDEX([1]Temps!$D$43:$AH$66,AJ$3,DAY($B15)))</f>
        <v>37</v>
      </c>
      <c r="AK15" s="587">
        <f>IF(INDEX([1]Temps!$D$43:$AH$66,AK$3,DAY($B15))="",NA(),INDEX([1]Temps!$D$43:$AH$66,AK$3,DAY($B15)))</f>
        <v>37</v>
      </c>
      <c r="AL15" s="587">
        <f>IF(INDEX([1]Temps!$D$43:$AH$66,AL$3,DAY($B15))="",NA(),INDEX([1]Temps!$D$43:$AH$66,AL$3,DAY($B15)))</f>
        <v>37</v>
      </c>
      <c r="AM15" s="587">
        <f>IF(INDEX([1]Temps!$D$43:$AH$66,AM$3,DAY($B15))="",NA(),INDEX([1]Temps!$D$43:$AH$66,AM$3,DAY($B15)))</f>
        <v>37.9</v>
      </c>
      <c r="AN15" s="587">
        <f>IF(INDEX([1]Temps!$D$43:$AH$66,AN$3,DAY($B15))="",NA(),INDEX([1]Temps!$D$43:$AH$66,AN$3,DAY($B15)))</f>
        <v>37.9</v>
      </c>
      <c r="AO15" s="587">
        <f>IF(INDEX([1]Temps!$D$43:$AH$66,AO$3,DAY($B15))="",NA(),INDEX([1]Temps!$D$43:$AH$66,AO$3,DAY($B15)))</f>
        <v>37.9</v>
      </c>
      <c r="AP15" s="587">
        <f>IF(INDEX([1]Temps!$D$43:$AH$66,AP$3,DAY($B15))="",NA(),INDEX([1]Temps!$D$43:$AH$66,AP$3,DAY($B15)))</f>
        <v>37.9</v>
      </c>
      <c r="AQ15" s="587">
        <f>IF(INDEX([1]Temps!$D$43:$AH$66,AQ$3,DAY($B15))="",NA(),INDEX([1]Temps!$D$43:$AH$66,AQ$3,DAY($B15)))</f>
        <v>39</v>
      </c>
      <c r="AR15" s="587">
        <f>IF(INDEX([1]Temps!$D$43:$AH$66,AR$3,DAY($B15))="",NA(),INDEX([1]Temps!$D$43:$AH$66,AR$3,DAY($B15)))</f>
        <v>39</v>
      </c>
      <c r="AS15" s="587">
        <f>IF(INDEX([1]Temps!$D$43:$AH$66,AS$3,DAY($B15))="",NA(),INDEX([1]Temps!$D$43:$AH$66,AS$3,DAY($B15)))</f>
        <v>39</v>
      </c>
      <c r="AT15" s="587">
        <f>IF(INDEX([1]Temps!$D$43:$AH$66,AT$3,DAY($B15))="",NA(),INDEX([1]Temps!$D$43:$AH$66,AT$3,DAY($B15)))</f>
        <v>39</v>
      </c>
      <c r="AU15" s="587">
        <f>IF(INDEX([1]Temps!$D$43:$AH$66,AU$3,DAY($B15))="",NA(),INDEX([1]Temps!$D$43:$AH$66,AU$3,DAY($B15)))</f>
        <v>37.9</v>
      </c>
      <c r="AV15" s="587">
        <f>IF(INDEX([1]Temps!$D$43:$AH$66,AV$3,DAY($B15))="",NA(),INDEX([1]Temps!$D$43:$AH$66,AV$3,DAY($B15)))</f>
        <v>37</v>
      </c>
      <c r="AW15" s="587">
        <f>IF(INDEX([1]Temps!$D$43:$AH$66,AW$3,DAY($B15))="",NA(),INDEX([1]Temps!$D$43:$AH$66,AW$3,DAY($B15)))</f>
        <v>35.1</v>
      </c>
      <c r="AX15" s="587">
        <f>IF(INDEX([1]Temps!$D$43:$AH$66,AX$3,DAY($B15))="",NA(),INDEX([1]Temps!$D$43:$AH$66,AX$3,DAY($B15)))</f>
        <v>34</v>
      </c>
      <c r="AY15" s="587">
        <f>IF(INDEX([1]Temps!$D$43:$AH$66,AY$3,DAY($B15))="",NA(),INDEX([1]Temps!$D$43:$AH$66,AY$3,DAY($B15)))</f>
        <v>33.1</v>
      </c>
      <c r="AZ15" s="587">
        <f>IF(INDEX([1]Temps!$D$43:$AH$66,AZ$3,DAY($B15))="",NA(),INDEX([1]Temps!$D$43:$AH$66,AZ$3,DAY($B15)))</f>
        <v>33.1</v>
      </c>
      <c r="BB15" s="583">
        <f t="shared" si="7"/>
        <v>41955</v>
      </c>
      <c r="BC15" s="587">
        <f>'[1]Hourly Load'!B15</f>
        <v>2168</v>
      </c>
      <c r="BD15" s="587">
        <f>'[1]Hourly Load'!C15</f>
        <v>2157</v>
      </c>
      <c r="BE15" s="587">
        <f>'[1]Hourly Load'!D15</f>
        <v>2168</v>
      </c>
      <c r="BF15" s="587">
        <f>'[1]Hourly Load'!E15</f>
        <v>2154</v>
      </c>
      <c r="BG15" s="587">
        <f>'[1]Hourly Load'!F15</f>
        <v>2177</v>
      </c>
      <c r="BH15" s="587">
        <f>'[1]Hourly Load'!G15</f>
        <v>2402</v>
      </c>
      <c r="BI15" s="587">
        <f>'[1]Hourly Load'!H15</f>
        <v>2678</v>
      </c>
      <c r="BJ15" s="587">
        <f>'[1]Hourly Load'!I15</f>
        <v>2852</v>
      </c>
      <c r="BK15" s="587">
        <f>'[1]Hourly Load'!J15</f>
        <v>2869</v>
      </c>
      <c r="BL15" s="587">
        <f>'[1]Hourly Load'!K15</f>
        <v>2933</v>
      </c>
      <c r="BM15" s="587">
        <f>'[1]Hourly Load'!L15</f>
        <v>2952</v>
      </c>
      <c r="BN15" s="587">
        <f>'[1]Hourly Load'!M15</f>
        <v>2927</v>
      </c>
      <c r="BO15" s="587">
        <f>'[1]Hourly Load'!N15</f>
        <v>2912</v>
      </c>
      <c r="BP15" s="587">
        <f>'[1]Hourly Load'!O15</f>
        <v>2840</v>
      </c>
      <c r="BQ15" s="587">
        <f>'[1]Hourly Load'!P15</f>
        <v>2988</v>
      </c>
      <c r="BR15" s="587">
        <f>'[1]Hourly Load'!Q15</f>
        <v>2862</v>
      </c>
      <c r="BS15" s="587">
        <f>'[1]Hourly Load'!R15</f>
        <v>2911</v>
      </c>
      <c r="BT15" s="587">
        <f>'[1]Hourly Load'!S15</f>
        <v>2985</v>
      </c>
      <c r="BU15" s="587">
        <f>'[1]Hourly Load'!T15</f>
        <v>3012</v>
      </c>
      <c r="BV15" s="587">
        <f>'[1]Hourly Load'!U15</f>
        <v>3017</v>
      </c>
      <c r="BW15" s="587">
        <f>'[1]Hourly Load'!V15</f>
        <v>3002</v>
      </c>
      <c r="BX15" s="587">
        <f>'[1]Hourly Load'!W15</f>
        <v>2930</v>
      </c>
      <c r="BY15" s="587">
        <f>'[1]Hourly Load'!X15</f>
        <v>2790</v>
      </c>
      <c r="BZ15" s="587">
        <f>'[1]Hourly Load'!Y15</f>
        <v>2669</v>
      </c>
      <c r="CA15" s="584"/>
      <c r="CB15" s="583">
        <f t="shared" si="8"/>
        <v>41955</v>
      </c>
      <c r="CC15" s="587">
        <f>'[1]Hourly Load'!AA15</f>
        <v>1178.4130859375</v>
      </c>
      <c r="CD15" s="587">
        <f>'[1]Hourly Load'!AB15</f>
        <v>1153.8131103515625</v>
      </c>
      <c r="CE15" s="587">
        <f>'[1]Hourly Load'!AC15</f>
        <v>1152.012939453125</v>
      </c>
      <c r="CF15" s="587">
        <f>'[1]Hourly Load'!AD15</f>
        <v>1146.7130126953125</v>
      </c>
      <c r="CG15" s="587">
        <f>'[1]Hourly Load'!AE15</f>
        <v>1163.412841796875</v>
      </c>
      <c r="CH15" s="587">
        <f>'[1]Hourly Load'!AF15</f>
        <v>1215.31396484375</v>
      </c>
      <c r="CI15" s="587">
        <f>'[1]Hourly Load'!AG15</f>
        <v>1327.141845703125</v>
      </c>
      <c r="CJ15" s="587">
        <f>'[1]Hourly Load'!AH15</f>
        <v>1423.513916015625</v>
      </c>
      <c r="CK15" s="587">
        <f>'[1]Hourly Load'!AI15</f>
        <v>1430.0130615234375</v>
      </c>
      <c r="CL15" s="587">
        <f>'[1]Hourly Load'!AJ15</f>
        <v>1420.4140625</v>
      </c>
      <c r="CM15" s="587">
        <f>'[1]Hourly Load'!AK15</f>
        <v>1441.7139892578125</v>
      </c>
      <c r="CN15" s="587">
        <f>'[1]Hourly Load'!AL15</f>
        <v>1441.4140625</v>
      </c>
      <c r="CO15" s="587">
        <f>'[1]Hourly Load'!AM15</f>
        <v>1441.9139404296875</v>
      </c>
      <c r="CP15" s="587">
        <f>'[1]Hourly Load'!AN15</f>
        <v>1419.512939453125</v>
      </c>
      <c r="CQ15" s="587">
        <f>'[1]Hourly Load'!AO15</f>
        <v>1417.81494140625</v>
      </c>
      <c r="CR15" s="587">
        <f>'[1]Hourly Load'!AP15</f>
        <v>1404.8138427734375</v>
      </c>
      <c r="CS15" s="587">
        <f>'[1]Hourly Load'!AQ15</f>
        <v>1430.921142578125</v>
      </c>
      <c r="CT15" s="587">
        <f>'[1]Hourly Load'!AR15</f>
        <v>1491.529052734375</v>
      </c>
      <c r="CU15" s="587">
        <f>'[1]Hourly Load'!AS15</f>
        <v>1548.213134765625</v>
      </c>
      <c r="CV15" s="587">
        <f>'[1]Hourly Load'!AT15</f>
        <v>1548.112060546875</v>
      </c>
      <c r="CW15" s="587">
        <f>'[1]Hourly Load'!AU15</f>
        <v>1522.0289306640625</v>
      </c>
      <c r="CX15" s="587">
        <f>'[1]Hourly Load'!AV15</f>
        <v>1461.9110107421875</v>
      </c>
      <c r="CY15" s="587">
        <f>'[1]Hourly Load'!AW15</f>
        <v>1389.175048828125</v>
      </c>
      <c r="CZ15" s="587">
        <f>'[1]Hourly Load'!AX15</f>
        <v>1314.6409912109375</v>
      </c>
    </row>
    <row r="16" spans="1:104">
      <c r="A16" s="582">
        <v>13</v>
      </c>
      <c r="B16" s="583">
        <f>'Input Data'!A16</f>
        <v>41956</v>
      </c>
      <c r="C16" s="609">
        <f>IF(INDEX([1]Temps!$D$7:$AH$30,C$3,DAY($B16))="",NA(),INDEX([1]Temps!$D$7:$AH$30,C$3,DAY($B16)))</f>
        <v>34</v>
      </c>
      <c r="D16" s="609">
        <f>IF(INDEX([1]Temps!$D$7:$AH$30,D$3,DAY($B16))="",NA(),INDEX([1]Temps!$D$7:$AH$30,D$3,DAY($B16)))</f>
        <v>32</v>
      </c>
      <c r="E16" s="609">
        <f>IF(INDEX([1]Temps!$D$7:$AH$30,E$3,DAY($B16))="",NA(),INDEX([1]Temps!$D$7:$AH$30,E$3,DAY($B16)))</f>
        <v>30.9</v>
      </c>
      <c r="F16" s="609">
        <f>IF(INDEX([1]Temps!$D$7:$AH$30,F$3,DAY($B16))="",NA(),INDEX([1]Temps!$D$7:$AH$30,F$3,DAY($B16)))</f>
        <v>30.9</v>
      </c>
      <c r="G16" s="609">
        <f>IF(INDEX([1]Temps!$D$7:$AH$30,G$3,DAY($B16))="",NA(),INDEX([1]Temps!$D$7:$AH$30,G$3,DAY($B16)))</f>
        <v>30.9</v>
      </c>
      <c r="H16" s="609">
        <f>IF(INDEX([1]Temps!$D$7:$AH$30,H$3,DAY($B16))="",NA(),INDEX([1]Temps!$D$7:$AH$30,H$3,DAY($B16)))</f>
        <v>30</v>
      </c>
      <c r="I16" s="609">
        <f>IF(INDEX([1]Temps!$D$7:$AH$30,I$3,DAY($B16))="",NA(),INDEX([1]Temps!$D$7:$AH$30,I$3,DAY($B16)))</f>
        <v>28.9</v>
      </c>
      <c r="J16" s="609">
        <f>IF(INDEX([1]Temps!$D$7:$AH$30,J$3,DAY($B16))="",NA(),INDEX([1]Temps!$D$7:$AH$30,J$3,DAY($B16)))</f>
        <v>28.9</v>
      </c>
      <c r="K16" s="609">
        <f>IF(INDEX([1]Temps!$D$7:$AH$30,K$3,DAY($B16))="",NA(),INDEX([1]Temps!$D$7:$AH$30,K$3,DAY($B16)))</f>
        <v>28.9</v>
      </c>
      <c r="L16" s="609">
        <f>IF(INDEX([1]Temps!$D$7:$AH$30,L$3,DAY($B16))="",NA(),INDEX([1]Temps!$D$7:$AH$30,L$3,DAY($B16)))</f>
        <v>28.9</v>
      </c>
      <c r="M16" s="609">
        <f>IF(INDEX([1]Temps!$D$7:$AH$30,M$3,DAY($B16))="",NA(),INDEX([1]Temps!$D$7:$AH$30,M$3,DAY($B16)))</f>
        <v>28.9</v>
      </c>
      <c r="N16" s="609">
        <f>IF(INDEX([1]Temps!$D$7:$AH$30,N$3,DAY($B16))="",NA(),INDEX([1]Temps!$D$7:$AH$30,N$3,DAY($B16)))</f>
        <v>30</v>
      </c>
      <c r="O16" s="609">
        <f>IF(INDEX([1]Temps!$D$7:$AH$30,O$3,DAY($B16))="",NA(),INDEX([1]Temps!$D$7:$AH$30,O$3,DAY($B16)))</f>
        <v>30</v>
      </c>
      <c r="P16" s="609">
        <f>IF(INDEX([1]Temps!$D$7:$AH$30,P$3,DAY($B16))="",NA(),INDEX([1]Temps!$D$7:$AH$30,P$3,DAY($B16)))</f>
        <v>29.45</v>
      </c>
      <c r="Q16" s="609">
        <f>IF(INDEX([1]Temps!$D$7:$AH$30,Q$3,DAY($B16))="",NA(),INDEX([1]Temps!$D$7:$AH$30,Q$3,DAY($B16)))</f>
        <v>30</v>
      </c>
      <c r="R16" s="609">
        <f>IF(INDEX([1]Temps!$D$7:$AH$30,R$3,DAY($B16))="",NA(),INDEX([1]Temps!$D$7:$AH$30,R$3,DAY($B16)))</f>
        <v>28.9</v>
      </c>
      <c r="S16" s="609">
        <f>IF(INDEX([1]Temps!$D$7:$AH$30,S$3,DAY($B16))="",NA(),INDEX([1]Temps!$D$7:$AH$30,S$3,DAY($B16)))</f>
        <v>27</v>
      </c>
      <c r="T16" s="609">
        <f>IF(INDEX([1]Temps!$D$7:$AH$30,T$3,DAY($B16))="",NA(),INDEX([1]Temps!$D$7:$AH$30,T$3,DAY($B16)))</f>
        <v>27</v>
      </c>
      <c r="U16" s="609">
        <f>IF(INDEX([1]Temps!$D$7:$AH$30,U$3,DAY($B16))="",NA(),INDEX([1]Temps!$D$7:$AH$30,U$3,DAY($B16)))</f>
        <v>26.1</v>
      </c>
      <c r="V16" s="609">
        <f>IF(INDEX([1]Temps!$D$7:$AH$30,V$3,DAY($B16))="",NA(),INDEX([1]Temps!$D$7:$AH$30,V$3,DAY($B16)))</f>
        <v>26.1</v>
      </c>
      <c r="W16" s="609">
        <f>IF(INDEX([1]Temps!$D$7:$AH$30,W$3,DAY($B16))="",NA(),INDEX([1]Temps!$D$7:$AH$30,W$3,DAY($B16)))</f>
        <v>26.1</v>
      </c>
      <c r="X16" s="609">
        <f>IF(INDEX([1]Temps!$D$7:$AH$30,X$3,DAY($B16))="",NA(),INDEX([1]Temps!$D$7:$AH$30,X$3,DAY($B16)))</f>
        <v>26.1</v>
      </c>
      <c r="Y16" s="609">
        <f>IF(INDEX([1]Temps!$D$7:$AH$30,Y$3,DAY($B16))="",NA(),INDEX([1]Temps!$D$7:$AH$30,Y$3,DAY($B16)))</f>
        <v>25</v>
      </c>
      <c r="Z16" s="609">
        <f>IF(INDEX([1]Temps!$D$7:$AH$30,Z$3,DAY($B16))="",NA(),INDEX([1]Temps!$D$7:$AH$30,Z$3,DAY($B16)))</f>
        <v>25</v>
      </c>
      <c r="AA16" s="584"/>
      <c r="AB16" s="583">
        <f t="shared" si="6"/>
        <v>41956</v>
      </c>
      <c r="AC16" s="587">
        <f>IF(INDEX([1]Temps!$D$43:$AH$66,AC$3,DAY($B16))="",NA(),INDEX([1]Temps!$D$43:$AH$66,AC$3,DAY($B16)))</f>
        <v>32</v>
      </c>
      <c r="AD16" s="587">
        <f>IF(INDEX([1]Temps!$D$43:$AH$66,AD$3,DAY($B16))="",NA(),INDEX([1]Temps!$D$43:$AH$66,AD$3,DAY($B16)))</f>
        <v>32</v>
      </c>
      <c r="AE16" s="587">
        <f>IF(INDEX([1]Temps!$D$43:$AH$66,AE$3,DAY($B16))="",NA(),INDEX([1]Temps!$D$43:$AH$66,AE$3,DAY($B16)))</f>
        <v>32</v>
      </c>
      <c r="AF16" s="587">
        <f>IF(INDEX([1]Temps!$D$43:$AH$66,AF$3,DAY($B16))="",NA(),INDEX([1]Temps!$D$43:$AH$66,AF$3,DAY($B16)))</f>
        <v>31.45</v>
      </c>
      <c r="AG16" s="587">
        <f>IF(INDEX([1]Temps!$D$43:$AH$66,AG$3,DAY($B16))="",NA(),INDEX([1]Temps!$D$43:$AH$66,AG$3,DAY($B16)))</f>
        <v>30.9</v>
      </c>
      <c r="AH16" s="587">
        <f>IF(INDEX([1]Temps!$D$43:$AH$66,AH$3,DAY($B16))="",NA(),INDEX([1]Temps!$D$43:$AH$66,AH$3,DAY($B16)))</f>
        <v>30.3</v>
      </c>
      <c r="AI16" s="587">
        <f>IF(INDEX([1]Temps!$D$43:$AH$66,AI$3,DAY($B16))="",NA(),INDEX([1]Temps!$D$43:$AH$66,AI$3,DAY($B16)))</f>
        <v>30</v>
      </c>
      <c r="AJ16" s="587">
        <f>IF(INDEX([1]Temps!$D$43:$AH$66,AJ$3,DAY($B16))="",NA(),INDEX([1]Temps!$D$43:$AH$66,AJ$3,DAY($B16)))</f>
        <v>30</v>
      </c>
      <c r="AK16" s="587">
        <f>IF(INDEX([1]Temps!$D$43:$AH$66,AK$3,DAY($B16))="",NA(),INDEX([1]Temps!$D$43:$AH$66,AK$3,DAY($B16)))</f>
        <v>30</v>
      </c>
      <c r="AL16" s="587">
        <f>IF(INDEX([1]Temps!$D$43:$AH$66,AL$3,DAY($B16))="",NA(),INDEX([1]Temps!$D$43:$AH$66,AL$3,DAY($B16)))</f>
        <v>30</v>
      </c>
      <c r="AM16" s="587">
        <f>IF(INDEX([1]Temps!$D$43:$AH$66,AM$3,DAY($B16))="",NA(),INDEX([1]Temps!$D$43:$AH$66,AM$3,DAY($B16)))</f>
        <v>30</v>
      </c>
      <c r="AN16" s="587">
        <f>IF(INDEX([1]Temps!$D$43:$AH$66,AN$3,DAY($B16))="",NA(),INDEX([1]Temps!$D$43:$AH$66,AN$3,DAY($B16)))</f>
        <v>30.9</v>
      </c>
      <c r="AO16" s="587">
        <f>IF(INDEX([1]Temps!$D$43:$AH$66,AO$3,DAY($B16))="",NA(),INDEX([1]Temps!$D$43:$AH$66,AO$3,DAY($B16)))</f>
        <v>30</v>
      </c>
      <c r="AP16" s="587">
        <f>IF(INDEX([1]Temps!$D$43:$AH$66,AP$3,DAY($B16))="",NA(),INDEX([1]Temps!$D$43:$AH$66,AP$3,DAY($B16)))</f>
        <v>28.9</v>
      </c>
      <c r="AQ16" s="587">
        <f>IF(INDEX([1]Temps!$D$43:$AH$66,AQ$3,DAY($B16))="",NA(),INDEX([1]Temps!$D$43:$AH$66,AQ$3,DAY($B16)))</f>
        <v>30</v>
      </c>
      <c r="AR16" s="587">
        <f>IF(INDEX([1]Temps!$D$43:$AH$66,AR$3,DAY($B16))="",NA(),INDEX([1]Temps!$D$43:$AH$66,AR$3,DAY($B16)))</f>
        <v>32</v>
      </c>
      <c r="AS16" s="587">
        <f>IF(INDEX([1]Temps!$D$43:$AH$66,AS$3,DAY($B16))="",NA(),INDEX([1]Temps!$D$43:$AH$66,AS$3,DAY($B16)))</f>
        <v>30.9</v>
      </c>
      <c r="AT16" s="587">
        <f>IF(INDEX([1]Temps!$D$43:$AH$66,AT$3,DAY($B16))="",NA(),INDEX([1]Temps!$D$43:$AH$66,AT$3,DAY($B16)))</f>
        <v>30</v>
      </c>
      <c r="AU16" s="587">
        <f>IF(INDEX([1]Temps!$D$43:$AH$66,AU$3,DAY($B16))="",NA(),INDEX([1]Temps!$D$43:$AH$66,AU$3,DAY($B16)))</f>
        <v>28.9</v>
      </c>
      <c r="AV16" s="587">
        <f>IF(INDEX([1]Temps!$D$43:$AH$66,AV$3,DAY($B16))="",NA(),INDEX([1]Temps!$D$43:$AH$66,AV$3,DAY($B16)))</f>
        <v>28.9</v>
      </c>
      <c r="AW16" s="587">
        <f>IF(INDEX([1]Temps!$D$43:$AH$66,AW$3,DAY($B16))="",NA(),INDEX([1]Temps!$D$43:$AH$66,AW$3,DAY($B16)))</f>
        <v>28</v>
      </c>
      <c r="AX16" s="587">
        <f>IF(INDEX([1]Temps!$D$43:$AH$66,AX$3,DAY($B16))="",NA(),INDEX([1]Temps!$D$43:$AH$66,AX$3,DAY($B16)))</f>
        <v>28</v>
      </c>
      <c r="AY16" s="587">
        <f>IF(INDEX([1]Temps!$D$43:$AH$66,AY$3,DAY($B16))="",NA(),INDEX([1]Temps!$D$43:$AH$66,AY$3,DAY($B16)))</f>
        <v>26.1</v>
      </c>
      <c r="AZ16" s="587">
        <f>IF(INDEX([1]Temps!$D$43:$AH$66,AZ$3,DAY($B16))="",NA(),INDEX([1]Temps!$D$43:$AH$66,AZ$3,DAY($B16)))</f>
        <v>27</v>
      </c>
      <c r="BB16" s="583">
        <f t="shared" si="7"/>
        <v>41956</v>
      </c>
      <c r="BC16" s="587">
        <f>'[1]Hourly Load'!B16</f>
        <v>2608</v>
      </c>
      <c r="BD16" s="587">
        <f>'[1]Hourly Load'!C16</f>
        <v>2511</v>
      </c>
      <c r="BE16" s="587">
        <f>'[1]Hourly Load'!D16</f>
        <v>2506</v>
      </c>
      <c r="BF16" s="587">
        <f>'[1]Hourly Load'!E16</f>
        <v>2509</v>
      </c>
      <c r="BG16" s="587">
        <f>'[1]Hourly Load'!F16</f>
        <v>2498</v>
      </c>
      <c r="BH16" s="587">
        <f>'[1]Hourly Load'!G16</f>
        <v>2692</v>
      </c>
      <c r="BI16" s="587">
        <f>'[1]Hourly Load'!H16</f>
        <v>2974</v>
      </c>
      <c r="BJ16" s="587">
        <f>'[1]Hourly Load'!I16</f>
        <v>3107</v>
      </c>
      <c r="BK16" s="587">
        <f>'[1]Hourly Load'!J16</f>
        <v>3138</v>
      </c>
      <c r="BL16" s="587">
        <f>'[1]Hourly Load'!K16</f>
        <v>3203</v>
      </c>
      <c r="BM16" s="587">
        <f>'[1]Hourly Load'!L16</f>
        <v>3259</v>
      </c>
      <c r="BN16" s="587">
        <f>'[1]Hourly Load'!M16</f>
        <v>3223</v>
      </c>
      <c r="BO16" s="587">
        <f>'[1]Hourly Load'!N16</f>
        <v>3193</v>
      </c>
      <c r="BP16" s="587">
        <f>'[1]Hourly Load'!O16</f>
        <v>3239</v>
      </c>
      <c r="BQ16" s="587">
        <f>'[1]Hourly Load'!P16</f>
        <v>3195</v>
      </c>
      <c r="BR16" s="587">
        <f>'[1]Hourly Load'!Q16</f>
        <v>3230</v>
      </c>
      <c r="BS16" s="587">
        <f>'[1]Hourly Load'!R16</f>
        <v>3195</v>
      </c>
      <c r="BT16" s="587">
        <f>'[1]Hourly Load'!S16</f>
        <v>3314</v>
      </c>
      <c r="BU16" s="587">
        <f>'[1]Hourly Load'!T16</f>
        <v>3430</v>
      </c>
      <c r="BV16" s="587">
        <f>'[1]Hourly Load'!U16</f>
        <v>3358</v>
      </c>
      <c r="BW16" s="587">
        <f>'[1]Hourly Load'!V16</f>
        <v>3311</v>
      </c>
      <c r="BX16" s="587">
        <f>'[1]Hourly Load'!W16</f>
        <v>3257</v>
      </c>
      <c r="BY16" s="587">
        <f>'[1]Hourly Load'!X16</f>
        <v>3065</v>
      </c>
      <c r="BZ16" s="587">
        <f>'[1]Hourly Load'!Y16</f>
        <v>2953</v>
      </c>
      <c r="CA16" s="584"/>
      <c r="CB16" s="583">
        <f t="shared" si="8"/>
        <v>41956</v>
      </c>
      <c r="CC16" s="587">
        <f>'[1]Hourly Load'!AA16</f>
        <v>1270.31005859375</v>
      </c>
      <c r="CD16" s="587">
        <f>'[1]Hourly Load'!AB16</f>
        <v>1221.9110107421875</v>
      </c>
      <c r="CE16" s="587">
        <f>'[1]Hourly Load'!AC16</f>
        <v>1213.7109375</v>
      </c>
      <c r="CF16" s="587">
        <f>'[1]Hourly Load'!AD16</f>
        <v>1220.2110595703125</v>
      </c>
      <c r="CG16" s="587">
        <f>'[1]Hourly Load'!AE16</f>
        <v>1220.5101318359375</v>
      </c>
      <c r="CH16" s="587">
        <f>'[1]Hourly Load'!AF16</f>
        <v>1287.7110595703125</v>
      </c>
      <c r="CI16" s="587">
        <f>'[1]Hourly Load'!AG16</f>
        <v>1429.211181640625</v>
      </c>
      <c r="CJ16" s="587">
        <f>'[1]Hourly Load'!AH16</f>
        <v>1517.8109130859375</v>
      </c>
      <c r="CK16" s="587">
        <f>'[1]Hourly Load'!AI16</f>
        <v>1511.7110595703125</v>
      </c>
      <c r="CL16" s="587">
        <f>'[1]Hourly Load'!AJ16</f>
        <v>1524.61083984375</v>
      </c>
      <c r="CM16" s="587">
        <f>'[1]Hourly Load'!AK16</f>
        <v>1547.4129638671875</v>
      </c>
      <c r="CN16" s="587">
        <f>'[1]Hourly Load'!AL16</f>
        <v>1547.4119873046875</v>
      </c>
      <c r="CO16" s="587">
        <f>'[1]Hourly Load'!AM16</f>
        <v>1522.5130615234375</v>
      </c>
      <c r="CP16" s="587">
        <f>'[1]Hourly Load'!AN16</f>
        <v>1522.8564453125</v>
      </c>
      <c r="CQ16" s="587">
        <f>'[1]Hourly Load'!AO16</f>
        <v>1524.0289306640625</v>
      </c>
      <c r="CR16" s="587">
        <f>'[1]Hourly Load'!AP16</f>
        <v>1486.530029296875</v>
      </c>
      <c r="CS16" s="587">
        <f>'[1]Hourly Load'!AQ16</f>
        <v>1496.2398681640625</v>
      </c>
      <c r="CT16" s="587">
        <f>'[1]Hourly Load'!AR16</f>
        <v>1578.8458251953125</v>
      </c>
      <c r="CU16" s="587">
        <f>'[1]Hourly Load'!AS16</f>
        <v>1646.7440185546875</v>
      </c>
      <c r="CV16" s="587">
        <f>'[1]Hourly Load'!AT16</f>
        <v>1637.327880859375</v>
      </c>
      <c r="CW16" s="587">
        <f>'[1]Hourly Load'!AU16</f>
        <v>1606.9439697265625</v>
      </c>
      <c r="CX16" s="587">
        <f>'[1]Hourly Load'!AV16</f>
        <v>1553.8460693359375</v>
      </c>
      <c r="CY16" s="587">
        <f>'[1]Hourly Load'!AW16</f>
        <v>1467.1339111328125</v>
      </c>
      <c r="CZ16" s="587">
        <f>'[1]Hourly Load'!AX16</f>
        <v>1397.6368408203125</v>
      </c>
    </row>
    <row r="17" spans="1:104">
      <c r="A17" s="582">
        <v>14</v>
      </c>
      <c r="B17" s="583">
        <f>'Input Data'!A17</f>
        <v>41957</v>
      </c>
      <c r="C17" s="609">
        <f>IF(INDEX([1]Temps!$D$7:$AH$30,C$3,DAY($B17))="",NA(),INDEX([1]Temps!$D$7:$AH$30,C$3,DAY($B17)))</f>
        <v>23</v>
      </c>
      <c r="D17" s="609">
        <f>IF(INDEX([1]Temps!$D$7:$AH$30,D$3,DAY($B17))="",NA(),INDEX([1]Temps!$D$7:$AH$30,D$3,DAY($B17)))</f>
        <v>21</v>
      </c>
      <c r="E17" s="609">
        <f>IF(INDEX([1]Temps!$D$7:$AH$30,E$3,DAY($B17))="",NA(),INDEX([1]Temps!$D$7:$AH$30,E$3,DAY($B17)))</f>
        <v>19.899999999999999</v>
      </c>
      <c r="F17" s="609">
        <f>IF(INDEX([1]Temps!$D$7:$AH$30,F$3,DAY($B17))="",NA(),INDEX([1]Temps!$D$7:$AH$30,F$3,DAY($B17)))</f>
        <v>21</v>
      </c>
      <c r="G17" s="609">
        <f>IF(INDEX([1]Temps!$D$7:$AH$30,G$3,DAY($B17))="",NA(),INDEX([1]Temps!$D$7:$AH$30,G$3,DAY($B17)))</f>
        <v>19.899999999999999</v>
      </c>
      <c r="H17" s="609">
        <f>IF(INDEX([1]Temps!$D$7:$AH$30,H$3,DAY($B17))="",NA(),INDEX([1]Temps!$D$7:$AH$30,H$3,DAY($B17)))</f>
        <v>18</v>
      </c>
      <c r="I17" s="609">
        <f>IF(INDEX([1]Temps!$D$7:$AH$30,I$3,DAY($B17))="",NA(),INDEX([1]Temps!$D$7:$AH$30,I$3,DAY($B17)))</f>
        <v>18</v>
      </c>
      <c r="J17" s="609">
        <f>IF(INDEX([1]Temps!$D$7:$AH$30,J$3,DAY($B17))="",NA(),INDEX([1]Temps!$D$7:$AH$30,J$3,DAY($B17)))</f>
        <v>19</v>
      </c>
      <c r="K17" s="609">
        <f>IF(INDEX([1]Temps!$D$7:$AH$30,K$3,DAY($B17))="",NA(),INDEX([1]Temps!$D$7:$AH$30,K$3,DAY($B17)))</f>
        <v>23</v>
      </c>
      <c r="L17" s="609">
        <f>IF(INDEX([1]Temps!$D$7:$AH$30,L$3,DAY($B17))="",NA(),INDEX([1]Temps!$D$7:$AH$30,L$3,DAY($B17)))</f>
        <v>26.1</v>
      </c>
      <c r="M17" s="609">
        <f>IF(INDEX([1]Temps!$D$7:$AH$30,M$3,DAY($B17))="",NA(),INDEX([1]Temps!$D$7:$AH$30,M$3,DAY($B17)))</f>
        <v>27</v>
      </c>
      <c r="N17" s="609">
        <f>IF(INDEX([1]Temps!$D$7:$AH$30,N$3,DAY($B17))="",NA(),INDEX([1]Temps!$D$7:$AH$30,N$3,DAY($B17)))</f>
        <v>27.966666666666669</v>
      </c>
      <c r="O17" s="609">
        <f>IF(INDEX([1]Temps!$D$7:$AH$30,O$3,DAY($B17))="",NA(),INDEX([1]Temps!$D$7:$AH$30,O$3,DAY($B17)))</f>
        <v>28.9</v>
      </c>
      <c r="P17" s="609">
        <f>IF(INDEX([1]Temps!$D$7:$AH$30,P$3,DAY($B17))="",NA(),INDEX([1]Temps!$D$7:$AH$30,P$3,DAY($B17)))</f>
        <v>30.9</v>
      </c>
      <c r="Q17" s="609">
        <f>IF(INDEX([1]Temps!$D$7:$AH$30,Q$3,DAY($B17))="",NA(),INDEX([1]Temps!$D$7:$AH$30,Q$3,DAY($B17)))</f>
        <v>30.9</v>
      </c>
      <c r="R17" s="609">
        <f>IF(INDEX([1]Temps!$D$7:$AH$30,R$3,DAY($B17))="",NA(),INDEX([1]Temps!$D$7:$AH$30,R$3,DAY($B17)))</f>
        <v>30</v>
      </c>
      <c r="S17" s="609">
        <f>IF(INDEX([1]Temps!$D$7:$AH$30,S$3,DAY($B17))="",NA(),INDEX([1]Temps!$D$7:$AH$30,S$3,DAY($B17)))</f>
        <v>30.9</v>
      </c>
      <c r="T17" s="609">
        <f>IF(INDEX([1]Temps!$D$7:$AH$30,T$3,DAY($B17))="",NA(),INDEX([1]Temps!$D$7:$AH$30,T$3,DAY($B17)))</f>
        <v>28</v>
      </c>
      <c r="U17" s="609">
        <f>IF(INDEX([1]Temps!$D$7:$AH$30,U$3,DAY($B17))="",NA(),INDEX([1]Temps!$D$7:$AH$30,U$3,DAY($B17)))</f>
        <v>28</v>
      </c>
      <c r="V17" s="609">
        <f>IF(INDEX([1]Temps!$D$7:$AH$30,V$3,DAY($B17))="",NA(),INDEX([1]Temps!$D$7:$AH$30,V$3,DAY($B17)))</f>
        <v>25</v>
      </c>
      <c r="W17" s="609">
        <f>IF(INDEX([1]Temps!$D$7:$AH$30,W$3,DAY($B17))="",NA(),INDEX([1]Temps!$D$7:$AH$30,W$3,DAY($B17)))</f>
        <v>21.9</v>
      </c>
      <c r="X17" s="609">
        <f>IF(INDEX([1]Temps!$D$7:$AH$30,X$3,DAY($B17))="",NA(),INDEX([1]Temps!$D$7:$AH$30,X$3,DAY($B17)))</f>
        <v>21</v>
      </c>
      <c r="Y17" s="609">
        <f>IF(INDEX([1]Temps!$D$7:$AH$30,Y$3,DAY($B17))="",NA(),INDEX([1]Temps!$D$7:$AH$30,Y$3,DAY($B17)))</f>
        <v>21</v>
      </c>
      <c r="Z17" s="609">
        <f>IF(INDEX([1]Temps!$D$7:$AH$30,Z$3,DAY($B17))="",NA(),INDEX([1]Temps!$D$7:$AH$30,Z$3,DAY($B17)))</f>
        <v>19</v>
      </c>
      <c r="AA17" s="584"/>
      <c r="AB17" s="583">
        <f t="shared" si="6"/>
        <v>41957</v>
      </c>
      <c r="AC17" s="587">
        <f>IF(INDEX([1]Temps!$D$43:$AH$66,AC$3,DAY($B17))="",NA(),INDEX([1]Temps!$D$43:$AH$66,AC$3,DAY($B17)))</f>
        <v>27</v>
      </c>
      <c r="AD17" s="587">
        <f>IF(INDEX([1]Temps!$D$43:$AH$66,AD$3,DAY($B17))="",NA(),INDEX([1]Temps!$D$43:$AH$66,AD$3,DAY($B17)))</f>
        <v>26.1</v>
      </c>
      <c r="AE17" s="587">
        <f>IF(INDEX([1]Temps!$D$43:$AH$66,AE$3,DAY($B17))="",NA(),INDEX([1]Temps!$D$43:$AH$66,AE$3,DAY($B17)))</f>
        <v>26.1</v>
      </c>
      <c r="AF17" s="587">
        <f>IF(INDEX([1]Temps!$D$43:$AH$66,AF$3,DAY($B17))="",NA(),INDEX([1]Temps!$D$43:$AH$66,AF$3,DAY($B17)))</f>
        <v>25</v>
      </c>
      <c r="AG17" s="587">
        <f>IF(INDEX([1]Temps!$D$43:$AH$66,AG$3,DAY($B17))="",NA(),INDEX([1]Temps!$D$43:$AH$66,AG$3,DAY($B17)))</f>
        <v>24.8</v>
      </c>
      <c r="AH17" s="587">
        <f>IF(INDEX([1]Temps!$D$43:$AH$66,AH$3,DAY($B17))="",NA(),INDEX([1]Temps!$D$43:$AH$66,AH$3,DAY($B17)))</f>
        <v>24.1</v>
      </c>
      <c r="AI17" s="587">
        <f>IF(INDEX([1]Temps!$D$43:$AH$66,AI$3,DAY($B17))="",NA(),INDEX([1]Temps!$D$43:$AH$66,AI$3,DAY($B17)))</f>
        <v>23</v>
      </c>
      <c r="AJ17" s="587">
        <f>IF(INDEX([1]Temps!$D$43:$AH$66,AJ$3,DAY($B17))="",NA(),INDEX([1]Temps!$D$43:$AH$66,AJ$3,DAY($B17)))</f>
        <v>23</v>
      </c>
      <c r="AK17" s="587">
        <f>IF(INDEX([1]Temps!$D$43:$AH$66,AK$3,DAY($B17))="",NA(),INDEX([1]Temps!$D$43:$AH$66,AK$3,DAY($B17)))</f>
        <v>25</v>
      </c>
      <c r="AL17" s="587">
        <f>IF(INDEX([1]Temps!$D$43:$AH$66,AL$3,DAY($B17))="",NA(),INDEX([1]Temps!$D$43:$AH$66,AL$3,DAY($B17)))</f>
        <v>26.6</v>
      </c>
      <c r="AM17" s="587">
        <f>IF(INDEX([1]Temps!$D$43:$AH$66,AM$3,DAY($B17))="",NA(),INDEX([1]Temps!$D$43:$AH$66,AM$3,DAY($B17)))</f>
        <v>30</v>
      </c>
      <c r="AN17" s="587">
        <f>IF(INDEX([1]Temps!$D$43:$AH$66,AN$3,DAY($B17))="",NA(),INDEX([1]Temps!$D$43:$AH$66,AN$3,DAY($B17)))</f>
        <v>32</v>
      </c>
      <c r="AO17" s="587">
        <f>IF(INDEX([1]Temps!$D$43:$AH$66,AO$3,DAY($B17))="",NA(),INDEX([1]Temps!$D$43:$AH$66,AO$3,DAY($B17)))</f>
        <v>30.9</v>
      </c>
      <c r="AP17" s="587">
        <f>IF(INDEX([1]Temps!$D$43:$AH$66,AP$3,DAY($B17))="",NA(),INDEX([1]Temps!$D$43:$AH$66,AP$3,DAY($B17)))</f>
        <v>33.1</v>
      </c>
      <c r="AQ17" s="587">
        <f>IF(INDEX([1]Temps!$D$43:$AH$66,AQ$3,DAY($B17))="",NA(),INDEX([1]Temps!$D$43:$AH$66,AQ$3,DAY($B17)))</f>
        <v>35.1</v>
      </c>
      <c r="AR17" s="587">
        <f>IF(INDEX([1]Temps!$D$43:$AH$66,AR$3,DAY($B17))="",NA(),INDEX([1]Temps!$D$43:$AH$66,AR$3,DAY($B17)))</f>
        <v>33.799999999999997</v>
      </c>
      <c r="AS17" s="587">
        <f>IF(INDEX([1]Temps!$D$43:$AH$66,AS$3,DAY($B17))="",NA(),INDEX([1]Temps!$D$43:$AH$66,AS$3,DAY($B17)))</f>
        <v>32</v>
      </c>
      <c r="AT17" s="587">
        <f>IF(INDEX([1]Temps!$D$43:$AH$66,AT$3,DAY($B17))="",NA(),INDEX([1]Temps!$D$43:$AH$66,AT$3,DAY($B17)))</f>
        <v>32</v>
      </c>
      <c r="AU17" s="587">
        <f>IF(INDEX([1]Temps!$D$43:$AH$66,AU$3,DAY($B17))="",NA(),INDEX([1]Temps!$D$43:$AH$66,AU$3,DAY($B17)))</f>
        <v>30</v>
      </c>
      <c r="AV17" s="587">
        <f>IF(INDEX([1]Temps!$D$43:$AH$66,AV$3,DAY($B17))="",NA(),INDEX([1]Temps!$D$43:$AH$66,AV$3,DAY($B17)))</f>
        <v>28.9</v>
      </c>
      <c r="AW17" s="587">
        <f>IF(INDEX([1]Temps!$D$43:$AH$66,AW$3,DAY($B17))="",NA(),INDEX([1]Temps!$D$43:$AH$66,AW$3,DAY($B17)))</f>
        <v>28</v>
      </c>
      <c r="AX17" s="587">
        <f>IF(INDEX([1]Temps!$D$43:$AH$66,AX$3,DAY($B17))="",NA(),INDEX([1]Temps!$D$43:$AH$66,AX$3,DAY($B17)))</f>
        <v>26.1</v>
      </c>
      <c r="AY17" s="587">
        <f>IF(INDEX([1]Temps!$D$43:$AH$66,AY$3,DAY($B17))="",NA(),INDEX([1]Temps!$D$43:$AH$66,AY$3,DAY($B17)))</f>
        <v>26.1</v>
      </c>
      <c r="AZ17" s="587">
        <f>IF(INDEX([1]Temps!$D$43:$AH$66,AZ$3,DAY($B17))="",NA(),INDEX([1]Temps!$D$43:$AH$66,AZ$3,DAY($B17)))</f>
        <v>24.1</v>
      </c>
      <c r="BB17" s="583">
        <f t="shared" si="7"/>
        <v>41957</v>
      </c>
      <c r="BC17" s="587">
        <f>'[1]Hourly Load'!B17</f>
        <v>2861</v>
      </c>
      <c r="BD17" s="587">
        <f>'[1]Hourly Load'!C17</f>
        <v>2840</v>
      </c>
      <c r="BE17" s="587">
        <f>'[1]Hourly Load'!D17</f>
        <v>2897</v>
      </c>
      <c r="BF17" s="587">
        <f>'[1]Hourly Load'!E17</f>
        <v>2876</v>
      </c>
      <c r="BG17" s="587">
        <f>'[1]Hourly Load'!F17</f>
        <v>2896</v>
      </c>
      <c r="BH17" s="587">
        <f>'[1]Hourly Load'!G17</f>
        <v>3030</v>
      </c>
      <c r="BI17" s="587">
        <f>'[1]Hourly Load'!H17</f>
        <v>3429</v>
      </c>
      <c r="BJ17" s="587">
        <f>'[1]Hourly Load'!I17</f>
        <v>3574</v>
      </c>
      <c r="BK17" s="587">
        <f>'[1]Hourly Load'!J17</f>
        <v>3519</v>
      </c>
      <c r="BL17" s="587">
        <f>'[1]Hourly Load'!K17</f>
        <v>3395</v>
      </c>
      <c r="BM17" s="587">
        <f>'[1]Hourly Load'!L17</f>
        <v>3269</v>
      </c>
      <c r="BN17" s="587">
        <f>'[1]Hourly Load'!M17</f>
        <v>3169</v>
      </c>
      <c r="BO17" s="587">
        <f>'[1]Hourly Load'!N17</f>
        <v>3142</v>
      </c>
      <c r="BP17" s="587">
        <f>'[1]Hourly Load'!O17</f>
        <v>3093</v>
      </c>
      <c r="BQ17" s="587">
        <f>'[1]Hourly Load'!P17</f>
        <v>3085</v>
      </c>
      <c r="BR17" s="587">
        <f>'[1]Hourly Load'!Q17</f>
        <v>3021</v>
      </c>
      <c r="BS17" s="587">
        <f>'[1]Hourly Load'!R17</f>
        <v>3053</v>
      </c>
      <c r="BT17" s="587">
        <f>'[1]Hourly Load'!S17</f>
        <v>3132</v>
      </c>
      <c r="BU17" s="587">
        <f>'[1]Hourly Load'!T17</f>
        <v>3246</v>
      </c>
      <c r="BV17" s="587">
        <f>'[1]Hourly Load'!U17</f>
        <v>3272</v>
      </c>
      <c r="BW17" s="587">
        <f>'[1]Hourly Load'!V17</f>
        <v>3329</v>
      </c>
      <c r="BX17" s="587">
        <f>'[1]Hourly Load'!W17</f>
        <v>3284</v>
      </c>
      <c r="BY17" s="587">
        <f>'[1]Hourly Load'!X17</f>
        <v>3261</v>
      </c>
      <c r="BZ17" s="587">
        <f>'[1]Hourly Load'!Y17</f>
        <v>3149</v>
      </c>
      <c r="CA17" s="584"/>
      <c r="CB17" s="583">
        <f t="shared" si="8"/>
        <v>41957</v>
      </c>
      <c r="CC17" s="587">
        <f>'[1]Hourly Load'!AA17</f>
        <v>1352.3460693359375</v>
      </c>
      <c r="CD17" s="587">
        <f>'[1]Hourly Load'!AB17</f>
        <v>1326.135009765625</v>
      </c>
      <c r="CE17" s="587">
        <f>'[1]Hourly Load'!AC17</f>
        <v>1314.2794189453125</v>
      </c>
      <c r="CF17" s="587">
        <f>'[1]Hourly Load'!AD17</f>
        <v>1311.44482421875</v>
      </c>
      <c r="CG17" s="587">
        <f>'[1]Hourly Load'!AE17</f>
        <v>1338.636962890625</v>
      </c>
      <c r="CH17" s="587">
        <f>'[1]Hourly Load'!AF17</f>
        <v>1396.635009765625</v>
      </c>
      <c r="CI17" s="587">
        <f>'[1]Hourly Load'!AG17</f>
        <v>1536.0450439453125</v>
      </c>
      <c r="CJ17" s="587">
        <f>'[1]Hourly Load'!AH17</f>
        <v>1594.737060546875</v>
      </c>
      <c r="CK17" s="587">
        <f>'[1]Hourly Load'!AI17</f>
        <v>1589.2369384765625</v>
      </c>
      <c r="CL17" s="587">
        <f>'[1]Hourly Load'!AJ17</f>
        <v>1562.748046875</v>
      </c>
      <c r="CM17" s="587">
        <f>'[1]Hourly Load'!AK17</f>
        <v>1542.1502685546875</v>
      </c>
      <c r="CN17" s="587">
        <f>'[1]Hourly Load'!AL17</f>
        <v>1519.448974609375</v>
      </c>
      <c r="CO17" s="587">
        <f>'[1]Hourly Load'!AM17</f>
        <v>1493.5340576171875</v>
      </c>
      <c r="CP17" s="587">
        <f>'[1]Hourly Load'!AN17</f>
        <v>1479.1490478515625</v>
      </c>
      <c r="CQ17" s="587">
        <f>'[1]Hourly Load'!AO17</f>
        <v>1447.6500244140625</v>
      </c>
      <c r="CR17" s="587">
        <f>'[1]Hourly Load'!AP17</f>
        <v>1417.25</v>
      </c>
      <c r="CS17" s="587">
        <f>'[1]Hourly Load'!AQ17</f>
        <v>1412.2498779296875</v>
      </c>
      <c r="CT17" s="587">
        <f>'[1]Hourly Load'!AR17</f>
        <v>1478.9420166015625</v>
      </c>
      <c r="CU17" s="587">
        <f>'[1]Hourly Load'!AS17</f>
        <v>1552.1390380859375</v>
      </c>
      <c r="CV17" s="587">
        <f>'[1]Hourly Load'!AT17</f>
        <v>1548.748046875</v>
      </c>
      <c r="CW17" s="587">
        <f>'[1]Hourly Load'!AU17</f>
        <v>1527.548095703125</v>
      </c>
      <c r="CX17" s="587">
        <f>'[1]Hourly Load'!AV17</f>
        <v>1498.7479248046875</v>
      </c>
      <c r="CY17" s="587">
        <f>'[1]Hourly Load'!AW17</f>
        <v>1435.548095703125</v>
      </c>
      <c r="CZ17" s="587">
        <f>'[1]Hourly Load'!AX17</f>
        <v>1399.73486328125</v>
      </c>
    </row>
    <row r="18" spans="1:104">
      <c r="A18" s="582">
        <v>15</v>
      </c>
      <c r="B18" s="583">
        <f>'Input Data'!A18</f>
        <v>41958</v>
      </c>
      <c r="C18" s="609">
        <f>IF(INDEX([1]Temps!$D$7:$AH$30,C$3,DAY($B18))="",NA(),INDEX([1]Temps!$D$7:$AH$30,C$3,DAY($B18)))</f>
        <v>19</v>
      </c>
      <c r="D18" s="609">
        <f>IF(INDEX([1]Temps!$D$7:$AH$30,D$3,DAY($B18))="",NA(),INDEX([1]Temps!$D$7:$AH$30,D$3,DAY($B18)))</f>
        <v>19</v>
      </c>
      <c r="E18" s="609">
        <f>IF(INDEX([1]Temps!$D$7:$AH$30,E$3,DAY($B18))="",NA(),INDEX([1]Temps!$D$7:$AH$30,E$3,DAY($B18)))</f>
        <v>17.100000000000001</v>
      </c>
      <c r="F18" s="609">
        <f>IF(INDEX([1]Temps!$D$7:$AH$30,F$3,DAY($B18))="",NA(),INDEX([1]Temps!$D$7:$AH$30,F$3,DAY($B18)))</f>
        <v>18</v>
      </c>
      <c r="G18" s="609">
        <f>IF(INDEX([1]Temps!$D$7:$AH$30,G$3,DAY($B18))="",NA(),INDEX([1]Temps!$D$7:$AH$30,G$3,DAY($B18)))</f>
        <v>18</v>
      </c>
      <c r="H18" s="609">
        <f>IF(INDEX([1]Temps!$D$7:$AH$30,H$3,DAY($B18))="",NA(),INDEX([1]Temps!$D$7:$AH$30,H$3,DAY($B18)))</f>
        <v>16</v>
      </c>
      <c r="I18" s="609">
        <f>IF(INDEX([1]Temps!$D$7:$AH$30,I$3,DAY($B18))="",NA(),INDEX([1]Temps!$D$7:$AH$30,I$3,DAY($B18)))</f>
        <v>17.100000000000001</v>
      </c>
      <c r="J18" s="609">
        <f>IF(INDEX([1]Temps!$D$7:$AH$30,J$3,DAY($B18))="",NA(),INDEX([1]Temps!$D$7:$AH$30,J$3,DAY($B18)))</f>
        <v>17.100000000000001</v>
      </c>
      <c r="K18" s="609">
        <f>IF(INDEX([1]Temps!$D$7:$AH$30,K$3,DAY($B18))="",NA(),INDEX([1]Temps!$D$7:$AH$30,K$3,DAY($B18)))</f>
        <v>24.1</v>
      </c>
      <c r="L18" s="609">
        <f>IF(INDEX([1]Temps!$D$7:$AH$30,L$3,DAY($B18))="",NA(),INDEX([1]Temps!$D$7:$AH$30,L$3,DAY($B18)))</f>
        <v>30</v>
      </c>
      <c r="M18" s="609">
        <f>IF(INDEX([1]Temps!$D$7:$AH$30,M$3,DAY($B18))="",NA(),INDEX([1]Temps!$D$7:$AH$30,M$3,DAY($B18)))</f>
        <v>33.1</v>
      </c>
      <c r="N18" s="609">
        <f>IF(INDEX([1]Temps!$D$7:$AH$30,N$3,DAY($B18))="",NA(),INDEX([1]Temps!$D$7:$AH$30,N$3,DAY($B18)))</f>
        <v>34</v>
      </c>
      <c r="O18" s="609">
        <f>IF(INDEX([1]Temps!$D$7:$AH$30,O$3,DAY($B18))="",NA(),INDEX([1]Temps!$D$7:$AH$30,O$3,DAY($B18)))</f>
        <v>35.1</v>
      </c>
      <c r="P18" s="609">
        <f>IF(INDEX([1]Temps!$D$7:$AH$30,P$3,DAY($B18))="",NA(),INDEX([1]Temps!$D$7:$AH$30,P$3,DAY($B18)))</f>
        <v>36</v>
      </c>
      <c r="Q18" s="609">
        <f>IF(INDEX([1]Temps!$D$7:$AH$30,Q$3,DAY($B18))="",NA(),INDEX([1]Temps!$D$7:$AH$30,Q$3,DAY($B18)))</f>
        <v>37.9</v>
      </c>
      <c r="R18" s="609">
        <f>IF(INDEX([1]Temps!$D$7:$AH$30,R$3,DAY($B18))="",NA(),INDEX([1]Temps!$D$7:$AH$30,R$3,DAY($B18)))</f>
        <v>36</v>
      </c>
      <c r="S18" s="609">
        <f>IF(INDEX([1]Temps!$D$7:$AH$30,S$3,DAY($B18))="",NA(),INDEX([1]Temps!$D$7:$AH$30,S$3,DAY($B18)))</f>
        <v>36</v>
      </c>
      <c r="T18" s="609">
        <f>IF(INDEX([1]Temps!$D$7:$AH$30,T$3,DAY($B18))="",NA(),INDEX([1]Temps!$D$7:$AH$30,T$3,DAY($B18)))</f>
        <v>35.1</v>
      </c>
      <c r="U18" s="609">
        <f>IF(INDEX([1]Temps!$D$7:$AH$30,U$3,DAY($B18))="",NA(),INDEX([1]Temps!$D$7:$AH$30,U$3,DAY($B18)))</f>
        <v>35.1</v>
      </c>
      <c r="V18" s="609">
        <f>IF(INDEX([1]Temps!$D$7:$AH$30,V$3,DAY($B18))="",NA(),INDEX([1]Temps!$D$7:$AH$30,V$3,DAY($B18)))</f>
        <v>35.1</v>
      </c>
      <c r="W18" s="609">
        <f>IF(INDEX([1]Temps!$D$7:$AH$30,W$3,DAY($B18))="",NA(),INDEX([1]Temps!$D$7:$AH$30,W$3,DAY($B18)))</f>
        <v>36</v>
      </c>
      <c r="X18" s="609">
        <f>IF(INDEX([1]Temps!$D$7:$AH$30,X$3,DAY($B18))="",NA(),INDEX([1]Temps!$D$7:$AH$30,X$3,DAY($B18)))</f>
        <v>35.1</v>
      </c>
      <c r="Y18" s="609">
        <f>IF(INDEX([1]Temps!$D$7:$AH$30,Y$3,DAY($B18))="",NA(),INDEX([1]Temps!$D$7:$AH$30,Y$3,DAY($B18)))</f>
        <v>33.1</v>
      </c>
      <c r="Z18" s="609">
        <f>IF(INDEX([1]Temps!$D$7:$AH$30,Z$3,DAY($B18))="",NA(),INDEX([1]Temps!$D$7:$AH$30,Z$3,DAY($B18)))</f>
        <v>31.174999999999997</v>
      </c>
      <c r="AA18" s="584"/>
      <c r="AB18" s="583">
        <f t="shared" si="6"/>
        <v>41958</v>
      </c>
      <c r="AC18" s="587">
        <f>IF(INDEX([1]Temps!$D$43:$AH$66,AC$3,DAY($B18))="",NA(),INDEX([1]Temps!$D$43:$AH$66,AC$3,DAY($B18)))</f>
        <v>24.1</v>
      </c>
      <c r="AD18" s="587">
        <f>IF(INDEX([1]Temps!$D$43:$AH$66,AD$3,DAY($B18))="",NA(),INDEX([1]Temps!$D$43:$AH$66,AD$3,DAY($B18)))</f>
        <v>24.1</v>
      </c>
      <c r="AE18" s="587">
        <f>IF(INDEX([1]Temps!$D$43:$AH$66,AE$3,DAY($B18))="",NA(),INDEX([1]Temps!$D$43:$AH$66,AE$3,DAY($B18)))</f>
        <v>21</v>
      </c>
      <c r="AF18" s="587">
        <f>IF(INDEX([1]Temps!$D$43:$AH$66,AF$3,DAY($B18))="",NA(),INDEX([1]Temps!$D$43:$AH$66,AF$3,DAY($B18)))</f>
        <v>23</v>
      </c>
      <c r="AG18" s="587">
        <f>IF(INDEX([1]Temps!$D$43:$AH$66,AG$3,DAY($B18))="",NA(),INDEX([1]Temps!$D$43:$AH$66,AG$3,DAY($B18)))</f>
        <v>21</v>
      </c>
      <c r="AH18" s="587">
        <f>IF(INDEX([1]Temps!$D$43:$AH$66,AH$3,DAY($B18))="",NA(),INDEX([1]Temps!$D$43:$AH$66,AH$3,DAY($B18)))</f>
        <v>21</v>
      </c>
      <c r="AI18" s="587">
        <f>IF(INDEX([1]Temps!$D$43:$AH$66,AI$3,DAY($B18))="",NA(),INDEX([1]Temps!$D$43:$AH$66,AI$3,DAY($B18)))</f>
        <v>21</v>
      </c>
      <c r="AJ18" s="587">
        <f>IF(INDEX([1]Temps!$D$43:$AH$66,AJ$3,DAY($B18))="",NA(),INDEX([1]Temps!$D$43:$AH$66,AJ$3,DAY($B18)))</f>
        <v>19.899999999999999</v>
      </c>
      <c r="AK18" s="587">
        <f>IF(INDEX([1]Temps!$D$43:$AH$66,AK$3,DAY($B18))="",NA(),INDEX([1]Temps!$D$43:$AH$66,AK$3,DAY($B18)))</f>
        <v>25</v>
      </c>
      <c r="AL18" s="587">
        <f>IF(INDEX([1]Temps!$D$43:$AH$66,AL$3,DAY($B18))="",NA(),INDEX([1]Temps!$D$43:$AH$66,AL$3,DAY($B18)))</f>
        <v>30.9</v>
      </c>
      <c r="AM18" s="587">
        <f>IF(INDEX([1]Temps!$D$43:$AH$66,AM$3,DAY($B18))="",NA(),INDEX([1]Temps!$D$43:$AH$66,AM$3,DAY($B18)))</f>
        <v>33.1</v>
      </c>
      <c r="AN18" s="587">
        <f>IF(INDEX([1]Temps!$D$43:$AH$66,AN$3,DAY($B18))="",NA(),INDEX([1]Temps!$D$43:$AH$66,AN$3,DAY($B18)))</f>
        <v>35.1</v>
      </c>
      <c r="AO18" s="587">
        <f>IF(INDEX([1]Temps!$D$43:$AH$66,AO$3,DAY($B18))="",NA(),INDEX([1]Temps!$D$43:$AH$66,AO$3,DAY($B18)))</f>
        <v>36</v>
      </c>
      <c r="AP18" s="587">
        <f>IF(INDEX([1]Temps!$D$43:$AH$66,AP$3,DAY($B18))="",NA(),INDEX([1]Temps!$D$43:$AH$66,AP$3,DAY($B18)))</f>
        <v>37</v>
      </c>
      <c r="AQ18" s="587">
        <f>IF(INDEX([1]Temps!$D$43:$AH$66,AQ$3,DAY($B18))="",NA(),INDEX([1]Temps!$D$43:$AH$66,AQ$3,DAY($B18)))</f>
        <v>37.9</v>
      </c>
      <c r="AR18" s="587">
        <f>IF(INDEX([1]Temps!$D$43:$AH$66,AR$3,DAY($B18))="",NA(),INDEX([1]Temps!$D$43:$AH$66,AR$3,DAY($B18)))</f>
        <v>39</v>
      </c>
      <c r="AS18" s="587">
        <f>IF(INDEX([1]Temps!$D$43:$AH$66,AS$3,DAY($B18))="",NA(),INDEX([1]Temps!$D$43:$AH$66,AS$3,DAY($B18)))</f>
        <v>39</v>
      </c>
      <c r="AT18" s="587">
        <f>IF(INDEX([1]Temps!$D$43:$AH$66,AT$3,DAY($B18))="",NA(),INDEX([1]Temps!$D$43:$AH$66,AT$3,DAY($B18)))</f>
        <v>37.9</v>
      </c>
      <c r="AU18" s="587">
        <f>IF(INDEX([1]Temps!$D$43:$AH$66,AU$3,DAY($B18))="",NA(),INDEX([1]Temps!$D$43:$AH$66,AU$3,DAY($B18)))</f>
        <v>37.9</v>
      </c>
      <c r="AV18" s="587">
        <f>IF(INDEX([1]Temps!$D$43:$AH$66,AV$3,DAY($B18))="",NA(),INDEX([1]Temps!$D$43:$AH$66,AV$3,DAY($B18)))</f>
        <v>37.9</v>
      </c>
      <c r="AW18" s="587">
        <f>IF(INDEX([1]Temps!$D$43:$AH$66,AW$3,DAY($B18))="",NA(),INDEX([1]Temps!$D$43:$AH$66,AW$3,DAY($B18)))</f>
        <v>37.9</v>
      </c>
      <c r="AX18" s="587">
        <f>IF(INDEX([1]Temps!$D$43:$AH$66,AX$3,DAY($B18))="",NA(),INDEX([1]Temps!$D$43:$AH$66,AX$3,DAY($B18)))</f>
        <v>37</v>
      </c>
      <c r="AY18" s="587">
        <f>IF(INDEX([1]Temps!$D$43:$AH$66,AY$3,DAY($B18))="",NA(),INDEX([1]Temps!$D$43:$AH$66,AY$3,DAY($B18)))</f>
        <v>37</v>
      </c>
      <c r="AZ18" s="587">
        <f>IF(INDEX([1]Temps!$D$43:$AH$66,AZ$3,DAY($B18))="",NA(),INDEX([1]Temps!$D$43:$AH$66,AZ$3,DAY($B18)))</f>
        <v>36</v>
      </c>
      <c r="BB18" s="583">
        <f t="shared" si="7"/>
        <v>41958</v>
      </c>
      <c r="BC18" s="587">
        <f>'[1]Hourly Load'!B18</f>
        <v>3088</v>
      </c>
      <c r="BD18" s="587">
        <f>'[1]Hourly Load'!C18</f>
        <v>3044</v>
      </c>
      <c r="BE18" s="587">
        <f>'[1]Hourly Load'!D18</f>
        <v>3053</v>
      </c>
      <c r="BF18" s="587">
        <f>'[1]Hourly Load'!E18</f>
        <v>3046</v>
      </c>
      <c r="BG18" s="587">
        <f>'[1]Hourly Load'!F18</f>
        <v>3083</v>
      </c>
      <c r="BH18" s="587">
        <f>'[1]Hourly Load'!G18</f>
        <v>3156</v>
      </c>
      <c r="BI18" s="587">
        <f>'[1]Hourly Load'!H18</f>
        <v>3238</v>
      </c>
      <c r="BJ18" s="587">
        <f>'[1]Hourly Load'!I18</f>
        <v>3315</v>
      </c>
      <c r="BK18" s="587">
        <f>'[1]Hourly Load'!J18</f>
        <v>3305</v>
      </c>
      <c r="BL18" s="587">
        <f>'[1]Hourly Load'!K18</f>
        <v>3128</v>
      </c>
      <c r="BM18" s="587">
        <f>'[1]Hourly Load'!L18</f>
        <v>2995</v>
      </c>
      <c r="BN18" s="587">
        <f>'[1]Hourly Load'!M18</f>
        <v>2845</v>
      </c>
      <c r="BO18" s="587">
        <f>'[1]Hourly Load'!N18</f>
        <v>2769</v>
      </c>
      <c r="BP18" s="587">
        <f>'[1]Hourly Load'!O18</f>
        <v>2643</v>
      </c>
      <c r="BQ18" s="587">
        <f>'[1]Hourly Load'!P18</f>
        <v>2606</v>
      </c>
      <c r="BR18" s="587">
        <f>'[1]Hourly Load'!Q18</f>
        <v>2585</v>
      </c>
      <c r="BS18" s="587">
        <f>'[1]Hourly Load'!R18</f>
        <v>2607</v>
      </c>
      <c r="BT18" s="587">
        <f>'[1]Hourly Load'!S18</f>
        <v>2765</v>
      </c>
      <c r="BU18" s="587">
        <f>'[1]Hourly Load'!T18</f>
        <v>2828</v>
      </c>
      <c r="BV18" s="587">
        <f>'[1]Hourly Load'!U18</f>
        <v>2848</v>
      </c>
      <c r="BW18" s="587">
        <f>'[1]Hourly Load'!V18</f>
        <v>2792</v>
      </c>
      <c r="BX18" s="587">
        <f>'[1]Hourly Load'!W18</f>
        <v>2727</v>
      </c>
      <c r="BY18" s="587">
        <f>'[1]Hourly Load'!X18</f>
        <v>2619</v>
      </c>
      <c r="BZ18" s="587">
        <f>'[1]Hourly Load'!Y18</f>
        <v>2532</v>
      </c>
      <c r="CA18" s="584"/>
      <c r="CB18" s="583">
        <f t="shared" si="8"/>
        <v>41958</v>
      </c>
      <c r="CC18" s="587">
        <f>'[1]Hourly Load'!AA18</f>
        <v>1359.154541015625</v>
      </c>
      <c r="CD18" s="587">
        <f>'[1]Hourly Load'!AB18</f>
        <v>1317.9471435546875</v>
      </c>
      <c r="CE18" s="587">
        <f>'[1]Hourly Load'!AC18</f>
        <v>1323.99462890625</v>
      </c>
      <c r="CF18" s="587">
        <f>'[1]Hourly Load'!AD18</f>
        <v>1310.548095703125</v>
      </c>
      <c r="CG18" s="587">
        <f>'[1]Hourly Load'!AE18</f>
        <v>1310.843017578125</v>
      </c>
      <c r="CH18" s="587">
        <f>'[1]Hourly Load'!AF18</f>
        <v>1328.1351318359375</v>
      </c>
      <c r="CI18" s="587">
        <f>'[1]Hourly Load'!AG18</f>
        <v>1374.0478515625</v>
      </c>
      <c r="CJ18" s="587">
        <f>'[1]Hourly Load'!AH18</f>
        <v>1416.947998046875</v>
      </c>
      <c r="CK18" s="587">
        <f>'[1]Hourly Load'!AI18</f>
        <v>1432.84912109375</v>
      </c>
      <c r="CL18" s="587">
        <f>'[1]Hourly Load'!AJ18</f>
        <v>1432.848876953125</v>
      </c>
      <c r="CM18" s="587">
        <f>'[1]Hourly Load'!AK18</f>
        <v>1409.837890625</v>
      </c>
      <c r="CN18" s="587">
        <f>'[1]Hourly Load'!AL18</f>
        <v>1381.945068359375</v>
      </c>
      <c r="CO18" s="587">
        <f>'[1]Hourly Load'!AM18</f>
        <v>1352.4510498046875</v>
      </c>
      <c r="CP18" s="587">
        <f>'[1]Hourly Load'!AN18</f>
        <v>1304.455078125</v>
      </c>
      <c r="CQ18" s="587">
        <f>'[1]Hourly Load'!AO18</f>
        <v>1247.555908203125</v>
      </c>
      <c r="CR18" s="587">
        <f>'[1]Hourly Load'!AP18</f>
        <v>1264.35498046875</v>
      </c>
      <c r="CS18" s="587">
        <f>'[1]Hourly Load'!AQ18</f>
        <v>1302.151123046875</v>
      </c>
      <c r="CT18" s="587">
        <f>'[1]Hourly Load'!AR18</f>
        <v>1371.0360107421875</v>
      </c>
      <c r="CU18" s="587">
        <f>'[1]Hourly Load'!AS18</f>
        <v>1412.75</v>
      </c>
      <c r="CV18" s="587">
        <f>'[1]Hourly Load'!AT18</f>
        <v>1396.6490478515625</v>
      </c>
      <c r="CW18" s="587">
        <f>'[1]Hourly Load'!AU18</f>
        <v>1360.6500244140625</v>
      </c>
      <c r="CX18" s="587">
        <f>'[1]Hourly Load'!AV18</f>
        <v>1324.4539794921875</v>
      </c>
      <c r="CY18" s="587">
        <f>'[1]Hourly Load'!AW18</f>
        <v>1264.1519775390625</v>
      </c>
      <c r="CZ18" s="587">
        <f>'[1]Hourly Load'!AX18</f>
        <v>1213.14990234375</v>
      </c>
    </row>
    <row r="19" spans="1:104">
      <c r="A19" s="582">
        <v>16</v>
      </c>
      <c r="B19" s="583">
        <f>'Input Data'!A19</f>
        <v>41959</v>
      </c>
      <c r="C19" s="609">
        <f>IF(INDEX([1]Temps!$D$7:$AH$30,C$3,DAY($B19))="",NA(),INDEX([1]Temps!$D$7:$AH$30,C$3,DAY($B19)))</f>
        <v>32</v>
      </c>
      <c r="D19" s="609">
        <f>IF(INDEX([1]Temps!$D$7:$AH$30,D$3,DAY($B19))="",NA(),INDEX([1]Temps!$D$7:$AH$30,D$3,DAY($B19)))</f>
        <v>33.1</v>
      </c>
      <c r="E19" s="609">
        <f>IF(INDEX([1]Temps!$D$7:$AH$30,E$3,DAY($B19))="",NA(),INDEX([1]Temps!$D$7:$AH$30,E$3,DAY($B19)))</f>
        <v>34</v>
      </c>
      <c r="F19" s="609">
        <f>IF(INDEX([1]Temps!$D$7:$AH$30,F$3,DAY($B19))="",NA(),INDEX([1]Temps!$D$7:$AH$30,F$3,DAY($B19)))</f>
        <v>34</v>
      </c>
      <c r="G19" s="609">
        <f>IF(INDEX([1]Temps!$D$7:$AH$30,G$3,DAY($B19))="",NA(),INDEX([1]Temps!$D$7:$AH$30,G$3,DAY($B19)))</f>
        <v>34</v>
      </c>
      <c r="H19" s="609">
        <f>IF(INDEX([1]Temps!$D$7:$AH$30,H$3,DAY($B19))="",NA(),INDEX([1]Temps!$D$7:$AH$30,H$3,DAY($B19)))</f>
        <v>34</v>
      </c>
      <c r="I19" s="609">
        <f>IF(INDEX([1]Temps!$D$7:$AH$30,I$3,DAY($B19))="",NA(),INDEX([1]Temps!$D$7:$AH$30,I$3,DAY($B19)))</f>
        <v>34</v>
      </c>
      <c r="J19" s="609">
        <f>IF(INDEX([1]Temps!$D$7:$AH$30,J$3,DAY($B19))="",NA(),INDEX([1]Temps!$D$7:$AH$30,J$3,DAY($B19)))</f>
        <v>35.1</v>
      </c>
      <c r="K19" s="609">
        <f>IF(INDEX([1]Temps!$D$7:$AH$30,K$3,DAY($B19))="",NA(),INDEX([1]Temps!$D$7:$AH$30,K$3,DAY($B19)))</f>
        <v>37</v>
      </c>
      <c r="L19" s="609">
        <f>IF(INDEX([1]Temps!$D$7:$AH$30,L$3,DAY($B19))="",NA(),INDEX([1]Temps!$D$7:$AH$30,L$3,DAY($B19)))</f>
        <v>39</v>
      </c>
      <c r="M19" s="609">
        <f>IF(INDEX([1]Temps!$D$7:$AH$30,M$3,DAY($B19))="",NA(),INDEX([1]Temps!$D$7:$AH$30,M$3,DAY($B19)))</f>
        <v>41</v>
      </c>
      <c r="N19" s="609">
        <f>IF(INDEX([1]Temps!$D$7:$AH$30,N$3,DAY($B19))="",NA(),INDEX([1]Temps!$D$7:$AH$30,N$3,DAY($B19)))</f>
        <v>42.1</v>
      </c>
      <c r="O19" s="609">
        <f>IF(INDEX([1]Temps!$D$7:$AH$30,O$3,DAY($B19))="",NA(),INDEX([1]Temps!$D$7:$AH$30,O$3,DAY($B19)))</f>
        <v>42.1</v>
      </c>
      <c r="P19" s="609">
        <f>IF(INDEX([1]Temps!$D$7:$AH$30,P$3,DAY($B19))="",NA(),INDEX([1]Temps!$D$7:$AH$30,P$3,DAY($B19)))</f>
        <v>42.1</v>
      </c>
      <c r="Q19" s="609">
        <f>IF(INDEX([1]Temps!$D$7:$AH$30,Q$3,DAY($B19))="",NA(),INDEX([1]Temps!$D$7:$AH$30,Q$3,DAY($B19)))</f>
        <v>41.55</v>
      </c>
      <c r="R19" s="609">
        <f>IF(INDEX([1]Temps!$D$7:$AH$30,R$3,DAY($B19))="",NA(),INDEX([1]Temps!$D$7:$AH$30,R$3,DAY($B19)))</f>
        <v>39</v>
      </c>
      <c r="S19" s="609">
        <f>IF(INDEX([1]Temps!$D$7:$AH$30,S$3,DAY($B19))="",NA(),INDEX([1]Temps!$D$7:$AH$30,S$3,DAY($B19)))</f>
        <v>37.65</v>
      </c>
      <c r="T19" s="609">
        <f>IF(INDEX([1]Temps!$D$7:$AH$30,T$3,DAY($B19))="",NA(),INDEX([1]Temps!$D$7:$AH$30,T$3,DAY($B19)))</f>
        <v>37.9</v>
      </c>
      <c r="U19" s="609">
        <f>IF(INDEX([1]Temps!$D$7:$AH$30,U$3,DAY($B19))="",NA(),INDEX([1]Temps!$D$7:$AH$30,U$3,DAY($B19)))</f>
        <v>37.9</v>
      </c>
      <c r="V19" s="609">
        <f>IF(INDEX([1]Temps!$D$7:$AH$30,V$3,DAY($B19))="",NA(),INDEX([1]Temps!$D$7:$AH$30,V$3,DAY($B19)))</f>
        <v>37.9</v>
      </c>
      <c r="W19" s="609">
        <f>IF(INDEX([1]Temps!$D$7:$AH$30,W$3,DAY($B19))="",NA(),INDEX([1]Temps!$D$7:$AH$30,W$3,DAY($B19)))</f>
        <v>37.733333333333327</v>
      </c>
      <c r="X19" s="609">
        <f>IF(INDEX([1]Temps!$D$7:$AH$30,X$3,DAY($B19))="",NA(),INDEX([1]Temps!$D$7:$AH$30,X$3,DAY($B19)))</f>
        <v>37.9</v>
      </c>
      <c r="Y19" s="609">
        <f>IF(INDEX([1]Temps!$D$7:$AH$30,Y$3,DAY($B19))="",NA(),INDEX([1]Temps!$D$7:$AH$30,Y$3,DAY($B19)))</f>
        <v>37.9</v>
      </c>
      <c r="Z19" s="609">
        <f>IF(INDEX([1]Temps!$D$7:$AH$30,Z$3,DAY($B19))="",NA(),INDEX([1]Temps!$D$7:$AH$30,Z$3,DAY($B19)))</f>
        <v>37.9</v>
      </c>
      <c r="AA19" s="584"/>
      <c r="AB19" s="583">
        <f t="shared" si="6"/>
        <v>41959</v>
      </c>
      <c r="AC19" s="587">
        <f>IF(INDEX([1]Temps!$D$43:$AH$66,AC$3,DAY($B19))="",NA(),INDEX([1]Temps!$D$43:$AH$66,AC$3,DAY($B19)))</f>
        <v>36</v>
      </c>
      <c r="AD19" s="587">
        <f>IF(INDEX([1]Temps!$D$43:$AH$66,AD$3,DAY($B19))="",NA(),INDEX([1]Temps!$D$43:$AH$66,AD$3,DAY($B19)))</f>
        <v>36</v>
      </c>
      <c r="AE19" s="587">
        <f>IF(INDEX([1]Temps!$D$43:$AH$66,AE$3,DAY($B19))="",NA(),INDEX([1]Temps!$D$43:$AH$66,AE$3,DAY($B19)))</f>
        <v>34</v>
      </c>
      <c r="AF19" s="587">
        <f>IF(INDEX([1]Temps!$D$43:$AH$66,AF$3,DAY($B19))="",NA(),INDEX([1]Temps!$D$43:$AH$66,AF$3,DAY($B19)))</f>
        <v>34</v>
      </c>
      <c r="AG19" s="587">
        <f>IF(INDEX([1]Temps!$D$43:$AH$66,AG$3,DAY($B19))="",NA(),INDEX([1]Temps!$D$43:$AH$66,AG$3,DAY($B19)))</f>
        <v>35.1</v>
      </c>
      <c r="AH19" s="587">
        <f>IF(INDEX([1]Temps!$D$43:$AH$66,AH$3,DAY($B19))="",NA(),INDEX([1]Temps!$D$43:$AH$66,AH$3,DAY($B19)))</f>
        <v>36</v>
      </c>
      <c r="AI19" s="587">
        <f>IF(INDEX([1]Temps!$D$43:$AH$66,AI$3,DAY($B19))="",NA(),INDEX([1]Temps!$D$43:$AH$66,AI$3,DAY($B19)))</f>
        <v>35.1</v>
      </c>
      <c r="AJ19" s="587">
        <f>IF(INDEX([1]Temps!$D$43:$AH$66,AJ$3,DAY($B19))="",NA(),INDEX([1]Temps!$D$43:$AH$66,AJ$3,DAY($B19)))</f>
        <v>36</v>
      </c>
      <c r="AK19" s="587">
        <f>IF(INDEX([1]Temps!$D$43:$AH$66,AK$3,DAY($B19))="",NA(),INDEX([1]Temps!$D$43:$AH$66,AK$3,DAY($B19)))</f>
        <v>36</v>
      </c>
      <c r="AL19" s="587">
        <f>IF(INDEX([1]Temps!$D$43:$AH$66,AL$3,DAY($B19))="",NA(),INDEX([1]Temps!$D$43:$AH$66,AL$3,DAY($B19)))</f>
        <v>37.9</v>
      </c>
      <c r="AM19" s="587">
        <f>IF(INDEX([1]Temps!$D$43:$AH$66,AM$3,DAY($B19))="",NA(),INDEX([1]Temps!$D$43:$AH$66,AM$3,DAY($B19)))</f>
        <v>39</v>
      </c>
      <c r="AN19" s="587">
        <f>IF(INDEX([1]Temps!$D$43:$AH$66,AN$3,DAY($B19))="",NA(),INDEX([1]Temps!$D$43:$AH$66,AN$3,DAY($B19)))</f>
        <v>41</v>
      </c>
      <c r="AO19" s="587">
        <f>IF(INDEX([1]Temps!$D$43:$AH$66,AO$3,DAY($B19))="",NA(),INDEX([1]Temps!$D$43:$AH$66,AO$3,DAY($B19)))</f>
        <v>41</v>
      </c>
      <c r="AP19" s="587">
        <f>IF(INDEX([1]Temps!$D$43:$AH$66,AP$3,DAY($B19))="",NA(),INDEX([1]Temps!$D$43:$AH$66,AP$3,DAY($B19)))</f>
        <v>40.450000000000003</v>
      </c>
      <c r="AQ19" s="587">
        <f>IF(INDEX([1]Temps!$D$43:$AH$66,AQ$3,DAY($B19))="",NA(),INDEX([1]Temps!$D$43:$AH$66,AQ$3,DAY($B19)))</f>
        <v>41</v>
      </c>
      <c r="AR19" s="587">
        <f>IF(INDEX([1]Temps!$D$43:$AH$66,AR$3,DAY($B19))="",NA(),INDEX([1]Temps!$D$43:$AH$66,AR$3,DAY($B19)))</f>
        <v>41</v>
      </c>
      <c r="AS19" s="587">
        <f>IF(INDEX([1]Temps!$D$43:$AH$66,AS$3,DAY($B19))="",NA(),INDEX([1]Temps!$D$43:$AH$66,AS$3,DAY($B19)))</f>
        <v>39</v>
      </c>
      <c r="AT19" s="587">
        <f>IF(INDEX([1]Temps!$D$43:$AH$66,AT$3,DAY($B19))="",NA(),INDEX([1]Temps!$D$43:$AH$66,AT$3,DAY($B19)))</f>
        <v>38.450000000000003</v>
      </c>
      <c r="AU19" s="587">
        <f>IF(INDEX([1]Temps!$D$43:$AH$66,AU$3,DAY($B19))="",NA(),INDEX([1]Temps!$D$43:$AH$66,AU$3,DAY($B19)))</f>
        <v>37.9</v>
      </c>
      <c r="AV19" s="587">
        <f>IF(INDEX([1]Temps!$D$43:$AH$66,AV$3,DAY($B19))="",NA(),INDEX([1]Temps!$D$43:$AH$66,AV$3,DAY($B19)))</f>
        <v>37.9</v>
      </c>
      <c r="AW19" s="587">
        <f>IF(INDEX([1]Temps!$D$43:$AH$66,AW$3,DAY($B19))="",NA(),INDEX([1]Temps!$D$43:$AH$66,AW$3,DAY($B19)))</f>
        <v>37.674999999999997</v>
      </c>
      <c r="AX19" s="587">
        <f>IF(INDEX([1]Temps!$D$43:$AH$66,AX$3,DAY($B19))="",NA(),INDEX([1]Temps!$D$43:$AH$66,AX$3,DAY($B19)))</f>
        <v>36.049999999999997</v>
      </c>
      <c r="AY19" s="587">
        <f>IF(INDEX([1]Temps!$D$43:$AH$66,AY$3,DAY($B19))="",NA(),INDEX([1]Temps!$D$43:$AH$66,AY$3,DAY($B19)))</f>
        <v>35.1</v>
      </c>
      <c r="AZ19" s="587">
        <f>IF(INDEX([1]Temps!$D$43:$AH$66,AZ$3,DAY($B19))="",NA(),INDEX([1]Temps!$D$43:$AH$66,AZ$3,DAY($B19)))</f>
        <v>33.1</v>
      </c>
      <c r="BB19" s="583">
        <f t="shared" si="7"/>
        <v>41959</v>
      </c>
      <c r="BC19" s="587">
        <f>'[1]Hourly Load'!B19</f>
        <v>2495</v>
      </c>
      <c r="BD19" s="587">
        <f>'[1]Hourly Load'!C19</f>
        <v>2440</v>
      </c>
      <c r="BE19" s="587">
        <f>'[1]Hourly Load'!D19</f>
        <v>2388</v>
      </c>
      <c r="BF19" s="587">
        <f>'[1]Hourly Load'!E19</f>
        <v>2384</v>
      </c>
      <c r="BG19" s="587">
        <f>'[1]Hourly Load'!F19</f>
        <v>2353</v>
      </c>
      <c r="BH19" s="587">
        <f>'[1]Hourly Load'!G19</f>
        <v>2358</v>
      </c>
      <c r="BI19" s="587">
        <f>'[1]Hourly Load'!H19</f>
        <v>2425</v>
      </c>
      <c r="BJ19" s="587">
        <f>'[1]Hourly Load'!I19</f>
        <v>2457</v>
      </c>
      <c r="BK19" s="587">
        <f>'[1]Hourly Load'!J19</f>
        <v>2512</v>
      </c>
      <c r="BL19" s="587">
        <f>'[1]Hourly Load'!K19</f>
        <v>2537</v>
      </c>
      <c r="BM19" s="587">
        <f>'[1]Hourly Load'!L19</f>
        <v>2522</v>
      </c>
      <c r="BN19" s="587">
        <f>'[1]Hourly Load'!M19</f>
        <v>2546</v>
      </c>
      <c r="BO19" s="587">
        <f>'[1]Hourly Load'!N19</f>
        <v>2572</v>
      </c>
      <c r="BP19" s="587">
        <f>'[1]Hourly Load'!O19</f>
        <v>2565</v>
      </c>
      <c r="BQ19" s="587">
        <f>'[1]Hourly Load'!P19</f>
        <v>2595</v>
      </c>
      <c r="BR19" s="587">
        <f>'[1]Hourly Load'!Q19</f>
        <v>2548</v>
      </c>
      <c r="BS19" s="587">
        <f>'[1]Hourly Load'!R19</f>
        <v>2629</v>
      </c>
      <c r="BT19" s="587">
        <f>'[1]Hourly Load'!S19</f>
        <v>2736</v>
      </c>
      <c r="BU19" s="587">
        <f>'[1]Hourly Load'!T19</f>
        <v>2715</v>
      </c>
      <c r="BV19" s="587">
        <f>'[1]Hourly Load'!U19</f>
        <v>2687</v>
      </c>
      <c r="BW19" s="587">
        <f>'[1]Hourly Load'!V19</f>
        <v>2713</v>
      </c>
      <c r="BX19" s="587">
        <f>'[1]Hourly Load'!W19</f>
        <v>2587</v>
      </c>
      <c r="BY19" s="587">
        <f>'[1]Hourly Load'!X19</f>
        <v>2504</v>
      </c>
      <c r="BZ19" s="587">
        <f>'[1]Hourly Load'!Y19</f>
        <v>2418</v>
      </c>
      <c r="CA19" s="584"/>
      <c r="CB19" s="583">
        <f t="shared" si="8"/>
        <v>41959</v>
      </c>
      <c r="CC19" s="587">
        <f>'[1]Hourly Load'!AA19</f>
        <v>1154.14013671875</v>
      </c>
      <c r="CD19" s="587">
        <f>'[1]Hourly Load'!AB19</f>
        <v>1129.14892578125</v>
      </c>
      <c r="CE19" s="587">
        <f>'[1]Hourly Load'!AC19</f>
        <v>1108.652099609375</v>
      </c>
      <c r="CF19" s="587">
        <f>'[1]Hourly Load'!AD19</f>
        <v>1099.551025390625</v>
      </c>
      <c r="CG19" s="587">
        <f>'[1]Hourly Load'!AE19</f>
        <v>1106.35205078125</v>
      </c>
      <c r="CH19" s="587">
        <f>'[1]Hourly Load'!AF19</f>
        <v>1122.1529541015625</v>
      </c>
      <c r="CI19" s="587">
        <f>'[1]Hourly Load'!AG19</f>
        <v>1154.2540283203125</v>
      </c>
      <c r="CJ19" s="587">
        <f>'[1]Hourly Load'!AH19</f>
        <v>1191.140869140625</v>
      </c>
      <c r="CK19" s="587">
        <f>'[1]Hourly Load'!AI19</f>
        <v>1230.847900390625</v>
      </c>
      <c r="CL19" s="587">
        <f>'[1]Hourly Load'!AJ19</f>
        <v>1250.9539794921875</v>
      </c>
      <c r="CM19" s="587">
        <f>'[1]Hourly Load'!AK19</f>
        <v>1278.6519775390625</v>
      </c>
      <c r="CN19" s="587">
        <f>'[1]Hourly Load'!AL19</f>
        <v>1299.3551025390625</v>
      </c>
      <c r="CO19" s="587">
        <f>'[1]Hourly Load'!AM19</f>
        <v>1309.7491455078125</v>
      </c>
      <c r="CP19" s="587">
        <f>'[1]Hourly Load'!AN19</f>
        <v>1301.053955078125</v>
      </c>
      <c r="CQ19" s="587">
        <f>'[1]Hourly Load'!AO19</f>
        <v>1300.845947265625</v>
      </c>
      <c r="CR19" s="587">
        <f>'[1]Hourly Load'!AP19</f>
        <v>1297.0479736328125</v>
      </c>
      <c r="CS19" s="587">
        <f>'[1]Hourly Load'!AQ19</f>
        <v>1325.154052734375</v>
      </c>
      <c r="CT19" s="587">
        <f>'[1]Hourly Load'!AR19</f>
        <v>1414.9539794921875</v>
      </c>
      <c r="CU19" s="587">
        <f>'[1]Hourly Load'!AS19</f>
        <v>1438.6529541015625</v>
      </c>
      <c r="CV19" s="587">
        <f>'[1]Hourly Load'!AT19</f>
        <v>1431.7529296875</v>
      </c>
      <c r="CW19" s="587">
        <f>'[1]Hourly Load'!AU19</f>
        <v>1408.552978515625</v>
      </c>
      <c r="CX19" s="587">
        <f>'[1]Hourly Load'!AV19</f>
        <v>1330.3519287109375</v>
      </c>
      <c r="CY19" s="587">
        <f>'[1]Hourly Load'!AW19</f>
        <v>1279.3380126953125</v>
      </c>
      <c r="CZ19" s="587">
        <f>'[1]Hourly Load'!AX19</f>
        <v>1241.3509521484375</v>
      </c>
    </row>
    <row r="20" spans="1:104">
      <c r="A20" s="582">
        <v>17</v>
      </c>
      <c r="B20" s="583">
        <f>'Input Data'!A20</f>
        <v>41960</v>
      </c>
      <c r="C20" s="609">
        <f>IF(INDEX([1]Temps!$D$7:$AH$30,C$3,DAY($B20))="",NA(),INDEX([1]Temps!$D$7:$AH$30,C$3,DAY($B20)))</f>
        <v>37.9</v>
      </c>
      <c r="D20" s="609">
        <f>IF(INDEX([1]Temps!$D$7:$AH$30,D$3,DAY($B20))="",NA(),INDEX([1]Temps!$D$7:$AH$30,D$3,DAY($B20)))</f>
        <v>37</v>
      </c>
      <c r="E20" s="609">
        <f>IF(INDEX([1]Temps!$D$7:$AH$30,E$3,DAY($B20))="",NA(),INDEX([1]Temps!$D$7:$AH$30,E$3,DAY($B20)))</f>
        <v>36.5</v>
      </c>
      <c r="F20" s="609">
        <f>IF(INDEX([1]Temps!$D$7:$AH$30,F$3,DAY($B20))="",NA(),INDEX([1]Temps!$D$7:$AH$30,F$3,DAY($B20)))</f>
        <v>33.799999999999997</v>
      </c>
      <c r="G20" s="609">
        <f>IF(INDEX([1]Temps!$D$7:$AH$30,G$3,DAY($B20))="",NA(),INDEX([1]Temps!$D$7:$AH$30,G$3,DAY($B20)))</f>
        <v>33.1</v>
      </c>
      <c r="H20" s="609">
        <f>IF(INDEX([1]Temps!$D$7:$AH$30,H$3,DAY($B20))="",NA(),INDEX([1]Temps!$D$7:$AH$30,H$3,DAY($B20)))</f>
        <v>32</v>
      </c>
      <c r="I20" s="609">
        <f>IF(INDEX([1]Temps!$D$7:$AH$30,I$3,DAY($B20))="",NA(),INDEX([1]Temps!$D$7:$AH$30,I$3,DAY($B20)))</f>
        <v>32</v>
      </c>
      <c r="J20" s="609">
        <f>IF(INDEX([1]Temps!$D$7:$AH$30,J$3,DAY($B20))="",NA(),INDEX([1]Temps!$D$7:$AH$30,J$3,DAY($B20)))</f>
        <v>30.45</v>
      </c>
      <c r="K20" s="609">
        <f>IF(INDEX([1]Temps!$D$7:$AH$30,K$3,DAY($B20))="",NA(),INDEX([1]Temps!$D$7:$AH$30,K$3,DAY($B20)))</f>
        <v>30.04</v>
      </c>
      <c r="L20" s="609">
        <f>IF(INDEX([1]Temps!$D$7:$AH$30,L$3,DAY($B20))="",NA(),INDEX([1]Temps!$D$7:$AH$30,L$3,DAY($B20)))</f>
        <v>29.560000000000002</v>
      </c>
      <c r="M20" s="609">
        <f>IF(INDEX([1]Temps!$D$7:$AH$30,M$3,DAY($B20))="",NA(),INDEX([1]Temps!$D$7:$AH$30,M$3,DAY($B20)))</f>
        <v>30.028571428571428</v>
      </c>
      <c r="N20" s="609">
        <f>IF(INDEX([1]Temps!$D$7:$AH$30,N$3,DAY($B20))="",NA(),INDEX([1]Temps!$D$7:$AH$30,N$3,DAY($B20)))</f>
        <v>29.725000000000001</v>
      </c>
      <c r="O20" s="609">
        <f>IF(INDEX([1]Temps!$D$7:$AH$30,O$3,DAY($B20))="",NA(),INDEX([1]Temps!$D$7:$AH$30,O$3,DAY($B20)))</f>
        <v>28.133333333333336</v>
      </c>
      <c r="P20" s="609">
        <f>IF(INDEX([1]Temps!$D$7:$AH$30,P$3,DAY($B20))="",NA(),INDEX([1]Temps!$D$7:$AH$30,P$3,DAY($B20)))</f>
        <v>27.05</v>
      </c>
      <c r="Q20" s="609">
        <f>IF(INDEX([1]Temps!$D$7:$AH$30,Q$3,DAY($B20))="",NA(),INDEX([1]Temps!$D$7:$AH$30,Q$3,DAY($B20)))</f>
        <v>25</v>
      </c>
      <c r="R20" s="609">
        <f>IF(INDEX([1]Temps!$D$7:$AH$30,R$3,DAY($B20))="",NA(),INDEX([1]Temps!$D$7:$AH$30,R$3,DAY($B20)))</f>
        <v>21.9</v>
      </c>
      <c r="S20" s="609">
        <f>IF(INDEX([1]Temps!$D$7:$AH$30,S$3,DAY($B20))="",NA(),INDEX([1]Temps!$D$7:$AH$30,S$3,DAY($B20)))</f>
        <v>21.3</v>
      </c>
      <c r="T20" s="609">
        <f>IF(INDEX([1]Temps!$D$7:$AH$30,T$3,DAY($B20))="",NA(),INDEX([1]Temps!$D$7:$AH$30,T$3,DAY($B20)))</f>
        <v>21</v>
      </c>
      <c r="U20" s="609">
        <f>IF(INDEX([1]Temps!$D$7:$AH$30,U$3,DAY($B20))="",NA(),INDEX([1]Temps!$D$7:$AH$30,U$3,DAY($B20)))</f>
        <v>19.899999999999999</v>
      </c>
      <c r="V20" s="609">
        <f>IF(INDEX([1]Temps!$D$7:$AH$30,V$3,DAY($B20))="",NA(),INDEX([1]Temps!$D$7:$AH$30,V$3,DAY($B20)))</f>
        <v>19.899999999999999</v>
      </c>
      <c r="W20" s="609">
        <f>IF(INDEX([1]Temps!$D$7:$AH$30,W$3,DAY($B20))="",NA(),INDEX([1]Temps!$D$7:$AH$30,W$3,DAY($B20)))</f>
        <v>19</v>
      </c>
      <c r="X20" s="609">
        <f>IF(INDEX([1]Temps!$D$7:$AH$30,X$3,DAY($B20))="",NA(),INDEX([1]Temps!$D$7:$AH$30,X$3,DAY($B20)))</f>
        <v>18</v>
      </c>
      <c r="Y20" s="609">
        <f>IF(INDEX([1]Temps!$D$7:$AH$30,Y$3,DAY($B20))="",NA(),INDEX([1]Temps!$D$7:$AH$30,Y$3,DAY($B20)))</f>
        <v>19.899999999999999</v>
      </c>
      <c r="Z20" s="609">
        <f>IF(INDEX([1]Temps!$D$7:$AH$30,Z$3,DAY($B20))="",NA(),INDEX([1]Temps!$D$7:$AH$30,Z$3,DAY($B20)))</f>
        <v>19.12857142857143</v>
      </c>
      <c r="AA20" s="584"/>
      <c r="AB20" s="583">
        <f t="shared" si="6"/>
        <v>41960</v>
      </c>
      <c r="AC20" s="587">
        <f>IF(INDEX([1]Temps!$D$43:$AH$66,AC$3,DAY($B20))="",NA(),INDEX([1]Temps!$D$43:$AH$66,AC$3,DAY($B20)))</f>
        <v>33.333333333333336</v>
      </c>
      <c r="AD20" s="587">
        <f>IF(INDEX([1]Temps!$D$43:$AH$66,AD$3,DAY($B20))="",NA(),INDEX([1]Temps!$D$43:$AH$66,AD$3,DAY($B20)))</f>
        <v>33.1</v>
      </c>
      <c r="AE20" s="587">
        <f>IF(INDEX([1]Temps!$D$43:$AH$66,AE$3,DAY($B20))="",NA(),INDEX([1]Temps!$D$43:$AH$66,AE$3,DAY($B20)))</f>
        <v>33.1</v>
      </c>
      <c r="AF20" s="587">
        <f>IF(INDEX([1]Temps!$D$43:$AH$66,AF$3,DAY($B20))="",NA(),INDEX([1]Temps!$D$43:$AH$66,AF$3,DAY($B20)))</f>
        <v>32.825000000000003</v>
      </c>
      <c r="AG20" s="587">
        <f>IF(INDEX([1]Temps!$D$43:$AH$66,AG$3,DAY($B20))="",NA(),INDEX([1]Temps!$D$43:$AH$66,AG$3,DAY($B20)))</f>
        <v>32</v>
      </c>
      <c r="AH20" s="587">
        <f>IF(INDEX([1]Temps!$D$43:$AH$66,AH$3,DAY($B20))="",NA(),INDEX([1]Temps!$D$43:$AH$66,AH$3,DAY($B20)))</f>
        <v>30.900000000000002</v>
      </c>
      <c r="AI20" s="587">
        <f>IF(INDEX([1]Temps!$D$43:$AH$66,AI$3,DAY($B20))="",NA(),INDEX([1]Temps!$D$43:$AH$66,AI$3,DAY($B20)))</f>
        <v>30.899999999999995</v>
      </c>
      <c r="AJ20" s="587">
        <f>IF(INDEX([1]Temps!$D$43:$AH$66,AJ$3,DAY($B20))="",NA(),INDEX([1]Temps!$D$43:$AH$66,AJ$3,DAY($B20)))</f>
        <v>30.9</v>
      </c>
      <c r="AK20" s="587">
        <f>IF(INDEX([1]Temps!$D$43:$AH$66,AK$3,DAY($B20))="",NA(),INDEX([1]Temps!$D$43:$AH$66,AK$3,DAY($B20)))</f>
        <v>30.9</v>
      </c>
      <c r="AL20" s="587">
        <f>IF(INDEX([1]Temps!$D$43:$AH$66,AL$3,DAY($B20))="",NA(),INDEX([1]Temps!$D$43:$AH$66,AL$3,DAY($B20)))</f>
        <v>29.46</v>
      </c>
      <c r="AM20" s="587">
        <f>IF(INDEX([1]Temps!$D$43:$AH$66,AM$3,DAY($B20))="",NA(),INDEX([1]Temps!$D$43:$AH$66,AM$3,DAY($B20)))</f>
        <v>27.85</v>
      </c>
      <c r="AN20" s="587">
        <f>IF(INDEX([1]Temps!$D$43:$AH$66,AN$3,DAY($B20))="",NA(),INDEX([1]Temps!$D$43:$AH$66,AN$3,DAY($B20)))</f>
        <v>26.1</v>
      </c>
      <c r="AO20" s="587">
        <f>IF(INDEX([1]Temps!$D$43:$AH$66,AO$3,DAY($B20))="",NA(),INDEX([1]Temps!$D$43:$AH$66,AO$3,DAY($B20)))</f>
        <v>25</v>
      </c>
      <c r="AP20" s="587">
        <f>IF(INDEX([1]Temps!$D$43:$AH$66,AP$3,DAY($B20))="",NA(),INDEX([1]Temps!$D$43:$AH$66,AP$3,DAY($B20)))</f>
        <v>24.1</v>
      </c>
      <c r="AQ20" s="587">
        <f>IF(INDEX([1]Temps!$D$43:$AH$66,AQ$3,DAY($B20))="",NA(),INDEX([1]Temps!$D$43:$AH$66,AQ$3,DAY($B20)))</f>
        <v>24.1</v>
      </c>
      <c r="AR20" s="587">
        <f>IF(INDEX([1]Temps!$D$43:$AH$66,AR$3,DAY($B20))="",NA(),INDEX([1]Temps!$D$43:$AH$66,AR$3,DAY($B20)))</f>
        <v>24.100000000000005</v>
      </c>
      <c r="AS20" s="587">
        <f>IF(INDEX([1]Temps!$D$43:$AH$66,AS$3,DAY($B20))="",NA(),INDEX([1]Temps!$D$43:$AH$66,AS$3,DAY($B20)))</f>
        <v>24.1</v>
      </c>
      <c r="AT20" s="587">
        <f>IF(INDEX([1]Temps!$D$43:$AH$66,AT$3,DAY($B20))="",NA(),INDEX([1]Temps!$D$43:$AH$66,AT$3,DAY($B20)))</f>
        <v>24.1</v>
      </c>
      <c r="AU20" s="587">
        <f>IF(INDEX([1]Temps!$D$43:$AH$66,AU$3,DAY($B20))="",NA(),INDEX([1]Temps!$D$43:$AH$66,AU$3,DAY($B20)))</f>
        <v>24.1</v>
      </c>
      <c r="AV20" s="587">
        <f>IF(INDEX([1]Temps!$D$43:$AH$66,AV$3,DAY($B20))="",NA(),INDEX([1]Temps!$D$43:$AH$66,AV$3,DAY($B20)))</f>
        <v>21.9</v>
      </c>
      <c r="AW20" s="587">
        <f>IF(INDEX([1]Temps!$D$43:$AH$66,AW$3,DAY($B20))="",NA(),INDEX([1]Temps!$D$43:$AH$66,AW$3,DAY($B20)))</f>
        <v>21.9</v>
      </c>
      <c r="AX20" s="587">
        <f>IF(INDEX([1]Temps!$D$43:$AH$66,AX$3,DAY($B20))="",NA(),INDEX([1]Temps!$D$43:$AH$66,AX$3,DAY($B20)))</f>
        <v>21.9</v>
      </c>
      <c r="AY20" s="587">
        <f>IF(INDEX([1]Temps!$D$43:$AH$66,AY$3,DAY($B20))="",NA(),INDEX([1]Temps!$D$43:$AH$66,AY$3,DAY($B20)))</f>
        <v>19.899999999999999</v>
      </c>
      <c r="AZ20" s="587">
        <f>IF(INDEX([1]Temps!$D$43:$AH$66,AZ$3,DAY($B20))="",NA(),INDEX([1]Temps!$D$43:$AH$66,AZ$3,DAY($B20)))</f>
        <v>19</v>
      </c>
      <c r="BB20" s="583">
        <f t="shared" si="7"/>
        <v>41960</v>
      </c>
      <c r="BC20" s="587">
        <f>'[1]Hourly Load'!B20</f>
        <v>2346</v>
      </c>
      <c r="BD20" s="587">
        <f>'[1]Hourly Load'!C20</f>
        <v>2296</v>
      </c>
      <c r="BE20" s="587">
        <f>'[1]Hourly Load'!D20</f>
        <v>2348</v>
      </c>
      <c r="BF20" s="587">
        <f>'[1]Hourly Load'!E20</f>
        <v>2318</v>
      </c>
      <c r="BG20" s="587">
        <f>'[1]Hourly Load'!F20</f>
        <v>2437</v>
      </c>
      <c r="BH20" s="587">
        <f>'[1]Hourly Load'!G20</f>
        <v>2597</v>
      </c>
      <c r="BI20" s="587">
        <f>'[1]Hourly Load'!H20</f>
        <v>2886</v>
      </c>
      <c r="BJ20" s="587">
        <f>'[1]Hourly Load'!I20</f>
        <v>3065</v>
      </c>
      <c r="BK20" s="587">
        <f>'[1]Hourly Load'!J20</f>
        <v>3204</v>
      </c>
      <c r="BL20" s="587">
        <f>'[1]Hourly Load'!K20</f>
        <v>3228</v>
      </c>
      <c r="BM20" s="587">
        <f>'[1]Hourly Load'!L20</f>
        <v>3304</v>
      </c>
      <c r="BN20" s="587">
        <f>'[1]Hourly Load'!M20</f>
        <v>3297</v>
      </c>
      <c r="BO20" s="587">
        <f>'[1]Hourly Load'!N20</f>
        <v>3310</v>
      </c>
      <c r="BP20" s="587">
        <f>'[1]Hourly Load'!O20</f>
        <v>3376</v>
      </c>
      <c r="BQ20" s="587">
        <f>'[1]Hourly Load'!P20</f>
        <v>3427</v>
      </c>
      <c r="BR20" s="587">
        <f>'[1]Hourly Load'!Q20</f>
        <v>3463</v>
      </c>
      <c r="BS20" s="587">
        <f>'[1]Hourly Load'!R20</f>
        <v>3536.66650390625</v>
      </c>
      <c r="BT20" s="587">
        <f>'[1]Hourly Load'!S20</f>
        <v>3623</v>
      </c>
      <c r="BU20" s="587">
        <f>'[1]Hourly Load'!T20</f>
        <v>3691.666748046875</v>
      </c>
      <c r="BV20" s="587">
        <f>'[1]Hourly Load'!U20</f>
        <v>3698</v>
      </c>
      <c r="BW20" s="587">
        <f>'[1]Hourly Load'!V20</f>
        <v>3677.666748046875</v>
      </c>
      <c r="BX20" s="587">
        <f>'[1]Hourly Load'!W20</f>
        <v>3586.666748046875</v>
      </c>
      <c r="BY20" s="587">
        <f>'[1]Hourly Load'!X20</f>
        <v>3473</v>
      </c>
      <c r="BZ20" s="587">
        <f>'[1]Hourly Load'!Y20</f>
        <v>3359.666748046875</v>
      </c>
      <c r="CA20" s="584"/>
      <c r="CB20" s="583">
        <f t="shared" si="8"/>
        <v>41960</v>
      </c>
      <c r="CC20" s="587">
        <f>'[1]Hourly Load'!AA20</f>
        <v>1204.0489501953125</v>
      </c>
      <c r="CD20" s="587">
        <f>'[1]Hourly Load'!AB20</f>
        <v>1197.1510009765625</v>
      </c>
      <c r="CE20" s="587">
        <f>'[1]Hourly Load'!AC20</f>
        <v>1191.4510498046875</v>
      </c>
      <c r="CF20" s="587">
        <f>'[1]Hourly Load'!AD20</f>
        <v>1203.1480712890625</v>
      </c>
      <c r="CG20" s="587">
        <f>'[1]Hourly Load'!AE20</f>
        <v>1240.948974609375</v>
      </c>
      <c r="CH20" s="587">
        <f>'[1]Hourly Load'!AF20</f>
        <v>1329.537841796875</v>
      </c>
      <c r="CI20" s="587">
        <f>'[1]Hourly Load'!AG20</f>
        <v>1428.3460693359375</v>
      </c>
      <c r="CJ20" s="587">
        <f>'[1]Hourly Load'!AH20</f>
        <v>1496.5489501953125</v>
      </c>
      <c r="CK20" s="587">
        <f>'[1]Hourly Load'!AI20</f>
        <v>1517.2489013671875</v>
      </c>
      <c r="CL20" s="587">
        <f>'[1]Hourly Load'!AJ20</f>
        <v>1543.84912109375</v>
      </c>
      <c r="CM20" s="587">
        <f>'[1]Hourly Load'!AK20</f>
        <v>1581.448974609375</v>
      </c>
      <c r="CN20" s="587">
        <f>'[1]Hourly Load'!AL20</f>
        <v>1582.443115234375</v>
      </c>
      <c r="CO20" s="587">
        <f>'[1]Hourly Load'!AM20</f>
        <v>1596.6390380859375</v>
      </c>
      <c r="CP20" s="587">
        <f>'[1]Hourly Load'!AN20</f>
        <v>1628.051025390625</v>
      </c>
      <c r="CQ20" s="587">
        <f>'[1]Hourly Load'!AO20</f>
        <v>1651.7650146484375</v>
      </c>
      <c r="CR20" s="587">
        <f>'[1]Hourly Load'!AP20</f>
        <v>1616.8487548828125</v>
      </c>
      <c r="CS20" s="587">
        <f>'[1]Hourly Load'!AQ20</f>
        <v>1621.948974609375</v>
      </c>
      <c r="CT20" s="587">
        <f>'[1]Hourly Load'!AR20</f>
        <v>1686.23291015625</v>
      </c>
      <c r="CU20" s="587">
        <f>'[1]Hourly Load'!AS20</f>
        <v>1756.85498046875</v>
      </c>
      <c r="CV20" s="587">
        <f>'[1]Hourly Load'!AT20</f>
        <v>1722.9681396484375</v>
      </c>
      <c r="CW20" s="587">
        <f>'[1]Hourly Load'!AU20</f>
        <v>1703.4677734375</v>
      </c>
      <c r="CX20" s="587">
        <f>'[1]Hourly Load'!AV20</f>
        <v>1637.067138671875</v>
      </c>
      <c r="CY20" s="587">
        <f>'[1]Hourly Load'!AW20</f>
        <v>1575.8648681640625</v>
      </c>
      <c r="CZ20" s="587">
        <f>'[1]Hourly Load'!AX20</f>
        <v>1497.4659423828125</v>
      </c>
    </row>
    <row r="21" spans="1:104">
      <c r="A21" s="582">
        <v>18</v>
      </c>
      <c r="B21" s="583">
        <f>'Input Data'!A21</f>
        <v>41961</v>
      </c>
      <c r="C21" s="609">
        <f>IF(INDEX([1]Temps!$D$7:$AH$30,C$3,DAY($B21))="",NA(),INDEX([1]Temps!$D$7:$AH$30,C$3,DAY($B21)))</f>
        <v>18.033333333333335</v>
      </c>
      <c r="D21" s="609">
        <f>IF(INDEX([1]Temps!$D$7:$AH$30,D$3,DAY($B21))="",NA(),INDEX([1]Temps!$D$7:$AH$30,D$3,DAY($B21)))</f>
        <v>17.100000000000001</v>
      </c>
      <c r="E21" s="609">
        <f>IF(INDEX([1]Temps!$D$7:$AH$30,E$3,DAY($B21))="",NA(),INDEX([1]Temps!$D$7:$AH$30,E$3,DAY($B21)))</f>
        <v>17.100000000000001</v>
      </c>
      <c r="F21" s="609">
        <f>IF(INDEX([1]Temps!$D$7:$AH$30,F$3,DAY($B21))="",NA(),INDEX([1]Temps!$D$7:$AH$30,F$3,DAY($B21)))</f>
        <v>15.1</v>
      </c>
      <c r="G21" s="609">
        <f>IF(INDEX([1]Temps!$D$7:$AH$30,G$3,DAY($B21))="",NA(),INDEX([1]Temps!$D$7:$AH$30,G$3,DAY($B21)))</f>
        <v>15.1</v>
      </c>
      <c r="H21" s="609">
        <f>IF(INDEX([1]Temps!$D$7:$AH$30,H$3,DAY($B21))="",NA(),INDEX([1]Temps!$D$7:$AH$30,H$3,DAY($B21)))</f>
        <v>14</v>
      </c>
      <c r="I21" s="609">
        <f>IF(INDEX([1]Temps!$D$7:$AH$30,I$3,DAY($B21))="",NA(),INDEX([1]Temps!$D$7:$AH$30,I$3,DAY($B21)))</f>
        <v>12</v>
      </c>
      <c r="J21" s="609">
        <f>IF(INDEX([1]Temps!$D$7:$AH$30,J$3,DAY($B21))="",NA(),INDEX([1]Temps!$D$7:$AH$30,J$3,DAY($B21)))</f>
        <v>12</v>
      </c>
      <c r="K21" s="609">
        <f>IF(INDEX([1]Temps!$D$7:$AH$30,K$3,DAY($B21))="",NA(),INDEX([1]Temps!$D$7:$AH$30,K$3,DAY($B21)))</f>
        <v>15.1</v>
      </c>
      <c r="L21" s="609">
        <f>IF(INDEX([1]Temps!$D$7:$AH$30,L$3,DAY($B21))="",NA(),INDEX([1]Temps!$D$7:$AH$30,L$3,DAY($B21)))</f>
        <v>16</v>
      </c>
      <c r="M21" s="609">
        <f>IF(INDEX([1]Temps!$D$7:$AH$30,M$3,DAY($B21))="",NA(),INDEX([1]Temps!$D$7:$AH$30,M$3,DAY($B21)))</f>
        <v>17.100000000000001</v>
      </c>
      <c r="N21" s="609">
        <f>IF(INDEX([1]Temps!$D$7:$AH$30,N$3,DAY($B21))="",NA(),INDEX([1]Temps!$D$7:$AH$30,N$3,DAY($B21)))</f>
        <v>18</v>
      </c>
      <c r="O21" s="609">
        <f>IF(INDEX([1]Temps!$D$7:$AH$30,O$3,DAY($B21))="",NA(),INDEX([1]Temps!$D$7:$AH$30,O$3,DAY($B21)))</f>
        <v>19.45</v>
      </c>
      <c r="P21" s="609">
        <f>IF(INDEX([1]Temps!$D$7:$AH$30,P$3,DAY($B21))="",NA(),INDEX([1]Temps!$D$7:$AH$30,P$3,DAY($B21)))</f>
        <v>21</v>
      </c>
      <c r="Q21" s="609">
        <f>IF(INDEX([1]Temps!$D$7:$AH$30,Q$3,DAY($B21))="",NA(),INDEX([1]Temps!$D$7:$AH$30,Q$3,DAY($B21)))</f>
        <v>21</v>
      </c>
      <c r="R21" s="609">
        <f>IF(INDEX([1]Temps!$D$7:$AH$30,R$3,DAY($B21))="",NA(),INDEX([1]Temps!$D$7:$AH$30,R$3,DAY($B21)))</f>
        <v>21.9</v>
      </c>
      <c r="S21" s="609">
        <f>IF(INDEX([1]Temps!$D$7:$AH$30,S$3,DAY($B21))="",NA(),INDEX([1]Temps!$D$7:$AH$30,S$3,DAY($B21)))</f>
        <v>21</v>
      </c>
      <c r="T21" s="609">
        <f>IF(INDEX([1]Temps!$D$7:$AH$30,T$3,DAY($B21))="",NA(),INDEX([1]Temps!$D$7:$AH$30,T$3,DAY($B21)))</f>
        <v>19.899999999999999</v>
      </c>
      <c r="U21" s="609">
        <f>IF(INDEX([1]Temps!$D$7:$AH$30,U$3,DAY($B21))="",NA(),INDEX([1]Temps!$D$7:$AH$30,U$3,DAY($B21)))</f>
        <v>19</v>
      </c>
      <c r="V21" s="609">
        <f>IF(INDEX([1]Temps!$D$7:$AH$30,V$3,DAY($B21))="",NA(),INDEX([1]Temps!$D$7:$AH$30,V$3,DAY($B21)))</f>
        <v>16</v>
      </c>
      <c r="W21" s="609">
        <f>IF(INDEX([1]Temps!$D$7:$AH$30,W$3,DAY($B21))="",NA(),INDEX([1]Temps!$D$7:$AH$30,W$3,DAY($B21)))</f>
        <v>16</v>
      </c>
      <c r="X21" s="609">
        <f>IF(INDEX([1]Temps!$D$7:$AH$30,X$3,DAY($B21))="",NA(),INDEX([1]Temps!$D$7:$AH$30,X$3,DAY($B21)))</f>
        <v>14</v>
      </c>
      <c r="Y21" s="609">
        <f>IF(INDEX([1]Temps!$D$7:$AH$30,Y$3,DAY($B21))="",NA(),INDEX([1]Temps!$D$7:$AH$30,Y$3,DAY($B21)))</f>
        <v>14</v>
      </c>
      <c r="Z21" s="609">
        <f>IF(INDEX([1]Temps!$D$7:$AH$30,Z$3,DAY($B21))="",NA(),INDEX([1]Temps!$D$7:$AH$30,Z$3,DAY($B21)))</f>
        <v>12.9</v>
      </c>
      <c r="AA21" s="584"/>
      <c r="AB21" s="583">
        <f t="shared" si="6"/>
        <v>41961</v>
      </c>
      <c r="AC21" s="587">
        <f>IF(INDEX([1]Temps!$D$43:$AH$66,AC$3,DAY($B21))="",NA(),INDEX([1]Temps!$D$43:$AH$66,AC$3,DAY($B21)))</f>
        <v>19</v>
      </c>
      <c r="AD21" s="587">
        <f>IF(INDEX([1]Temps!$D$43:$AH$66,AD$3,DAY($B21))="",NA(),INDEX([1]Temps!$D$43:$AH$66,AD$3,DAY($B21)))</f>
        <v>19</v>
      </c>
      <c r="AE21" s="587">
        <f>IF(INDEX([1]Temps!$D$43:$AH$66,AE$3,DAY($B21))="",NA(),INDEX([1]Temps!$D$43:$AH$66,AE$3,DAY($B21)))</f>
        <v>18</v>
      </c>
      <c r="AF21" s="587">
        <f>IF(INDEX([1]Temps!$D$43:$AH$66,AF$3,DAY($B21))="",NA(),INDEX([1]Temps!$D$43:$AH$66,AF$3,DAY($B21)))</f>
        <v>17.100000000000001</v>
      </c>
      <c r="AG21" s="587">
        <f>IF(INDEX([1]Temps!$D$43:$AH$66,AG$3,DAY($B21))="",NA(),INDEX([1]Temps!$D$43:$AH$66,AG$3,DAY($B21)))</f>
        <v>17.100000000000001</v>
      </c>
      <c r="AH21" s="587">
        <f>IF(INDEX([1]Temps!$D$43:$AH$66,AH$3,DAY($B21))="",NA(),INDEX([1]Temps!$D$43:$AH$66,AH$3,DAY($B21)))</f>
        <v>16</v>
      </c>
      <c r="AI21" s="587">
        <f>IF(INDEX([1]Temps!$D$43:$AH$66,AI$3,DAY($B21))="",NA(),INDEX([1]Temps!$D$43:$AH$66,AI$3,DAY($B21)))</f>
        <v>15.1</v>
      </c>
      <c r="AJ21" s="587">
        <f>IF(INDEX([1]Temps!$D$43:$AH$66,AJ$3,DAY($B21))="",NA(),INDEX([1]Temps!$D$43:$AH$66,AJ$3,DAY($B21)))</f>
        <v>15.1</v>
      </c>
      <c r="AK21" s="587">
        <f>IF(INDEX([1]Temps!$D$43:$AH$66,AK$3,DAY($B21))="",NA(),INDEX([1]Temps!$D$43:$AH$66,AK$3,DAY($B21)))</f>
        <v>16</v>
      </c>
      <c r="AL21" s="587">
        <f>IF(INDEX([1]Temps!$D$43:$AH$66,AL$3,DAY($B21))="",NA(),INDEX([1]Temps!$D$43:$AH$66,AL$3,DAY($B21)))</f>
        <v>18</v>
      </c>
      <c r="AM21" s="587">
        <f>IF(INDEX([1]Temps!$D$43:$AH$66,AM$3,DAY($B21))="",NA(),INDEX([1]Temps!$D$43:$AH$66,AM$3,DAY($B21)))</f>
        <v>19</v>
      </c>
      <c r="AN21" s="587">
        <f>IF(INDEX([1]Temps!$D$43:$AH$66,AN$3,DAY($B21))="",NA(),INDEX([1]Temps!$D$43:$AH$66,AN$3,DAY($B21)))</f>
        <v>21</v>
      </c>
      <c r="AO21" s="587">
        <f>IF(INDEX([1]Temps!$D$43:$AH$66,AO$3,DAY($B21))="",NA(),INDEX([1]Temps!$D$43:$AH$66,AO$3,DAY($B21)))</f>
        <v>21.9</v>
      </c>
      <c r="AP21" s="587">
        <f>IF(INDEX([1]Temps!$D$43:$AH$66,AP$3,DAY($B21))="",NA(),INDEX([1]Temps!$D$43:$AH$66,AP$3,DAY($B21)))</f>
        <v>23</v>
      </c>
      <c r="AQ21" s="587">
        <f>IF(INDEX([1]Temps!$D$43:$AH$66,AQ$3,DAY($B21))="",NA(),INDEX([1]Temps!$D$43:$AH$66,AQ$3,DAY($B21)))</f>
        <v>24.1</v>
      </c>
      <c r="AR21" s="587">
        <f>IF(INDEX([1]Temps!$D$43:$AH$66,AR$3,DAY($B21))="",NA(),INDEX([1]Temps!$D$43:$AH$66,AR$3,DAY($B21)))</f>
        <v>24.1</v>
      </c>
      <c r="AS21" s="587">
        <f>IF(INDEX([1]Temps!$D$43:$AH$66,AS$3,DAY($B21))="",NA(),INDEX([1]Temps!$D$43:$AH$66,AS$3,DAY($B21)))</f>
        <v>23</v>
      </c>
      <c r="AT21" s="587">
        <f>IF(INDEX([1]Temps!$D$43:$AH$66,AT$3,DAY($B21))="",NA(),INDEX([1]Temps!$D$43:$AH$66,AT$3,DAY($B21)))</f>
        <v>21.9</v>
      </c>
      <c r="AU21" s="587">
        <f>IF(INDEX([1]Temps!$D$43:$AH$66,AU$3,DAY($B21))="",NA(),INDEX([1]Temps!$D$43:$AH$66,AU$3,DAY($B21)))</f>
        <v>21</v>
      </c>
      <c r="AV21" s="587">
        <f>IF(INDEX([1]Temps!$D$43:$AH$66,AV$3,DAY($B21))="",NA(),INDEX([1]Temps!$D$43:$AH$66,AV$3,DAY($B21)))</f>
        <v>19</v>
      </c>
      <c r="AW21" s="587">
        <f>IF(INDEX([1]Temps!$D$43:$AH$66,AW$3,DAY($B21))="",NA(),INDEX([1]Temps!$D$43:$AH$66,AW$3,DAY($B21)))</f>
        <v>19</v>
      </c>
      <c r="AX21" s="587">
        <f>IF(INDEX([1]Temps!$D$43:$AH$66,AX$3,DAY($B21))="",NA(),INDEX([1]Temps!$D$43:$AH$66,AX$3,DAY($B21)))</f>
        <v>19</v>
      </c>
      <c r="AY21" s="587">
        <f>IF(INDEX([1]Temps!$D$43:$AH$66,AY$3,DAY($B21))="",NA(),INDEX([1]Temps!$D$43:$AH$66,AY$3,DAY($B21)))</f>
        <v>17.100000000000001</v>
      </c>
      <c r="AZ21" s="587">
        <f>IF(INDEX([1]Temps!$D$43:$AH$66,AZ$3,DAY($B21))="",NA(),INDEX([1]Temps!$D$43:$AH$66,AZ$3,DAY($B21)))</f>
        <v>17.100000000000001</v>
      </c>
      <c r="BB21" s="583">
        <f t="shared" si="7"/>
        <v>41961</v>
      </c>
      <c r="BC21" s="587">
        <f>'[1]Hourly Load'!B21</f>
        <v>3337</v>
      </c>
      <c r="BD21" s="587">
        <f>'[1]Hourly Load'!C21</f>
        <v>3283.66650390625</v>
      </c>
      <c r="BE21" s="587">
        <f>'[1]Hourly Load'!D21</f>
        <v>3286</v>
      </c>
      <c r="BF21" s="587">
        <f>'[1]Hourly Load'!E21</f>
        <v>3334.66650390625</v>
      </c>
      <c r="BG21" s="587">
        <f>'[1]Hourly Load'!F21</f>
        <v>3361</v>
      </c>
      <c r="BH21" s="587">
        <f>'[1]Hourly Load'!G21</f>
        <v>3494.666748046875</v>
      </c>
      <c r="BI21" s="587">
        <f>'[1]Hourly Load'!H21</f>
        <v>3773</v>
      </c>
      <c r="BJ21" s="587">
        <f>'[1]Hourly Load'!I21</f>
        <v>3946.666748046875</v>
      </c>
      <c r="BK21" s="587">
        <f>'[1]Hourly Load'!J21</f>
        <v>3915</v>
      </c>
      <c r="BL21" s="587">
        <f>'[1]Hourly Load'!K21</f>
        <v>3839.666748046875</v>
      </c>
      <c r="BM21" s="587">
        <f>'[1]Hourly Load'!L21</f>
        <v>3758</v>
      </c>
      <c r="BN21" s="587">
        <f>'[1]Hourly Load'!M21</f>
        <v>3638</v>
      </c>
      <c r="BO21" s="587">
        <f>'[1]Hourly Load'!N21</f>
        <v>3624</v>
      </c>
      <c r="BP21" s="587">
        <f>'[1]Hourly Load'!O21</f>
        <v>3552</v>
      </c>
      <c r="BQ21" s="587">
        <f>'[1]Hourly Load'!P21</f>
        <v>3441</v>
      </c>
      <c r="BR21" s="587">
        <f>'[1]Hourly Load'!Q21</f>
        <v>3413</v>
      </c>
      <c r="BS21" s="587">
        <f>'[1]Hourly Load'!R21</f>
        <v>3423</v>
      </c>
      <c r="BT21" s="587">
        <f>'[1]Hourly Load'!S21</f>
        <v>3675</v>
      </c>
      <c r="BU21" s="587">
        <f>'[1]Hourly Load'!T21</f>
        <v>3761</v>
      </c>
      <c r="BV21" s="587">
        <f>'[1]Hourly Load'!U21</f>
        <v>3760</v>
      </c>
      <c r="BW21" s="587">
        <f>'[1]Hourly Load'!V21</f>
        <v>3820</v>
      </c>
      <c r="BX21" s="587">
        <f>'[1]Hourly Load'!W21</f>
        <v>3704</v>
      </c>
      <c r="BY21" s="587">
        <f>'[1]Hourly Load'!X21</f>
        <v>3634</v>
      </c>
      <c r="BZ21" s="587">
        <f>'[1]Hourly Load'!Y21</f>
        <v>3558</v>
      </c>
      <c r="CA21" s="584"/>
      <c r="CB21" s="583">
        <f t="shared" si="8"/>
        <v>41961</v>
      </c>
      <c r="CC21" s="587">
        <f>'[1]Hourly Load'!AA21</f>
        <v>1453.96484375</v>
      </c>
      <c r="CD21" s="587">
        <f>'[1]Hourly Load'!AB21</f>
        <v>1450.0660400390625</v>
      </c>
      <c r="CE21" s="587">
        <f>'[1]Hourly Load'!AC21</f>
        <v>1452.0679931640625</v>
      </c>
      <c r="CF21" s="587">
        <f>'[1]Hourly Load'!AD21</f>
        <v>1454.267822265625</v>
      </c>
      <c r="CG21" s="587">
        <f>'[1]Hourly Load'!AE21</f>
        <v>1466.2669677734375</v>
      </c>
      <c r="CH21" s="587">
        <f>'[1]Hourly Load'!AF21</f>
        <v>1521.06787109375</v>
      </c>
      <c r="CI21" s="587">
        <f>'[1]Hourly Load'!AG21</f>
        <v>1661.7708740234375</v>
      </c>
      <c r="CJ21" s="587">
        <f>'[1]Hourly Load'!AH21</f>
        <v>1716.3729248046875</v>
      </c>
      <c r="CK21" s="587">
        <f>'[1]Hourly Load'!AI21</f>
        <v>1696.6700439453125</v>
      </c>
      <c r="CL21" s="587">
        <f>'[1]Hourly Load'!AJ21</f>
        <v>1697.9552001953125</v>
      </c>
      <c r="CM21" s="587">
        <f>'[1]Hourly Load'!AK21</f>
        <v>1694.6502685546875</v>
      </c>
      <c r="CN21" s="587">
        <f>'[1]Hourly Load'!AL21</f>
        <v>1691.2430419921875</v>
      </c>
      <c r="CO21" s="587">
        <f>'[1]Hourly Load'!AM21</f>
        <v>1644.641845703125</v>
      </c>
      <c r="CP21" s="587">
        <f>'[1]Hourly Load'!AN21</f>
        <v>1638.44091796875</v>
      </c>
      <c r="CQ21" s="587">
        <f>'[1]Hourly Load'!AO21</f>
        <v>1623.8409423828125</v>
      </c>
      <c r="CR21" s="587">
        <f>'[1]Hourly Load'!AP21</f>
        <v>1618.038818359375</v>
      </c>
      <c r="CS21" s="587">
        <f>'[1]Hourly Load'!AQ21</f>
        <v>1609.43994140625</v>
      </c>
      <c r="CT21" s="587">
        <f>'[1]Hourly Load'!AR21</f>
        <v>1701.2391357421875</v>
      </c>
      <c r="CU21" s="587">
        <f>'[1]Hourly Load'!AS21</f>
        <v>1780.4381103515625</v>
      </c>
      <c r="CV21" s="587">
        <f>'[1]Hourly Load'!AT21</f>
        <v>1763.937255859375</v>
      </c>
      <c r="CW21" s="587">
        <f>'[1]Hourly Load'!AU21</f>
        <v>1743.4290771484375</v>
      </c>
      <c r="CX21" s="587">
        <f>'[1]Hourly Load'!AV21</f>
        <v>1694.4210205078125</v>
      </c>
      <c r="CY21" s="587">
        <f>'[1]Hourly Load'!AW21</f>
        <v>1620.927001953125</v>
      </c>
      <c r="CZ21" s="587">
        <f>'[1]Hourly Load'!AX21</f>
        <v>1554.6370849609375</v>
      </c>
    </row>
    <row r="22" spans="1:104">
      <c r="A22" s="582">
        <v>19</v>
      </c>
      <c r="B22" s="583">
        <f>'Input Data'!A22</f>
        <v>41962</v>
      </c>
      <c r="C22" s="609">
        <f>IF(INDEX([1]Temps!$D$7:$AH$30,C$3,DAY($B22))="",NA(),INDEX([1]Temps!$D$7:$AH$30,C$3,DAY($B22)))</f>
        <v>12.9</v>
      </c>
      <c r="D22" s="609">
        <f>IF(INDEX([1]Temps!$D$7:$AH$30,D$3,DAY($B22))="",NA(),INDEX([1]Temps!$D$7:$AH$30,D$3,DAY($B22)))</f>
        <v>12.9</v>
      </c>
      <c r="E22" s="609">
        <f>IF(INDEX([1]Temps!$D$7:$AH$30,E$3,DAY($B22))="",NA(),INDEX([1]Temps!$D$7:$AH$30,E$3,DAY($B22)))</f>
        <v>14</v>
      </c>
      <c r="F22" s="609">
        <f>IF(INDEX([1]Temps!$D$7:$AH$30,F$3,DAY($B22))="",NA(),INDEX([1]Temps!$D$7:$AH$30,F$3,DAY($B22)))</f>
        <v>14</v>
      </c>
      <c r="G22" s="609">
        <f>IF(INDEX([1]Temps!$D$7:$AH$30,G$3,DAY($B22))="",NA(),INDEX([1]Temps!$D$7:$AH$30,G$3,DAY($B22)))</f>
        <v>16</v>
      </c>
      <c r="H22" s="609">
        <f>IF(INDEX([1]Temps!$D$7:$AH$30,H$3,DAY($B22))="",NA(),INDEX([1]Temps!$D$7:$AH$30,H$3,DAY($B22)))</f>
        <v>17.100000000000001</v>
      </c>
      <c r="I22" s="609">
        <f>IF(INDEX([1]Temps!$D$7:$AH$30,I$3,DAY($B22))="",NA(),INDEX([1]Temps!$D$7:$AH$30,I$3,DAY($B22)))</f>
        <v>19.899999999999999</v>
      </c>
      <c r="J22" s="609">
        <f>IF(INDEX([1]Temps!$D$7:$AH$30,J$3,DAY($B22))="",NA(),INDEX([1]Temps!$D$7:$AH$30,J$3,DAY($B22)))</f>
        <v>19.899999999999999</v>
      </c>
      <c r="K22" s="609">
        <f>IF(INDEX([1]Temps!$D$7:$AH$30,K$3,DAY($B22))="",NA(),INDEX([1]Temps!$D$7:$AH$30,K$3,DAY($B22)))</f>
        <v>25</v>
      </c>
      <c r="L22" s="609">
        <f>IF(INDEX([1]Temps!$D$7:$AH$30,L$3,DAY($B22))="",NA(),INDEX([1]Temps!$D$7:$AH$30,L$3,DAY($B22)))</f>
        <v>28.9</v>
      </c>
      <c r="M22" s="609">
        <f>IF(INDEX([1]Temps!$D$7:$AH$30,M$3,DAY($B22))="",NA(),INDEX([1]Temps!$D$7:$AH$30,M$3,DAY($B22)))</f>
        <v>33.1</v>
      </c>
      <c r="N22" s="609">
        <f>IF(INDEX([1]Temps!$D$7:$AH$30,N$3,DAY($B22))="",NA(),INDEX([1]Temps!$D$7:$AH$30,N$3,DAY($B22)))</f>
        <v>39</v>
      </c>
      <c r="O22" s="609">
        <f>IF(INDEX([1]Temps!$D$7:$AH$30,O$3,DAY($B22))="",NA(),INDEX([1]Temps!$D$7:$AH$30,O$3,DAY($B22)))</f>
        <v>43</v>
      </c>
      <c r="P22" s="609">
        <f>IF(INDEX([1]Temps!$D$7:$AH$30,P$3,DAY($B22))="",NA(),INDEX([1]Temps!$D$7:$AH$30,P$3,DAY($B22)))</f>
        <v>45</v>
      </c>
      <c r="Q22" s="609">
        <f>IF(INDEX([1]Temps!$D$7:$AH$30,Q$3,DAY($B22))="",NA(),INDEX([1]Temps!$D$7:$AH$30,Q$3,DAY($B22)))</f>
        <v>46</v>
      </c>
      <c r="R22" s="609">
        <f>IF(INDEX([1]Temps!$D$7:$AH$30,R$3,DAY($B22))="",NA(),INDEX([1]Temps!$D$7:$AH$30,R$3,DAY($B22)))</f>
        <v>46</v>
      </c>
      <c r="S22" s="609">
        <f>IF(INDEX([1]Temps!$D$7:$AH$30,S$3,DAY($B22))="",NA(),INDEX([1]Temps!$D$7:$AH$30,S$3,DAY($B22)))</f>
        <v>45</v>
      </c>
      <c r="T22" s="609">
        <f>IF(INDEX([1]Temps!$D$7:$AH$30,T$3,DAY($B22))="",NA(),INDEX([1]Temps!$D$7:$AH$30,T$3,DAY($B22)))</f>
        <v>42.1</v>
      </c>
      <c r="U22" s="609">
        <f>IF(INDEX([1]Temps!$D$7:$AH$30,U$3,DAY($B22))="",NA(),INDEX([1]Temps!$D$7:$AH$30,U$3,DAY($B22)))</f>
        <v>39</v>
      </c>
      <c r="V22" s="609">
        <f>IF(INDEX([1]Temps!$D$7:$AH$30,V$3,DAY($B22))="",NA(),INDEX([1]Temps!$D$7:$AH$30,V$3,DAY($B22)))</f>
        <v>41</v>
      </c>
      <c r="W22" s="609">
        <f>IF(INDEX([1]Temps!$D$7:$AH$30,W$3,DAY($B22))="",NA(),INDEX([1]Temps!$D$7:$AH$30,W$3,DAY($B22)))</f>
        <v>41</v>
      </c>
      <c r="X22" s="609">
        <f>IF(INDEX([1]Temps!$D$7:$AH$30,X$3,DAY($B22))="",NA(),INDEX([1]Temps!$D$7:$AH$30,X$3,DAY($B22)))</f>
        <v>39</v>
      </c>
      <c r="Y22" s="609">
        <f>IF(INDEX([1]Temps!$D$7:$AH$30,Y$3,DAY($B22))="",NA(),INDEX([1]Temps!$D$7:$AH$30,Y$3,DAY($B22)))</f>
        <v>35.1</v>
      </c>
      <c r="Z22" s="609">
        <f>IF(INDEX([1]Temps!$D$7:$AH$30,Z$3,DAY($B22))="",NA(),INDEX([1]Temps!$D$7:$AH$30,Z$3,DAY($B22)))</f>
        <v>33.1</v>
      </c>
      <c r="AA22" s="584"/>
      <c r="AB22" s="583">
        <f t="shared" si="6"/>
        <v>41962</v>
      </c>
      <c r="AC22" s="587">
        <f>IF(INDEX([1]Temps!$D$43:$AH$66,AC$3,DAY($B22))="",NA(),INDEX([1]Temps!$D$43:$AH$66,AC$3,DAY($B22)))</f>
        <v>16</v>
      </c>
      <c r="AD22" s="587">
        <f>IF(INDEX([1]Temps!$D$43:$AH$66,AD$3,DAY($B22))="",NA(),INDEX([1]Temps!$D$43:$AH$66,AD$3,DAY($B22)))</f>
        <v>16</v>
      </c>
      <c r="AE22" s="587">
        <f>IF(INDEX([1]Temps!$D$43:$AH$66,AE$3,DAY($B22))="",NA(),INDEX([1]Temps!$D$43:$AH$66,AE$3,DAY($B22)))</f>
        <v>16</v>
      </c>
      <c r="AF22" s="587">
        <f>IF(INDEX([1]Temps!$D$43:$AH$66,AF$3,DAY($B22))="",NA(),INDEX([1]Temps!$D$43:$AH$66,AF$3,DAY($B22)))</f>
        <v>17.100000000000001</v>
      </c>
      <c r="AG22" s="587">
        <f>IF(INDEX([1]Temps!$D$43:$AH$66,AG$3,DAY($B22))="",NA(),INDEX([1]Temps!$D$43:$AH$66,AG$3,DAY($B22)))</f>
        <v>18</v>
      </c>
      <c r="AH22" s="587">
        <f>IF(INDEX([1]Temps!$D$43:$AH$66,AH$3,DAY($B22))="",NA(),INDEX([1]Temps!$D$43:$AH$66,AH$3,DAY($B22)))</f>
        <v>21</v>
      </c>
      <c r="AI22" s="587">
        <f>IF(INDEX([1]Temps!$D$43:$AH$66,AI$3,DAY($B22))="",NA(),INDEX([1]Temps!$D$43:$AH$66,AI$3,DAY($B22)))</f>
        <v>23</v>
      </c>
      <c r="AJ22" s="587">
        <f>IF(INDEX([1]Temps!$D$43:$AH$66,AJ$3,DAY($B22))="",NA(),INDEX([1]Temps!$D$43:$AH$66,AJ$3,DAY($B22)))</f>
        <v>25</v>
      </c>
      <c r="AK22" s="587">
        <f>IF(INDEX([1]Temps!$D$43:$AH$66,AK$3,DAY($B22))="",NA(),INDEX([1]Temps!$D$43:$AH$66,AK$3,DAY($B22)))</f>
        <v>27</v>
      </c>
      <c r="AL22" s="587">
        <f>IF(INDEX([1]Temps!$D$43:$AH$66,AL$3,DAY($B22))="",NA(),INDEX([1]Temps!$D$43:$AH$66,AL$3,DAY($B22)))</f>
        <v>30.9</v>
      </c>
      <c r="AM22" s="587">
        <f>IF(INDEX([1]Temps!$D$43:$AH$66,AM$3,DAY($B22))="",NA(),INDEX([1]Temps!$D$43:$AH$66,AM$3,DAY($B22)))</f>
        <v>37</v>
      </c>
      <c r="AN22" s="587">
        <f>IF(INDEX([1]Temps!$D$43:$AH$66,AN$3,DAY($B22))="",NA(),INDEX([1]Temps!$D$43:$AH$66,AN$3,DAY($B22)))</f>
        <v>39.9</v>
      </c>
      <c r="AO22" s="587">
        <f>IF(INDEX([1]Temps!$D$43:$AH$66,AO$3,DAY($B22))="",NA(),INDEX([1]Temps!$D$43:$AH$66,AO$3,DAY($B22)))</f>
        <v>43</v>
      </c>
      <c r="AP22" s="587">
        <f>IF(INDEX([1]Temps!$D$43:$AH$66,AP$3,DAY($B22))="",NA(),INDEX([1]Temps!$D$43:$AH$66,AP$3,DAY($B22)))</f>
        <v>46</v>
      </c>
      <c r="AQ22" s="587">
        <f>IF(INDEX([1]Temps!$D$43:$AH$66,AQ$3,DAY($B22))="",NA(),INDEX([1]Temps!$D$43:$AH$66,AQ$3,DAY($B22)))</f>
        <v>46</v>
      </c>
      <c r="AR22" s="587">
        <f>IF(INDEX([1]Temps!$D$43:$AH$66,AR$3,DAY($B22))="",NA(),INDEX([1]Temps!$D$43:$AH$66,AR$3,DAY($B22)))</f>
        <v>46.9</v>
      </c>
      <c r="AS22" s="587">
        <f>IF(INDEX([1]Temps!$D$43:$AH$66,AS$3,DAY($B22))="",NA(),INDEX([1]Temps!$D$43:$AH$66,AS$3,DAY($B22)))</f>
        <v>46.9</v>
      </c>
      <c r="AT22" s="587">
        <f>IF(INDEX([1]Temps!$D$43:$AH$66,AT$3,DAY($B22))="",NA(),INDEX([1]Temps!$D$43:$AH$66,AT$3,DAY($B22)))</f>
        <v>44.1</v>
      </c>
      <c r="AU22" s="587">
        <f>IF(INDEX([1]Temps!$D$43:$AH$66,AU$3,DAY($B22))="",NA(),INDEX([1]Temps!$D$43:$AH$66,AU$3,DAY($B22)))</f>
        <v>42.1</v>
      </c>
      <c r="AV22" s="587">
        <f>IF(INDEX([1]Temps!$D$43:$AH$66,AV$3,DAY($B22))="",NA(),INDEX([1]Temps!$D$43:$AH$66,AV$3,DAY($B22)))</f>
        <v>42.1</v>
      </c>
      <c r="AW22" s="587">
        <f>IF(INDEX([1]Temps!$D$43:$AH$66,AW$3,DAY($B22))="",NA(),INDEX([1]Temps!$D$43:$AH$66,AW$3,DAY($B22)))</f>
        <v>37</v>
      </c>
      <c r="AX22" s="587">
        <f>IF(INDEX([1]Temps!$D$43:$AH$66,AX$3,DAY($B22))="",NA(),INDEX([1]Temps!$D$43:$AH$66,AX$3,DAY($B22)))</f>
        <v>37</v>
      </c>
      <c r="AY22" s="587">
        <f>IF(INDEX([1]Temps!$D$43:$AH$66,AY$3,DAY($B22))="",NA(),INDEX([1]Temps!$D$43:$AH$66,AY$3,DAY($B22)))</f>
        <v>36</v>
      </c>
      <c r="AZ22" s="587">
        <f>IF(INDEX([1]Temps!$D$43:$AH$66,AZ$3,DAY($B22))="",NA(),INDEX([1]Temps!$D$43:$AH$66,AZ$3,DAY($B22)))</f>
        <v>35.1</v>
      </c>
      <c r="BB22" s="583">
        <f t="shared" si="7"/>
        <v>41962</v>
      </c>
      <c r="BC22" s="587">
        <f>'[1]Hourly Load'!B22</f>
        <v>3507</v>
      </c>
      <c r="BD22" s="587">
        <f>'[1]Hourly Load'!C22</f>
        <v>3476</v>
      </c>
      <c r="BE22" s="587">
        <f>'[1]Hourly Load'!D22</f>
        <v>3496</v>
      </c>
      <c r="BF22" s="587">
        <f>'[1]Hourly Load'!E22</f>
        <v>3477</v>
      </c>
      <c r="BG22" s="587">
        <f>'[1]Hourly Load'!F22</f>
        <v>3504</v>
      </c>
      <c r="BH22" s="587">
        <f>'[1]Hourly Load'!G22</f>
        <v>3663</v>
      </c>
      <c r="BI22" s="587">
        <f>'[1]Hourly Load'!H22</f>
        <v>3894</v>
      </c>
      <c r="BJ22" s="587">
        <f>'[1]Hourly Load'!I22</f>
        <v>3981</v>
      </c>
      <c r="BK22" s="587">
        <f>'[1]Hourly Load'!J22</f>
        <v>3845</v>
      </c>
      <c r="BL22" s="587">
        <f>'[1]Hourly Load'!K22</f>
        <v>3677</v>
      </c>
      <c r="BM22" s="587">
        <f>'[1]Hourly Load'!L22</f>
        <v>3488</v>
      </c>
      <c r="BN22" s="587">
        <f>'[1]Hourly Load'!M22</f>
        <v>3333</v>
      </c>
      <c r="BO22" s="587">
        <f>'[1]Hourly Load'!N22</f>
        <v>3190</v>
      </c>
      <c r="BP22" s="587">
        <f>'[1]Hourly Load'!O22</f>
        <v>3089</v>
      </c>
      <c r="BQ22" s="587">
        <f>'[1]Hourly Load'!P22</f>
        <v>3001</v>
      </c>
      <c r="BR22" s="587">
        <f>'[1]Hourly Load'!Q22</f>
        <v>2927</v>
      </c>
      <c r="BS22" s="587">
        <f>'[1]Hourly Load'!R22</f>
        <v>2991</v>
      </c>
      <c r="BT22" s="587">
        <f>'[1]Hourly Load'!S22</f>
        <v>3030</v>
      </c>
      <c r="BU22" s="587">
        <f>'[1]Hourly Load'!T22</f>
        <v>3195</v>
      </c>
      <c r="BV22" s="587">
        <f>'[1]Hourly Load'!U22</f>
        <v>3143</v>
      </c>
      <c r="BW22" s="587">
        <f>'[1]Hourly Load'!V22</f>
        <v>3110</v>
      </c>
      <c r="BX22" s="587">
        <f>'[1]Hourly Load'!W22</f>
        <v>3006</v>
      </c>
      <c r="BY22" s="587">
        <f>'[1]Hourly Load'!X22</f>
        <v>2908</v>
      </c>
      <c r="BZ22" s="587">
        <f>'[1]Hourly Load'!Y22</f>
        <v>2730</v>
      </c>
      <c r="CA22" s="584"/>
      <c r="CB22" s="583">
        <f t="shared" si="8"/>
        <v>41962</v>
      </c>
      <c r="CC22" s="587">
        <f>'[1]Hourly Load'!AA22</f>
        <v>1508.5340576171875</v>
      </c>
      <c r="CD22" s="587">
        <f>'[1]Hourly Load'!AB22</f>
        <v>1499.817138671875</v>
      </c>
      <c r="CE22" s="587">
        <f>'[1]Hourly Load'!AC22</f>
        <v>1478.718994140625</v>
      </c>
      <c r="CF22" s="587">
        <f>'[1]Hourly Load'!AD22</f>
        <v>1478.6148681640625</v>
      </c>
      <c r="CG22" s="587">
        <f>'[1]Hourly Load'!AE22</f>
        <v>1491.72412109375</v>
      </c>
      <c r="CH22" s="587">
        <f>'[1]Hourly Load'!AF22</f>
        <v>1543.2320556640625</v>
      </c>
      <c r="CI22" s="587">
        <f>'[1]Hourly Load'!AG22</f>
        <v>1658.0308837890625</v>
      </c>
      <c r="CJ22" s="587">
        <f>'[1]Hourly Load'!AH22</f>
        <v>1698.633056640625</v>
      </c>
      <c r="CK22" s="587">
        <f>'[1]Hourly Load'!AI22</f>
        <v>1675.0289306640625</v>
      </c>
      <c r="CL22" s="587">
        <f>'[1]Hourly Load'!AJ22</f>
        <v>1632.9161376953125</v>
      </c>
      <c r="CM22" s="587">
        <f>'[1]Hourly Load'!AK22</f>
        <v>1603.95654296875</v>
      </c>
      <c r="CN22" s="587">
        <f>'[1]Hourly Load'!AL22</f>
        <v>1582.0318603515625</v>
      </c>
      <c r="CO22" s="587">
        <f>'[1]Hourly Load'!AM22</f>
        <v>1544.8360595703125</v>
      </c>
      <c r="CP22" s="587">
        <f>'[1]Hourly Load'!AN22</f>
        <v>1534.13916015625</v>
      </c>
      <c r="CQ22" s="587">
        <f>'[1]Hourly Load'!AO22</f>
        <v>1513.3399658203125</v>
      </c>
      <c r="CR22" s="587">
        <f>'[1]Hourly Load'!AP22</f>
        <v>1478.4400634765625</v>
      </c>
      <c r="CS22" s="587">
        <f>'[1]Hourly Load'!AQ22</f>
        <v>1447.640869140625</v>
      </c>
      <c r="CT22" s="587">
        <f>'[1]Hourly Load'!AR22</f>
        <v>1516.140869140625</v>
      </c>
      <c r="CU22" s="587">
        <f>'[1]Hourly Load'!AS22</f>
        <v>1576.3408203125</v>
      </c>
      <c r="CV22" s="587">
        <f>'[1]Hourly Load'!AT22</f>
        <v>1576.0399169921875</v>
      </c>
      <c r="CW22" s="587">
        <f>'[1]Hourly Load'!AU22</f>
        <v>1547.238037109375</v>
      </c>
      <c r="CX22" s="587">
        <f>'[1]Hourly Load'!AV22</f>
        <v>1500.739013671875</v>
      </c>
      <c r="CY22" s="587">
        <f>'[1]Hourly Load'!AW22</f>
        <v>1427.83984375</v>
      </c>
      <c r="CZ22" s="587">
        <f>'[1]Hourly Load'!AX22</f>
        <v>1347.43994140625</v>
      </c>
    </row>
    <row r="23" spans="1:104">
      <c r="A23" s="582">
        <v>20</v>
      </c>
      <c r="B23" s="583">
        <f>'Input Data'!A23</f>
        <v>41963</v>
      </c>
      <c r="C23" s="609">
        <f>IF(INDEX([1]Temps!$D$7:$AH$30,C$3,DAY($B23))="",NA(),INDEX([1]Temps!$D$7:$AH$30,C$3,DAY($B23)))</f>
        <v>33.1</v>
      </c>
      <c r="D23" s="609">
        <f>IF(INDEX([1]Temps!$D$7:$AH$30,D$3,DAY($B23))="",NA(),INDEX([1]Temps!$D$7:$AH$30,D$3,DAY($B23)))</f>
        <v>33.1</v>
      </c>
      <c r="E23" s="609">
        <f>IF(INDEX([1]Temps!$D$7:$AH$30,E$3,DAY($B23))="",NA(),INDEX([1]Temps!$D$7:$AH$30,E$3,DAY($B23)))</f>
        <v>33.1</v>
      </c>
      <c r="F23" s="609">
        <f>IF(INDEX([1]Temps!$D$7:$AH$30,F$3,DAY($B23))="",NA(),INDEX([1]Temps!$D$7:$AH$30,F$3,DAY($B23)))</f>
        <v>32</v>
      </c>
      <c r="G23" s="609">
        <f>IF(INDEX([1]Temps!$D$7:$AH$30,G$3,DAY($B23))="",NA(),INDEX([1]Temps!$D$7:$AH$30,G$3,DAY($B23)))</f>
        <v>30</v>
      </c>
      <c r="H23" s="609">
        <f>IF(INDEX([1]Temps!$D$7:$AH$30,H$3,DAY($B23))="",NA(),INDEX([1]Temps!$D$7:$AH$30,H$3,DAY($B23)))</f>
        <v>27</v>
      </c>
      <c r="I23" s="609">
        <f>IF(INDEX([1]Temps!$D$7:$AH$30,I$3,DAY($B23))="",NA(),INDEX([1]Temps!$D$7:$AH$30,I$3,DAY($B23)))</f>
        <v>23</v>
      </c>
      <c r="J23" s="609">
        <f>IF(INDEX([1]Temps!$D$7:$AH$30,J$3,DAY($B23))="",NA(),INDEX([1]Temps!$D$7:$AH$30,J$3,DAY($B23)))</f>
        <v>23</v>
      </c>
      <c r="K23" s="609">
        <f>IF(INDEX([1]Temps!$D$7:$AH$30,K$3,DAY($B23))="",NA(),INDEX([1]Temps!$D$7:$AH$30,K$3,DAY($B23)))</f>
        <v>25</v>
      </c>
      <c r="L23" s="609">
        <f>IF(INDEX([1]Temps!$D$7:$AH$30,L$3,DAY($B23))="",NA(),INDEX([1]Temps!$D$7:$AH$30,L$3,DAY($B23)))</f>
        <v>28</v>
      </c>
      <c r="M23" s="609">
        <f>IF(INDEX([1]Temps!$D$7:$AH$30,M$3,DAY($B23))="",NA(),INDEX([1]Temps!$D$7:$AH$30,M$3,DAY($B23)))</f>
        <v>27.5</v>
      </c>
      <c r="N23" s="609">
        <f>IF(INDEX([1]Temps!$D$7:$AH$30,N$3,DAY($B23))="",NA(),INDEX([1]Temps!$D$7:$AH$30,N$3,DAY($B23)))</f>
        <v>29.566666666666663</v>
      </c>
      <c r="O23" s="609">
        <f>IF(INDEX([1]Temps!$D$7:$AH$30,O$3,DAY($B23))="",NA(),INDEX([1]Temps!$D$7:$AH$30,O$3,DAY($B23)))</f>
        <v>30</v>
      </c>
      <c r="P23" s="609">
        <f>IF(INDEX([1]Temps!$D$7:$AH$30,P$3,DAY($B23))="",NA(),INDEX([1]Temps!$D$7:$AH$30,P$3,DAY($B23)))</f>
        <v>34</v>
      </c>
      <c r="Q23" s="609">
        <f>IF(INDEX([1]Temps!$D$7:$AH$30,Q$3,DAY($B23))="",NA(),INDEX([1]Temps!$D$7:$AH$30,Q$3,DAY($B23)))</f>
        <v>33.1</v>
      </c>
      <c r="R23" s="609">
        <f>IF(INDEX([1]Temps!$D$7:$AH$30,R$3,DAY($B23))="",NA(),INDEX([1]Temps!$D$7:$AH$30,R$3,DAY($B23)))</f>
        <v>33.1</v>
      </c>
      <c r="S23" s="609">
        <f>IF(INDEX([1]Temps!$D$7:$AH$30,S$3,DAY($B23))="",NA(),INDEX([1]Temps!$D$7:$AH$30,S$3,DAY($B23)))</f>
        <v>30.9</v>
      </c>
      <c r="T23" s="609">
        <f>IF(INDEX([1]Temps!$D$7:$AH$30,T$3,DAY($B23))="",NA(),INDEX([1]Temps!$D$7:$AH$30,T$3,DAY($B23)))</f>
        <v>28</v>
      </c>
      <c r="U23" s="609">
        <f>IF(INDEX([1]Temps!$D$7:$AH$30,U$3,DAY($B23))="",NA(),INDEX([1]Temps!$D$7:$AH$30,U$3,DAY($B23)))</f>
        <v>27</v>
      </c>
      <c r="V23" s="609">
        <f>IF(INDEX([1]Temps!$D$7:$AH$30,V$3,DAY($B23))="",NA(),INDEX([1]Temps!$D$7:$AH$30,V$3,DAY($B23)))</f>
        <v>26.1</v>
      </c>
      <c r="W23" s="609">
        <f>IF(INDEX([1]Temps!$D$7:$AH$30,W$3,DAY($B23))="",NA(),INDEX([1]Temps!$D$7:$AH$30,W$3,DAY($B23)))</f>
        <v>25</v>
      </c>
      <c r="X23" s="609">
        <f>IF(INDEX([1]Temps!$D$7:$AH$30,X$3,DAY($B23))="",NA(),INDEX([1]Temps!$D$7:$AH$30,X$3,DAY($B23)))</f>
        <v>23</v>
      </c>
      <c r="Y23" s="609">
        <f>IF(INDEX([1]Temps!$D$7:$AH$30,Y$3,DAY($B23))="",NA(),INDEX([1]Temps!$D$7:$AH$30,Y$3,DAY($B23)))</f>
        <v>23</v>
      </c>
      <c r="Z23" s="609">
        <f>IF(INDEX([1]Temps!$D$7:$AH$30,Z$3,DAY($B23))="",NA(),INDEX([1]Temps!$D$7:$AH$30,Z$3,DAY($B23)))</f>
        <v>21.9</v>
      </c>
      <c r="AA23" s="584"/>
      <c r="AB23" s="583">
        <f t="shared" si="6"/>
        <v>41963</v>
      </c>
      <c r="AC23" s="587">
        <f>IF(INDEX([1]Temps!$D$43:$AH$66,AC$3,DAY($B23))="",NA(),INDEX([1]Temps!$D$43:$AH$66,AC$3,DAY($B23)))</f>
        <v>35.1</v>
      </c>
      <c r="AD23" s="587">
        <f>IF(INDEX([1]Temps!$D$43:$AH$66,AD$3,DAY($B23))="",NA(),INDEX([1]Temps!$D$43:$AH$66,AD$3,DAY($B23)))</f>
        <v>32</v>
      </c>
      <c r="AE23" s="587">
        <f>IF(INDEX([1]Temps!$D$43:$AH$66,AE$3,DAY($B23))="",NA(),INDEX([1]Temps!$D$43:$AH$66,AE$3,DAY($B23)))</f>
        <v>30</v>
      </c>
      <c r="AF23" s="587">
        <f>IF(INDEX([1]Temps!$D$43:$AH$66,AF$3,DAY($B23))="",NA(),INDEX([1]Temps!$D$43:$AH$66,AF$3,DAY($B23)))</f>
        <v>27</v>
      </c>
      <c r="AG23" s="587">
        <f>IF(INDEX([1]Temps!$D$43:$AH$66,AG$3,DAY($B23))="",NA(),INDEX([1]Temps!$D$43:$AH$66,AG$3,DAY($B23)))</f>
        <v>26.1</v>
      </c>
      <c r="AH23" s="587">
        <f>IF(INDEX([1]Temps!$D$43:$AH$66,AH$3,DAY($B23))="",NA(),INDEX([1]Temps!$D$43:$AH$66,AH$3,DAY($B23)))</f>
        <v>25</v>
      </c>
      <c r="AI23" s="587">
        <f>IF(INDEX([1]Temps!$D$43:$AH$66,AI$3,DAY($B23))="",NA(),INDEX([1]Temps!$D$43:$AH$66,AI$3,DAY($B23)))</f>
        <v>23</v>
      </c>
      <c r="AJ23" s="587">
        <f>IF(INDEX([1]Temps!$D$43:$AH$66,AJ$3,DAY($B23))="",NA(),INDEX([1]Temps!$D$43:$AH$66,AJ$3,DAY($B23)))</f>
        <v>25.55</v>
      </c>
      <c r="AK23" s="587">
        <f>IF(INDEX([1]Temps!$D$43:$AH$66,AK$3,DAY($B23))="",NA(),INDEX([1]Temps!$D$43:$AH$66,AK$3,DAY($B23)))</f>
        <v>26.55</v>
      </c>
      <c r="AL23" s="587">
        <f>IF(INDEX([1]Temps!$D$43:$AH$66,AL$3,DAY($B23))="",NA(),INDEX([1]Temps!$D$43:$AH$66,AL$3,DAY($B23)))</f>
        <v>28.9</v>
      </c>
      <c r="AM23" s="587">
        <f>IF(INDEX([1]Temps!$D$43:$AH$66,AM$3,DAY($B23))="",NA(),INDEX([1]Temps!$D$43:$AH$66,AM$3,DAY($B23)))</f>
        <v>28</v>
      </c>
      <c r="AN23" s="587">
        <f>IF(INDEX([1]Temps!$D$43:$AH$66,AN$3,DAY($B23))="",NA(),INDEX([1]Temps!$D$43:$AH$66,AN$3,DAY($B23)))</f>
        <v>30.9</v>
      </c>
      <c r="AO23" s="587">
        <f>IF(INDEX([1]Temps!$D$43:$AH$66,AO$3,DAY($B23))="",NA(),INDEX([1]Temps!$D$43:$AH$66,AO$3,DAY($B23)))</f>
        <v>30.9</v>
      </c>
      <c r="AP23" s="587">
        <f>IF(INDEX([1]Temps!$D$43:$AH$66,AP$3,DAY($B23))="",NA(),INDEX([1]Temps!$D$43:$AH$66,AP$3,DAY($B23)))</f>
        <v>32</v>
      </c>
      <c r="AQ23" s="587">
        <f>IF(INDEX([1]Temps!$D$43:$AH$66,AQ$3,DAY($B23))="",NA(),INDEX([1]Temps!$D$43:$AH$66,AQ$3,DAY($B23)))</f>
        <v>33.1</v>
      </c>
      <c r="AR23" s="587">
        <f>IF(INDEX([1]Temps!$D$43:$AH$66,AR$3,DAY($B23))="",NA(),INDEX([1]Temps!$D$43:$AH$66,AR$3,DAY($B23)))</f>
        <v>33.1</v>
      </c>
      <c r="AS23" s="587">
        <f>IF(INDEX([1]Temps!$D$43:$AH$66,AS$3,DAY($B23))="",NA(),INDEX([1]Temps!$D$43:$AH$66,AS$3,DAY($B23)))</f>
        <v>33.1</v>
      </c>
      <c r="AT23" s="587">
        <f>IF(INDEX([1]Temps!$D$43:$AH$66,AT$3,DAY($B23))="",NA(),INDEX([1]Temps!$D$43:$AH$66,AT$3,DAY($B23)))</f>
        <v>30.9</v>
      </c>
      <c r="AU23" s="587">
        <f>IF(INDEX([1]Temps!$D$43:$AH$66,AU$3,DAY($B23))="",NA(),INDEX([1]Temps!$D$43:$AH$66,AU$3,DAY($B23)))</f>
        <v>30</v>
      </c>
      <c r="AV23" s="587">
        <f>IF(INDEX([1]Temps!$D$43:$AH$66,AV$3,DAY($B23))="",NA(),INDEX([1]Temps!$D$43:$AH$66,AV$3,DAY($B23)))</f>
        <v>28</v>
      </c>
      <c r="AW23" s="587">
        <f>IF(INDEX([1]Temps!$D$43:$AH$66,AW$3,DAY($B23))="",NA(),INDEX([1]Temps!$D$43:$AH$66,AW$3,DAY($B23)))</f>
        <v>27</v>
      </c>
      <c r="AX23" s="587">
        <f>IF(INDEX([1]Temps!$D$43:$AH$66,AX$3,DAY($B23))="",NA(),INDEX([1]Temps!$D$43:$AH$66,AX$3,DAY($B23)))</f>
        <v>26.6</v>
      </c>
      <c r="AY23" s="587">
        <f>IF(INDEX([1]Temps!$D$43:$AH$66,AY$3,DAY($B23))="",NA(),INDEX([1]Temps!$D$43:$AH$66,AY$3,DAY($B23)))</f>
        <v>25</v>
      </c>
      <c r="AZ23" s="587">
        <f>IF(INDEX([1]Temps!$D$43:$AH$66,AZ$3,DAY($B23))="",NA(),INDEX([1]Temps!$D$43:$AH$66,AZ$3,DAY($B23)))</f>
        <v>23</v>
      </c>
      <c r="BB23" s="583">
        <f t="shared" si="7"/>
        <v>41963</v>
      </c>
      <c r="BC23" s="587">
        <f>'[1]Hourly Load'!B23</f>
        <v>2659</v>
      </c>
      <c r="BD23" s="587">
        <f>'[1]Hourly Load'!C23</f>
        <v>2648</v>
      </c>
      <c r="BE23" s="587">
        <f>'[1]Hourly Load'!D23</f>
        <v>2590</v>
      </c>
      <c r="BF23" s="587">
        <f>'[1]Hourly Load'!E23</f>
        <v>2593</v>
      </c>
      <c r="BG23" s="587">
        <f>'[1]Hourly Load'!F23</f>
        <v>2602</v>
      </c>
      <c r="BH23" s="587">
        <f>'[1]Hourly Load'!G23</f>
        <v>2822</v>
      </c>
      <c r="BI23" s="587">
        <f>'[1]Hourly Load'!H23</f>
        <v>3104</v>
      </c>
      <c r="BJ23" s="587">
        <f>'[1]Hourly Load'!I23</f>
        <v>3276</v>
      </c>
      <c r="BK23" s="587">
        <f>'[1]Hourly Load'!J23</f>
        <v>3276</v>
      </c>
      <c r="BL23" s="587">
        <f>'[1]Hourly Load'!K23</f>
        <v>3283</v>
      </c>
      <c r="BM23" s="587">
        <f>'[1]Hourly Load'!L23</f>
        <v>3214</v>
      </c>
      <c r="BN23" s="587">
        <f>'[1]Hourly Load'!M23</f>
        <v>3141</v>
      </c>
      <c r="BO23" s="587">
        <f>'[1]Hourly Load'!N23</f>
        <v>3102</v>
      </c>
      <c r="BP23" s="587">
        <f>'[1]Hourly Load'!O23</f>
        <v>2962</v>
      </c>
      <c r="BQ23" s="587">
        <f>'[1]Hourly Load'!P23</f>
        <v>2943</v>
      </c>
      <c r="BR23" s="587">
        <f>'[1]Hourly Load'!Q23</f>
        <v>2848</v>
      </c>
      <c r="BS23" s="587">
        <f>'[1]Hourly Load'!R23</f>
        <v>2912</v>
      </c>
      <c r="BT23" s="587">
        <f>'[1]Hourly Load'!S23</f>
        <v>3101</v>
      </c>
      <c r="BU23" s="587">
        <f>'[1]Hourly Load'!T23</f>
        <v>3250</v>
      </c>
      <c r="BV23" s="587">
        <f>'[1]Hourly Load'!U23</f>
        <v>3331</v>
      </c>
      <c r="BW23" s="587">
        <f>'[1]Hourly Load'!V23</f>
        <v>3302</v>
      </c>
      <c r="BX23" s="587">
        <f>'[1]Hourly Load'!W23</f>
        <v>3235</v>
      </c>
      <c r="BY23" s="587">
        <f>'[1]Hourly Load'!X23</f>
        <v>3166</v>
      </c>
      <c r="BZ23" s="587">
        <f>'[1]Hourly Load'!Y23</f>
        <v>3125</v>
      </c>
      <c r="CA23" s="584"/>
      <c r="CB23" s="583">
        <f t="shared" si="8"/>
        <v>41963</v>
      </c>
      <c r="CC23" s="587">
        <f>'[1]Hourly Load'!AA23</f>
        <v>1305.639892578125</v>
      </c>
      <c r="CD23" s="587">
        <f>'[1]Hourly Load'!AB23</f>
        <v>1281.3369140625</v>
      </c>
      <c r="CE23" s="587">
        <f>'[1]Hourly Load'!AC23</f>
        <v>1277.43798828125</v>
      </c>
      <c r="CF23" s="587">
        <f>'[1]Hourly Load'!AD23</f>
        <v>1290.1368408203125</v>
      </c>
      <c r="CG23" s="587">
        <f>'[1]Hourly Load'!AE23</f>
        <v>1318.636962890625</v>
      </c>
      <c r="CH23" s="587">
        <f>'[1]Hourly Load'!AF23</f>
        <v>1386.93701171875</v>
      </c>
      <c r="CI23" s="587">
        <f>'[1]Hourly Load'!AG23</f>
        <v>1528.7330322265625</v>
      </c>
      <c r="CJ23" s="587">
        <f>'[1]Hourly Load'!AH23</f>
        <v>1597.9200439453125</v>
      </c>
      <c r="CK23" s="587">
        <f>'[1]Hourly Load'!AI23</f>
        <v>1578.5311279296875</v>
      </c>
      <c r="CL23" s="587">
        <f>'[1]Hourly Load'!AJ23</f>
        <v>1561.43994140625</v>
      </c>
      <c r="CM23" s="587">
        <f>'[1]Hourly Load'!AK23</f>
        <v>1569.2509765625</v>
      </c>
      <c r="CN23" s="587">
        <f>'[1]Hourly Load'!AL23</f>
        <v>1534.35595703125</v>
      </c>
      <c r="CO23" s="587">
        <f>'[1]Hourly Load'!AM23</f>
        <v>1539.0521240234375</v>
      </c>
      <c r="CP23" s="587">
        <f>'[1]Hourly Load'!AN23</f>
        <v>1514.9410400390625</v>
      </c>
      <c r="CQ23" s="587">
        <f>'[1]Hourly Load'!AO23</f>
        <v>1496.3570556640625</v>
      </c>
      <c r="CR23" s="587">
        <f>'[1]Hourly Load'!AP23</f>
        <v>1470.0579833984375</v>
      </c>
      <c r="CS23" s="587">
        <f>'[1]Hourly Load'!AQ23</f>
        <v>1468.657958984375</v>
      </c>
      <c r="CT23" s="587">
        <f>'[1]Hourly Load'!AR23</f>
        <v>1555.656982421875</v>
      </c>
      <c r="CU23" s="587">
        <f>'[1]Hourly Load'!AS23</f>
        <v>1633.254150390625</v>
      </c>
      <c r="CV23" s="587">
        <f>'[1]Hourly Load'!AT23</f>
        <v>1643.2540283203125</v>
      </c>
      <c r="CW23" s="587">
        <f>'[1]Hourly Load'!AU23</f>
        <v>1621.552978515625</v>
      </c>
      <c r="CX23" s="587">
        <f>'[1]Hourly Load'!AV23</f>
        <v>1572.947021484375</v>
      </c>
      <c r="CY23" s="587">
        <f>'[1]Hourly Load'!AW23</f>
        <v>1523.737060546875</v>
      </c>
      <c r="CZ23" s="587">
        <f>'[1]Hourly Load'!AX23</f>
        <v>1444.9471435546875</v>
      </c>
    </row>
    <row r="24" spans="1:104">
      <c r="A24" s="582">
        <v>21</v>
      </c>
      <c r="B24" s="583">
        <f>'Input Data'!A24</f>
        <v>41964</v>
      </c>
      <c r="C24" s="609">
        <f>IF(INDEX([1]Temps!$D$7:$AH$30,C$3,DAY($B24))="",NA(),INDEX([1]Temps!$D$7:$AH$30,C$3,DAY($B24)))</f>
        <v>21.9</v>
      </c>
      <c r="D24" s="609">
        <f>IF(INDEX([1]Temps!$D$7:$AH$30,D$3,DAY($B24))="",NA(),INDEX([1]Temps!$D$7:$AH$30,D$3,DAY($B24)))</f>
        <v>21.9</v>
      </c>
      <c r="E24" s="609">
        <f>IF(INDEX([1]Temps!$D$7:$AH$30,E$3,DAY($B24))="",NA(),INDEX([1]Temps!$D$7:$AH$30,E$3,DAY($B24)))</f>
        <v>19.899999999999999</v>
      </c>
      <c r="F24" s="609">
        <f>IF(INDEX([1]Temps!$D$7:$AH$30,F$3,DAY($B24))="",NA(),INDEX([1]Temps!$D$7:$AH$30,F$3,DAY($B24)))</f>
        <v>21</v>
      </c>
      <c r="G24" s="609">
        <f>IF(INDEX([1]Temps!$D$7:$AH$30,G$3,DAY($B24))="",NA(),INDEX([1]Temps!$D$7:$AH$30,G$3,DAY($B24)))</f>
        <v>19</v>
      </c>
      <c r="H24" s="609">
        <f>IF(INDEX([1]Temps!$D$7:$AH$30,H$3,DAY($B24))="",NA(),INDEX([1]Temps!$D$7:$AH$30,H$3,DAY($B24)))</f>
        <v>19</v>
      </c>
      <c r="I24" s="609">
        <f>IF(INDEX([1]Temps!$D$7:$AH$30,I$3,DAY($B24))="",NA(),INDEX([1]Temps!$D$7:$AH$30,I$3,DAY($B24)))</f>
        <v>17.100000000000001</v>
      </c>
      <c r="J24" s="609">
        <f>IF(INDEX([1]Temps!$D$7:$AH$30,J$3,DAY($B24))="",NA(),INDEX([1]Temps!$D$7:$AH$30,J$3,DAY($B24)))</f>
        <v>17.100000000000001</v>
      </c>
      <c r="K24" s="609">
        <f>IF(INDEX([1]Temps!$D$7:$AH$30,K$3,DAY($B24))="",NA(),INDEX([1]Temps!$D$7:$AH$30,K$3,DAY($B24)))</f>
        <v>23</v>
      </c>
      <c r="L24" s="609">
        <f>IF(INDEX([1]Temps!$D$7:$AH$30,L$3,DAY($B24))="",NA(),INDEX([1]Temps!$D$7:$AH$30,L$3,DAY($B24)))</f>
        <v>28</v>
      </c>
      <c r="M24" s="609">
        <f>IF(INDEX([1]Temps!$D$7:$AH$30,M$3,DAY($B24))="",NA(),INDEX([1]Temps!$D$7:$AH$30,M$3,DAY($B24)))</f>
        <v>30.9</v>
      </c>
      <c r="N24" s="609">
        <f>IF(INDEX([1]Temps!$D$7:$AH$30,N$3,DAY($B24))="",NA(),INDEX([1]Temps!$D$7:$AH$30,N$3,DAY($B24)))</f>
        <v>33.1</v>
      </c>
      <c r="O24" s="609">
        <f>IF(INDEX([1]Temps!$D$7:$AH$30,O$3,DAY($B24))="",NA(),INDEX([1]Temps!$D$7:$AH$30,O$3,DAY($B24)))</f>
        <v>35.1</v>
      </c>
      <c r="P24" s="609">
        <f>IF(INDEX([1]Temps!$D$7:$AH$30,P$3,DAY($B24))="",NA(),INDEX([1]Temps!$D$7:$AH$30,P$3,DAY($B24)))</f>
        <v>37</v>
      </c>
      <c r="Q24" s="609">
        <f>IF(INDEX([1]Temps!$D$7:$AH$30,Q$3,DAY($B24))="",NA(),INDEX([1]Temps!$D$7:$AH$30,Q$3,DAY($B24)))</f>
        <v>37.9</v>
      </c>
      <c r="R24" s="609">
        <f>IF(INDEX([1]Temps!$D$7:$AH$30,R$3,DAY($B24))="",NA(),INDEX([1]Temps!$D$7:$AH$30,R$3,DAY($B24)))</f>
        <v>39</v>
      </c>
      <c r="S24" s="609">
        <f>IF(INDEX([1]Temps!$D$7:$AH$30,S$3,DAY($B24))="",NA(),INDEX([1]Temps!$D$7:$AH$30,S$3,DAY($B24)))</f>
        <v>37</v>
      </c>
      <c r="T24" s="609">
        <f>IF(INDEX([1]Temps!$D$7:$AH$30,T$3,DAY($B24))="",NA(),INDEX([1]Temps!$D$7:$AH$30,T$3,DAY($B24)))</f>
        <v>36</v>
      </c>
      <c r="U24" s="609">
        <f>IF(INDEX([1]Temps!$D$7:$AH$30,U$3,DAY($B24))="",NA(),INDEX([1]Temps!$D$7:$AH$30,U$3,DAY($B24)))</f>
        <v>30.9</v>
      </c>
      <c r="V24" s="609">
        <f>IF(INDEX([1]Temps!$D$7:$AH$30,V$3,DAY($B24))="",NA(),INDEX([1]Temps!$D$7:$AH$30,V$3,DAY($B24)))</f>
        <v>30.9</v>
      </c>
      <c r="W24" s="609">
        <f>IF(INDEX([1]Temps!$D$7:$AH$30,W$3,DAY($B24))="",NA(),INDEX([1]Temps!$D$7:$AH$30,W$3,DAY($B24)))</f>
        <v>30.9</v>
      </c>
      <c r="X24" s="609">
        <f>IF(INDEX([1]Temps!$D$7:$AH$30,X$3,DAY($B24))="",NA(),INDEX([1]Temps!$D$7:$AH$30,X$3,DAY($B24)))</f>
        <v>28</v>
      </c>
      <c r="Y24" s="609">
        <f>IF(INDEX([1]Temps!$D$7:$AH$30,Y$3,DAY($B24))="",NA(),INDEX([1]Temps!$D$7:$AH$30,Y$3,DAY($B24)))</f>
        <v>30</v>
      </c>
      <c r="Z24" s="609">
        <f>IF(INDEX([1]Temps!$D$7:$AH$30,Z$3,DAY($B24))="",NA(),INDEX([1]Temps!$D$7:$AH$30,Z$3,DAY($B24)))</f>
        <v>32</v>
      </c>
      <c r="AA24" s="584"/>
      <c r="AB24" s="583">
        <f t="shared" si="6"/>
        <v>41964</v>
      </c>
      <c r="AC24" s="587">
        <f>IF(INDEX([1]Temps!$D$43:$AH$66,AC$3,DAY($B24))="",NA(),INDEX([1]Temps!$D$43:$AH$66,AC$3,DAY($B24)))</f>
        <v>23</v>
      </c>
      <c r="AD24" s="587">
        <f>IF(INDEX([1]Temps!$D$43:$AH$66,AD$3,DAY($B24))="",NA(),INDEX([1]Temps!$D$43:$AH$66,AD$3,DAY($B24)))</f>
        <v>23</v>
      </c>
      <c r="AE24" s="587">
        <f>IF(INDEX([1]Temps!$D$43:$AH$66,AE$3,DAY($B24))="",NA(),INDEX([1]Temps!$D$43:$AH$66,AE$3,DAY($B24)))</f>
        <v>21</v>
      </c>
      <c r="AF24" s="587">
        <f>IF(INDEX([1]Temps!$D$43:$AH$66,AF$3,DAY($B24))="",NA(),INDEX([1]Temps!$D$43:$AH$66,AF$3,DAY($B24)))</f>
        <v>19.399999999999999</v>
      </c>
      <c r="AG24" s="587">
        <f>IF(INDEX([1]Temps!$D$43:$AH$66,AG$3,DAY($B24))="",NA(),INDEX([1]Temps!$D$43:$AH$66,AG$3,DAY($B24)))</f>
        <v>19.899999999999999</v>
      </c>
      <c r="AH24" s="587">
        <f>IF(INDEX([1]Temps!$D$43:$AH$66,AH$3,DAY($B24))="",NA(),INDEX([1]Temps!$D$43:$AH$66,AH$3,DAY($B24)))</f>
        <v>19.899999999999999</v>
      </c>
      <c r="AI24" s="587">
        <f>IF(INDEX([1]Temps!$D$43:$AH$66,AI$3,DAY($B24))="",NA(),INDEX([1]Temps!$D$43:$AH$66,AI$3,DAY($B24)))</f>
        <v>17.100000000000001</v>
      </c>
      <c r="AJ24" s="587">
        <f>IF(INDEX([1]Temps!$D$43:$AH$66,AJ$3,DAY($B24))="",NA(),INDEX([1]Temps!$D$43:$AH$66,AJ$3,DAY($B24)))</f>
        <v>19.899999999999999</v>
      </c>
      <c r="AK24" s="587">
        <f>IF(INDEX([1]Temps!$D$43:$AH$66,AK$3,DAY($B24))="",NA(),INDEX([1]Temps!$D$43:$AH$66,AK$3,DAY($B24)))</f>
        <v>26.1</v>
      </c>
      <c r="AL24" s="587">
        <f>IF(INDEX([1]Temps!$D$43:$AH$66,AL$3,DAY($B24))="",NA(),INDEX([1]Temps!$D$43:$AH$66,AL$3,DAY($B24)))</f>
        <v>28.9</v>
      </c>
      <c r="AM24" s="587">
        <f>IF(INDEX([1]Temps!$D$43:$AH$66,AM$3,DAY($B24))="",NA(),INDEX([1]Temps!$D$43:$AH$66,AM$3,DAY($B24)))</f>
        <v>30.9</v>
      </c>
      <c r="AN24" s="587">
        <f>IF(INDEX([1]Temps!$D$43:$AH$66,AN$3,DAY($B24))="",NA(),INDEX([1]Temps!$D$43:$AH$66,AN$3,DAY($B24)))</f>
        <v>34</v>
      </c>
      <c r="AO24" s="587">
        <f>IF(INDEX([1]Temps!$D$43:$AH$66,AO$3,DAY($B24))="",NA(),INDEX([1]Temps!$D$43:$AH$66,AO$3,DAY($B24)))</f>
        <v>36</v>
      </c>
      <c r="AP24" s="587">
        <f>IF(INDEX([1]Temps!$D$43:$AH$66,AP$3,DAY($B24))="",NA(),INDEX([1]Temps!$D$43:$AH$66,AP$3,DAY($B24)))</f>
        <v>37.9</v>
      </c>
      <c r="AQ24" s="587">
        <f>IF(INDEX([1]Temps!$D$43:$AH$66,AQ$3,DAY($B24))="",NA(),INDEX([1]Temps!$D$43:$AH$66,AQ$3,DAY($B24)))</f>
        <v>39.9</v>
      </c>
      <c r="AR24" s="587">
        <f>IF(INDEX([1]Temps!$D$43:$AH$66,AR$3,DAY($B24))="",NA(),INDEX([1]Temps!$D$43:$AH$66,AR$3,DAY($B24)))</f>
        <v>39.9</v>
      </c>
      <c r="AS24" s="587">
        <f>IF(INDEX([1]Temps!$D$43:$AH$66,AS$3,DAY($B24))="",NA(),INDEX([1]Temps!$D$43:$AH$66,AS$3,DAY($B24)))</f>
        <v>39.9</v>
      </c>
      <c r="AT24" s="587">
        <f>IF(INDEX([1]Temps!$D$43:$AH$66,AT$3,DAY($B24))="",NA(),INDEX([1]Temps!$D$43:$AH$66,AT$3,DAY($B24)))</f>
        <v>39</v>
      </c>
      <c r="AU24" s="587">
        <f>IF(INDEX([1]Temps!$D$43:$AH$66,AU$3,DAY($B24))="",NA(),INDEX([1]Temps!$D$43:$AH$66,AU$3,DAY($B24)))</f>
        <v>37</v>
      </c>
      <c r="AV24" s="587">
        <f>IF(INDEX([1]Temps!$D$43:$AH$66,AV$3,DAY($B24))="",NA(),INDEX([1]Temps!$D$43:$AH$66,AV$3,DAY($B24)))</f>
        <v>35.1</v>
      </c>
      <c r="AW24" s="587">
        <f>IF(INDEX([1]Temps!$D$43:$AH$66,AW$3,DAY($B24))="",NA(),INDEX([1]Temps!$D$43:$AH$66,AW$3,DAY($B24)))</f>
        <v>35.1</v>
      </c>
      <c r="AX24" s="587">
        <f>IF(INDEX([1]Temps!$D$43:$AH$66,AX$3,DAY($B24))="",NA(),INDEX([1]Temps!$D$43:$AH$66,AX$3,DAY($B24)))</f>
        <v>34</v>
      </c>
      <c r="AY24" s="587">
        <f>IF(INDEX([1]Temps!$D$43:$AH$66,AY$3,DAY($B24))="",NA(),INDEX([1]Temps!$D$43:$AH$66,AY$3,DAY($B24)))</f>
        <v>34</v>
      </c>
      <c r="AZ24" s="587">
        <f>IF(INDEX([1]Temps!$D$43:$AH$66,AZ$3,DAY($B24))="",NA(),INDEX([1]Temps!$D$43:$AH$66,AZ$3,DAY($B24)))</f>
        <v>35.1</v>
      </c>
      <c r="BB24" s="583">
        <f t="shared" si="7"/>
        <v>41964</v>
      </c>
      <c r="BC24" s="587">
        <f>'[1]Hourly Load'!B24</f>
        <v>3077</v>
      </c>
      <c r="BD24" s="587">
        <f>'[1]Hourly Load'!C24</f>
        <v>3006</v>
      </c>
      <c r="BE24" s="587">
        <f>'[1]Hourly Load'!D24</f>
        <v>3052</v>
      </c>
      <c r="BF24" s="587">
        <f>'[1]Hourly Load'!E24</f>
        <v>3051</v>
      </c>
      <c r="BG24" s="587">
        <f>'[1]Hourly Load'!F24</f>
        <v>3106</v>
      </c>
      <c r="BH24" s="587">
        <f>'[1]Hourly Load'!G24</f>
        <v>3349</v>
      </c>
      <c r="BI24" s="587">
        <f>'[1]Hourly Load'!H24</f>
        <v>3637</v>
      </c>
      <c r="BJ24" s="587">
        <f>'[1]Hourly Load'!I24</f>
        <v>3778</v>
      </c>
      <c r="BK24" s="587">
        <f>'[1]Hourly Load'!J24</f>
        <v>3699</v>
      </c>
      <c r="BL24" s="587">
        <f>'[1]Hourly Load'!K24</f>
        <v>3492</v>
      </c>
      <c r="BM24" s="587">
        <f>'[1]Hourly Load'!L24</f>
        <v>3334</v>
      </c>
      <c r="BN24" s="587">
        <f>'[1]Hourly Load'!M24</f>
        <v>3160</v>
      </c>
      <c r="BO24" s="587">
        <f>'[1]Hourly Load'!N24</f>
        <v>3049</v>
      </c>
      <c r="BP24" s="587">
        <f>'[1]Hourly Load'!O24</f>
        <v>2945</v>
      </c>
      <c r="BQ24" s="587">
        <f>'[1]Hourly Load'!P24</f>
        <v>2840</v>
      </c>
      <c r="BR24" s="587">
        <f>'[1]Hourly Load'!Q24</f>
        <v>2793</v>
      </c>
      <c r="BS24" s="587">
        <f>'[1]Hourly Load'!R24</f>
        <v>2776</v>
      </c>
      <c r="BT24" s="587">
        <f>'[1]Hourly Load'!S24</f>
        <v>2908</v>
      </c>
      <c r="BU24" s="587">
        <f>'[1]Hourly Load'!T24</f>
        <v>3046</v>
      </c>
      <c r="BV24" s="587">
        <f>'[1]Hourly Load'!U24</f>
        <v>3126</v>
      </c>
      <c r="BW24" s="587">
        <f>'[1]Hourly Load'!V24</f>
        <v>3155</v>
      </c>
      <c r="BX24" s="587">
        <f>'[1]Hourly Load'!W24</f>
        <v>3108</v>
      </c>
      <c r="BY24" s="587">
        <f>'[1]Hourly Load'!X24</f>
        <v>2992</v>
      </c>
      <c r="BZ24" s="587">
        <f>'[1]Hourly Load'!Y24</f>
        <v>2899</v>
      </c>
      <c r="CA24" s="584"/>
      <c r="CB24" s="583">
        <f t="shared" si="8"/>
        <v>41964</v>
      </c>
      <c r="CC24" s="587">
        <f>'[1]Hourly Load'!AA24</f>
        <v>1405.25</v>
      </c>
      <c r="CD24" s="587">
        <f>'[1]Hourly Load'!AB24</f>
        <v>1389.2501220703125</v>
      </c>
      <c r="CE24" s="587">
        <f>'[1]Hourly Load'!AC24</f>
        <v>1384.751953125</v>
      </c>
      <c r="CF24" s="587">
        <f>'[1]Hourly Load'!AD24</f>
        <v>1390.1500244140625</v>
      </c>
      <c r="CG24" s="587">
        <f>'[1]Hourly Load'!AE24</f>
        <v>1409.8470458984375</v>
      </c>
      <c r="CH24" s="587">
        <f>'[1]Hourly Load'!AF24</f>
        <v>1472.0361328125</v>
      </c>
      <c r="CI24" s="587">
        <f>'[1]Hourly Load'!AG24</f>
        <v>1602.9510498046875</v>
      </c>
      <c r="CJ24" s="587">
        <f>'[1]Hourly Load'!AH24</f>
        <v>1679.7509765625</v>
      </c>
      <c r="CK24" s="587">
        <f>'[1]Hourly Load'!AI24</f>
        <v>1660.3511962890625</v>
      </c>
      <c r="CL24" s="587">
        <f>'[1]Hourly Load'!AJ24</f>
        <v>1607.4521484375</v>
      </c>
      <c r="CM24" s="587">
        <f>'[1]Hourly Load'!AK24</f>
        <v>1592.257080078125</v>
      </c>
      <c r="CN24" s="587">
        <f>'[1]Hourly Load'!AL24</f>
        <v>1557.2510986328125</v>
      </c>
      <c r="CO24" s="587">
        <f>'[1]Hourly Load'!AM24</f>
        <v>1511.1480712890625</v>
      </c>
      <c r="CP24" s="587">
        <f>'[1]Hourly Load'!AN24</f>
        <v>1477.057861328125</v>
      </c>
      <c r="CQ24" s="587">
        <f>'[1]Hourly Load'!AO24</f>
        <v>1444.2579345703125</v>
      </c>
      <c r="CR24" s="587">
        <f>'[1]Hourly Load'!AP24</f>
        <v>1427.9580078125</v>
      </c>
      <c r="CS24" s="587">
        <f>'[1]Hourly Load'!AQ24</f>
        <v>1409.358154296875</v>
      </c>
      <c r="CT24" s="587">
        <f>'[1]Hourly Load'!AR24</f>
        <v>1473.8541259765625</v>
      </c>
      <c r="CU24" s="587">
        <f>'[1]Hourly Load'!AS24</f>
        <v>1545.9571533203125</v>
      </c>
      <c r="CV24" s="587">
        <f>'[1]Hourly Load'!AT24</f>
        <v>1541.9459228515625</v>
      </c>
      <c r="CW24" s="587">
        <f>'[1]Hourly Load'!AU24</f>
        <v>1518.0478515625</v>
      </c>
      <c r="CX24" s="587">
        <f>'[1]Hourly Load'!AV24</f>
        <v>1477.05615234375</v>
      </c>
      <c r="CY24" s="587">
        <f>'[1]Hourly Load'!AW24</f>
        <v>1422.156005859375</v>
      </c>
      <c r="CZ24" s="587">
        <f>'[1]Hourly Load'!AX24</f>
        <v>1351.156005859375</v>
      </c>
    </row>
    <row r="25" spans="1:104">
      <c r="A25" s="582">
        <v>22</v>
      </c>
      <c r="B25" s="583">
        <f>'Input Data'!A25</f>
        <v>41965</v>
      </c>
      <c r="C25" s="609">
        <f>IF(INDEX([1]Temps!$D$7:$AH$30,C$3,DAY($B25))="",NA(),INDEX([1]Temps!$D$7:$AH$30,C$3,DAY($B25)))</f>
        <v>32</v>
      </c>
      <c r="D25" s="609">
        <f>IF(INDEX([1]Temps!$D$7:$AH$30,D$3,DAY($B25))="",NA(),INDEX([1]Temps!$D$7:$AH$30,D$3,DAY($B25)))</f>
        <v>35.1</v>
      </c>
      <c r="E25" s="609">
        <f>IF(INDEX([1]Temps!$D$7:$AH$30,E$3,DAY($B25))="",NA(),INDEX([1]Temps!$D$7:$AH$30,E$3,DAY($B25)))</f>
        <v>37</v>
      </c>
      <c r="F25" s="609">
        <f>IF(INDEX([1]Temps!$D$7:$AH$30,F$3,DAY($B25))="",NA(),INDEX([1]Temps!$D$7:$AH$30,F$3,DAY($B25)))</f>
        <v>37</v>
      </c>
      <c r="G25" s="609">
        <f>IF(INDEX([1]Temps!$D$7:$AH$30,G$3,DAY($B25))="",NA(),INDEX([1]Temps!$D$7:$AH$30,G$3,DAY($B25)))</f>
        <v>37.9</v>
      </c>
      <c r="H25" s="609">
        <f>IF(INDEX([1]Temps!$D$7:$AH$30,H$3,DAY($B25))="",NA(),INDEX([1]Temps!$D$7:$AH$30,H$3,DAY($B25)))</f>
        <v>41</v>
      </c>
      <c r="I25" s="609">
        <f>IF(INDEX([1]Temps!$D$7:$AH$30,I$3,DAY($B25))="",NA(),INDEX([1]Temps!$D$7:$AH$30,I$3,DAY($B25)))</f>
        <v>41</v>
      </c>
      <c r="J25" s="609">
        <f>IF(INDEX([1]Temps!$D$7:$AH$30,J$3,DAY($B25))="",NA(),INDEX([1]Temps!$D$7:$AH$30,J$3,DAY($B25)))</f>
        <v>44.1</v>
      </c>
      <c r="K25" s="609">
        <f>IF(INDEX([1]Temps!$D$7:$AH$30,K$3,DAY($B25))="",NA(),INDEX([1]Temps!$D$7:$AH$30,K$3,DAY($B25)))</f>
        <v>44.1</v>
      </c>
      <c r="L25" s="609">
        <f>IF(INDEX([1]Temps!$D$7:$AH$30,L$3,DAY($B25))="",NA(),INDEX([1]Temps!$D$7:$AH$30,L$3,DAY($B25)))</f>
        <v>51.1</v>
      </c>
      <c r="M25" s="609">
        <f>IF(INDEX([1]Temps!$D$7:$AH$30,M$3,DAY($B25))="",NA(),INDEX([1]Temps!$D$7:$AH$30,M$3,DAY($B25)))</f>
        <v>51.1</v>
      </c>
      <c r="N25" s="609">
        <f>IF(INDEX([1]Temps!$D$7:$AH$30,N$3,DAY($B25))="",NA(),INDEX([1]Temps!$D$7:$AH$30,N$3,DAY($B25)))</f>
        <v>55.9</v>
      </c>
      <c r="O25" s="609">
        <f>IF(INDEX([1]Temps!$D$7:$AH$30,O$3,DAY($B25))="",NA(),INDEX([1]Temps!$D$7:$AH$30,O$3,DAY($B25)))</f>
        <v>60.1</v>
      </c>
      <c r="P25" s="609">
        <f>IF(INDEX([1]Temps!$D$7:$AH$30,P$3,DAY($B25))="",NA(),INDEX([1]Temps!$D$7:$AH$30,P$3,DAY($B25)))</f>
        <v>62.1</v>
      </c>
      <c r="Q25" s="609">
        <f>IF(INDEX([1]Temps!$D$7:$AH$30,Q$3,DAY($B25))="",NA(),INDEX([1]Temps!$D$7:$AH$30,Q$3,DAY($B25)))</f>
        <v>62.1</v>
      </c>
      <c r="R25" s="609">
        <f>IF(INDEX([1]Temps!$D$7:$AH$30,R$3,DAY($B25))="",NA(),INDEX([1]Temps!$D$7:$AH$30,R$3,DAY($B25)))</f>
        <v>60.1</v>
      </c>
      <c r="S25" s="609">
        <f>IF(INDEX([1]Temps!$D$7:$AH$30,S$3,DAY($B25))="",NA(),INDEX([1]Temps!$D$7:$AH$30,S$3,DAY($B25)))</f>
        <v>57</v>
      </c>
      <c r="T25" s="609">
        <f>IF(INDEX([1]Temps!$D$7:$AH$30,T$3,DAY($B25))="",NA(),INDEX([1]Temps!$D$7:$AH$30,T$3,DAY($B25)))</f>
        <v>52</v>
      </c>
      <c r="U25" s="609">
        <f>IF(INDEX([1]Temps!$D$7:$AH$30,U$3,DAY($B25))="",NA(),INDEX([1]Temps!$D$7:$AH$30,U$3,DAY($B25)))</f>
        <v>48.9</v>
      </c>
      <c r="V25" s="609">
        <f>IF(INDEX([1]Temps!$D$7:$AH$30,V$3,DAY($B25))="",NA(),INDEX([1]Temps!$D$7:$AH$30,V$3,DAY($B25)))</f>
        <v>52</v>
      </c>
      <c r="W25" s="609">
        <f>IF(INDEX([1]Temps!$D$7:$AH$30,W$3,DAY($B25))="",NA(),INDEX([1]Temps!$D$7:$AH$30,W$3,DAY($B25)))</f>
        <v>51.1</v>
      </c>
      <c r="X25" s="609">
        <f>IF(INDEX([1]Temps!$D$7:$AH$30,X$3,DAY($B25))="",NA(),INDEX([1]Temps!$D$7:$AH$30,X$3,DAY($B25)))</f>
        <v>48.9</v>
      </c>
      <c r="Y25" s="609">
        <f>IF(INDEX([1]Temps!$D$7:$AH$30,Y$3,DAY($B25))="",NA(),INDEX([1]Temps!$D$7:$AH$30,Y$3,DAY($B25)))</f>
        <v>48</v>
      </c>
      <c r="Z25" s="609">
        <f>IF(INDEX([1]Temps!$D$7:$AH$30,Z$3,DAY($B25))="",NA(),INDEX([1]Temps!$D$7:$AH$30,Z$3,DAY($B25)))</f>
        <v>48.9</v>
      </c>
      <c r="AA25" s="584"/>
      <c r="AB25" s="583">
        <f t="shared" si="6"/>
        <v>41965</v>
      </c>
      <c r="AC25" s="587">
        <f>IF(INDEX([1]Temps!$D$43:$AH$66,AC$3,DAY($B25))="",NA(),INDEX([1]Temps!$D$43:$AH$66,AC$3,DAY($B25)))</f>
        <v>37</v>
      </c>
      <c r="AD25" s="587">
        <f>IF(INDEX([1]Temps!$D$43:$AH$66,AD$3,DAY($B25))="",NA(),INDEX([1]Temps!$D$43:$AH$66,AD$3,DAY($B25)))</f>
        <v>37.9</v>
      </c>
      <c r="AE25" s="587">
        <f>IF(INDEX([1]Temps!$D$43:$AH$66,AE$3,DAY($B25))="",NA(),INDEX([1]Temps!$D$43:$AH$66,AE$3,DAY($B25)))</f>
        <v>39</v>
      </c>
      <c r="AF25" s="587">
        <f>IF(INDEX([1]Temps!$D$43:$AH$66,AF$3,DAY($B25))="",NA(),INDEX([1]Temps!$D$43:$AH$66,AF$3,DAY($B25)))</f>
        <v>39</v>
      </c>
      <c r="AG25" s="587">
        <f>IF(INDEX([1]Temps!$D$43:$AH$66,AG$3,DAY($B25))="",NA(),INDEX([1]Temps!$D$43:$AH$66,AG$3,DAY($B25)))</f>
        <v>39</v>
      </c>
      <c r="AH25" s="587">
        <f>IF(INDEX([1]Temps!$D$43:$AH$66,AH$3,DAY($B25))="",NA(),INDEX([1]Temps!$D$43:$AH$66,AH$3,DAY($B25)))</f>
        <v>41</v>
      </c>
      <c r="AI25" s="587">
        <f>IF(INDEX([1]Temps!$D$43:$AH$66,AI$3,DAY($B25))="",NA(),INDEX([1]Temps!$D$43:$AH$66,AI$3,DAY($B25)))</f>
        <v>42.1</v>
      </c>
      <c r="AJ25" s="587">
        <f>IF(INDEX([1]Temps!$D$43:$AH$66,AJ$3,DAY($B25))="",NA(),INDEX([1]Temps!$D$43:$AH$66,AJ$3,DAY($B25)))</f>
        <v>44.1</v>
      </c>
      <c r="AK25" s="587">
        <f>IF(INDEX([1]Temps!$D$43:$AH$66,AK$3,DAY($B25))="",NA(),INDEX([1]Temps!$D$43:$AH$66,AK$3,DAY($B25)))</f>
        <v>46</v>
      </c>
      <c r="AL25" s="587">
        <f>IF(INDEX([1]Temps!$D$43:$AH$66,AL$3,DAY($B25))="",NA(),INDEX([1]Temps!$D$43:$AH$66,AL$3,DAY($B25)))</f>
        <v>48.9</v>
      </c>
      <c r="AM25" s="587">
        <f>IF(INDEX([1]Temps!$D$43:$AH$66,AM$3,DAY($B25))="",NA(),INDEX([1]Temps!$D$43:$AH$66,AM$3,DAY($B25)))</f>
        <v>55</v>
      </c>
      <c r="AN25" s="587">
        <f>IF(INDEX([1]Temps!$D$43:$AH$66,AN$3,DAY($B25))="",NA(),INDEX([1]Temps!$D$43:$AH$66,AN$3,DAY($B25)))</f>
        <v>59</v>
      </c>
      <c r="AO25" s="587">
        <f>IF(INDEX([1]Temps!$D$43:$AH$66,AO$3,DAY($B25))="",NA(),INDEX([1]Temps!$D$43:$AH$66,AO$3,DAY($B25)))</f>
        <v>62.1</v>
      </c>
      <c r="AP25" s="587">
        <f>IF(INDEX([1]Temps!$D$43:$AH$66,AP$3,DAY($B25))="",NA(),INDEX([1]Temps!$D$43:$AH$66,AP$3,DAY($B25)))</f>
        <v>63</v>
      </c>
      <c r="AQ25" s="587">
        <f>IF(INDEX([1]Temps!$D$43:$AH$66,AQ$3,DAY($B25))="",NA(),INDEX([1]Temps!$D$43:$AH$66,AQ$3,DAY($B25)))</f>
        <v>62.1</v>
      </c>
      <c r="AR25" s="587">
        <f>IF(INDEX([1]Temps!$D$43:$AH$66,AR$3,DAY($B25))="",NA(),INDEX([1]Temps!$D$43:$AH$66,AR$3,DAY($B25)))</f>
        <v>62.1</v>
      </c>
      <c r="AS25" s="587">
        <f>IF(INDEX([1]Temps!$D$43:$AH$66,AS$3,DAY($B25))="",NA(),INDEX([1]Temps!$D$43:$AH$66,AS$3,DAY($B25)))</f>
        <v>60.1</v>
      </c>
      <c r="AT25" s="587">
        <f>IF(INDEX([1]Temps!$D$43:$AH$66,AT$3,DAY($B25))="",NA(),INDEX([1]Temps!$D$43:$AH$66,AT$3,DAY($B25)))</f>
        <v>57.9</v>
      </c>
      <c r="AU25" s="587">
        <f>IF(INDEX([1]Temps!$D$43:$AH$66,AU$3,DAY($B25))="",NA(),INDEX([1]Temps!$D$43:$AH$66,AU$3,DAY($B25)))</f>
        <v>55.9</v>
      </c>
      <c r="AV25" s="587">
        <f>IF(INDEX([1]Temps!$D$43:$AH$66,AV$3,DAY($B25))="",NA(),INDEX([1]Temps!$D$43:$AH$66,AV$3,DAY($B25)))</f>
        <v>55</v>
      </c>
      <c r="AW25" s="587">
        <f>IF(INDEX([1]Temps!$D$43:$AH$66,AW$3,DAY($B25))="",NA(),INDEX([1]Temps!$D$43:$AH$66,AW$3,DAY($B25)))</f>
        <v>53.1</v>
      </c>
      <c r="AX25" s="587">
        <f>IF(INDEX([1]Temps!$D$43:$AH$66,AX$3,DAY($B25))="",NA(),INDEX([1]Temps!$D$43:$AH$66,AX$3,DAY($B25)))</f>
        <v>50</v>
      </c>
      <c r="AY25" s="587">
        <f>IF(INDEX([1]Temps!$D$43:$AH$66,AY$3,DAY($B25))="",NA(),INDEX([1]Temps!$D$43:$AH$66,AY$3,DAY($B25)))</f>
        <v>51.1</v>
      </c>
      <c r="AZ25" s="587">
        <f>IF(INDEX([1]Temps!$D$43:$AH$66,AZ$3,DAY($B25))="",NA(),INDEX([1]Temps!$D$43:$AH$66,AZ$3,DAY($B25)))</f>
        <v>51.1</v>
      </c>
      <c r="BB25" s="583">
        <f t="shared" si="7"/>
        <v>41965</v>
      </c>
      <c r="BC25" s="587">
        <f>'[1]Hourly Load'!B25</f>
        <v>2762</v>
      </c>
      <c r="BD25" s="587">
        <f>'[1]Hourly Load'!C25</f>
        <v>2712</v>
      </c>
      <c r="BE25" s="587">
        <f>'[1]Hourly Load'!D25</f>
        <v>2607</v>
      </c>
      <c r="BF25" s="587">
        <f>'[1]Hourly Load'!E25</f>
        <v>2567</v>
      </c>
      <c r="BG25" s="587">
        <f>'[1]Hourly Load'!F25</f>
        <v>2571</v>
      </c>
      <c r="BH25" s="587">
        <f>'[1]Hourly Load'!G25</f>
        <v>2648</v>
      </c>
      <c r="BI25" s="587">
        <f>'[1]Hourly Load'!H25</f>
        <v>2720</v>
      </c>
      <c r="BJ25" s="587">
        <f>'[1]Hourly Load'!I25</f>
        <v>2753</v>
      </c>
      <c r="BK25" s="587">
        <f>'[1]Hourly Load'!J25</f>
        <v>2828</v>
      </c>
      <c r="BL25" s="587">
        <f>'[1]Hourly Load'!K25</f>
        <v>2811</v>
      </c>
      <c r="BM25" s="587">
        <f>'[1]Hourly Load'!L25</f>
        <v>2715</v>
      </c>
      <c r="BN25" s="587">
        <f>'[1]Hourly Load'!M25</f>
        <v>2596</v>
      </c>
      <c r="BO25" s="587">
        <f>'[1]Hourly Load'!N25</f>
        <v>2492</v>
      </c>
      <c r="BP25" s="587">
        <f>'[1]Hourly Load'!O25</f>
        <v>2415</v>
      </c>
      <c r="BQ25" s="587">
        <f>'[1]Hourly Load'!P25</f>
        <v>2323</v>
      </c>
      <c r="BR25" s="587">
        <f>'[1]Hourly Load'!Q25</f>
        <v>2303</v>
      </c>
      <c r="BS25" s="587">
        <f>'[1]Hourly Load'!R25</f>
        <v>2222</v>
      </c>
      <c r="BT25" s="587">
        <f>'[1]Hourly Load'!S25</f>
        <v>2383</v>
      </c>
      <c r="BU25" s="587">
        <f>'[1]Hourly Load'!T25</f>
        <v>2487</v>
      </c>
      <c r="BV25" s="587">
        <f>'[1]Hourly Load'!U25</f>
        <v>2467</v>
      </c>
      <c r="BW25" s="587">
        <f>'[1]Hourly Load'!V25</f>
        <v>2486</v>
      </c>
      <c r="BX25" s="587">
        <f>'[1]Hourly Load'!W25</f>
        <v>2397</v>
      </c>
      <c r="BY25" s="587">
        <f>'[1]Hourly Load'!X25</f>
        <v>2307</v>
      </c>
      <c r="BZ25" s="587">
        <f>'[1]Hourly Load'!Y25</f>
        <v>2295</v>
      </c>
      <c r="CA25" s="584"/>
      <c r="CB25" s="583">
        <f t="shared" si="8"/>
        <v>41965</v>
      </c>
      <c r="CC25" s="587">
        <f>'[1]Hourly Load'!AA25</f>
        <v>1298.156982421875</v>
      </c>
      <c r="CD25" s="587">
        <f>'[1]Hourly Load'!AB25</f>
        <v>1261.5570068359375</v>
      </c>
      <c r="CE25" s="587">
        <f>'[1]Hourly Load'!AC25</f>
        <v>1224.2569580078125</v>
      </c>
      <c r="CF25" s="587">
        <f>'[1]Hourly Load'!AD25</f>
        <v>1211.1412353515625</v>
      </c>
      <c r="CG25" s="587">
        <f>'[1]Hourly Load'!AE25</f>
        <v>1196.255126953125</v>
      </c>
      <c r="CH25" s="587">
        <f>'[1]Hourly Load'!AF25</f>
        <v>1214.6561279296875</v>
      </c>
      <c r="CI25" s="587">
        <f>'[1]Hourly Load'!AG25</f>
        <v>1257.156982421875</v>
      </c>
      <c r="CJ25" s="587">
        <f>'[1]Hourly Load'!AH25</f>
        <v>1294.7569580078125</v>
      </c>
      <c r="CK25" s="587">
        <f>'[1]Hourly Load'!AI25</f>
        <v>1321.259033203125</v>
      </c>
      <c r="CL25" s="587">
        <f>'[1]Hourly Load'!AJ25</f>
        <v>1341.95703125</v>
      </c>
      <c r="CM25" s="587">
        <f>'[1]Hourly Load'!AK25</f>
        <v>1337.3570556640625</v>
      </c>
      <c r="CN25" s="587">
        <f>'[1]Hourly Load'!AL25</f>
        <v>1298.2469482421875</v>
      </c>
      <c r="CO25" s="587">
        <f>'[1]Hourly Load'!AM25</f>
        <v>1251.6529541015625</v>
      </c>
      <c r="CP25" s="587">
        <f>'[1]Hourly Load'!AN25</f>
        <v>1228.8580322265625</v>
      </c>
      <c r="CQ25" s="587">
        <f>'[1]Hourly Load'!AO25</f>
        <v>1207.2598876953125</v>
      </c>
      <c r="CR25" s="587">
        <f>'[1]Hourly Load'!AP25</f>
        <v>1205.758056640625</v>
      </c>
      <c r="CS25" s="587">
        <f>'[1]Hourly Load'!AQ25</f>
        <v>1203.9580078125</v>
      </c>
      <c r="CT25" s="587">
        <f>'[1]Hourly Load'!AR25</f>
        <v>1263.1590576171875</v>
      </c>
      <c r="CU25" s="587">
        <f>'[1]Hourly Load'!AS25</f>
        <v>1297.16015625</v>
      </c>
      <c r="CV25" s="587">
        <f>'[1]Hourly Load'!AT25</f>
        <v>1297.3609619140625</v>
      </c>
      <c r="CW25" s="587">
        <f>'[1]Hourly Load'!AU25</f>
        <v>1264.1519775390625</v>
      </c>
      <c r="CX25" s="587">
        <f>'[1]Hourly Load'!AV25</f>
        <v>1236.650146484375</v>
      </c>
      <c r="CY25" s="587">
        <f>'[1]Hourly Load'!AW25</f>
        <v>1170.3590087890625</v>
      </c>
      <c r="CZ25" s="587">
        <f>'[1]Hourly Load'!AX25</f>
        <v>1114.3599853515625</v>
      </c>
    </row>
    <row r="26" spans="1:104">
      <c r="A26" s="582">
        <v>23</v>
      </c>
      <c r="B26" s="583">
        <f>'Input Data'!A26</f>
        <v>41966</v>
      </c>
      <c r="C26" s="609">
        <f>IF(INDEX([1]Temps!$D$7:$AH$30,C$3,DAY($B26))="",NA(),INDEX([1]Temps!$D$7:$AH$30,C$3,DAY($B26)))</f>
        <v>48.9</v>
      </c>
      <c r="D26" s="609">
        <f>IF(INDEX([1]Temps!$D$7:$AH$30,D$3,DAY($B26))="",NA(),INDEX([1]Temps!$D$7:$AH$30,D$3,DAY($B26)))</f>
        <v>50</v>
      </c>
      <c r="E26" s="609">
        <f>IF(INDEX([1]Temps!$D$7:$AH$30,E$3,DAY($B26))="",NA(),INDEX([1]Temps!$D$7:$AH$30,E$3,DAY($B26)))</f>
        <v>48.9</v>
      </c>
      <c r="F26" s="609">
        <f>IF(INDEX([1]Temps!$D$7:$AH$30,F$3,DAY($B26))="",NA(),INDEX([1]Temps!$D$7:$AH$30,F$3,DAY($B26)))</f>
        <v>52</v>
      </c>
      <c r="G26" s="609">
        <f>IF(INDEX([1]Temps!$D$7:$AH$30,G$3,DAY($B26))="",NA(),INDEX([1]Temps!$D$7:$AH$30,G$3,DAY($B26)))</f>
        <v>52</v>
      </c>
      <c r="H26" s="609">
        <f>IF(INDEX([1]Temps!$D$7:$AH$30,H$3,DAY($B26))="",NA(),INDEX([1]Temps!$D$7:$AH$30,H$3,DAY($B26)))</f>
        <v>51.1</v>
      </c>
      <c r="I26" s="609">
        <f>IF(INDEX([1]Temps!$D$7:$AH$30,I$3,DAY($B26))="",NA(),INDEX([1]Temps!$D$7:$AH$30,I$3,DAY($B26)))</f>
        <v>48.9</v>
      </c>
      <c r="J26" s="609">
        <f>IF(INDEX([1]Temps!$D$7:$AH$30,J$3,DAY($B26))="",NA(),INDEX([1]Temps!$D$7:$AH$30,J$3,DAY($B26)))</f>
        <v>48</v>
      </c>
      <c r="K26" s="609">
        <f>IF(INDEX([1]Temps!$D$7:$AH$30,K$3,DAY($B26))="",NA(),INDEX([1]Temps!$D$7:$AH$30,K$3,DAY($B26)))</f>
        <v>52</v>
      </c>
      <c r="L26" s="609">
        <f>IF(INDEX([1]Temps!$D$7:$AH$30,L$3,DAY($B26))="",NA(),INDEX([1]Temps!$D$7:$AH$30,L$3,DAY($B26)))</f>
        <v>54</v>
      </c>
      <c r="M26" s="609">
        <f>IF(INDEX([1]Temps!$D$7:$AH$30,M$3,DAY($B26))="",NA(),INDEX([1]Temps!$D$7:$AH$30,M$3,DAY($B26)))</f>
        <v>55.9</v>
      </c>
      <c r="N26" s="609">
        <f>IF(INDEX([1]Temps!$D$7:$AH$30,N$3,DAY($B26))="",NA(),INDEX([1]Temps!$D$7:$AH$30,N$3,DAY($B26)))</f>
        <v>54</v>
      </c>
      <c r="O26" s="609">
        <f>IF(INDEX([1]Temps!$D$7:$AH$30,O$3,DAY($B26))="",NA(),INDEX([1]Temps!$D$7:$AH$30,O$3,DAY($B26)))</f>
        <v>53.1</v>
      </c>
      <c r="P26" s="609">
        <f>IF(INDEX([1]Temps!$D$7:$AH$30,P$3,DAY($B26))="",NA(),INDEX([1]Temps!$D$7:$AH$30,P$3,DAY($B26)))</f>
        <v>53.1</v>
      </c>
      <c r="Q26" s="609">
        <f>IF(INDEX([1]Temps!$D$7:$AH$30,Q$3,DAY($B26))="",NA(),INDEX([1]Temps!$D$7:$AH$30,Q$3,DAY($B26)))</f>
        <v>52</v>
      </c>
      <c r="R26" s="609">
        <f>IF(INDEX([1]Temps!$D$7:$AH$30,R$3,DAY($B26))="",NA(),INDEX([1]Temps!$D$7:$AH$30,R$3,DAY($B26)))</f>
        <v>52.366666666666667</v>
      </c>
      <c r="S26" s="609">
        <f>IF(INDEX([1]Temps!$D$7:$AH$30,S$3,DAY($B26))="",NA(),INDEX([1]Temps!$D$7:$AH$30,S$3,DAY($B26)))</f>
        <v>53.1</v>
      </c>
      <c r="T26" s="609">
        <f>IF(INDEX([1]Temps!$D$7:$AH$30,T$3,DAY($B26))="",NA(),INDEX([1]Temps!$D$7:$AH$30,T$3,DAY($B26)))</f>
        <v>54</v>
      </c>
      <c r="U26" s="609">
        <f>IF(INDEX([1]Temps!$D$7:$AH$30,U$3,DAY($B26))="",NA(),INDEX([1]Temps!$D$7:$AH$30,U$3,DAY($B26)))</f>
        <v>55</v>
      </c>
      <c r="V26" s="609">
        <f>IF(INDEX([1]Temps!$D$7:$AH$30,V$3,DAY($B26))="",NA(),INDEX([1]Temps!$D$7:$AH$30,V$3,DAY($B26)))</f>
        <v>55</v>
      </c>
      <c r="W26" s="609">
        <f>IF(INDEX([1]Temps!$D$7:$AH$30,W$3,DAY($B26))="",NA(),INDEX([1]Temps!$D$7:$AH$30,W$3,DAY($B26)))</f>
        <v>55.9</v>
      </c>
      <c r="X26" s="609">
        <f>IF(INDEX([1]Temps!$D$7:$AH$30,X$3,DAY($B26))="",NA(),INDEX([1]Temps!$D$7:$AH$30,X$3,DAY($B26)))</f>
        <v>57.6</v>
      </c>
      <c r="Y26" s="609">
        <f>IF(INDEX([1]Temps!$D$7:$AH$30,Y$3,DAY($B26))="",NA(),INDEX([1]Temps!$D$7:$AH$30,Y$3,DAY($B26)))</f>
        <v>57.45</v>
      </c>
      <c r="Z26" s="609">
        <f>IF(INDEX([1]Temps!$D$7:$AH$30,Z$3,DAY($B26))="",NA(),INDEX([1]Temps!$D$7:$AH$30,Z$3,DAY($B26)))</f>
        <v>57.274999999999999</v>
      </c>
      <c r="AA26" s="584"/>
      <c r="AB26" s="583">
        <f t="shared" si="6"/>
        <v>41966</v>
      </c>
      <c r="AC26" s="587">
        <f>IF(INDEX([1]Temps!$D$43:$AH$66,AC$3,DAY($B26))="",NA(),INDEX([1]Temps!$D$43:$AH$66,AC$3,DAY($B26)))</f>
        <v>48</v>
      </c>
      <c r="AD26" s="587">
        <f>IF(INDEX([1]Temps!$D$43:$AH$66,AD$3,DAY($B26))="",NA(),INDEX([1]Temps!$D$43:$AH$66,AD$3,DAY($B26)))</f>
        <v>48.9</v>
      </c>
      <c r="AE26" s="587">
        <f>IF(INDEX([1]Temps!$D$43:$AH$66,AE$3,DAY($B26))="",NA(),INDEX([1]Temps!$D$43:$AH$66,AE$3,DAY($B26)))</f>
        <v>52</v>
      </c>
      <c r="AF26" s="587">
        <f>IF(INDEX([1]Temps!$D$43:$AH$66,AF$3,DAY($B26))="",NA(),INDEX([1]Temps!$D$43:$AH$66,AF$3,DAY($B26)))</f>
        <v>53.1</v>
      </c>
      <c r="AG26" s="587">
        <f>IF(INDEX([1]Temps!$D$43:$AH$66,AG$3,DAY($B26))="",NA(),INDEX([1]Temps!$D$43:$AH$66,AG$3,DAY($B26)))</f>
        <v>55</v>
      </c>
      <c r="AH26" s="587">
        <f>IF(INDEX([1]Temps!$D$43:$AH$66,AH$3,DAY($B26))="",NA(),INDEX([1]Temps!$D$43:$AH$66,AH$3,DAY($B26)))</f>
        <v>54</v>
      </c>
      <c r="AI26" s="587">
        <f>IF(INDEX([1]Temps!$D$43:$AH$66,AI$3,DAY($B26))="",NA(),INDEX([1]Temps!$D$43:$AH$66,AI$3,DAY($B26)))</f>
        <v>54</v>
      </c>
      <c r="AJ26" s="587">
        <f>IF(INDEX([1]Temps!$D$43:$AH$66,AJ$3,DAY($B26))="",NA(),INDEX([1]Temps!$D$43:$AH$66,AJ$3,DAY($B26)))</f>
        <v>54</v>
      </c>
      <c r="AK26" s="587">
        <f>IF(INDEX([1]Temps!$D$43:$AH$66,AK$3,DAY($B26))="",NA(),INDEX([1]Temps!$D$43:$AH$66,AK$3,DAY($B26)))</f>
        <v>55</v>
      </c>
      <c r="AL26" s="587">
        <f>IF(INDEX([1]Temps!$D$43:$AH$66,AL$3,DAY($B26))="",NA(),INDEX([1]Temps!$D$43:$AH$66,AL$3,DAY($B26)))</f>
        <v>57</v>
      </c>
      <c r="AM26" s="587">
        <f>IF(INDEX([1]Temps!$D$43:$AH$66,AM$3,DAY($B26))="",NA(),INDEX([1]Temps!$D$43:$AH$66,AM$3,DAY($B26)))</f>
        <v>57.9</v>
      </c>
      <c r="AN26" s="587">
        <f>IF(INDEX([1]Temps!$D$43:$AH$66,AN$3,DAY($B26))="",NA(),INDEX([1]Temps!$D$43:$AH$66,AN$3,DAY($B26)))</f>
        <v>57</v>
      </c>
      <c r="AO26" s="587">
        <f>IF(INDEX([1]Temps!$D$43:$AH$66,AO$3,DAY($B26))="",NA(),INDEX([1]Temps!$D$43:$AH$66,AO$3,DAY($B26)))</f>
        <v>55.9</v>
      </c>
      <c r="AP26" s="587">
        <f>IF(INDEX([1]Temps!$D$43:$AH$66,AP$3,DAY($B26))="",NA(),INDEX([1]Temps!$D$43:$AH$66,AP$3,DAY($B26)))</f>
        <v>54.666666666666664</v>
      </c>
      <c r="AQ26" s="587">
        <f>IF(INDEX([1]Temps!$D$43:$AH$66,AQ$3,DAY($B26))="",NA(),INDEX([1]Temps!$D$43:$AH$66,AQ$3,DAY($B26)))</f>
        <v>54.25</v>
      </c>
      <c r="AR26" s="587">
        <f>IF(INDEX([1]Temps!$D$43:$AH$66,AR$3,DAY($B26))="",NA(),INDEX([1]Temps!$D$43:$AH$66,AR$3,DAY($B26)))</f>
        <v>54</v>
      </c>
      <c r="AS26" s="587">
        <f>IF(INDEX([1]Temps!$D$43:$AH$66,AS$3,DAY($B26))="",NA(),INDEX([1]Temps!$D$43:$AH$66,AS$3,DAY($B26)))</f>
        <v>54</v>
      </c>
      <c r="AT26" s="587">
        <f>IF(INDEX([1]Temps!$D$43:$AH$66,AT$3,DAY($B26))="",NA(),INDEX([1]Temps!$D$43:$AH$66,AT$3,DAY($B26)))</f>
        <v>54.333333333333336</v>
      </c>
      <c r="AU26" s="587">
        <f>IF(INDEX([1]Temps!$D$43:$AH$66,AU$3,DAY($B26))="",NA(),INDEX([1]Temps!$D$43:$AH$66,AU$3,DAY($B26)))</f>
        <v>55.45</v>
      </c>
      <c r="AV26" s="587">
        <f>IF(INDEX([1]Temps!$D$43:$AH$66,AV$3,DAY($B26))="",NA(),INDEX([1]Temps!$D$43:$AH$66,AV$3,DAY($B26)))</f>
        <v>55.9</v>
      </c>
      <c r="AW26" s="587">
        <f>IF(INDEX([1]Temps!$D$43:$AH$66,AW$3,DAY($B26))="",NA(),INDEX([1]Temps!$D$43:$AH$66,AW$3,DAY($B26)))</f>
        <v>57.45</v>
      </c>
      <c r="AX26" s="587">
        <f>IF(INDEX([1]Temps!$D$43:$AH$66,AX$3,DAY($B26))="",NA(),INDEX([1]Temps!$D$43:$AH$66,AX$3,DAY($B26)))</f>
        <v>59</v>
      </c>
      <c r="AY26" s="587">
        <f>IF(INDEX([1]Temps!$D$43:$AH$66,AY$3,DAY($B26))="",NA(),INDEX([1]Temps!$D$43:$AH$66,AY$3,DAY($B26)))</f>
        <v>59</v>
      </c>
      <c r="AZ26" s="587">
        <f>IF(INDEX([1]Temps!$D$43:$AH$66,AZ$3,DAY($B26))="",NA(),INDEX([1]Temps!$D$43:$AH$66,AZ$3,DAY($B26)))</f>
        <v>60.1</v>
      </c>
      <c r="BB26" s="583">
        <f t="shared" si="7"/>
        <v>41966</v>
      </c>
      <c r="BC26" s="587">
        <f>'[1]Hourly Load'!B26</f>
        <v>2169</v>
      </c>
      <c r="BD26" s="587">
        <f>'[1]Hourly Load'!C26</f>
        <v>2139</v>
      </c>
      <c r="BE26" s="587">
        <f>'[1]Hourly Load'!D26</f>
        <v>2080</v>
      </c>
      <c r="BF26" s="587">
        <f>'[1]Hourly Load'!E26</f>
        <v>2057</v>
      </c>
      <c r="BG26" s="587">
        <f>'[1]Hourly Load'!F26</f>
        <v>2029</v>
      </c>
      <c r="BH26" s="587">
        <f>'[1]Hourly Load'!G26</f>
        <v>2086</v>
      </c>
      <c r="BI26" s="587">
        <f>'[1]Hourly Load'!H26</f>
        <v>2160</v>
      </c>
      <c r="BJ26" s="587">
        <f>'[1]Hourly Load'!I26</f>
        <v>2156</v>
      </c>
      <c r="BK26" s="587">
        <f>'[1]Hourly Load'!J26</f>
        <v>2286</v>
      </c>
      <c r="BL26" s="587">
        <f>'[1]Hourly Load'!K26</f>
        <v>2269</v>
      </c>
      <c r="BM26" s="587">
        <f>'[1]Hourly Load'!L26</f>
        <v>2287</v>
      </c>
      <c r="BN26" s="587">
        <f>'[1]Hourly Load'!M26</f>
        <v>2197</v>
      </c>
      <c r="BO26" s="587">
        <f>'[1]Hourly Load'!N26</f>
        <v>2274</v>
      </c>
      <c r="BP26" s="587">
        <f>'[1]Hourly Load'!O26</f>
        <v>2263</v>
      </c>
      <c r="BQ26" s="587">
        <f>'[1]Hourly Load'!P26</f>
        <v>2256</v>
      </c>
      <c r="BR26" s="587">
        <f>'[1]Hourly Load'!Q26</f>
        <v>2249</v>
      </c>
      <c r="BS26" s="587">
        <f>'[1]Hourly Load'!R26</f>
        <v>2314</v>
      </c>
      <c r="BT26" s="587">
        <f>'[1]Hourly Load'!S26</f>
        <v>2412</v>
      </c>
      <c r="BU26" s="587">
        <f>'[1]Hourly Load'!T26</f>
        <v>2432</v>
      </c>
      <c r="BV26" s="587">
        <f>'[1]Hourly Load'!U26</f>
        <v>2399</v>
      </c>
      <c r="BW26" s="587">
        <f>'[1]Hourly Load'!V26</f>
        <v>2318</v>
      </c>
      <c r="BX26" s="587">
        <f>'[1]Hourly Load'!W26</f>
        <v>2201</v>
      </c>
      <c r="BY26" s="587">
        <f>'[1]Hourly Load'!X26</f>
        <v>2114</v>
      </c>
      <c r="BZ26" s="587">
        <f>'[1]Hourly Load'!Y26</f>
        <v>2000</v>
      </c>
      <c r="CA26" s="584"/>
      <c r="CB26" s="583">
        <f t="shared" si="8"/>
        <v>41966</v>
      </c>
      <c r="CC26" s="587">
        <f>'[1]Hourly Load'!AA26</f>
        <v>1062.760986328125</v>
      </c>
      <c r="CD26" s="587">
        <f>'[1]Hourly Load'!AB26</f>
        <v>1028.1590576171875</v>
      </c>
      <c r="CE26" s="587">
        <f>'[1]Hourly Load'!AC26</f>
        <v>973.0579833984375</v>
      </c>
      <c r="CF26" s="587">
        <f>'[1]Hourly Load'!AD26</f>
        <v>964.45697021484375</v>
      </c>
      <c r="CG26" s="587">
        <f>'[1]Hourly Load'!AE26</f>
        <v>976.0570068359375</v>
      </c>
      <c r="CH26" s="587">
        <f>'[1]Hourly Load'!AF26</f>
        <v>995.655029296875</v>
      </c>
      <c r="CI26" s="587">
        <f>'[1]Hourly Load'!AG26</f>
        <v>1041.54296875</v>
      </c>
      <c r="CJ26" s="587">
        <f>'[1]Hourly Load'!AH26</f>
        <v>1103.5589599609375</v>
      </c>
      <c r="CK26" s="587">
        <f>'[1]Hourly Load'!AI26</f>
        <v>1126.8609619140625</v>
      </c>
      <c r="CL26" s="587">
        <f>'[1]Hourly Load'!AJ26</f>
        <v>1175.3609619140625</v>
      </c>
      <c r="CM26" s="587">
        <f>'[1]Hourly Load'!AK26</f>
        <v>1189.261962890625</v>
      </c>
      <c r="CN26" s="587">
        <f>'[1]Hourly Load'!AL26</f>
        <v>1205.458984375</v>
      </c>
      <c r="CO26" s="587">
        <f>'[1]Hourly Load'!AM26</f>
        <v>1218.657958984375</v>
      </c>
      <c r="CP26" s="587">
        <f>'[1]Hourly Load'!AN26</f>
        <v>1225.759033203125</v>
      </c>
      <c r="CQ26" s="587">
        <f>'[1]Hourly Load'!AO26</f>
        <v>1223.759033203125</v>
      </c>
      <c r="CR26" s="587">
        <f>'[1]Hourly Load'!AP26</f>
        <v>1236.15087890625</v>
      </c>
      <c r="CS26" s="587">
        <f>'[1]Hourly Load'!AQ26</f>
        <v>1270.3509521484375</v>
      </c>
      <c r="CT26" s="587">
        <f>'[1]Hourly Load'!AR26</f>
        <v>1349.6600341796875</v>
      </c>
      <c r="CU26" s="587">
        <f>'[1]Hourly Load'!AS26</f>
        <v>1362.6590576171875</v>
      </c>
      <c r="CV26" s="587">
        <f>'[1]Hourly Load'!AT26</f>
        <v>1350.4530029296875</v>
      </c>
      <c r="CW26" s="587">
        <f>'[1]Hourly Load'!AU26</f>
        <v>1304.7430419921875</v>
      </c>
      <c r="CX26" s="587">
        <f>'[1]Hourly Load'!AV26</f>
        <v>1258.7569580078125</v>
      </c>
      <c r="CY26" s="587">
        <f>'[1]Hourly Load'!AW26</f>
        <v>1193.95703125</v>
      </c>
      <c r="CZ26" s="587">
        <f>'[1]Hourly Load'!AX26</f>
        <v>1121.2490234375</v>
      </c>
    </row>
    <row r="27" spans="1:104">
      <c r="A27" s="582">
        <v>24</v>
      </c>
      <c r="B27" s="583">
        <f>'Input Data'!A27</f>
        <v>41967</v>
      </c>
      <c r="C27" s="609" t="e">
        <f>IF(INDEX([1]Temps!$D$7:$AH$30,C$3,DAY($B27))="",NA(),INDEX([1]Temps!$D$7:$AH$30,C$3,DAY($B27)))</f>
        <v>#N/A</v>
      </c>
      <c r="D27" s="609" t="e">
        <f>IF(INDEX([1]Temps!$D$7:$AH$30,D$3,DAY($B27))="",NA(),INDEX([1]Temps!$D$7:$AH$30,D$3,DAY($B27)))</f>
        <v>#N/A</v>
      </c>
      <c r="E27" s="609" t="e">
        <f>IF(INDEX([1]Temps!$D$7:$AH$30,E$3,DAY($B27))="",NA(),INDEX([1]Temps!$D$7:$AH$30,E$3,DAY($B27)))</f>
        <v>#N/A</v>
      </c>
      <c r="F27" s="609" t="e">
        <f>IF(INDEX([1]Temps!$D$7:$AH$30,F$3,DAY($B27))="",NA(),INDEX([1]Temps!$D$7:$AH$30,F$3,DAY($B27)))</f>
        <v>#N/A</v>
      </c>
      <c r="G27" s="609" t="e">
        <f>IF(INDEX([1]Temps!$D$7:$AH$30,G$3,DAY($B27))="",NA(),INDEX([1]Temps!$D$7:$AH$30,G$3,DAY($B27)))</f>
        <v>#N/A</v>
      </c>
      <c r="H27" s="609" t="e">
        <f>IF(INDEX([1]Temps!$D$7:$AH$30,H$3,DAY($B27))="",NA(),INDEX([1]Temps!$D$7:$AH$30,H$3,DAY($B27)))</f>
        <v>#N/A</v>
      </c>
      <c r="I27" s="609" t="e">
        <f>IF(INDEX([1]Temps!$D$7:$AH$30,I$3,DAY($B27))="",NA(),INDEX([1]Temps!$D$7:$AH$30,I$3,DAY($B27)))</f>
        <v>#N/A</v>
      </c>
      <c r="J27" s="609" t="e">
        <f>IF(INDEX([1]Temps!$D$7:$AH$30,J$3,DAY($B27))="",NA(),INDEX([1]Temps!$D$7:$AH$30,J$3,DAY($B27)))</f>
        <v>#N/A</v>
      </c>
      <c r="K27" s="609" t="e">
        <f>IF(INDEX([1]Temps!$D$7:$AH$30,K$3,DAY($B27))="",NA(),INDEX([1]Temps!$D$7:$AH$30,K$3,DAY($B27)))</f>
        <v>#N/A</v>
      </c>
      <c r="L27" s="609" t="e">
        <f>IF(INDEX([1]Temps!$D$7:$AH$30,L$3,DAY($B27))="",NA(),INDEX([1]Temps!$D$7:$AH$30,L$3,DAY($B27)))</f>
        <v>#N/A</v>
      </c>
      <c r="M27" s="609" t="e">
        <f>IF(INDEX([1]Temps!$D$7:$AH$30,M$3,DAY($B27))="",NA(),INDEX([1]Temps!$D$7:$AH$30,M$3,DAY($B27)))</f>
        <v>#N/A</v>
      </c>
      <c r="N27" s="609" t="e">
        <f>IF(INDEX([1]Temps!$D$7:$AH$30,N$3,DAY($B27))="",NA(),INDEX([1]Temps!$D$7:$AH$30,N$3,DAY($B27)))</f>
        <v>#N/A</v>
      </c>
      <c r="O27" s="609" t="e">
        <f>IF(INDEX([1]Temps!$D$7:$AH$30,O$3,DAY($B27))="",NA(),INDEX([1]Temps!$D$7:$AH$30,O$3,DAY($B27)))</f>
        <v>#N/A</v>
      </c>
      <c r="P27" s="609" t="e">
        <f>IF(INDEX([1]Temps!$D$7:$AH$30,P$3,DAY($B27))="",NA(),INDEX([1]Temps!$D$7:$AH$30,P$3,DAY($B27)))</f>
        <v>#N/A</v>
      </c>
      <c r="Q27" s="609" t="e">
        <f>IF(INDEX([1]Temps!$D$7:$AH$30,Q$3,DAY($B27))="",NA(),INDEX([1]Temps!$D$7:$AH$30,Q$3,DAY($B27)))</f>
        <v>#N/A</v>
      </c>
      <c r="R27" s="609" t="e">
        <f>IF(INDEX([1]Temps!$D$7:$AH$30,R$3,DAY($B27))="",NA(),INDEX([1]Temps!$D$7:$AH$30,R$3,DAY($B27)))</f>
        <v>#N/A</v>
      </c>
      <c r="S27" s="609" t="e">
        <f>IF(INDEX([1]Temps!$D$7:$AH$30,S$3,DAY($B27))="",NA(),INDEX([1]Temps!$D$7:$AH$30,S$3,DAY($B27)))</f>
        <v>#N/A</v>
      </c>
      <c r="T27" s="609" t="e">
        <f>IF(INDEX([1]Temps!$D$7:$AH$30,T$3,DAY($B27))="",NA(),INDEX([1]Temps!$D$7:$AH$30,T$3,DAY($B27)))</f>
        <v>#N/A</v>
      </c>
      <c r="U27" s="609" t="e">
        <f>IF(INDEX([1]Temps!$D$7:$AH$30,U$3,DAY($B27))="",NA(),INDEX([1]Temps!$D$7:$AH$30,U$3,DAY($B27)))</f>
        <v>#N/A</v>
      </c>
      <c r="V27" s="609" t="e">
        <f>IF(INDEX([1]Temps!$D$7:$AH$30,V$3,DAY($B27))="",NA(),INDEX([1]Temps!$D$7:$AH$30,V$3,DAY($B27)))</f>
        <v>#N/A</v>
      </c>
      <c r="W27" s="609" t="e">
        <f>IF(INDEX([1]Temps!$D$7:$AH$30,W$3,DAY($B27))="",NA(),INDEX([1]Temps!$D$7:$AH$30,W$3,DAY($B27)))</f>
        <v>#N/A</v>
      </c>
      <c r="X27" s="609" t="e">
        <f>IF(INDEX([1]Temps!$D$7:$AH$30,X$3,DAY($B27))="",NA(),INDEX([1]Temps!$D$7:$AH$30,X$3,DAY($B27)))</f>
        <v>#N/A</v>
      </c>
      <c r="Y27" s="609" t="e">
        <f>IF(INDEX([1]Temps!$D$7:$AH$30,Y$3,DAY($B27))="",NA(),INDEX([1]Temps!$D$7:$AH$30,Y$3,DAY($B27)))</f>
        <v>#N/A</v>
      </c>
      <c r="Z27" s="609" t="e">
        <f>IF(INDEX([1]Temps!$D$7:$AH$30,Z$3,DAY($B27))="",NA(),INDEX([1]Temps!$D$7:$AH$30,Z$3,DAY($B27)))</f>
        <v>#N/A</v>
      </c>
      <c r="AA27" s="584"/>
      <c r="AB27" s="583">
        <f t="shared" si="6"/>
        <v>41967</v>
      </c>
      <c r="AC27" s="587" t="e">
        <f>IF(INDEX([1]Temps!$D$43:$AH$66,AC$3,DAY($B27))="",NA(),INDEX([1]Temps!$D$43:$AH$66,AC$3,DAY($B27)))</f>
        <v>#N/A</v>
      </c>
      <c r="AD27" s="587" t="e">
        <f>IF(INDEX([1]Temps!$D$43:$AH$66,AD$3,DAY($B27))="",NA(),INDEX([1]Temps!$D$43:$AH$66,AD$3,DAY($B27)))</f>
        <v>#N/A</v>
      </c>
      <c r="AE27" s="587" t="e">
        <f>IF(INDEX([1]Temps!$D$43:$AH$66,AE$3,DAY($B27))="",NA(),INDEX([1]Temps!$D$43:$AH$66,AE$3,DAY($B27)))</f>
        <v>#N/A</v>
      </c>
      <c r="AF27" s="587" t="e">
        <f>IF(INDEX([1]Temps!$D$43:$AH$66,AF$3,DAY($B27))="",NA(),INDEX([1]Temps!$D$43:$AH$66,AF$3,DAY($B27)))</f>
        <v>#N/A</v>
      </c>
      <c r="AG27" s="587" t="e">
        <f>IF(INDEX([1]Temps!$D$43:$AH$66,AG$3,DAY($B27))="",NA(),INDEX([1]Temps!$D$43:$AH$66,AG$3,DAY($B27)))</f>
        <v>#N/A</v>
      </c>
      <c r="AH27" s="587" t="e">
        <f>IF(INDEX([1]Temps!$D$43:$AH$66,AH$3,DAY($B27))="",NA(),INDEX([1]Temps!$D$43:$AH$66,AH$3,DAY($B27)))</f>
        <v>#N/A</v>
      </c>
      <c r="AI27" s="587" t="e">
        <f>IF(INDEX([1]Temps!$D$43:$AH$66,AI$3,DAY($B27))="",NA(),INDEX([1]Temps!$D$43:$AH$66,AI$3,DAY($B27)))</f>
        <v>#N/A</v>
      </c>
      <c r="AJ27" s="587" t="e">
        <f>IF(INDEX([1]Temps!$D$43:$AH$66,AJ$3,DAY($B27))="",NA(),INDEX([1]Temps!$D$43:$AH$66,AJ$3,DAY($B27)))</f>
        <v>#N/A</v>
      </c>
      <c r="AK27" s="587" t="e">
        <f>IF(INDEX([1]Temps!$D$43:$AH$66,AK$3,DAY($B27))="",NA(),INDEX([1]Temps!$D$43:$AH$66,AK$3,DAY($B27)))</f>
        <v>#N/A</v>
      </c>
      <c r="AL27" s="587" t="e">
        <f>IF(INDEX([1]Temps!$D$43:$AH$66,AL$3,DAY($B27))="",NA(),INDEX([1]Temps!$D$43:$AH$66,AL$3,DAY($B27)))</f>
        <v>#N/A</v>
      </c>
      <c r="AM27" s="587" t="e">
        <f>IF(INDEX([1]Temps!$D$43:$AH$66,AM$3,DAY($B27))="",NA(),INDEX([1]Temps!$D$43:$AH$66,AM$3,DAY($B27)))</f>
        <v>#N/A</v>
      </c>
      <c r="AN27" s="587" t="e">
        <f>IF(INDEX([1]Temps!$D$43:$AH$66,AN$3,DAY($B27))="",NA(),INDEX([1]Temps!$D$43:$AH$66,AN$3,DAY($B27)))</f>
        <v>#N/A</v>
      </c>
      <c r="AO27" s="587" t="e">
        <f>IF(INDEX([1]Temps!$D$43:$AH$66,AO$3,DAY($B27))="",NA(),INDEX([1]Temps!$D$43:$AH$66,AO$3,DAY($B27)))</f>
        <v>#N/A</v>
      </c>
      <c r="AP27" s="587" t="e">
        <f>IF(INDEX([1]Temps!$D$43:$AH$66,AP$3,DAY($B27))="",NA(),INDEX([1]Temps!$D$43:$AH$66,AP$3,DAY($B27)))</f>
        <v>#N/A</v>
      </c>
      <c r="AQ27" s="587" t="e">
        <f>IF(INDEX([1]Temps!$D$43:$AH$66,AQ$3,DAY($B27))="",NA(),INDEX([1]Temps!$D$43:$AH$66,AQ$3,DAY($B27)))</f>
        <v>#N/A</v>
      </c>
      <c r="AR27" s="587" t="e">
        <f>IF(INDEX([1]Temps!$D$43:$AH$66,AR$3,DAY($B27))="",NA(),INDEX([1]Temps!$D$43:$AH$66,AR$3,DAY($B27)))</f>
        <v>#N/A</v>
      </c>
      <c r="AS27" s="587" t="e">
        <f>IF(INDEX([1]Temps!$D$43:$AH$66,AS$3,DAY($B27))="",NA(),INDEX([1]Temps!$D$43:$AH$66,AS$3,DAY($B27)))</f>
        <v>#N/A</v>
      </c>
      <c r="AT27" s="587" t="e">
        <f>IF(INDEX([1]Temps!$D$43:$AH$66,AT$3,DAY($B27))="",NA(),INDEX([1]Temps!$D$43:$AH$66,AT$3,DAY($B27)))</f>
        <v>#N/A</v>
      </c>
      <c r="AU27" s="587" t="e">
        <f>IF(INDEX([1]Temps!$D$43:$AH$66,AU$3,DAY($B27))="",NA(),INDEX([1]Temps!$D$43:$AH$66,AU$3,DAY($B27)))</f>
        <v>#N/A</v>
      </c>
      <c r="AV27" s="587" t="e">
        <f>IF(INDEX([1]Temps!$D$43:$AH$66,AV$3,DAY($B27))="",NA(),INDEX([1]Temps!$D$43:$AH$66,AV$3,DAY($B27)))</f>
        <v>#N/A</v>
      </c>
      <c r="AW27" s="587" t="e">
        <f>IF(INDEX([1]Temps!$D$43:$AH$66,AW$3,DAY($B27))="",NA(),INDEX([1]Temps!$D$43:$AH$66,AW$3,DAY($B27)))</f>
        <v>#N/A</v>
      </c>
      <c r="AX27" s="587" t="e">
        <f>IF(INDEX([1]Temps!$D$43:$AH$66,AX$3,DAY($B27))="",NA(),INDEX([1]Temps!$D$43:$AH$66,AX$3,DAY($B27)))</f>
        <v>#N/A</v>
      </c>
      <c r="AY27" s="587" t="e">
        <f>IF(INDEX([1]Temps!$D$43:$AH$66,AY$3,DAY($B27))="",NA(),INDEX([1]Temps!$D$43:$AH$66,AY$3,DAY($B27)))</f>
        <v>#N/A</v>
      </c>
      <c r="AZ27" s="587" t="e">
        <f>IF(INDEX([1]Temps!$D$43:$AH$66,AZ$3,DAY($B27))="",NA(),INDEX([1]Temps!$D$43:$AH$66,AZ$3,DAY($B27)))</f>
        <v>#N/A</v>
      </c>
      <c r="BB27" s="583">
        <f t="shared" si="7"/>
        <v>41967</v>
      </c>
      <c r="BC27" s="587">
        <f>'[1]Hourly Load'!B27</f>
        <v>1911</v>
      </c>
      <c r="BD27" s="587">
        <f>'[1]Hourly Load'!C27</f>
        <v>1851.9998779296875</v>
      </c>
      <c r="BE27" s="587">
        <f>'[1]Hourly Load'!D27</f>
        <v>1869</v>
      </c>
      <c r="BF27" s="587">
        <f>'[1]Hourly Load'!E27</f>
        <v>1834.9998779296875</v>
      </c>
      <c r="BG27" s="587">
        <f>'[1]Hourly Load'!F27</f>
        <v>1926.9998779296875</v>
      </c>
      <c r="BH27" s="587">
        <f>'[1]Hourly Load'!G27</f>
        <v>0</v>
      </c>
      <c r="BI27" s="587">
        <f>'[1]Hourly Load'!H27</f>
        <v>0</v>
      </c>
      <c r="BJ27" s="587">
        <f>'[1]Hourly Load'!I27</f>
        <v>0</v>
      </c>
      <c r="BK27" s="587">
        <f>'[1]Hourly Load'!J27</f>
        <v>0</v>
      </c>
      <c r="BL27" s="587">
        <f>'[1]Hourly Load'!K27</f>
        <v>0</v>
      </c>
      <c r="BM27" s="587">
        <f>'[1]Hourly Load'!L27</f>
        <v>0</v>
      </c>
      <c r="BN27" s="587">
        <f>'[1]Hourly Load'!M27</f>
        <v>0</v>
      </c>
      <c r="BO27" s="587">
        <f>'[1]Hourly Load'!N27</f>
        <v>0</v>
      </c>
      <c r="BP27" s="587">
        <f>'[1]Hourly Load'!O27</f>
        <v>0</v>
      </c>
      <c r="BQ27" s="587">
        <f>'[1]Hourly Load'!P27</f>
        <v>0</v>
      </c>
      <c r="BR27" s="587">
        <f>'[1]Hourly Load'!Q27</f>
        <v>0</v>
      </c>
      <c r="BS27" s="587">
        <f>'[1]Hourly Load'!R27</f>
        <v>0</v>
      </c>
      <c r="BT27" s="587">
        <f>'[1]Hourly Load'!S27</f>
        <v>0</v>
      </c>
      <c r="BU27" s="587">
        <f>'[1]Hourly Load'!T27</f>
        <v>0</v>
      </c>
      <c r="BV27" s="587">
        <f>'[1]Hourly Load'!U27</f>
        <v>0</v>
      </c>
      <c r="BW27" s="587">
        <f>'[1]Hourly Load'!V27</f>
        <v>0</v>
      </c>
      <c r="BX27" s="587">
        <f>'[1]Hourly Load'!W27</f>
        <v>0</v>
      </c>
      <c r="BY27" s="587">
        <f>'[1]Hourly Load'!X27</f>
        <v>0</v>
      </c>
      <c r="BZ27" s="587">
        <f>'[1]Hourly Load'!Y27</f>
        <v>0</v>
      </c>
      <c r="CA27" s="584"/>
      <c r="CB27" s="583">
        <f t="shared" si="8"/>
        <v>41967</v>
      </c>
      <c r="CC27" s="587">
        <f>'[1]Hourly Load'!AA27</f>
        <v>1071.9560546875</v>
      </c>
      <c r="CD27" s="587">
        <f>'[1]Hourly Load'!AB27</f>
        <v>1031.4580078125</v>
      </c>
      <c r="CE27" s="587">
        <f>'[1]Hourly Load'!AC27</f>
        <v>1020.7579956054687</v>
      </c>
      <c r="CF27" s="587">
        <f>'[1]Hourly Load'!AD27</f>
        <v>1022.0570068359375</v>
      </c>
      <c r="CG27" s="587">
        <f>'[1]Hourly Load'!AE27</f>
        <v>1048.8580322265625</v>
      </c>
      <c r="CH27" s="587">
        <f>'[1]Hourly Load'!AF27</f>
        <v>0</v>
      </c>
      <c r="CI27" s="587">
        <f>'[1]Hourly Load'!AG27</f>
        <v>0</v>
      </c>
      <c r="CJ27" s="587">
        <f>'[1]Hourly Load'!AH27</f>
        <v>0</v>
      </c>
      <c r="CK27" s="587">
        <f>'[1]Hourly Load'!AI27</f>
        <v>0</v>
      </c>
      <c r="CL27" s="587">
        <f>'[1]Hourly Load'!AJ27</f>
        <v>0</v>
      </c>
      <c r="CM27" s="587">
        <f>'[1]Hourly Load'!AK27</f>
        <v>0</v>
      </c>
      <c r="CN27" s="587">
        <f>'[1]Hourly Load'!AL27</f>
        <v>0</v>
      </c>
      <c r="CO27" s="587">
        <f>'[1]Hourly Load'!AM27</f>
        <v>0</v>
      </c>
      <c r="CP27" s="587">
        <f>'[1]Hourly Load'!AN27</f>
        <v>0</v>
      </c>
      <c r="CQ27" s="587">
        <f>'[1]Hourly Load'!AO27</f>
        <v>0</v>
      </c>
      <c r="CR27" s="587">
        <f>'[1]Hourly Load'!AP27</f>
        <v>0</v>
      </c>
      <c r="CS27" s="587">
        <f>'[1]Hourly Load'!AQ27</f>
        <v>0</v>
      </c>
      <c r="CT27" s="587">
        <f>'[1]Hourly Load'!AR27</f>
        <v>0</v>
      </c>
      <c r="CU27" s="587">
        <f>'[1]Hourly Load'!AS27</f>
        <v>0</v>
      </c>
      <c r="CV27" s="587">
        <f>'[1]Hourly Load'!AT27</f>
        <v>0</v>
      </c>
      <c r="CW27" s="587">
        <f>'[1]Hourly Load'!AU27</f>
        <v>0</v>
      </c>
      <c r="CX27" s="587">
        <f>'[1]Hourly Load'!AV27</f>
        <v>0</v>
      </c>
      <c r="CY27" s="587">
        <f>'[1]Hourly Load'!AW27</f>
        <v>0</v>
      </c>
      <c r="CZ27" s="587">
        <f>'[1]Hourly Load'!AX27</f>
        <v>0</v>
      </c>
    </row>
    <row r="28" spans="1:104">
      <c r="A28" s="582">
        <v>25</v>
      </c>
      <c r="B28" s="583">
        <f>'Input Data'!A28</f>
        <v>41968</v>
      </c>
      <c r="C28" s="609" t="e">
        <f>IF(INDEX([1]Temps!$D$7:$AH$30,C$3,DAY($B28))="",NA(),INDEX([1]Temps!$D$7:$AH$30,C$3,DAY($B28)))</f>
        <v>#N/A</v>
      </c>
      <c r="D28" s="609" t="e">
        <f>IF(INDEX([1]Temps!$D$7:$AH$30,D$3,DAY($B28))="",NA(),INDEX([1]Temps!$D$7:$AH$30,D$3,DAY($B28)))</f>
        <v>#N/A</v>
      </c>
      <c r="E28" s="609" t="e">
        <f>IF(INDEX([1]Temps!$D$7:$AH$30,E$3,DAY($B28))="",NA(),INDEX([1]Temps!$D$7:$AH$30,E$3,DAY($B28)))</f>
        <v>#N/A</v>
      </c>
      <c r="F28" s="609" t="e">
        <f>IF(INDEX([1]Temps!$D$7:$AH$30,F$3,DAY($B28))="",NA(),INDEX([1]Temps!$D$7:$AH$30,F$3,DAY($B28)))</f>
        <v>#N/A</v>
      </c>
      <c r="G28" s="609" t="e">
        <f>IF(INDEX([1]Temps!$D$7:$AH$30,G$3,DAY($B28))="",NA(),INDEX([1]Temps!$D$7:$AH$30,G$3,DAY($B28)))</f>
        <v>#N/A</v>
      </c>
      <c r="H28" s="609" t="e">
        <f>IF(INDEX([1]Temps!$D$7:$AH$30,H$3,DAY($B28))="",NA(),INDEX([1]Temps!$D$7:$AH$30,H$3,DAY($B28)))</f>
        <v>#N/A</v>
      </c>
      <c r="I28" s="609" t="e">
        <f>IF(INDEX([1]Temps!$D$7:$AH$30,I$3,DAY($B28))="",NA(),INDEX([1]Temps!$D$7:$AH$30,I$3,DAY($B28)))</f>
        <v>#N/A</v>
      </c>
      <c r="J28" s="609" t="e">
        <f>IF(INDEX([1]Temps!$D$7:$AH$30,J$3,DAY($B28))="",NA(),INDEX([1]Temps!$D$7:$AH$30,J$3,DAY($B28)))</f>
        <v>#N/A</v>
      </c>
      <c r="K28" s="609" t="e">
        <f>IF(INDEX([1]Temps!$D$7:$AH$30,K$3,DAY($B28))="",NA(),INDEX([1]Temps!$D$7:$AH$30,K$3,DAY($B28)))</f>
        <v>#N/A</v>
      </c>
      <c r="L28" s="609" t="e">
        <f>IF(INDEX([1]Temps!$D$7:$AH$30,L$3,DAY($B28))="",NA(),INDEX([1]Temps!$D$7:$AH$30,L$3,DAY($B28)))</f>
        <v>#N/A</v>
      </c>
      <c r="M28" s="609" t="e">
        <f>IF(INDEX([1]Temps!$D$7:$AH$30,M$3,DAY($B28))="",NA(),INDEX([1]Temps!$D$7:$AH$30,M$3,DAY($B28)))</f>
        <v>#N/A</v>
      </c>
      <c r="N28" s="609" t="e">
        <f>IF(INDEX([1]Temps!$D$7:$AH$30,N$3,DAY($B28))="",NA(),INDEX([1]Temps!$D$7:$AH$30,N$3,DAY($B28)))</f>
        <v>#N/A</v>
      </c>
      <c r="O28" s="609" t="e">
        <f>IF(INDEX([1]Temps!$D$7:$AH$30,O$3,DAY($B28))="",NA(),INDEX([1]Temps!$D$7:$AH$30,O$3,DAY($B28)))</f>
        <v>#N/A</v>
      </c>
      <c r="P28" s="609" t="e">
        <f>IF(INDEX([1]Temps!$D$7:$AH$30,P$3,DAY($B28))="",NA(),INDEX([1]Temps!$D$7:$AH$30,P$3,DAY($B28)))</f>
        <v>#N/A</v>
      </c>
      <c r="Q28" s="609" t="e">
        <f>IF(INDEX([1]Temps!$D$7:$AH$30,Q$3,DAY($B28))="",NA(),INDEX([1]Temps!$D$7:$AH$30,Q$3,DAY($B28)))</f>
        <v>#N/A</v>
      </c>
      <c r="R28" s="609" t="e">
        <f>IF(INDEX([1]Temps!$D$7:$AH$30,R$3,DAY($B28))="",NA(),INDEX([1]Temps!$D$7:$AH$30,R$3,DAY($B28)))</f>
        <v>#N/A</v>
      </c>
      <c r="S28" s="609" t="e">
        <f>IF(INDEX([1]Temps!$D$7:$AH$30,S$3,DAY($B28))="",NA(),INDEX([1]Temps!$D$7:$AH$30,S$3,DAY($B28)))</f>
        <v>#N/A</v>
      </c>
      <c r="T28" s="609" t="e">
        <f>IF(INDEX([1]Temps!$D$7:$AH$30,T$3,DAY($B28))="",NA(),INDEX([1]Temps!$D$7:$AH$30,T$3,DAY($B28)))</f>
        <v>#N/A</v>
      </c>
      <c r="U28" s="609" t="e">
        <f>IF(INDEX([1]Temps!$D$7:$AH$30,U$3,DAY($B28))="",NA(),INDEX([1]Temps!$D$7:$AH$30,U$3,DAY($B28)))</f>
        <v>#N/A</v>
      </c>
      <c r="V28" s="609" t="e">
        <f>IF(INDEX([1]Temps!$D$7:$AH$30,V$3,DAY($B28))="",NA(),INDEX([1]Temps!$D$7:$AH$30,V$3,DAY($B28)))</f>
        <v>#N/A</v>
      </c>
      <c r="W28" s="609" t="e">
        <f>IF(INDEX([1]Temps!$D$7:$AH$30,W$3,DAY($B28))="",NA(),INDEX([1]Temps!$D$7:$AH$30,W$3,DAY($B28)))</f>
        <v>#N/A</v>
      </c>
      <c r="X28" s="609" t="e">
        <f>IF(INDEX([1]Temps!$D$7:$AH$30,X$3,DAY($B28))="",NA(),INDEX([1]Temps!$D$7:$AH$30,X$3,DAY($B28)))</f>
        <v>#N/A</v>
      </c>
      <c r="Y28" s="609" t="e">
        <f>IF(INDEX([1]Temps!$D$7:$AH$30,Y$3,DAY($B28))="",NA(),INDEX([1]Temps!$D$7:$AH$30,Y$3,DAY($B28)))</f>
        <v>#N/A</v>
      </c>
      <c r="Z28" s="609" t="e">
        <f>IF(INDEX([1]Temps!$D$7:$AH$30,Z$3,DAY($B28))="",NA(),INDEX([1]Temps!$D$7:$AH$30,Z$3,DAY($B28)))</f>
        <v>#N/A</v>
      </c>
      <c r="AA28" s="584"/>
      <c r="AB28" s="583">
        <f t="shared" si="6"/>
        <v>41968</v>
      </c>
      <c r="AC28" s="587" t="e">
        <f>IF(INDEX([1]Temps!$D$43:$AH$66,AC$3,DAY($B28))="",NA(),INDEX([1]Temps!$D$43:$AH$66,AC$3,DAY($B28)))</f>
        <v>#N/A</v>
      </c>
      <c r="AD28" s="587" t="e">
        <f>IF(INDEX([1]Temps!$D$43:$AH$66,AD$3,DAY($B28))="",NA(),INDEX([1]Temps!$D$43:$AH$66,AD$3,DAY($B28)))</f>
        <v>#N/A</v>
      </c>
      <c r="AE28" s="587" t="e">
        <f>IF(INDEX([1]Temps!$D$43:$AH$66,AE$3,DAY($B28))="",NA(),INDEX([1]Temps!$D$43:$AH$66,AE$3,DAY($B28)))</f>
        <v>#N/A</v>
      </c>
      <c r="AF28" s="587" t="e">
        <f>IF(INDEX([1]Temps!$D$43:$AH$66,AF$3,DAY($B28))="",NA(),INDEX([1]Temps!$D$43:$AH$66,AF$3,DAY($B28)))</f>
        <v>#N/A</v>
      </c>
      <c r="AG28" s="587" t="e">
        <f>IF(INDEX([1]Temps!$D$43:$AH$66,AG$3,DAY($B28))="",NA(),INDEX([1]Temps!$D$43:$AH$66,AG$3,DAY($B28)))</f>
        <v>#N/A</v>
      </c>
      <c r="AH28" s="587" t="e">
        <f>IF(INDEX([1]Temps!$D$43:$AH$66,AH$3,DAY($B28))="",NA(),INDEX([1]Temps!$D$43:$AH$66,AH$3,DAY($B28)))</f>
        <v>#N/A</v>
      </c>
      <c r="AI28" s="587" t="e">
        <f>IF(INDEX([1]Temps!$D$43:$AH$66,AI$3,DAY($B28))="",NA(),INDEX([1]Temps!$D$43:$AH$66,AI$3,DAY($B28)))</f>
        <v>#N/A</v>
      </c>
      <c r="AJ28" s="587" t="e">
        <f>IF(INDEX([1]Temps!$D$43:$AH$66,AJ$3,DAY($B28))="",NA(),INDEX([1]Temps!$D$43:$AH$66,AJ$3,DAY($B28)))</f>
        <v>#N/A</v>
      </c>
      <c r="AK28" s="587" t="e">
        <f>IF(INDEX([1]Temps!$D$43:$AH$66,AK$3,DAY($B28))="",NA(),INDEX([1]Temps!$D$43:$AH$66,AK$3,DAY($B28)))</f>
        <v>#N/A</v>
      </c>
      <c r="AL28" s="587" t="e">
        <f>IF(INDEX([1]Temps!$D$43:$AH$66,AL$3,DAY($B28))="",NA(),INDEX([1]Temps!$D$43:$AH$66,AL$3,DAY($B28)))</f>
        <v>#N/A</v>
      </c>
      <c r="AM28" s="587" t="e">
        <f>IF(INDEX([1]Temps!$D$43:$AH$66,AM$3,DAY($B28))="",NA(),INDEX([1]Temps!$D$43:$AH$66,AM$3,DAY($B28)))</f>
        <v>#N/A</v>
      </c>
      <c r="AN28" s="587" t="e">
        <f>IF(INDEX([1]Temps!$D$43:$AH$66,AN$3,DAY($B28))="",NA(),INDEX([1]Temps!$D$43:$AH$66,AN$3,DAY($B28)))</f>
        <v>#N/A</v>
      </c>
      <c r="AO28" s="587" t="e">
        <f>IF(INDEX([1]Temps!$D$43:$AH$66,AO$3,DAY($B28))="",NA(),INDEX([1]Temps!$D$43:$AH$66,AO$3,DAY($B28)))</f>
        <v>#N/A</v>
      </c>
      <c r="AP28" s="587" t="e">
        <f>IF(INDEX([1]Temps!$D$43:$AH$66,AP$3,DAY($B28))="",NA(),INDEX([1]Temps!$D$43:$AH$66,AP$3,DAY($B28)))</f>
        <v>#N/A</v>
      </c>
      <c r="AQ28" s="587" t="e">
        <f>IF(INDEX([1]Temps!$D$43:$AH$66,AQ$3,DAY($B28))="",NA(),INDEX([1]Temps!$D$43:$AH$66,AQ$3,DAY($B28)))</f>
        <v>#N/A</v>
      </c>
      <c r="AR28" s="587" t="e">
        <f>IF(INDEX([1]Temps!$D$43:$AH$66,AR$3,DAY($B28))="",NA(),INDEX([1]Temps!$D$43:$AH$66,AR$3,DAY($B28)))</f>
        <v>#N/A</v>
      </c>
      <c r="AS28" s="587" t="e">
        <f>IF(INDEX([1]Temps!$D$43:$AH$66,AS$3,DAY($B28))="",NA(),INDEX([1]Temps!$D$43:$AH$66,AS$3,DAY($B28)))</f>
        <v>#N/A</v>
      </c>
      <c r="AT28" s="587" t="e">
        <f>IF(INDEX([1]Temps!$D$43:$AH$66,AT$3,DAY($B28))="",NA(),INDEX([1]Temps!$D$43:$AH$66,AT$3,DAY($B28)))</f>
        <v>#N/A</v>
      </c>
      <c r="AU28" s="587" t="e">
        <f>IF(INDEX([1]Temps!$D$43:$AH$66,AU$3,DAY($B28))="",NA(),INDEX([1]Temps!$D$43:$AH$66,AU$3,DAY($B28)))</f>
        <v>#N/A</v>
      </c>
      <c r="AV28" s="587" t="e">
        <f>IF(INDEX([1]Temps!$D$43:$AH$66,AV$3,DAY($B28))="",NA(),INDEX([1]Temps!$D$43:$AH$66,AV$3,DAY($B28)))</f>
        <v>#N/A</v>
      </c>
      <c r="AW28" s="587" t="e">
        <f>IF(INDEX([1]Temps!$D$43:$AH$66,AW$3,DAY($B28))="",NA(),INDEX([1]Temps!$D$43:$AH$66,AW$3,DAY($B28)))</f>
        <v>#N/A</v>
      </c>
      <c r="AX28" s="587" t="e">
        <f>IF(INDEX([1]Temps!$D$43:$AH$66,AX$3,DAY($B28))="",NA(),INDEX([1]Temps!$D$43:$AH$66,AX$3,DAY($B28)))</f>
        <v>#N/A</v>
      </c>
      <c r="AY28" s="587" t="e">
        <f>IF(INDEX([1]Temps!$D$43:$AH$66,AY$3,DAY($B28))="",NA(),INDEX([1]Temps!$D$43:$AH$66,AY$3,DAY($B28)))</f>
        <v>#N/A</v>
      </c>
      <c r="AZ28" s="587" t="e">
        <f>IF(INDEX([1]Temps!$D$43:$AH$66,AZ$3,DAY($B28))="",NA(),INDEX([1]Temps!$D$43:$AH$66,AZ$3,DAY($B28)))</f>
        <v>#N/A</v>
      </c>
      <c r="BB28" s="583">
        <f t="shared" si="7"/>
        <v>41968</v>
      </c>
      <c r="BC28" s="587">
        <f>'[1]Hourly Load'!B28</f>
        <v>0</v>
      </c>
      <c r="BD28" s="587">
        <f>'[1]Hourly Load'!C28</f>
        <v>0</v>
      </c>
      <c r="BE28" s="587">
        <f>'[1]Hourly Load'!D28</f>
        <v>0</v>
      </c>
      <c r="BF28" s="587">
        <f>'[1]Hourly Load'!E28</f>
        <v>0</v>
      </c>
      <c r="BG28" s="587">
        <f>'[1]Hourly Load'!F28</f>
        <v>0</v>
      </c>
      <c r="BH28" s="587">
        <f>'[1]Hourly Load'!G28</f>
        <v>0</v>
      </c>
      <c r="BI28" s="587">
        <f>'[1]Hourly Load'!H28</f>
        <v>0</v>
      </c>
      <c r="BJ28" s="587">
        <f>'[1]Hourly Load'!I28</f>
        <v>0</v>
      </c>
      <c r="BK28" s="587">
        <f>'[1]Hourly Load'!J28</f>
        <v>0</v>
      </c>
      <c r="BL28" s="587">
        <f>'[1]Hourly Load'!K28</f>
        <v>0</v>
      </c>
      <c r="BM28" s="587">
        <f>'[1]Hourly Load'!L28</f>
        <v>0</v>
      </c>
      <c r="BN28" s="587">
        <f>'[1]Hourly Load'!M28</f>
        <v>0</v>
      </c>
      <c r="BO28" s="587">
        <f>'[1]Hourly Load'!N28</f>
        <v>0</v>
      </c>
      <c r="BP28" s="587">
        <f>'[1]Hourly Load'!O28</f>
        <v>0</v>
      </c>
      <c r="BQ28" s="587">
        <f>'[1]Hourly Load'!P28</f>
        <v>0</v>
      </c>
      <c r="BR28" s="587">
        <f>'[1]Hourly Load'!Q28</f>
        <v>0</v>
      </c>
      <c r="BS28" s="587">
        <f>'[1]Hourly Load'!R28</f>
        <v>0</v>
      </c>
      <c r="BT28" s="587">
        <f>'[1]Hourly Load'!S28</f>
        <v>0</v>
      </c>
      <c r="BU28" s="587">
        <f>'[1]Hourly Load'!T28</f>
        <v>0</v>
      </c>
      <c r="BV28" s="587">
        <f>'[1]Hourly Load'!U28</f>
        <v>0</v>
      </c>
      <c r="BW28" s="587">
        <f>'[1]Hourly Load'!V28</f>
        <v>0</v>
      </c>
      <c r="BX28" s="587">
        <f>'[1]Hourly Load'!W28</f>
        <v>0</v>
      </c>
      <c r="BY28" s="587">
        <f>'[1]Hourly Load'!X28</f>
        <v>0</v>
      </c>
      <c r="BZ28" s="587">
        <f>'[1]Hourly Load'!Y28</f>
        <v>0</v>
      </c>
      <c r="CA28" s="584"/>
      <c r="CB28" s="583">
        <f t="shared" si="8"/>
        <v>41968</v>
      </c>
      <c r="CC28" s="587">
        <f>'[1]Hourly Load'!AA28</f>
        <v>0</v>
      </c>
      <c r="CD28" s="587">
        <f>'[1]Hourly Load'!AB28</f>
        <v>0</v>
      </c>
      <c r="CE28" s="587">
        <f>'[1]Hourly Load'!AC28</f>
        <v>0</v>
      </c>
      <c r="CF28" s="587">
        <f>'[1]Hourly Load'!AD28</f>
        <v>0</v>
      </c>
      <c r="CG28" s="587">
        <f>'[1]Hourly Load'!AE28</f>
        <v>0</v>
      </c>
      <c r="CH28" s="587">
        <f>'[1]Hourly Load'!AF28</f>
        <v>0</v>
      </c>
      <c r="CI28" s="587">
        <f>'[1]Hourly Load'!AG28</f>
        <v>0</v>
      </c>
      <c r="CJ28" s="587">
        <f>'[1]Hourly Load'!AH28</f>
        <v>0</v>
      </c>
      <c r="CK28" s="587">
        <f>'[1]Hourly Load'!AI28</f>
        <v>0</v>
      </c>
      <c r="CL28" s="587">
        <f>'[1]Hourly Load'!AJ28</f>
        <v>0</v>
      </c>
      <c r="CM28" s="587">
        <f>'[1]Hourly Load'!AK28</f>
        <v>0</v>
      </c>
      <c r="CN28" s="587">
        <f>'[1]Hourly Load'!AL28</f>
        <v>0</v>
      </c>
      <c r="CO28" s="587">
        <f>'[1]Hourly Load'!AM28</f>
        <v>0</v>
      </c>
      <c r="CP28" s="587">
        <f>'[1]Hourly Load'!AN28</f>
        <v>0</v>
      </c>
      <c r="CQ28" s="587">
        <f>'[1]Hourly Load'!AO28</f>
        <v>0</v>
      </c>
      <c r="CR28" s="587">
        <f>'[1]Hourly Load'!AP28</f>
        <v>0</v>
      </c>
      <c r="CS28" s="587">
        <f>'[1]Hourly Load'!AQ28</f>
        <v>0</v>
      </c>
      <c r="CT28" s="587">
        <f>'[1]Hourly Load'!AR28</f>
        <v>0</v>
      </c>
      <c r="CU28" s="587">
        <f>'[1]Hourly Load'!AS28</f>
        <v>0</v>
      </c>
      <c r="CV28" s="587">
        <f>'[1]Hourly Load'!AT28</f>
        <v>0</v>
      </c>
      <c r="CW28" s="587">
        <f>'[1]Hourly Load'!AU28</f>
        <v>0</v>
      </c>
      <c r="CX28" s="587">
        <f>'[1]Hourly Load'!AV28</f>
        <v>0</v>
      </c>
      <c r="CY28" s="587">
        <f>'[1]Hourly Load'!AW28</f>
        <v>0</v>
      </c>
      <c r="CZ28" s="587">
        <f>'[1]Hourly Load'!AX28</f>
        <v>0</v>
      </c>
    </row>
    <row r="29" spans="1:104">
      <c r="A29" s="582">
        <v>26</v>
      </c>
      <c r="B29" s="583">
        <f>'Input Data'!A29</f>
        <v>41969</v>
      </c>
      <c r="C29" s="609" t="e">
        <f>IF(INDEX([1]Temps!$D$7:$AH$30,C$3,DAY($B29))="",NA(),INDEX([1]Temps!$D$7:$AH$30,C$3,DAY($B29)))</f>
        <v>#N/A</v>
      </c>
      <c r="D29" s="609" t="e">
        <f>IF(INDEX([1]Temps!$D$7:$AH$30,D$3,DAY($B29))="",NA(),INDEX([1]Temps!$D$7:$AH$30,D$3,DAY($B29)))</f>
        <v>#N/A</v>
      </c>
      <c r="E29" s="609" t="e">
        <f>IF(INDEX([1]Temps!$D$7:$AH$30,E$3,DAY($B29))="",NA(),INDEX([1]Temps!$D$7:$AH$30,E$3,DAY($B29)))</f>
        <v>#N/A</v>
      </c>
      <c r="F29" s="609" t="e">
        <f>IF(INDEX([1]Temps!$D$7:$AH$30,F$3,DAY($B29))="",NA(),INDEX([1]Temps!$D$7:$AH$30,F$3,DAY($B29)))</f>
        <v>#N/A</v>
      </c>
      <c r="G29" s="609" t="e">
        <f>IF(INDEX([1]Temps!$D$7:$AH$30,G$3,DAY($B29))="",NA(),INDEX([1]Temps!$D$7:$AH$30,G$3,DAY($B29)))</f>
        <v>#N/A</v>
      </c>
      <c r="H29" s="609" t="e">
        <f>IF(INDEX([1]Temps!$D$7:$AH$30,H$3,DAY($B29))="",NA(),INDEX([1]Temps!$D$7:$AH$30,H$3,DAY($B29)))</f>
        <v>#N/A</v>
      </c>
      <c r="I29" s="609" t="e">
        <f>IF(INDEX([1]Temps!$D$7:$AH$30,I$3,DAY($B29))="",NA(),INDEX([1]Temps!$D$7:$AH$30,I$3,DAY($B29)))</f>
        <v>#N/A</v>
      </c>
      <c r="J29" s="609" t="e">
        <f>IF(INDEX([1]Temps!$D$7:$AH$30,J$3,DAY($B29))="",NA(),INDEX([1]Temps!$D$7:$AH$30,J$3,DAY($B29)))</f>
        <v>#N/A</v>
      </c>
      <c r="K29" s="609" t="e">
        <f>IF(INDEX([1]Temps!$D$7:$AH$30,K$3,DAY($B29))="",NA(),INDEX([1]Temps!$D$7:$AH$30,K$3,DAY($B29)))</f>
        <v>#N/A</v>
      </c>
      <c r="L29" s="609" t="e">
        <f>IF(INDEX([1]Temps!$D$7:$AH$30,L$3,DAY($B29))="",NA(),INDEX([1]Temps!$D$7:$AH$30,L$3,DAY($B29)))</f>
        <v>#N/A</v>
      </c>
      <c r="M29" s="609" t="e">
        <f>IF(INDEX([1]Temps!$D$7:$AH$30,M$3,DAY($B29))="",NA(),INDEX([1]Temps!$D$7:$AH$30,M$3,DAY($B29)))</f>
        <v>#N/A</v>
      </c>
      <c r="N29" s="609" t="e">
        <f>IF(INDEX([1]Temps!$D$7:$AH$30,N$3,DAY($B29))="",NA(),INDEX([1]Temps!$D$7:$AH$30,N$3,DAY($B29)))</f>
        <v>#N/A</v>
      </c>
      <c r="O29" s="609" t="e">
        <f>IF(INDEX([1]Temps!$D$7:$AH$30,O$3,DAY($B29))="",NA(),INDEX([1]Temps!$D$7:$AH$30,O$3,DAY($B29)))</f>
        <v>#N/A</v>
      </c>
      <c r="P29" s="609" t="e">
        <f>IF(INDEX([1]Temps!$D$7:$AH$30,P$3,DAY($B29))="",NA(),INDEX([1]Temps!$D$7:$AH$30,P$3,DAY($B29)))</f>
        <v>#N/A</v>
      </c>
      <c r="Q29" s="609" t="e">
        <f>IF(INDEX([1]Temps!$D$7:$AH$30,Q$3,DAY($B29))="",NA(),INDEX([1]Temps!$D$7:$AH$30,Q$3,DAY($B29)))</f>
        <v>#N/A</v>
      </c>
      <c r="R29" s="609" t="e">
        <f>IF(INDEX([1]Temps!$D$7:$AH$30,R$3,DAY($B29))="",NA(),INDEX([1]Temps!$D$7:$AH$30,R$3,DAY($B29)))</f>
        <v>#N/A</v>
      </c>
      <c r="S29" s="609" t="e">
        <f>IF(INDEX([1]Temps!$D$7:$AH$30,S$3,DAY($B29))="",NA(),INDEX([1]Temps!$D$7:$AH$30,S$3,DAY($B29)))</f>
        <v>#N/A</v>
      </c>
      <c r="T29" s="609" t="e">
        <f>IF(INDEX([1]Temps!$D$7:$AH$30,T$3,DAY($B29))="",NA(),INDEX([1]Temps!$D$7:$AH$30,T$3,DAY($B29)))</f>
        <v>#N/A</v>
      </c>
      <c r="U29" s="609" t="e">
        <f>IF(INDEX([1]Temps!$D$7:$AH$30,U$3,DAY($B29))="",NA(),INDEX([1]Temps!$D$7:$AH$30,U$3,DAY($B29)))</f>
        <v>#N/A</v>
      </c>
      <c r="V29" s="609" t="e">
        <f>IF(INDEX([1]Temps!$D$7:$AH$30,V$3,DAY($B29))="",NA(),INDEX([1]Temps!$D$7:$AH$30,V$3,DAY($B29)))</f>
        <v>#N/A</v>
      </c>
      <c r="W29" s="609" t="e">
        <f>IF(INDEX([1]Temps!$D$7:$AH$30,W$3,DAY($B29))="",NA(),INDEX([1]Temps!$D$7:$AH$30,W$3,DAY($B29)))</f>
        <v>#N/A</v>
      </c>
      <c r="X29" s="609" t="e">
        <f>IF(INDEX([1]Temps!$D$7:$AH$30,X$3,DAY($B29))="",NA(),INDEX([1]Temps!$D$7:$AH$30,X$3,DAY($B29)))</f>
        <v>#N/A</v>
      </c>
      <c r="Y29" s="609" t="e">
        <f>IF(INDEX([1]Temps!$D$7:$AH$30,Y$3,DAY($B29))="",NA(),INDEX([1]Temps!$D$7:$AH$30,Y$3,DAY($B29)))</f>
        <v>#N/A</v>
      </c>
      <c r="Z29" s="609" t="e">
        <f>IF(INDEX([1]Temps!$D$7:$AH$30,Z$3,DAY($B29))="",NA(),INDEX([1]Temps!$D$7:$AH$30,Z$3,DAY($B29)))</f>
        <v>#N/A</v>
      </c>
      <c r="AA29" s="584"/>
      <c r="AB29" s="583">
        <f t="shared" si="6"/>
        <v>41969</v>
      </c>
      <c r="AC29" s="587" t="e">
        <f>IF(INDEX([1]Temps!$D$43:$AH$66,AC$3,DAY($B29))="",NA(),INDEX([1]Temps!$D$43:$AH$66,AC$3,DAY($B29)))</f>
        <v>#N/A</v>
      </c>
      <c r="AD29" s="587" t="e">
        <f>IF(INDEX([1]Temps!$D$43:$AH$66,AD$3,DAY($B29))="",NA(),INDEX([1]Temps!$D$43:$AH$66,AD$3,DAY($B29)))</f>
        <v>#N/A</v>
      </c>
      <c r="AE29" s="587" t="e">
        <f>IF(INDEX([1]Temps!$D$43:$AH$66,AE$3,DAY($B29))="",NA(),INDEX([1]Temps!$D$43:$AH$66,AE$3,DAY($B29)))</f>
        <v>#N/A</v>
      </c>
      <c r="AF29" s="587" t="e">
        <f>IF(INDEX([1]Temps!$D$43:$AH$66,AF$3,DAY($B29))="",NA(),INDEX([1]Temps!$D$43:$AH$66,AF$3,DAY($B29)))</f>
        <v>#N/A</v>
      </c>
      <c r="AG29" s="587" t="e">
        <f>IF(INDEX([1]Temps!$D$43:$AH$66,AG$3,DAY($B29))="",NA(),INDEX([1]Temps!$D$43:$AH$66,AG$3,DAY($B29)))</f>
        <v>#N/A</v>
      </c>
      <c r="AH29" s="587" t="e">
        <f>IF(INDEX([1]Temps!$D$43:$AH$66,AH$3,DAY($B29))="",NA(),INDEX([1]Temps!$D$43:$AH$66,AH$3,DAY($B29)))</f>
        <v>#N/A</v>
      </c>
      <c r="AI29" s="587" t="e">
        <f>IF(INDEX([1]Temps!$D$43:$AH$66,AI$3,DAY($B29))="",NA(),INDEX([1]Temps!$D$43:$AH$66,AI$3,DAY($B29)))</f>
        <v>#N/A</v>
      </c>
      <c r="AJ29" s="587" t="e">
        <f>IF(INDEX([1]Temps!$D$43:$AH$66,AJ$3,DAY($B29))="",NA(),INDEX([1]Temps!$D$43:$AH$66,AJ$3,DAY($B29)))</f>
        <v>#N/A</v>
      </c>
      <c r="AK29" s="587" t="e">
        <f>IF(INDEX([1]Temps!$D$43:$AH$66,AK$3,DAY($B29))="",NA(),INDEX([1]Temps!$D$43:$AH$66,AK$3,DAY($B29)))</f>
        <v>#N/A</v>
      </c>
      <c r="AL29" s="587" t="e">
        <f>IF(INDEX([1]Temps!$D$43:$AH$66,AL$3,DAY($B29))="",NA(),INDEX([1]Temps!$D$43:$AH$66,AL$3,DAY($B29)))</f>
        <v>#N/A</v>
      </c>
      <c r="AM29" s="587" t="e">
        <f>IF(INDEX([1]Temps!$D$43:$AH$66,AM$3,DAY($B29))="",NA(),INDEX([1]Temps!$D$43:$AH$66,AM$3,DAY($B29)))</f>
        <v>#N/A</v>
      </c>
      <c r="AN29" s="587" t="e">
        <f>IF(INDEX([1]Temps!$D$43:$AH$66,AN$3,DAY($B29))="",NA(),INDEX([1]Temps!$D$43:$AH$66,AN$3,DAY($B29)))</f>
        <v>#N/A</v>
      </c>
      <c r="AO29" s="587" t="e">
        <f>IF(INDEX([1]Temps!$D$43:$AH$66,AO$3,DAY($B29))="",NA(),INDEX([1]Temps!$D$43:$AH$66,AO$3,DAY($B29)))</f>
        <v>#N/A</v>
      </c>
      <c r="AP29" s="587" t="e">
        <f>IF(INDEX([1]Temps!$D$43:$AH$66,AP$3,DAY($B29))="",NA(),INDEX([1]Temps!$D$43:$AH$66,AP$3,DAY($B29)))</f>
        <v>#N/A</v>
      </c>
      <c r="AQ29" s="587" t="e">
        <f>IF(INDEX([1]Temps!$D$43:$AH$66,AQ$3,DAY($B29))="",NA(),INDEX([1]Temps!$D$43:$AH$66,AQ$3,DAY($B29)))</f>
        <v>#N/A</v>
      </c>
      <c r="AR29" s="587" t="e">
        <f>IF(INDEX([1]Temps!$D$43:$AH$66,AR$3,DAY($B29))="",NA(),INDEX([1]Temps!$D$43:$AH$66,AR$3,DAY($B29)))</f>
        <v>#N/A</v>
      </c>
      <c r="AS29" s="587" t="e">
        <f>IF(INDEX([1]Temps!$D$43:$AH$66,AS$3,DAY($B29))="",NA(),INDEX([1]Temps!$D$43:$AH$66,AS$3,DAY($B29)))</f>
        <v>#N/A</v>
      </c>
      <c r="AT29" s="587" t="e">
        <f>IF(INDEX([1]Temps!$D$43:$AH$66,AT$3,DAY($B29))="",NA(),INDEX([1]Temps!$D$43:$AH$66,AT$3,DAY($B29)))</f>
        <v>#N/A</v>
      </c>
      <c r="AU29" s="587" t="e">
        <f>IF(INDEX([1]Temps!$D$43:$AH$66,AU$3,DAY($B29))="",NA(),INDEX([1]Temps!$D$43:$AH$66,AU$3,DAY($B29)))</f>
        <v>#N/A</v>
      </c>
      <c r="AV29" s="587" t="e">
        <f>IF(INDEX([1]Temps!$D$43:$AH$66,AV$3,DAY($B29))="",NA(),INDEX([1]Temps!$D$43:$AH$66,AV$3,DAY($B29)))</f>
        <v>#N/A</v>
      </c>
      <c r="AW29" s="587" t="e">
        <f>IF(INDEX([1]Temps!$D$43:$AH$66,AW$3,DAY($B29))="",NA(),INDEX([1]Temps!$D$43:$AH$66,AW$3,DAY($B29)))</f>
        <v>#N/A</v>
      </c>
      <c r="AX29" s="587" t="e">
        <f>IF(INDEX([1]Temps!$D$43:$AH$66,AX$3,DAY($B29))="",NA(),INDEX([1]Temps!$D$43:$AH$66,AX$3,DAY($B29)))</f>
        <v>#N/A</v>
      </c>
      <c r="AY29" s="587" t="e">
        <f>IF(INDEX([1]Temps!$D$43:$AH$66,AY$3,DAY($B29))="",NA(),INDEX([1]Temps!$D$43:$AH$66,AY$3,DAY($B29)))</f>
        <v>#N/A</v>
      </c>
      <c r="AZ29" s="587" t="e">
        <f>IF(INDEX([1]Temps!$D$43:$AH$66,AZ$3,DAY($B29))="",NA(),INDEX([1]Temps!$D$43:$AH$66,AZ$3,DAY($B29)))</f>
        <v>#N/A</v>
      </c>
      <c r="BB29" s="583">
        <f t="shared" si="7"/>
        <v>41969</v>
      </c>
      <c r="BC29" s="587">
        <f>'[1]Hourly Load'!B29</f>
        <v>0</v>
      </c>
      <c r="BD29" s="587">
        <f>'[1]Hourly Load'!C29</f>
        <v>0</v>
      </c>
      <c r="BE29" s="587">
        <f>'[1]Hourly Load'!D29</f>
        <v>0</v>
      </c>
      <c r="BF29" s="587">
        <f>'[1]Hourly Load'!E29</f>
        <v>0</v>
      </c>
      <c r="BG29" s="587">
        <f>'[1]Hourly Load'!F29</f>
        <v>0</v>
      </c>
      <c r="BH29" s="587">
        <f>'[1]Hourly Load'!G29</f>
        <v>0</v>
      </c>
      <c r="BI29" s="587">
        <f>'[1]Hourly Load'!H29</f>
        <v>0</v>
      </c>
      <c r="BJ29" s="587">
        <f>'[1]Hourly Load'!I29</f>
        <v>0</v>
      </c>
      <c r="BK29" s="587">
        <f>'[1]Hourly Load'!J29</f>
        <v>0</v>
      </c>
      <c r="BL29" s="587">
        <f>'[1]Hourly Load'!K29</f>
        <v>0</v>
      </c>
      <c r="BM29" s="587">
        <f>'[1]Hourly Load'!L29</f>
        <v>0</v>
      </c>
      <c r="BN29" s="587">
        <f>'[1]Hourly Load'!M29</f>
        <v>0</v>
      </c>
      <c r="BO29" s="587">
        <f>'[1]Hourly Load'!N29</f>
        <v>0</v>
      </c>
      <c r="BP29" s="587">
        <f>'[1]Hourly Load'!O29</f>
        <v>0</v>
      </c>
      <c r="BQ29" s="587">
        <f>'[1]Hourly Load'!P29</f>
        <v>0</v>
      </c>
      <c r="BR29" s="587">
        <f>'[1]Hourly Load'!Q29</f>
        <v>0</v>
      </c>
      <c r="BS29" s="587">
        <f>'[1]Hourly Load'!R29</f>
        <v>0</v>
      </c>
      <c r="BT29" s="587">
        <f>'[1]Hourly Load'!S29</f>
        <v>0</v>
      </c>
      <c r="BU29" s="587">
        <f>'[1]Hourly Load'!T29</f>
        <v>0</v>
      </c>
      <c r="BV29" s="587">
        <f>'[1]Hourly Load'!U29</f>
        <v>0</v>
      </c>
      <c r="BW29" s="587">
        <f>'[1]Hourly Load'!V29</f>
        <v>0</v>
      </c>
      <c r="BX29" s="587">
        <f>'[1]Hourly Load'!W29</f>
        <v>0</v>
      </c>
      <c r="BY29" s="587">
        <f>'[1]Hourly Load'!X29</f>
        <v>0</v>
      </c>
      <c r="BZ29" s="587">
        <f>'[1]Hourly Load'!Y29</f>
        <v>0</v>
      </c>
      <c r="CA29" s="584"/>
      <c r="CB29" s="583">
        <f t="shared" si="8"/>
        <v>41969</v>
      </c>
      <c r="CC29" s="587">
        <f>'[1]Hourly Load'!AA29</f>
        <v>0</v>
      </c>
      <c r="CD29" s="587">
        <f>'[1]Hourly Load'!AB29</f>
        <v>0</v>
      </c>
      <c r="CE29" s="587">
        <f>'[1]Hourly Load'!AC29</f>
        <v>0</v>
      </c>
      <c r="CF29" s="587">
        <f>'[1]Hourly Load'!AD29</f>
        <v>0</v>
      </c>
      <c r="CG29" s="587">
        <f>'[1]Hourly Load'!AE29</f>
        <v>0</v>
      </c>
      <c r="CH29" s="587">
        <f>'[1]Hourly Load'!AF29</f>
        <v>0</v>
      </c>
      <c r="CI29" s="587">
        <f>'[1]Hourly Load'!AG29</f>
        <v>0</v>
      </c>
      <c r="CJ29" s="587">
        <f>'[1]Hourly Load'!AH29</f>
        <v>0</v>
      </c>
      <c r="CK29" s="587">
        <f>'[1]Hourly Load'!AI29</f>
        <v>0</v>
      </c>
      <c r="CL29" s="587">
        <f>'[1]Hourly Load'!AJ29</f>
        <v>0</v>
      </c>
      <c r="CM29" s="587">
        <f>'[1]Hourly Load'!AK29</f>
        <v>0</v>
      </c>
      <c r="CN29" s="587">
        <f>'[1]Hourly Load'!AL29</f>
        <v>0</v>
      </c>
      <c r="CO29" s="587">
        <f>'[1]Hourly Load'!AM29</f>
        <v>0</v>
      </c>
      <c r="CP29" s="587">
        <f>'[1]Hourly Load'!AN29</f>
        <v>0</v>
      </c>
      <c r="CQ29" s="587">
        <f>'[1]Hourly Load'!AO29</f>
        <v>0</v>
      </c>
      <c r="CR29" s="587">
        <f>'[1]Hourly Load'!AP29</f>
        <v>0</v>
      </c>
      <c r="CS29" s="587">
        <f>'[1]Hourly Load'!AQ29</f>
        <v>0</v>
      </c>
      <c r="CT29" s="587">
        <f>'[1]Hourly Load'!AR29</f>
        <v>0</v>
      </c>
      <c r="CU29" s="587">
        <f>'[1]Hourly Load'!AS29</f>
        <v>0</v>
      </c>
      <c r="CV29" s="587">
        <f>'[1]Hourly Load'!AT29</f>
        <v>0</v>
      </c>
      <c r="CW29" s="587">
        <f>'[1]Hourly Load'!AU29</f>
        <v>0</v>
      </c>
      <c r="CX29" s="587">
        <f>'[1]Hourly Load'!AV29</f>
        <v>0</v>
      </c>
      <c r="CY29" s="587">
        <f>'[1]Hourly Load'!AW29</f>
        <v>0</v>
      </c>
      <c r="CZ29" s="587">
        <f>'[1]Hourly Load'!AX29</f>
        <v>0</v>
      </c>
    </row>
    <row r="30" spans="1:104">
      <c r="A30" s="582">
        <v>27</v>
      </c>
      <c r="B30" s="583">
        <f>'Input Data'!A30</f>
        <v>41970</v>
      </c>
      <c r="C30" s="609" t="e">
        <f>IF(INDEX([1]Temps!$D$7:$AH$30,C$3,DAY($B30))="",NA(),INDEX([1]Temps!$D$7:$AH$30,C$3,DAY($B30)))</f>
        <v>#N/A</v>
      </c>
      <c r="D30" s="609" t="e">
        <f>IF(INDEX([1]Temps!$D$7:$AH$30,D$3,DAY($B30))="",NA(),INDEX([1]Temps!$D$7:$AH$30,D$3,DAY($B30)))</f>
        <v>#N/A</v>
      </c>
      <c r="E30" s="609" t="e">
        <f>IF(INDEX([1]Temps!$D$7:$AH$30,E$3,DAY($B30))="",NA(),INDEX([1]Temps!$D$7:$AH$30,E$3,DAY($B30)))</f>
        <v>#N/A</v>
      </c>
      <c r="F30" s="609" t="e">
        <f>IF(INDEX([1]Temps!$D$7:$AH$30,F$3,DAY($B30))="",NA(),INDEX([1]Temps!$D$7:$AH$30,F$3,DAY($B30)))</f>
        <v>#N/A</v>
      </c>
      <c r="G30" s="609" t="e">
        <f>IF(INDEX([1]Temps!$D$7:$AH$30,G$3,DAY($B30))="",NA(),INDEX([1]Temps!$D$7:$AH$30,G$3,DAY($B30)))</f>
        <v>#N/A</v>
      </c>
      <c r="H30" s="609" t="e">
        <f>IF(INDEX([1]Temps!$D$7:$AH$30,H$3,DAY($B30))="",NA(),INDEX([1]Temps!$D$7:$AH$30,H$3,DAY($B30)))</f>
        <v>#N/A</v>
      </c>
      <c r="I30" s="609" t="e">
        <f>IF(INDEX([1]Temps!$D$7:$AH$30,I$3,DAY($B30))="",NA(),INDEX([1]Temps!$D$7:$AH$30,I$3,DAY($B30)))</f>
        <v>#N/A</v>
      </c>
      <c r="J30" s="609" t="e">
        <f>IF(INDEX([1]Temps!$D$7:$AH$30,J$3,DAY($B30))="",NA(),INDEX([1]Temps!$D$7:$AH$30,J$3,DAY($B30)))</f>
        <v>#N/A</v>
      </c>
      <c r="K30" s="609" t="e">
        <f>IF(INDEX([1]Temps!$D$7:$AH$30,K$3,DAY($B30))="",NA(),INDEX([1]Temps!$D$7:$AH$30,K$3,DAY($B30)))</f>
        <v>#N/A</v>
      </c>
      <c r="L30" s="609" t="e">
        <f>IF(INDEX([1]Temps!$D$7:$AH$30,L$3,DAY($B30))="",NA(),INDEX([1]Temps!$D$7:$AH$30,L$3,DAY($B30)))</f>
        <v>#N/A</v>
      </c>
      <c r="M30" s="609" t="e">
        <f>IF(INDEX([1]Temps!$D$7:$AH$30,M$3,DAY($B30))="",NA(),INDEX([1]Temps!$D$7:$AH$30,M$3,DAY($B30)))</f>
        <v>#N/A</v>
      </c>
      <c r="N30" s="609" t="e">
        <f>IF(INDEX([1]Temps!$D$7:$AH$30,N$3,DAY($B30))="",NA(),INDEX([1]Temps!$D$7:$AH$30,N$3,DAY($B30)))</f>
        <v>#N/A</v>
      </c>
      <c r="O30" s="609" t="e">
        <f>IF(INDEX([1]Temps!$D$7:$AH$30,O$3,DAY($B30))="",NA(),INDEX([1]Temps!$D$7:$AH$30,O$3,DAY($B30)))</f>
        <v>#N/A</v>
      </c>
      <c r="P30" s="609" t="e">
        <f>IF(INDEX([1]Temps!$D$7:$AH$30,P$3,DAY($B30))="",NA(),INDEX([1]Temps!$D$7:$AH$30,P$3,DAY($B30)))</f>
        <v>#N/A</v>
      </c>
      <c r="Q30" s="609" t="e">
        <f>IF(INDEX([1]Temps!$D$7:$AH$30,Q$3,DAY($B30))="",NA(),INDEX([1]Temps!$D$7:$AH$30,Q$3,DAY($B30)))</f>
        <v>#N/A</v>
      </c>
      <c r="R30" s="609" t="e">
        <f>IF(INDEX([1]Temps!$D$7:$AH$30,R$3,DAY($B30))="",NA(),INDEX([1]Temps!$D$7:$AH$30,R$3,DAY($B30)))</f>
        <v>#N/A</v>
      </c>
      <c r="S30" s="609" t="e">
        <f>IF(INDEX([1]Temps!$D$7:$AH$30,S$3,DAY($B30))="",NA(),INDEX([1]Temps!$D$7:$AH$30,S$3,DAY($B30)))</f>
        <v>#N/A</v>
      </c>
      <c r="T30" s="609" t="e">
        <f>IF(INDEX([1]Temps!$D$7:$AH$30,T$3,DAY($B30))="",NA(),INDEX([1]Temps!$D$7:$AH$30,T$3,DAY($B30)))</f>
        <v>#N/A</v>
      </c>
      <c r="U30" s="609" t="e">
        <f>IF(INDEX([1]Temps!$D$7:$AH$30,U$3,DAY($B30))="",NA(),INDEX([1]Temps!$D$7:$AH$30,U$3,DAY($B30)))</f>
        <v>#N/A</v>
      </c>
      <c r="V30" s="609" t="e">
        <f>IF(INDEX([1]Temps!$D$7:$AH$30,V$3,DAY($B30))="",NA(),INDEX([1]Temps!$D$7:$AH$30,V$3,DAY($B30)))</f>
        <v>#N/A</v>
      </c>
      <c r="W30" s="609" t="e">
        <f>IF(INDEX([1]Temps!$D$7:$AH$30,W$3,DAY($B30))="",NA(),INDEX([1]Temps!$D$7:$AH$30,W$3,DAY($B30)))</f>
        <v>#N/A</v>
      </c>
      <c r="X30" s="609" t="e">
        <f>IF(INDEX([1]Temps!$D$7:$AH$30,X$3,DAY($B30))="",NA(),INDEX([1]Temps!$D$7:$AH$30,X$3,DAY($B30)))</f>
        <v>#N/A</v>
      </c>
      <c r="Y30" s="609" t="e">
        <f>IF(INDEX([1]Temps!$D$7:$AH$30,Y$3,DAY($B30))="",NA(),INDEX([1]Temps!$D$7:$AH$30,Y$3,DAY($B30)))</f>
        <v>#N/A</v>
      </c>
      <c r="Z30" s="609" t="e">
        <f>IF(INDEX([1]Temps!$D$7:$AH$30,Z$3,DAY($B30))="",NA(),INDEX([1]Temps!$D$7:$AH$30,Z$3,DAY($B30)))</f>
        <v>#N/A</v>
      </c>
      <c r="AA30" s="584"/>
      <c r="AB30" s="583">
        <f t="shared" si="6"/>
        <v>41970</v>
      </c>
      <c r="AC30" s="587" t="e">
        <f>IF(INDEX([1]Temps!$D$43:$AH$66,AC$3,DAY($B30))="",NA(),INDEX([1]Temps!$D$43:$AH$66,AC$3,DAY($B30)))</f>
        <v>#N/A</v>
      </c>
      <c r="AD30" s="587" t="e">
        <f>IF(INDEX([1]Temps!$D$43:$AH$66,AD$3,DAY($B30))="",NA(),INDEX([1]Temps!$D$43:$AH$66,AD$3,DAY($B30)))</f>
        <v>#N/A</v>
      </c>
      <c r="AE30" s="587" t="e">
        <f>IF(INDEX([1]Temps!$D$43:$AH$66,AE$3,DAY($B30))="",NA(),INDEX([1]Temps!$D$43:$AH$66,AE$3,DAY($B30)))</f>
        <v>#N/A</v>
      </c>
      <c r="AF30" s="587" t="e">
        <f>IF(INDEX([1]Temps!$D$43:$AH$66,AF$3,DAY($B30))="",NA(),INDEX([1]Temps!$D$43:$AH$66,AF$3,DAY($B30)))</f>
        <v>#N/A</v>
      </c>
      <c r="AG30" s="587" t="e">
        <f>IF(INDEX([1]Temps!$D$43:$AH$66,AG$3,DAY($B30))="",NA(),INDEX([1]Temps!$D$43:$AH$66,AG$3,DAY($B30)))</f>
        <v>#N/A</v>
      </c>
      <c r="AH30" s="587" t="e">
        <f>IF(INDEX([1]Temps!$D$43:$AH$66,AH$3,DAY($B30))="",NA(),INDEX([1]Temps!$D$43:$AH$66,AH$3,DAY($B30)))</f>
        <v>#N/A</v>
      </c>
      <c r="AI30" s="587" t="e">
        <f>IF(INDEX([1]Temps!$D$43:$AH$66,AI$3,DAY($B30))="",NA(),INDEX([1]Temps!$D$43:$AH$66,AI$3,DAY($B30)))</f>
        <v>#N/A</v>
      </c>
      <c r="AJ30" s="587" t="e">
        <f>IF(INDEX([1]Temps!$D$43:$AH$66,AJ$3,DAY($B30))="",NA(),INDEX([1]Temps!$D$43:$AH$66,AJ$3,DAY($B30)))</f>
        <v>#N/A</v>
      </c>
      <c r="AK30" s="587" t="e">
        <f>IF(INDEX([1]Temps!$D$43:$AH$66,AK$3,DAY($B30))="",NA(),INDEX([1]Temps!$D$43:$AH$66,AK$3,DAY($B30)))</f>
        <v>#N/A</v>
      </c>
      <c r="AL30" s="587" t="e">
        <f>IF(INDEX([1]Temps!$D$43:$AH$66,AL$3,DAY($B30))="",NA(),INDEX([1]Temps!$D$43:$AH$66,AL$3,DAY($B30)))</f>
        <v>#N/A</v>
      </c>
      <c r="AM30" s="587" t="e">
        <f>IF(INDEX([1]Temps!$D$43:$AH$66,AM$3,DAY($B30))="",NA(),INDEX([1]Temps!$D$43:$AH$66,AM$3,DAY($B30)))</f>
        <v>#N/A</v>
      </c>
      <c r="AN30" s="587" t="e">
        <f>IF(INDEX([1]Temps!$D$43:$AH$66,AN$3,DAY($B30))="",NA(),INDEX([1]Temps!$D$43:$AH$66,AN$3,DAY($B30)))</f>
        <v>#N/A</v>
      </c>
      <c r="AO30" s="587" t="e">
        <f>IF(INDEX([1]Temps!$D$43:$AH$66,AO$3,DAY($B30))="",NA(),INDEX([1]Temps!$D$43:$AH$66,AO$3,DAY($B30)))</f>
        <v>#N/A</v>
      </c>
      <c r="AP30" s="587" t="e">
        <f>IF(INDEX([1]Temps!$D$43:$AH$66,AP$3,DAY($B30))="",NA(),INDEX([1]Temps!$D$43:$AH$66,AP$3,DAY($B30)))</f>
        <v>#N/A</v>
      </c>
      <c r="AQ30" s="587" t="e">
        <f>IF(INDEX([1]Temps!$D$43:$AH$66,AQ$3,DAY($B30))="",NA(),INDEX([1]Temps!$D$43:$AH$66,AQ$3,DAY($B30)))</f>
        <v>#N/A</v>
      </c>
      <c r="AR30" s="587" t="e">
        <f>IF(INDEX([1]Temps!$D$43:$AH$66,AR$3,DAY($B30))="",NA(),INDEX([1]Temps!$D$43:$AH$66,AR$3,DAY($B30)))</f>
        <v>#N/A</v>
      </c>
      <c r="AS30" s="587" t="e">
        <f>IF(INDEX([1]Temps!$D$43:$AH$66,AS$3,DAY($B30))="",NA(),INDEX([1]Temps!$D$43:$AH$66,AS$3,DAY($B30)))</f>
        <v>#N/A</v>
      </c>
      <c r="AT30" s="587" t="e">
        <f>IF(INDEX([1]Temps!$D$43:$AH$66,AT$3,DAY($B30))="",NA(),INDEX([1]Temps!$D$43:$AH$66,AT$3,DAY($B30)))</f>
        <v>#N/A</v>
      </c>
      <c r="AU30" s="587" t="e">
        <f>IF(INDEX([1]Temps!$D$43:$AH$66,AU$3,DAY($B30))="",NA(),INDEX([1]Temps!$D$43:$AH$66,AU$3,DAY($B30)))</f>
        <v>#N/A</v>
      </c>
      <c r="AV30" s="587" t="e">
        <f>IF(INDEX([1]Temps!$D$43:$AH$66,AV$3,DAY($B30))="",NA(),INDEX([1]Temps!$D$43:$AH$66,AV$3,DAY($B30)))</f>
        <v>#N/A</v>
      </c>
      <c r="AW30" s="587" t="e">
        <f>IF(INDEX([1]Temps!$D$43:$AH$66,AW$3,DAY($B30))="",NA(),INDEX([1]Temps!$D$43:$AH$66,AW$3,DAY($B30)))</f>
        <v>#N/A</v>
      </c>
      <c r="AX30" s="587" t="e">
        <f>IF(INDEX([1]Temps!$D$43:$AH$66,AX$3,DAY($B30))="",NA(),INDEX([1]Temps!$D$43:$AH$66,AX$3,DAY($B30)))</f>
        <v>#N/A</v>
      </c>
      <c r="AY30" s="587" t="e">
        <f>IF(INDEX([1]Temps!$D$43:$AH$66,AY$3,DAY($B30))="",NA(),INDEX([1]Temps!$D$43:$AH$66,AY$3,DAY($B30)))</f>
        <v>#N/A</v>
      </c>
      <c r="AZ30" s="587" t="e">
        <f>IF(INDEX([1]Temps!$D$43:$AH$66,AZ$3,DAY($B30))="",NA(),INDEX([1]Temps!$D$43:$AH$66,AZ$3,DAY($B30)))</f>
        <v>#N/A</v>
      </c>
      <c r="BB30" s="583">
        <f t="shared" si="7"/>
        <v>41970</v>
      </c>
      <c r="BC30" s="587">
        <f>'[1]Hourly Load'!B30</f>
        <v>0</v>
      </c>
      <c r="BD30" s="587">
        <f>'[1]Hourly Load'!C30</f>
        <v>0</v>
      </c>
      <c r="BE30" s="587">
        <f>'[1]Hourly Load'!D30</f>
        <v>0</v>
      </c>
      <c r="BF30" s="587">
        <f>'[1]Hourly Load'!E30</f>
        <v>0</v>
      </c>
      <c r="BG30" s="587">
        <f>'[1]Hourly Load'!F30</f>
        <v>0</v>
      </c>
      <c r="BH30" s="587">
        <f>'[1]Hourly Load'!G30</f>
        <v>0</v>
      </c>
      <c r="BI30" s="587">
        <f>'[1]Hourly Load'!H30</f>
        <v>0</v>
      </c>
      <c r="BJ30" s="587">
        <f>'[1]Hourly Load'!I30</f>
        <v>0</v>
      </c>
      <c r="BK30" s="587">
        <f>'[1]Hourly Load'!J30</f>
        <v>0</v>
      </c>
      <c r="BL30" s="587">
        <f>'[1]Hourly Load'!K30</f>
        <v>0</v>
      </c>
      <c r="BM30" s="587">
        <f>'[1]Hourly Load'!L30</f>
        <v>0</v>
      </c>
      <c r="BN30" s="587">
        <f>'[1]Hourly Load'!M30</f>
        <v>0</v>
      </c>
      <c r="BO30" s="587">
        <f>'[1]Hourly Load'!N30</f>
        <v>0</v>
      </c>
      <c r="BP30" s="587">
        <f>'[1]Hourly Load'!O30</f>
        <v>0</v>
      </c>
      <c r="BQ30" s="587">
        <f>'[1]Hourly Load'!P30</f>
        <v>0</v>
      </c>
      <c r="BR30" s="587">
        <f>'[1]Hourly Load'!Q30</f>
        <v>0</v>
      </c>
      <c r="BS30" s="587">
        <f>'[1]Hourly Load'!R30</f>
        <v>0</v>
      </c>
      <c r="BT30" s="587">
        <f>'[1]Hourly Load'!S30</f>
        <v>0</v>
      </c>
      <c r="BU30" s="587">
        <f>'[1]Hourly Load'!T30</f>
        <v>0</v>
      </c>
      <c r="BV30" s="587">
        <f>'[1]Hourly Load'!U30</f>
        <v>0</v>
      </c>
      <c r="BW30" s="587">
        <f>'[1]Hourly Load'!V30</f>
        <v>0</v>
      </c>
      <c r="BX30" s="587">
        <f>'[1]Hourly Load'!W30</f>
        <v>0</v>
      </c>
      <c r="BY30" s="587">
        <f>'[1]Hourly Load'!X30</f>
        <v>0</v>
      </c>
      <c r="BZ30" s="587">
        <f>'[1]Hourly Load'!Y30</f>
        <v>0</v>
      </c>
      <c r="CA30" s="584"/>
      <c r="CB30" s="583">
        <f t="shared" si="8"/>
        <v>41970</v>
      </c>
      <c r="CC30" s="587">
        <f>'[1]Hourly Load'!AA30</f>
        <v>0</v>
      </c>
      <c r="CD30" s="587">
        <f>'[1]Hourly Load'!AB30</f>
        <v>0</v>
      </c>
      <c r="CE30" s="587">
        <f>'[1]Hourly Load'!AC30</f>
        <v>0</v>
      </c>
      <c r="CF30" s="587">
        <f>'[1]Hourly Load'!AD30</f>
        <v>0</v>
      </c>
      <c r="CG30" s="587">
        <f>'[1]Hourly Load'!AE30</f>
        <v>0</v>
      </c>
      <c r="CH30" s="587">
        <f>'[1]Hourly Load'!AF30</f>
        <v>0</v>
      </c>
      <c r="CI30" s="587">
        <f>'[1]Hourly Load'!AG30</f>
        <v>0</v>
      </c>
      <c r="CJ30" s="587">
        <f>'[1]Hourly Load'!AH30</f>
        <v>0</v>
      </c>
      <c r="CK30" s="587">
        <f>'[1]Hourly Load'!AI30</f>
        <v>0</v>
      </c>
      <c r="CL30" s="587">
        <f>'[1]Hourly Load'!AJ30</f>
        <v>0</v>
      </c>
      <c r="CM30" s="587">
        <f>'[1]Hourly Load'!AK30</f>
        <v>0</v>
      </c>
      <c r="CN30" s="587">
        <f>'[1]Hourly Load'!AL30</f>
        <v>0</v>
      </c>
      <c r="CO30" s="587">
        <f>'[1]Hourly Load'!AM30</f>
        <v>0</v>
      </c>
      <c r="CP30" s="587">
        <f>'[1]Hourly Load'!AN30</f>
        <v>0</v>
      </c>
      <c r="CQ30" s="587">
        <f>'[1]Hourly Load'!AO30</f>
        <v>0</v>
      </c>
      <c r="CR30" s="587">
        <f>'[1]Hourly Load'!AP30</f>
        <v>0</v>
      </c>
      <c r="CS30" s="587">
        <f>'[1]Hourly Load'!AQ30</f>
        <v>0</v>
      </c>
      <c r="CT30" s="587">
        <f>'[1]Hourly Load'!AR30</f>
        <v>0</v>
      </c>
      <c r="CU30" s="587">
        <f>'[1]Hourly Load'!AS30</f>
        <v>0</v>
      </c>
      <c r="CV30" s="587">
        <f>'[1]Hourly Load'!AT30</f>
        <v>0</v>
      </c>
      <c r="CW30" s="587">
        <f>'[1]Hourly Load'!AU30</f>
        <v>0</v>
      </c>
      <c r="CX30" s="587">
        <f>'[1]Hourly Load'!AV30</f>
        <v>0</v>
      </c>
      <c r="CY30" s="587">
        <f>'[1]Hourly Load'!AW30</f>
        <v>0</v>
      </c>
      <c r="CZ30" s="587">
        <f>'[1]Hourly Load'!AX30</f>
        <v>0</v>
      </c>
    </row>
    <row r="31" spans="1:104">
      <c r="A31" s="582">
        <v>28</v>
      </c>
      <c r="B31" s="583">
        <f>'Input Data'!A31</f>
        <v>41971</v>
      </c>
      <c r="C31" s="609" t="e">
        <f>IF(INDEX([1]Temps!$D$7:$AH$30,C$3,DAY($B31))="",NA(),INDEX([1]Temps!$D$7:$AH$30,C$3,DAY($B31)))</f>
        <v>#N/A</v>
      </c>
      <c r="D31" s="609" t="e">
        <f>IF(INDEX([1]Temps!$D$7:$AH$30,D$3,DAY($B31))="",NA(),INDEX([1]Temps!$D$7:$AH$30,D$3,DAY($B31)))</f>
        <v>#N/A</v>
      </c>
      <c r="E31" s="609" t="e">
        <f>IF(INDEX([1]Temps!$D$7:$AH$30,E$3,DAY($B31))="",NA(),INDEX([1]Temps!$D$7:$AH$30,E$3,DAY($B31)))</f>
        <v>#N/A</v>
      </c>
      <c r="F31" s="609" t="e">
        <f>IF(INDEX([1]Temps!$D$7:$AH$30,F$3,DAY($B31))="",NA(),INDEX([1]Temps!$D$7:$AH$30,F$3,DAY($B31)))</f>
        <v>#N/A</v>
      </c>
      <c r="G31" s="609" t="e">
        <f>IF(INDEX([1]Temps!$D$7:$AH$30,G$3,DAY($B31))="",NA(),INDEX([1]Temps!$D$7:$AH$30,G$3,DAY($B31)))</f>
        <v>#N/A</v>
      </c>
      <c r="H31" s="609" t="e">
        <f>IF(INDEX([1]Temps!$D$7:$AH$30,H$3,DAY($B31))="",NA(),INDEX([1]Temps!$D$7:$AH$30,H$3,DAY($B31)))</f>
        <v>#N/A</v>
      </c>
      <c r="I31" s="609" t="e">
        <f>IF(INDEX([1]Temps!$D$7:$AH$30,I$3,DAY($B31))="",NA(),INDEX([1]Temps!$D$7:$AH$30,I$3,DAY($B31)))</f>
        <v>#N/A</v>
      </c>
      <c r="J31" s="609" t="e">
        <f>IF(INDEX([1]Temps!$D$7:$AH$30,J$3,DAY($B31))="",NA(),INDEX([1]Temps!$D$7:$AH$30,J$3,DAY($B31)))</f>
        <v>#N/A</v>
      </c>
      <c r="K31" s="609" t="e">
        <f>IF(INDEX([1]Temps!$D$7:$AH$30,K$3,DAY($B31))="",NA(),INDEX([1]Temps!$D$7:$AH$30,K$3,DAY($B31)))</f>
        <v>#N/A</v>
      </c>
      <c r="L31" s="609" t="e">
        <f>IF(INDEX([1]Temps!$D$7:$AH$30,L$3,DAY($B31))="",NA(),INDEX([1]Temps!$D$7:$AH$30,L$3,DAY($B31)))</f>
        <v>#N/A</v>
      </c>
      <c r="M31" s="609" t="e">
        <f>IF(INDEX([1]Temps!$D$7:$AH$30,M$3,DAY($B31))="",NA(),INDEX([1]Temps!$D$7:$AH$30,M$3,DAY($B31)))</f>
        <v>#N/A</v>
      </c>
      <c r="N31" s="609" t="e">
        <f>IF(INDEX([1]Temps!$D$7:$AH$30,N$3,DAY($B31))="",NA(),INDEX([1]Temps!$D$7:$AH$30,N$3,DAY($B31)))</f>
        <v>#N/A</v>
      </c>
      <c r="O31" s="609" t="e">
        <f>IF(INDEX([1]Temps!$D$7:$AH$30,O$3,DAY($B31))="",NA(),INDEX([1]Temps!$D$7:$AH$30,O$3,DAY($B31)))</f>
        <v>#N/A</v>
      </c>
      <c r="P31" s="609" t="e">
        <f>IF(INDEX([1]Temps!$D$7:$AH$30,P$3,DAY($B31))="",NA(),INDEX([1]Temps!$D$7:$AH$30,P$3,DAY($B31)))</f>
        <v>#N/A</v>
      </c>
      <c r="Q31" s="609" t="e">
        <f>IF(INDEX([1]Temps!$D$7:$AH$30,Q$3,DAY($B31))="",NA(),INDEX([1]Temps!$D$7:$AH$30,Q$3,DAY($B31)))</f>
        <v>#N/A</v>
      </c>
      <c r="R31" s="609" t="e">
        <f>IF(INDEX([1]Temps!$D$7:$AH$30,R$3,DAY($B31))="",NA(),INDEX([1]Temps!$D$7:$AH$30,R$3,DAY($B31)))</f>
        <v>#N/A</v>
      </c>
      <c r="S31" s="609" t="e">
        <f>IF(INDEX([1]Temps!$D$7:$AH$30,S$3,DAY($B31))="",NA(),INDEX([1]Temps!$D$7:$AH$30,S$3,DAY($B31)))</f>
        <v>#N/A</v>
      </c>
      <c r="T31" s="609" t="e">
        <f>IF(INDEX([1]Temps!$D$7:$AH$30,T$3,DAY($B31))="",NA(),INDEX([1]Temps!$D$7:$AH$30,T$3,DAY($B31)))</f>
        <v>#N/A</v>
      </c>
      <c r="U31" s="609" t="e">
        <f>IF(INDEX([1]Temps!$D$7:$AH$30,U$3,DAY($B31))="",NA(),INDEX([1]Temps!$D$7:$AH$30,U$3,DAY($B31)))</f>
        <v>#N/A</v>
      </c>
      <c r="V31" s="609" t="e">
        <f>IF(INDEX([1]Temps!$D$7:$AH$30,V$3,DAY($B31))="",NA(),INDEX([1]Temps!$D$7:$AH$30,V$3,DAY($B31)))</f>
        <v>#N/A</v>
      </c>
      <c r="W31" s="609" t="e">
        <f>IF(INDEX([1]Temps!$D$7:$AH$30,W$3,DAY($B31))="",NA(),INDEX([1]Temps!$D$7:$AH$30,W$3,DAY($B31)))</f>
        <v>#N/A</v>
      </c>
      <c r="X31" s="609" t="e">
        <f>IF(INDEX([1]Temps!$D$7:$AH$30,X$3,DAY($B31))="",NA(),INDEX([1]Temps!$D$7:$AH$30,X$3,DAY($B31)))</f>
        <v>#N/A</v>
      </c>
      <c r="Y31" s="609" t="e">
        <f>IF(INDEX([1]Temps!$D$7:$AH$30,Y$3,DAY($B31))="",NA(),INDEX([1]Temps!$D$7:$AH$30,Y$3,DAY($B31)))</f>
        <v>#N/A</v>
      </c>
      <c r="Z31" s="609" t="e">
        <f>IF(INDEX([1]Temps!$D$7:$AH$30,Z$3,DAY($B31))="",NA(),INDEX([1]Temps!$D$7:$AH$30,Z$3,DAY($B31)))</f>
        <v>#N/A</v>
      </c>
      <c r="AA31" s="584"/>
      <c r="AB31" s="583">
        <f t="shared" si="6"/>
        <v>41971</v>
      </c>
      <c r="AC31" s="587" t="e">
        <f>IF(INDEX([1]Temps!$D$43:$AH$66,AC$3,DAY($B31))="",NA(),INDEX([1]Temps!$D$43:$AH$66,AC$3,DAY($B31)))</f>
        <v>#N/A</v>
      </c>
      <c r="AD31" s="587" t="e">
        <f>IF(INDEX([1]Temps!$D$43:$AH$66,AD$3,DAY($B31))="",NA(),INDEX([1]Temps!$D$43:$AH$66,AD$3,DAY($B31)))</f>
        <v>#N/A</v>
      </c>
      <c r="AE31" s="587" t="e">
        <f>IF(INDEX([1]Temps!$D$43:$AH$66,AE$3,DAY($B31))="",NA(),INDEX([1]Temps!$D$43:$AH$66,AE$3,DAY($B31)))</f>
        <v>#N/A</v>
      </c>
      <c r="AF31" s="587" t="e">
        <f>IF(INDEX([1]Temps!$D$43:$AH$66,AF$3,DAY($B31))="",NA(),INDEX([1]Temps!$D$43:$AH$66,AF$3,DAY($B31)))</f>
        <v>#N/A</v>
      </c>
      <c r="AG31" s="587" t="e">
        <f>IF(INDEX([1]Temps!$D$43:$AH$66,AG$3,DAY($B31))="",NA(),INDEX([1]Temps!$D$43:$AH$66,AG$3,DAY($B31)))</f>
        <v>#N/A</v>
      </c>
      <c r="AH31" s="587" t="e">
        <f>IF(INDEX([1]Temps!$D$43:$AH$66,AH$3,DAY($B31))="",NA(),INDEX([1]Temps!$D$43:$AH$66,AH$3,DAY($B31)))</f>
        <v>#N/A</v>
      </c>
      <c r="AI31" s="587" t="e">
        <f>IF(INDEX([1]Temps!$D$43:$AH$66,AI$3,DAY($B31))="",NA(),INDEX([1]Temps!$D$43:$AH$66,AI$3,DAY($B31)))</f>
        <v>#N/A</v>
      </c>
      <c r="AJ31" s="587" t="e">
        <f>IF(INDEX([1]Temps!$D$43:$AH$66,AJ$3,DAY($B31))="",NA(),INDEX([1]Temps!$D$43:$AH$66,AJ$3,DAY($B31)))</f>
        <v>#N/A</v>
      </c>
      <c r="AK31" s="587" t="e">
        <f>IF(INDEX([1]Temps!$D$43:$AH$66,AK$3,DAY($B31))="",NA(),INDEX([1]Temps!$D$43:$AH$66,AK$3,DAY($B31)))</f>
        <v>#N/A</v>
      </c>
      <c r="AL31" s="587" t="e">
        <f>IF(INDEX([1]Temps!$D$43:$AH$66,AL$3,DAY($B31))="",NA(),INDEX([1]Temps!$D$43:$AH$66,AL$3,DAY($B31)))</f>
        <v>#N/A</v>
      </c>
      <c r="AM31" s="587" t="e">
        <f>IF(INDEX([1]Temps!$D$43:$AH$66,AM$3,DAY($B31))="",NA(),INDEX([1]Temps!$D$43:$AH$66,AM$3,DAY($B31)))</f>
        <v>#N/A</v>
      </c>
      <c r="AN31" s="587" t="e">
        <f>IF(INDEX([1]Temps!$D$43:$AH$66,AN$3,DAY($B31))="",NA(),INDEX([1]Temps!$D$43:$AH$66,AN$3,DAY($B31)))</f>
        <v>#N/A</v>
      </c>
      <c r="AO31" s="587" t="e">
        <f>IF(INDEX([1]Temps!$D$43:$AH$66,AO$3,DAY($B31))="",NA(),INDEX([1]Temps!$D$43:$AH$66,AO$3,DAY($B31)))</f>
        <v>#N/A</v>
      </c>
      <c r="AP31" s="587" t="e">
        <f>IF(INDEX([1]Temps!$D$43:$AH$66,AP$3,DAY($B31))="",NA(),INDEX([1]Temps!$D$43:$AH$66,AP$3,DAY($B31)))</f>
        <v>#N/A</v>
      </c>
      <c r="AQ31" s="587" t="e">
        <f>IF(INDEX([1]Temps!$D$43:$AH$66,AQ$3,DAY($B31))="",NA(),INDEX([1]Temps!$D$43:$AH$66,AQ$3,DAY($B31)))</f>
        <v>#N/A</v>
      </c>
      <c r="AR31" s="587" t="e">
        <f>IF(INDEX([1]Temps!$D$43:$AH$66,AR$3,DAY($B31))="",NA(),INDEX([1]Temps!$D$43:$AH$66,AR$3,DAY($B31)))</f>
        <v>#N/A</v>
      </c>
      <c r="AS31" s="587" t="e">
        <f>IF(INDEX([1]Temps!$D$43:$AH$66,AS$3,DAY($B31))="",NA(),INDEX([1]Temps!$D$43:$AH$66,AS$3,DAY($B31)))</f>
        <v>#N/A</v>
      </c>
      <c r="AT31" s="587" t="e">
        <f>IF(INDEX([1]Temps!$D$43:$AH$66,AT$3,DAY($B31))="",NA(),INDEX([1]Temps!$D$43:$AH$66,AT$3,DAY($B31)))</f>
        <v>#N/A</v>
      </c>
      <c r="AU31" s="587" t="e">
        <f>IF(INDEX([1]Temps!$D$43:$AH$66,AU$3,DAY($B31))="",NA(),INDEX([1]Temps!$D$43:$AH$66,AU$3,DAY($B31)))</f>
        <v>#N/A</v>
      </c>
      <c r="AV31" s="587" t="e">
        <f>IF(INDEX([1]Temps!$D$43:$AH$66,AV$3,DAY($B31))="",NA(),INDEX([1]Temps!$D$43:$AH$66,AV$3,DAY($B31)))</f>
        <v>#N/A</v>
      </c>
      <c r="AW31" s="587" t="e">
        <f>IF(INDEX([1]Temps!$D$43:$AH$66,AW$3,DAY($B31))="",NA(),INDEX([1]Temps!$D$43:$AH$66,AW$3,DAY($B31)))</f>
        <v>#N/A</v>
      </c>
      <c r="AX31" s="587" t="e">
        <f>IF(INDEX([1]Temps!$D$43:$AH$66,AX$3,DAY($B31))="",NA(),INDEX([1]Temps!$D$43:$AH$66,AX$3,DAY($B31)))</f>
        <v>#N/A</v>
      </c>
      <c r="AY31" s="587" t="e">
        <f>IF(INDEX([1]Temps!$D$43:$AH$66,AY$3,DAY($B31))="",NA(),INDEX([1]Temps!$D$43:$AH$66,AY$3,DAY($B31)))</f>
        <v>#N/A</v>
      </c>
      <c r="AZ31" s="587" t="e">
        <f>IF(INDEX([1]Temps!$D$43:$AH$66,AZ$3,DAY($B31))="",NA(),INDEX([1]Temps!$D$43:$AH$66,AZ$3,DAY($B31)))</f>
        <v>#N/A</v>
      </c>
      <c r="BB31" s="583">
        <f t="shared" si="7"/>
        <v>41971</v>
      </c>
      <c r="BC31" s="587">
        <f>'[1]Hourly Load'!B31</f>
        <v>0</v>
      </c>
      <c r="BD31" s="587">
        <f>'[1]Hourly Load'!C31</f>
        <v>0</v>
      </c>
      <c r="BE31" s="587">
        <f>'[1]Hourly Load'!D31</f>
        <v>0</v>
      </c>
      <c r="BF31" s="587">
        <f>'[1]Hourly Load'!E31</f>
        <v>0</v>
      </c>
      <c r="BG31" s="587">
        <f>'[1]Hourly Load'!F31</f>
        <v>0</v>
      </c>
      <c r="BH31" s="587">
        <f>'[1]Hourly Load'!G31</f>
        <v>0</v>
      </c>
      <c r="BI31" s="587">
        <f>'[1]Hourly Load'!H31</f>
        <v>0</v>
      </c>
      <c r="BJ31" s="587">
        <f>'[1]Hourly Load'!I31</f>
        <v>0</v>
      </c>
      <c r="BK31" s="587">
        <f>'[1]Hourly Load'!J31</f>
        <v>0</v>
      </c>
      <c r="BL31" s="587">
        <f>'[1]Hourly Load'!K31</f>
        <v>0</v>
      </c>
      <c r="BM31" s="587">
        <f>'[1]Hourly Load'!L31</f>
        <v>0</v>
      </c>
      <c r="BN31" s="587">
        <f>'[1]Hourly Load'!M31</f>
        <v>0</v>
      </c>
      <c r="BO31" s="587">
        <f>'[1]Hourly Load'!N31</f>
        <v>0</v>
      </c>
      <c r="BP31" s="587">
        <f>'[1]Hourly Load'!O31</f>
        <v>0</v>
      </c>
      <c r="BQ31" s="587">
        <f>'[1]Hourly Load'!P31</f>
        <v>0</v>
      </c>
      <c r="BR31" s="587">
        <f>'[1]Hourly Load'!Q31</f>
        <v>0</v>
      </c>
      <c r="BS31" s="587">
        <f>'[1]Hourly Load'!R31</f>
        <v>0</v>
      </c>
      <c r="BT31" s="587">
        <f>'[1]Hourly Load'!S31</f>
        <v>0</v>
      </c>
      <c r="BU31" s="587">
        <f>'[1]Hourly Load'!T31</f>
        <v>0</v>
      </c>
      <c r="BV31" s="587">
        <f>'[1]Hourly Load'!U31</f>
        <v>0</v>
      </c>
      <c r="BW31" s="587">
        <f>'[1]Hourly Load'!V31</f>
        <v>0</v>
      </c>
      <c r="BX31" s="587">
        <f>'[1]Hourly Load'!W31</f>
        <v>0</v>
      </c>
      <c r="BY31" s="587">
        <f>'[1]Hourly Load'!X31</f>
        <v>0</v>
      </c>
      <c r="BZ31" s="587">
        <f>'[1]Hourly Load'!Y31</f>
        <v>0</v>
      </c>
      <c r="CA31" s="584"/>
      <c r="CB31" s="583">
        <f t="shared" si="8"/>
        <v>41971</v>
      </c>
      <c r="CC31" s="587">
        <f>'[1]Hourly Load'!AA31</f>
        <v>0</v>
      </c>
      <c r="CD31" s="587">
        <f>'[1]Hourly Load'!AB31</f>
        <v>0</v>
      </c>
      <c r="CE31" s="587">
        <f>'[1]Hourly Load'!AC31</f>
        <v>0</v>
      </c>
      <c r="CF31" s="587">
        <f>'[1]Hourly Load'!AD31</f>
        <v>0</v>
      </c>
      <c r="CG31" s="587">
        <f>'[1]Hourly Load'!AE31</f>
        <v>0</v>
      </c>
      <c r="CH31" s="587">
        <f>'[1]Hourly Load'!AF31</f>
        <v>0</v>
      </c>
      <c r="CI31" s="587">
        <f>'[1]Hourly Load'!AG31</f>
        <v>0</v>
      </c>
      <c r="CJ31" s="587">
        <f>'[1]Hourly Load'!AH31</f>
        <v>0</v>
      </c>
      <c r="CK31" s="587">
        <f>'[1]Hourly Load'!AI31</f>
        <v>0</v>
      </c>
      <c r="CL31" s="587">
        <f>'[1]Hourly Load'!AJ31</f>
        <v>0</v>
      </c>
      <c r="CM31" s="587">
        <f>'[1]Hourly Load'!AK31</f>
        <v>0</v>
      </c>
      <c r="CN31" s="587">
        <f>'[1]Hourly Load'!AL31</f>
        <v>0</v>
      </c>
      <c r="CO31" s="587">
        <f>'[1]Hourly Load'!AM31</f>
        <v>0</v>
      </c>
      <c r="CP31" s="587">
        <f>'[1]Hourly Load'!AN31</f>
        <v>0</v>
      </c>
      <c r="CQ31" s="587">
        <f>'[1]Hourly Load'!AO31</f>
        <v>0</v>
      </c>
      <c r="CR31" s="587">
        <f>'[1]Hourly Load'!AP31</f>
        <v>0</v>
      </c>
      <c r="CS31" s="587">
        <f>'[1]Hourly Load'!AQ31</f>
        <v>0</v>
      </c>
      <c r="CT31" s="587">
        <f>'[1]Hourly Load'!AR31</f>
        <v>0</v>
      </c>
      <c r="CU31" s="587">
        <f>'[1]Hourly Load'!AS31</f>
        <v>0</v>
      </c>
      <c r="CV31" s="587">
        <f>'[1]Hourly Load'!AT31</f>
        <v>0</v>
      </c>
      <c r="CW31" s="587">
        <f>'[1]Hourly Load'!AU31</f>
        <v>0</v>
      </c>
      <c r="CX31" s="587">
        <f>'[1]Hourly Load'!AV31</f>
        <v>0</v>
      </c>
      <c r="CY31" s="587">
        <f>'[1]Hourly Load'!AW31</f>
        <v>0</v>
      </c>
      <c r="CZ31" s="587">
        <f>'[1]Hourly Load'!AX31</f>
        <v>0</v>
      </c>
    </row>
    <row r="32" spans="1:104">
      <c r="A32" s="582">
        <v>29</v>
      </c>
      <c r="B32" s="583">
        <f>'Input Data'!A32</f>
        <v>41972</v>
      </c>
      <c r="C32" s="609" t="e">
        <f>IF(INDEX([1]Temps!$D$7:$AH$30,C$3,DAY($B32))="",NA(),INDEX([1]Temps!$D$7:$AH$30,C$3,DAY($B32)))</f>
        <v>#N/A</v>
      </c>
      <c r="D32" s="609" t="e">
        <f>IF(INDEX([1]Temps!$D$7:$AH$30,D$3,DAY($B32))="",NA(),INDEX([1]Temps!$D$7:$AH$30,D$3,DAY($B32)))</f>
        <v>#N/A</v>
      </c>
      <c r="E32" s="609" t="e">
        <f>IF(INDEX([1]Temps!$D$7:$AH$30,E$3,DAY($B32))="",NA(),INDEX([1]Temps!$D$7:$AH$30,E$3,DAY($B32)))</f>
        <v>#N/A</v>
      </c>
      <c r="F32" s="609" t="e">
        <f>IF(INDEX([1]Temps!$D$7:$AH$30,F$3,DAY($B32))="",NA(),INDEX([1]Temps!$D$7:$AH$30,F$3,DAY($B32)))</f>
        <v>#N/A</v>
      </c>
      <c r="G32" s="609" t="e">
        <f>IF(INDEX([1]Temps!$D$7:$AH$30,G$3,DAY($B32))="",NA(),INDEX([1]Temps!$D$7:$AH$30,G$3,DAY($B32)))</f>
        <v>#N/A</v>
      </c>
      <c r="H32" s="609" t="e">
        <f>IF(INDEX([1]Temps!$D$7:$AH$30,H$3,DAY($B32))="",NA(),INDEX([1]Temps!$D$7:$AH$30,H$3,DAY($B32)))</f>
        <v>#N/A</v>
      </c>
      <c r="I32" s="609" t="e">
        <f>IF(INDEX([1]Temps!$D$7:$AH$30,I$3,DAY($B32))="",NA(),INDEX([1]Temps!$D$7:$AH$30,I$3,DAY($B32)))</f>
        <v>#N/A</v>
      </c>
      <c r="J32" s="609" t="e">
        <f>IF(INDEX([1]Temps!$D$7:$AH$30,J$3,DAY($B32))="",NA(),INDEX([1]Temps!$D$7:$AH$30,J$3,DAY($B32)))</f>
        <v>#N/A</v>
      </c>
      <c r="K32" s="609" t="e">
        <f>IF(INDEX([1]Temps!$D$7:$AH$30,K$3,DAY($B32))="",NA(),INDEX([1]Temps!$D$7:$AH$30,K$3,DAY($B32)))</f>
        <v>#N/A</v>
      </c>
      <c r="L32" s="609" t="e">
        <f>IF(INDEX([1]Temps!$D$7:$AH$30,L$3,DAY($B32))="",NA(),INDEX([1]Temps!$D$7:$AH$30,L$3,DAY($B32)))</f>
        <v>#N/A</v>
      </c>
      <c r="M32" s="609" t="e">
        <f>IF(INDEX([1]Temps!$D$7:$AH$30,M$3,DAY($B32))="",NA(),INDEX([1]Temps!$D$7:$AH$30,M$3,DAY($B32)))</f>
        <v>#N/A</v>
      </c>
      <c r="N32" s="609" t="e">
        <f>IF(INDEX([1]Temps!$D$7:$AH$30,N$3,DAY($B32))="",NA(),INDEX([1]Temps!$D$7:$AH$30,N$3,DAY($B32)))</f>
        <v>#N/A</v>
      </c>
      <c r="O32" s="609" t="e">
        <f>IF(INDEX([1]Temps!$D$7:$AH$30,O$3,DAY($B32))="",NA(),INDEX([1]Temps!$D$7:$AH$30,O$3,DAY($B32)))</f>
        <v>#N/A</v>
      </c>
      <c r="P32" s="609" t="e">
        <f>IF(INDEX([1]Temps!$D$7:$AH$30,P$3,DAY($B32))="",NA(),INDEX([1]Temps!$D$7:$AH$30,P$3,DAY($B32)))</f>
        <v>#N/A</v>
      </c>
      <c r="Q32" s="609" t="e">
        <f>IF(INDEX([1]Temps!$D$7:$AH$30,Q$3,DAY($B32))="",NA(),INDEX([1]Temps!$D$7:$AH$30,Q$3,DAY($B32)))</f>
        <v>#N/A</v>
      </c>
      <c r="R32" s="609" t="e">
        <f>IF(INDEX([1]Temps!$D$7:$AH$30,R$3,DAY($B32))="",NA(),INDEX([1]Temps!$D$7:$AH$30,R$3,DAY($B32)))</f>
        <v>#N/A</v>
      </c>
      <c r="S32" s="609" t="e">
        <f>IF(INDEX([1]Temps!$D$7:$AH$30,S$3,DAY($B32))="",NA(),INDEX([1]Temps!$D$7:$AH$30,S$3,DAY($B32)))</f>
        <v>#N/A</v>
      </c>
      <c r="T32" s="609" t="e">
        <f>IF(INDEX([1]Temps!$D$7:$AH$30,T$3,DAY($B32))="",NA(),INDEX([1]Temps!$D$7:$AH$30,T$3,DAY($B32)))</f>
        <v>#N/A</v>
      </c>
      <c r="U32" s="609" t="e">
        <f>IF(INDEX([1]Temps!$D$7:$AH$30,U$3,DAY($B32))="",NA(),INDEX([1]Temps!$D$7:$AH$30,U$3,DAY($B32)))</f>
        <v>#N/A</v>
      </c>
      <c r="V32" s="609" t="e">
        <f>IF(INDEX([1]Temps!$D$7:$AH$30,V$3,DAY($B32))="",NA(),INDEX([1]Temps!$D$7:$AH$30,V$3,DAY($B32)))</f>
        <v>#N/A</v>
      </c>
      <c r="W32" s="609" t="e">
        <f>IF(INDEX([1]Temps!$D$7:$AH$30,W$3,DAY($B32))="",NA(),INDEX([1]Temps!$D$7:$AH$30,W$3,DAY($B32)))</f>
        <v>#N/A</v>
      </c>
      <c r="X32" s="609" t="e">
        <f>IF(INDEX([1]Temps!$D$7:$AH$30,X$3,DAY($B32))="",NA(),INDEX([1]Temps!$D$7:$AH$30,X$3,DAY($B32)))</f>
        <v>#N/A</v>
      </c>
      <c r="Y32" s="609" t="e">
        <f>IF(INDEX([1]Temps!$D$7:$AH$30,Y$3,DAY($B32))="",NA(),INDEX([1]Temps!$D$7:$AH$30,Y$3,DAY($B32)))</f>
        <v>#N/A</v>
      </c>
      <c r="Z32" s="609" t="e">
        <f>IF(INDEX([1]Temps!$D$7:$AH$30,Z$3,DAY($B32))="",NA(),INDEX([1]Temps!$D$7:$AH$30,Z$3,DAY($B32)))</f>
        <v>#N/A</v>
      </c>
      <c r="AA32" s="584"/>
      <c r="AB32" s="583">
        <f t="shared" si="6"/>
        <v>41972</v>
      </c>
      <c r="AC32" s="587" t="e">
        <f>IF(INDEX([1]Temps!$D$43:$AH$66,AC$3,DAY($B32))="",NA(),INDEX([1]Temps!$D$43:$AH$66,AC$3,DAY($B32)))</f>
        <v>#N/A</v>
      </c>
      <c r="AD32" s="587" t="e">
        <f>IF(INDEX([1]Temps!$D$43:$AH$66,AD$3,DAY($B32))="",NA(),INDEX([1]Temps!$D$43:$AH$66,AD$3,DAY($B32)))</f>
        <v>#N/A</v>
      </c>
      <c r="AE32" s="587" t="e">
        <f>IF(INDEX([1]Temps!$D$43:$AH$66,AE$3,DAY($B32))="",NA(),INDEX([1]Temps!$D$43:$AH$66,AE$3,DAY($B32)))</f>
        <v>#N/A</v>
      </c>
      <c r="AF32" s="587" t="e">
        <f>IF(INDEX([1]Temps!$D$43:$AH$66,AF$3,DAY($B32))="",NA(),INDEX([1]Temps!$D$43:$AH$66,AF$3,DAY($B32)))</f>
        <v>#N/A</v>
      </c>
      <c r="AG32" s="587" t="e">
        <f>IF(INDEX([1]Temps!$D$43:$AH$66,AG$3,DAY($B32))="",NA(),INDEX([1]Temps!$D$43:$AH$66,AG$3,DAY($B32)))</f>
        <v>#N/A</v>
      </c>
      <c r="AH32" s="587" t="e">
        <f>IF(INDEX([1]Temps!$D$43:$AH$66,AH$3,DAY($B32))="",NA(),INDEX([1]Temps!$D$43:$AH$66,AH$3,DAY($B32)))</f>
        <v>#N/A</v>
      </c>
      <c r="AI32" s="587" t="e">
        <f>IF(INDEX([1]Temps!$D$43:$AH$66,AI$3,DAY($B32))="",NA(),INDEX([1]Temps!$D$43:$AH$66,AI$3,DAY($B32)))</f>
        <v>#N/A</v>
      </c>
      <c r="AJ32" s="587" t="e">
        <f>IF(INDEX([1]Temps!$D$43:$AH$66,AJ$3,DAY($B32))="",NA(),INDEX([1]Temps!$D$43:$AH$66,AJ$3,DAY($B32)))</f>
        <v>#N/A</v>
      </c>
      <c r="AK32" s="587" t="e">
        <f>IF(INDEX([1]Temps!$D$43:$AH$66,AK$3,DAY($B32))="",NA(),INDEX([1]Temps!$D$43:$AH$66,AK$3,DAY($B32)))</f>
        <v>#N/A</v>
      </c>
      <c r="AL32" s="587" t="e">
        <f>IF(INDEX([1]Temps!$D$43:$AH$66,AL$3,DAY($B32))="",NA(),INDEX([1]Temps!$D$43:$AH$66,AL$3,DAY($B32)))</f>
        <v>#N/A</v>
      </c>
      <c r="AM32" s="587" t="e">
        <f>IF(INDEX([1]Temps!$D$43:$AH$66,AM$3,DAY($B32))="",NA(),INDEX([1]Temps!$D$43:$AH$66,AM$3,DAY($B32)))</f>
        <v>#N/A</v>
      </c>
      <c r="AN32" s="587" t="e">
        <f>IF(INDEX([1]Temps!$D$43:$AH$66,AN$3,DAY($B32))="",NA(),INDEX([1]Temps!$D$43:$AH$66,AN$3,DAY($B32)))</f>
        <v>#N/A</v>
      </c>
      <c r="AO32" s="587" t="e">
        <f>IF(INDEX([1]Temps!$D$43:$AH$66,AO$3,DAY($B32))="",NA(),INDEX([1]Temps!$D$43:$AH$66,AO$3,DAY($B32)))</f>
        <v>#N/A</v>
      </c>
      <c r="AP32" s="587" t="e">
        <f>IF(INDEX([1]Temps!$D$43:$AH$66,AP$3,DAY($B32))="",NA(),INDEX([1]Temps!$D$43:$AH$66,AP$3,DAY($B32)))</f>
        <v>#N/A</v>
      </c>
      <c r="AQ32" s="587" t="e">
        <f>IF(INDEX([1]Temps!$D$43:$AH$66,AQ$3,DAY($B32))="",NA(),INDEX([1]Temps!$D$43:$AH$66,AQ$3,DAY($B32)))</f>
        <v>#N/A</v>
      </c>
      <c r="AR32" s="587" t="e">
        <f>IF(INDEX([1]Temps!$D$43:$AH$66,AR$3,DAY($B32))="",NA(),INDEX([1]Temps!$D$43:$AH$66,AR$3,DAY($B32)))</f>
        <v>#N/A</v>
      </c>
      <c r="AS32" s="587" t="e">
        <f>IF(INDEX([1]Temps!$D$43:$AH$66,AS$3,DAY($B32))="",NA(),INDEX([1]Temps!$D$43:$AH$66,AS$3,DAY($B32)))</f>
        <v>#N/A</v>
      </c>
      <c r="AT32" s="587" t="e">
        <f>IF(INDEX([1]Temps!$D$43:$AH$66,AT$3,DAY($B32))="",NA(),INDEX([1]Temps!$D$43:$AH$66,AT$3,DAY($B32)))</f>
        <v>#N/A</v>
      </c>
      <c r="AU32" s="587" t="e">
        <f>IF(INDEX([1]Temps!$D$43:$AH$66,AU$3,DAY($B32))="",NA(),INDEX([1]Temps!$D$43:$AH$66,AU$3,DAY($B32)))</f>
        <v>#N/A</v>
      </c>
      <c r="AV32" s="587" t="e">
        <f>IF(INDEX([1]Temps!$D$43:$AH$66,AV$3,DAY($B32))="",NA(),INDEX([1]Temps!$D$43:$AH$66,AV$3,DAY($B32)))</f>
        <v>#N/A</v>
      </c>
      <c r="AW32" s="587" t="e">
        <f>IF(INDEX([1]Temps!$D$43:$AH$66,AW$3,DAY($B32))="",NA(),INDEX([1]Temps!$D$43:$AH$66,AW$3,DAY($B32)))</f>
        <v>#N/A</v>
      </c>
      <c r="AX32" s="587" t="e">
        <f>IF(INDEX([1]Temps!$D$43:$AH$66,AX$3,DAY($B32))="",NA(),INDEX([1]Temps!$D$43:$AH$66,AX$3,DAY($B32)))</f>
        <v>#N/A</v>
      </c>
      <c r="AY32" s="587" t="e">
        <f>IF(INDEX([1]Temps!$D$43:$AH$66,AY$3,DAY($B32))="",NA(),INDEX([1]Temps!$D$43:$AH$66,AY$3,DAY($B32)))</f>
        <v>#N/A</v>
      </c>
      <c r="AZ32" s="587" t="e">
        <f>IF(INDEX([1]Temps!$D$43:$AH$66,AZ$3,DAY($B32))="",NA(),INDEX([1]Temps!$D$43:$AH$66,AZ$3,DAY($B32)))</f>
        <v>#N/A</v>
      </c>
      <c r="BB32" s="583">
        <f t="shared" si="7"/>
        <v>41972</v>
      </c>
      <c r="BC32" s="587">
        <f>'[1]Hourly Load'!B32</f>
        <v>0</v>
      </c>
      <c r="BD32" s="587">
        <f>'[1]Hourly Load'!C32</f>
        <v>0</v>
      </c>
      <c r="BE32" s="587">
        <f>'[1]Hourly Load'!D32</f>
        <v>0</v>
      </c>
      <c r="BF32" s="587">
        <f>'[1]Hourly Load'!E32</f>
        <v>0</v>
      </c>
      <c r="BG32" s="587">
        <f>'[1]Hourly Load'!F32</f>
        <v>0</v>
      </c>
      <c r="BH32" s="587">
        <f>'[1]Hourly Load'!G32</f>
        <v>0</v>
      </c>
      <c r="BI32" s="587">
        <f>'[1]Hourly Load'!H32</f>
        <v>0</v>
      </c>
      <c r="BJ32" s="587">
        <f>'[1]Hourly Load'!I32</f>
        <v>0</v>
      </c>
      <c r="BK32" s="587">
        <f>'[1]Hourly Load'!J32</f>
        <v>0</v>
      </c>
      <c r="BL32" s="587">
        <f>'[1]Hourly Load'!K32</f>
        <v>0</v>
      </c>
      <c r="BM32" s="587">
        <f>'[1]Hourly Load'!L32</f>
        <v>0</v>
      </c>
      <c r="BN32" s="587">
        <f>'[1]Hourly Load'!M32</f>
        <v>0</v>
      </c>
      <c r="BO32" s="587">
        <f>'[1]Hourly Load'!N32</f>
        <v>0</v>
      </c>
      <c r="BP32" s="587">
        <f>'[1]Hourly Load'!O32</f>
        <v>0</v>
      </c>
      <c r="BQ32" s="587">
        <f>'[1]Hourly Load'!P32</f>
        <v>0</v>
      </c>
      <c r="BR32" s="587">
        <f>'[1]Hourly Load'!Q32</f>
        <v>0</v>
      </c>
      <c r="BS32" s="587">
        <f>'[1]Hourly Load'!R32</f>
        <v>0</v>
      </c>
      <c r="BT32" s="587">
        <f>'[1]Hourly Load'!S32</f>
        <v>0</v>
      </c>
      <c r="BU32" s="587">
        <f>'[1]Hourly Load'!T32</f>
        <v>0</v>
      </c>
      <c r="BV32" s="587">
        <f>'[1]Hourly Load'!U32</f>
        <v>0</v>
      </c>
      <c r="BW32" s="587">
        <f>'[1]Hourly Load'!V32</f>
        <v>0</v>
      </c>
      <c r="BX32" s="587">
        <f>'[1]Hourly Load'!W32</f>
        <v>0</v>
      </c>
      <c r="BY32" s="587">
        <f>'[1]Hourly Load'!X32</f>
        <v>0</v>
      </c>
      <c r="BZ32" s="587">
        <f>'[1]Hourly Load'!Y32</f>
        <v>0</v>
      </c>
      <c r="CA32" s="584"/>
      <c r="CB32" s="583">
        <f t="shared" si="8"/>
        <v>41972</v>
      </c>
      <c r="CC32" s="587">
        <f>'[1]Hourly Load'!AA32</f>
        <v>0</v>
      </c>
      <c r="CD32" s="587">
        <f>'[1]Hourly Load'!AB32</f>
        <v>0</v>
      </c>
      <c r="CE32" s="587">
        <f>'[1]Hourly Load'!AC32</f>
        <v>0</v>
      </c>
      <c r="CF32" s="587">
        <f>'[1]Hourly Load'!AD32</f>
        <v>0</v>
      </c>
      <c r="CG32" s="587">
        <f>'[1]Hourly Load'!AE32</f>
        <v>0</v>
      </c>
      <c r="CH32" s="587">
        <f>'[1]Hourly Load'!AF32</f>
        <v>0</v>
      </c>
      <c r="CI32" s="587">
        <f>'[1]Hourly Load'!AG32</f>
        <v>0</v>
      </c>
      <c r="CJ32" s="587">
        <f>'[1]Hourly Load'!AH32</f>
        <v>0</v>
      </c>
      <c r="CK32" s="587">
        <f>'[1]Hourly Load'!AI32</f>
        <v>0</v>
      </c>
      <c r="CL32" s="587">
        <f>'[1]Hourly Load'!AJ32</f>
        <v>0</v>
      </c>
      <c r="CM32" s="587">
        <f>'[1]Hourly Load'!AK32</f>
        <v>0</v>
      </c>
      <c r="CN32" s="587">
        <f>'[1]Hourly Load'!AL32</f>
        <v>0</v>
      </c>
      <c r="CO32" s="587">
        <f>'[1]Hourly Load'!AM32</f>
        <v>0</v>
      </c>
      <c r="CP32" s="587">
        <f>'[1]Hourly Load'!AN32</f>
        <v>0</v>
      </c>
      <c r="CQ32" s="587">
        <f>'[1]Hourly Load'!AO32</f>
        <v>0</v>
      </c>
      <c r="CR32" s="587">
        <f>'[1]Hourly Load'!AP32</f>
        <v>0</v>
      </c>
      <c r="CS32" s="587">
        <f>'[1]Hourly Load'!AQ32</f>
        <v>0</v>
      </c>
      <c r="CT32" s="587">
        <f>'[1]Hourly Load'!AR32</f>
        <v>0</v>
      </c>
      <c r="CU32" s="587">
        <f>'[1]Hourly Load'!AS32</f>
        <v>0</v>
      </c>
      <c r="CV32" s="587">
        <f>'[1]Hourly Load'!AT32</f>
        <v>0</v>
      </c>
      <c r="CW32" s="587">
        <f>'[1]Hourly Load'!AU32</f>
        <v>0</v>
      </c>
      <c r="CX32" s="587">
        <f>'[1]Hourly Load'!AV32</f>
        <v>0</v>
      </c>
      <c r="CY32" s="587">
        <f>'[1]Hourly Load'!AW32</f>
        <v>0</v>
      </c>
      <c r="CZ32" s="587">
        <f>'[1]Hourly Load'!AX32</f>
        <v>0</v>
      </c>
    </row>
    <row r="33" spans="1:104">
      <c r="A33" s="582">
        <v>30</v>
      </c>
      <c r="B33" s="583">
        <f>'Input Data'!A33</f>
        <v>41973</v>
      </c>
      <c r="C33" s="609" t="e">
        <f>IF(INDEX([1]Temps!$D$7:$AH$30,C$3,DAY($B33))="",NA(),INDEX([1]Temps!$D$7:$AH$30,C$3,DAY($B33)))</f>
        <v>#N/A</v>
      </c>
      <c r="D33" s="609" t="e">
        <f>IF(INDEX([1]Temps!$D$7:$AH$30,D$3,DAY($B33))="",NA(),INDEX([1]Temps!$D$7:$AH$30,D$3,DAY($B33)))</f>
        <v>#N/A</v>
      </c>
      <c r="E33" s="609" t="e">
        <f>IF(INDEX([1]Temps!$D$7:$AH$30,E$3,DAY($B33))="",NA(),INDEX([1]Temps!$D$7:$AH$30,E$3,DAY($B33)))</f>
        <v>#N/A</v>
      </c>
      <c r="F33" s="609" t="e">
        <f>IF(INDEX([1]Temps!$D$7:$AH$30,F$3,DAY($B33))="",NA(),INDEX([1]Temps!$D$7:$AH$30,F$3,DAY($B33)))</f>
        <v>#N/A</v>
      </c>
      <c r="G33" s="609" t="e">
        <f>IF(INDEX([1]Temps!$D$7:$AH$30,G$3,DAY($B33))="",NA(),INDEX([1]Temps!$D$7:$AH$30,G$3,DAY($B33)))</f>
        <v>#N/A</v>
      </c>
      <c r="H33" s="609" t="e">
        <f>IF(INDEX([1]Temps!$D$7:$AH$30,H$3,DAY($B33))="",NA(),INDEX([1]Temps!$D$7:$AH$30,H$3,DAY($B33)))</f>
        <v>#N/A</v>
      </c>
      <c r="I33" s="609" t="e">
        <f>IF(INDEX([1]Temps!$D$7:$AH$30,I$3,DAY($B33))="",NA(),INDEX([1]Temps!$D$7:$AH$30,I$3,DAY($B33)))</f>
        <v>#N/A</v>
      </c>
      <c r="J33" s="609" t="e">
        <f>IF(INDEX([1]Temps!$D$7:$AH$30,J$3,DAY($B33))="",NA(),INDEX([1]Temps!$D$7:$AH$30,J$3,DAY($B33)))</f>
        <v>#N/A</v>
      </c>
      <c r="K33" s="609" t="e">
        <f>IF(INDEX([1]Temps!$D$7:$AH$30,K$3,DAY($B33))="",NA(),INDEX([1]Temps!$D$7:$AH$30,K$3,DAY($B33)))</f>
        <v>#N/A</v>
      </c>
      <c r="L33" s="609" t="e">
        <f>IF(INDEX([1]Temps!$D$7:$AH$30,L$3,DAY($B33))="",NA(),INDEX([1]Temps!$D$7:$AH$30,L$3,DAY($B33)))</f>
        <v>#N/A</v>
      </c>
      <c r="M33" s="609" t="e">
        <f>IF(INDEX([1]Temps!$D$7:$AH$30,M$3,DAY($B33))="",NA(),INDEX([1]Temps!$D$7:$AH$30,M$3,DAY($B33)))</f>
        <v>#N/A</v>
      </c>
      <c r="N33" s="609" t="e">
        <f>IF(INDEX([1]Temps!$D$7:$AH$30,N$3,DAY($B33))="",NA(),INDEX([1]Temps!$D$7:$AH$30,N$3,DAY($B33)))</f>
        <v>#N/A</v>
      </c>
      <c r="O33" s="609" t="e">
        <f>IF(INDEX([1]Temps!$D$7:$AH$30,O$3,DAY($B33))="",NA(),INDEX([1]Temps!$D$7:$AH$30,O$3,DAY($B33)))</f>
        <v>#N/A</v>
      </c>
      <c r="P33" s="609" t="e">
        <f>IF(INDEX([1]Temps!$D$7:$AH$30,P$3,DAY($B33))="",NA(),INDEX([1]Temps!$D$7:$AH$30,P$3,DAY($B33)))</f>
        <v>#N/A</v>
      </c>
      <c r="Q33" s="609" t="e">
        <f>IF(INDEX([1]Temps!$D$7:$AH$30,Q$3,DAY($B33))="",NA(),INDEX([1]Temps!$D$7:$AH$30,Q$3,DAY($B33)))</f>
        <v>#N/A</v>
      </c>
      <c r="R33" s="609" t="e">
        <f>IF(INDEX([1]Temps!$D$7:$AH$30,R$3,DAY($B33))="",NA(),INDEX([1]Temps!$D$7:$AH$30,R$3,DAY($B33)))</f>
        <v>#N/A</v>
      </c>
      <c r="S33" s="609" t="e">
        <f>IF(INDEX([1]Temps!$D$7:$AH$30,S$3,DAY($B33))="",NA(),INDEX([1]Temps!$D$7:$AH$30,S$3,DAY($B33)))</f>
        <v>#N/A</v>
      </c>
      <c r="T33" s="609" t="e">
        <f>IF(INDEX([1]Temps!$D$7:$AH$30,T$3,DAY($B33))="",NA(),INDEX([1]Temps!$D$7:$AH$30,T$3,DAY($B33)))</f>
        <v>#N/A</v>
      </c>
      <c r="U33" s="609" t="e">
        <f>IF(INDEX([1]Temps!$D$7:$AH$30,U$3,DAY($B33))="",NA(),INDEX([1]Temps!$D$7:$AH$30,U$3,DAY($B33)))</f>
        <v>#N/A</v>
      </c>
      <c r="V33" s="609" t="e">
        <f>IF(INDEX([1]Temps!$D$7:$AH$30,V$3,DAY($B33))="",NA(),INDEX([1]Temps!$D$7:$AH$30,V$3,DAY($B33)))</f>
        <v>#N/A</v>
      </c>
      <c r="W33" s="609" t="e">
        <f>IF(INDEX([1]Temps!$D$7:$AH$30,W$3,DAY($B33))="",NA(),INDEX([1]Temps!$D$7:$AH$30,W$3,DAY($B33)))</f>
        <v>#N/A</v>
      </c>
      <c r="X33" s="609" t="e">
        <f>IF(INDEX([1]Temps!$D$7:$AH$30,X$3,DAY($B33))="",NA(),INDEX([1]Temps!$D$7:$AH$30,X$3,DAY($B33)))</f>
        <v>#N/A</v>
      </c>
      <c r="Y33" s="609" t="e">
        <f>IF(INDEX([1]Temps!$D$7:$AH$30,Y$3,DAY($B33))="",NA(),INDEX([1]Temps!$D$7:$AH$30,Y$3,DAY($B33)))</f>
        <v>#N/A</v>
      </c>
      <c r="Z33" s="609" t="e">
        <f>IF(INDEX([1]Temps!$D$7:$AH$30,Z$3,DAY($B33))="",NA(),INDEX([1]Temps!$D$7:$AH$30,Z$3,DAY($B33)))</f>
        <v>#N/A</v>
      </c>
      <c r="AA33" s="584"/>
      <c r="AB33" s="583">
        <f t="shared" si="6"/>
        <v>41973</v>
      </c>
      <c r="AC33" s="587" t="e">
        <f>IF(INDEX([1]Temps!$D$43:$AH$66,AC$3,DAY($B33))="",NA(),INDEX([1]Temps!$D$43:$AH$66,AC$3,DAY($B33)))</f>
        <v>#N/A</v>
      </c>
      <c r="AD33" s="587" t="e">
        <f>IF(INDEX([1]Temps!$D$43:$AH$66,AD$3,DAY($B33))="",NA(),INDEX([1]Temps!$D$43:$AH$66,AD$3,DAY($B33)))</f>
        <v>#N/A</v>
      </c>
      <c r="AE33" s="587" t="e">
        <f>IF(INDEX([1]Temps!$D$43:$AH$66,AE$3,DAY($B33))="",NA(),INDEX([1]Temps!$D$43:$AH$66,AE$3,DAY($B33)))</f>
        <v>#N/A</v>
      </c>
      <c r="AF33" s="587" t="e">
        <f>IF(INDEX([1]Temps!$D$43:$AH$66,AF$3,DAY($B33))="",NA(),INDEX([1]Temps!$D$43:$AH$66,AF$3,DAY($B33)))</f>
        <v>#N/A</v>
      </c>
      <c r="AG33" s="587" t="e">
        <f>IF(INDEX([1]Temps!$D$43:$AH$66,AG$3,DAY($B33))="",NA(),INDEX([1]Temps!$D$43:$AH$66,AG$3,DAY($B33)))</f>
        <v>#N/A</v>
      </c>
      <c r="AH33" s="587" t="e">
        <f>IF(INDEX([1]Temps!$D$43:$AH$66,AH$3,DAY($B33))="",NA(),INDEX([1]Temps!$D$43:$AH$66,AH$3,DAY($B33)))</f>
        <v>#N/A</v>
      </c>
      <c r="AI33" s="587" t="e">
        <f>IF(INDEX([1]Temps!$D$43:$AH$66,AI$3,DAY($B33))="",NA(),INDEX([1]Temps!$D$43:$AH$66,AI$3,DAY($B33)))</f>
        <v>#N/A</v>
      </c>
      <c r="AJ33" s="587" t="e">
        <f>IF(INDEX([1]Temps!$D$43:$AH$66,AJ$3,DAY($B33))="",NA(),INDEX([1]Temps!$D$43:$AH$66,AJ$3,DAY($B33)))</f>
        <v>#N/A</v>
      </c>
      <c r="AK33" s="587" t="e">
        <f>IF(INDEX([1]Temps!$D$43:$AH$66,AK$3,DAY($B33))="",NA(),INDEX([1]Temps!$D$43:$AH$66,AK$3,DAY($B33)))</f>
        <v>#N/A</v>
      </c>
      <c r="AL33" s="587" t="e">
        <f>IF(INDEX([1]Temps!$D$43:$AH$66,AL$3,DAY($B33))="",NA(),INDEX([1]Temps!$D$43:$AH$66,AL$3,DAY($B33)))</f>
        <v>#N/A</v>
      </c>
      <c r="AM33" s="587" t="e">
        <f>IF(INDEX([1]Temps!$D$43:$AH$66,AM$3,DAY($B33))="",NA(),INDEX([1]Temps!$D$43:$AH$66,AM$3,DAY($B33)))</f>
        <v>#N/A</v>
      </c>
      <c r="AN33" s="587" t="e">
        <f>IF(INDEX([1]Temps!$D$43:$AH$66,AN$3,DAY($B33))="",NA(),INDEX([1]Temps!$D$43:$AH$66,AN$3,DAY($B33)))</f>
        <v>#N/A</v>
      </c>
      <c r="AO33" s="587" t="e">
        <f>IF(INDEX([1]Temps!$D$43:$AH$66,AO$3,DAY($B33))="",NA(),INDEX([1]Temps!$D$43:$AH$66,AO$3,DAY($B33)))</f>
        <v>#N/A</v>
      </c>
      <c r="AP33" s="587" t="e">
        <f>IF(INDEX([1]Temps!$D$43:$AH$66,AP$3,DAY($B33))="",NA(),INDEX([1]Temps!$D$43:$AH$66,AP$3,DAY($B33)))</f>
        <v>#N/A</v>
      </c>
      <c r="AQ33" s="587" t="e">
        <f>IF(INDEX([1]Temps!$D$43:$AH$66,AQ$3,DAY($B33))="",NA(),INDEX([1]Temps!$D$43:$AH$66,AQ$3,DAY($B33)))</f>
        <v>#N/A</v>
      </c>
      <c r="AR33" s="587" t="e">
        <f>IF(INDEX([1]Temps!$D$43:$AH$66,AR$3,DAY($B33))="",NA(),INDEX([1]Temps!$D$43:$AH$66,AR$3,DAY($B33)))</f>
        <v>#N/A</v>
      </c>
      <c r="AS33" s="587" t="e">
        <f>IF(INDEX([1]Temps!$D$43:$AH$66,AS$3,DAY($B33))="",NA(),INDEX([1]Temps!$D$43:$AH$66,AS$3,DAY($B33)))</f>
        <v>#N/A</v>
      </c>
      <c r="AT33" s="587" t="e">
        <f>IF(INDEX([1]Temps!$D$43:$AH$66,AT$3,DAY($B33))="",NA(),INDEX([1]Temps!$D$43:$AH$66,AT$3,DAY($B33)))</f>
        <v>#N/A</v>
      </c>
      <c r="AU33" s="587" t="e">
        <f>IF(INDEX([1]Temps!$D$43:$AH$66,AU$3,DAY($B33))="",NA(),INDEX([1]Temps!$D$43:$AH$66,AU$3,DAY($B33)))</f>
        <v>#N/A</v>
      </c>
      <c r="AV33" s="587" t="e">
        <f>IF(INDEX([1]Temps!$D$43:$AH$66,AV$3,DAY($B33))="",NA(),INDEX([1]Temps!$D$43:$AH$66,AV$3,DAY($B33)))</f>
        <v>#N/A</v>
      </c>
      <c r="AW33" s="587" t="e">
        <f>IF(INDEX([1]Temps!$D$43:$AH$66,AW$3,DAY($B33))="",NA(),INDEX([1]Temps!$D$43:$AH$66,AW$3,DAY($B33)))</f>
        <v>#N/A</v>
      </c>
      <c r="AX33" s="587" t="e">
        <f>IF(INDEX([1]Temps!$D$43:$AH$66,AX$3,DAY($B33))="",NA(),INDEX([1]Temps!$D$43:$AH$66,AX$3,DAY($B33)))</f>
        <v>#N/A</v>
      </c>
      <c r="AY33" s="587" t="e">
        <f>IF(INDEX([1]Temps!$D$43:$AH$66,AY$3,DAY($B33))="",NA(),INDEX([1]Temps!$D$43:$AH$66,AY$3,DAY($B33)))</f>
        <v>#N/A</v>
      </c>
      <c r="AZ33" s="587" t="e">
        <f>IF(INDEX([1]Temps!$D$43:$AH$66,AZ$3,DAY($B33))="",NA(),INDEX([1]Temps!$D$43:$AH$66,AZ$3,DAY($B33)))</f>
        <v>#N/A</v>
      </c>
      <c r="BB33" s="583">
        <f t="shared" si="7"/>
        <v>41973</v>
      </c>
      <c r="BC33" s="587">
        <f>'[1]Hourly Load'!B33</f>
        <v>0</v>
      </c>
      <c r="BD33" s="587">
        <f>'[1]Hourly Load'!C33</f>
        <v>0</v>
      </c>
      <c r="BE33" s="587">
        <f>'[1]Hourly Load'!D33</f>
        <v>0</v>
      </c>
      <c r="BF33" s="587">
        <f>'[1]Hourly Load'!E33</f>
        <v>0</v>
      </c>
      <c r="BG33" s="587">
        <f>'[1]Hourly Load'!F33</f>
        <v>0</v>
      </c>
      <c r="BH33" s="587">
        <f>'[1]Hourly Load'!G33</f>
        <v>0</v>
      </c>
      <c r="BI33" s="587">
        <f>'[1]Hourly Load'!H33</f>
        <v>0</v>
      </c>
      <c r="BJ33" s="587">
        <f>'[1]Hourly Load'!I33</f>
        <v>0</v>
      </c>
      <c r="BK33" s="587">
        <f>'[1]Hourly Load'!J33</f>
        <v>0</v>
      </c>
      <c r="BL33" s="587">
        <f>'[1]Hourly Load'!K33</f>
        <v>0</v>
      </c>
      <c r="BM33" s="587">
        <f>'[1]Hourly Load'!L33</f>
        <v>0</v>
      </c>
      <c r="BN33" s="587">
        <f>'[1]Hourly Load'!M33</f>
        <v>0</v>
      </c>
      <c r="BO33" s="587">
        <f>'[1]Hourly Load'!N33</f>
        <v>0</v>
      </c>
      <c r="BP33" s="587">
        <f>'[1]Hourly Load'!O33</f>
        <v>0</v>
      </c>
      <c r="BQ33" s="587">
        <f>'[1]Hourly Load'!P33</f>
        <v>0</v>
      </c>
      <c r="BR33" s="587">
        <f>'[1]Hourly Load'!Q33</f>
        <v>0</v>
      </c>
      <c r="BS33" s="587">
        <f>'[1]Hourly Load'!R33</f>
        <v>0</v>
      </c>
      <c r="BT33" s="587">
        <f>'[1]Hourly Load'!S33</f>
        <v>0</v>
      </c>
      <c r="BU33" s="587">
        <f>'[1]Hourly Load'!T33</f>
        <v>0</v>
      </c>
      <c r="BV33" s="587">
        <f>'[1]Hourly Load'!U33</f>
        <v>0</v>
      </c>
      <c r="BW33" s="587">
        <f>'[1]Hourly Load'!V33</f>
        <v>0</v>
      </c>
      <c r="BX33" s="587">
        <f>'[1]Hourly Load'!W33</f>
        <v>0</v>
      </c>
      <c r="BY33" s="587">
        <f>'[1]Hourly Load'!X33</f>
        <v>0</v>
      </c>
      <c r="BZ33" s="587">
        <f>'[1]Hourly Load'!Y33</f>
        <v>0</v>
      </c>
      <c r="CA33" s="584"/>
      <c r="CB33" s="583">
        <f t="shared" si="8"/>
        <v>41973</v>
      </c>
      <c r="CC33" s="587">
        <f>'[1]Hourly Load'!AA33</f>
        <v>0</v>
      </c>
      <c r="CD33" s="587">
        <f>'[1]Hourly Load'!AB33</f>
        <v>0</v>
      </c>
      <c r="CE33" s="587">
        <f>'[1]Hourly Load'!AC33</f>
        <v>0</v>
      </c>
      <c r="CF33" s="587">
        <f>'[1]Hourly Load'!AD33</f>
        <v>0</v>
      </c>
      <c r="CG33" s="587">
        <f>'[1]Hourly Load'!AE33</f>
        <v>0</v>
      </c>
      <c r="CH33" s="587">
        <f>'[1]Hourly Load'!AF33</f>
        <v>0</v>
      </c>
      <c r="CI33" s="587">
        <f>'[1]Hourly Load'!AG33</f>
        <v>0</v>
      </c>
      <c r="CJ33" s="587">
        <f>'[1]Hourly Load'!AH33</f>
        <v>0</v>
      </c>
      <c r="CK33" s="587">
        <f>'[1]Hourly Load'!AI33</f>
        <v>0</v>
      </c>
      <c r="CL33" s="587">
        <f>'[1]Hourly Load'!AJ33</f>
        <v>0</v>
      </c>
      <c r="CM33" s="587">
        <f>'[1]Hourly Load'!AK33</f>
        <v>0</v>
      </c>
      <c r="CN33" s="587">
        <f>'[1]Hourly Load'!AL33</f>
        <v>0</v>
      </c>
      <c r="CO33" s="587">
        <f>'[1]Hourly Load'!AM33</f>
        <v>0</v>
      </c>
      <c r="CP33" s="587">
        <f>'[1]Hourly Load'!AN33</f>
        <v>0</v>
      </c>
      <c r="CQ33" s="587">
        <f>'[1]Hourly Load'!AO33</f>
        <v>0</v>
      </c>
      <c r="CR33" s="587">
        <f>'[1]Hourly Load'!AP33</f>
        <v>0</v>
      </c>
      <c r="CS33" s="587">
        <f>'[1]Hourly Load'!AQ33</f>
        <v>0</v>
      </c>
      <c r="CT33" s="587">
        <f>'[1]Hourly Load'!AR33</f>
        <v>0</v>
      </c>
      <c r="CU33" s="587">
        <f>'[1]Hourly Load'!AS33</f>
        <v>0</v>
      </c>
      <c r="CV33" s="587">
        <f>'[1]Hourly Load'!AT33</f>
        <v>0</v>
      </c>
      <c r="CW33" s="587">
        <f>'[1]Hourly Load'!AU33</f>
        <v>0</v>
      </c>
      <c r="CX33" s="587">
        <f>'[1]Hourly Load'!AV33</f>
        <v>0</v>
      </c>
      <c r="CY33" s="587">
        <f>'[1]Hourly Load'!AW33</f>
        <v>0</v>
      </c>
      <c r="CZ33" s="587">
        <f>'[1]Hourly Load'!AX33</f>
        <v>0</v>
      </c>
    </row>
    <row r="34" spans="1:104">
      <c r="A34" s="582">
        <v>31</v>
      </c>
      <c r="B34" s="583" t="str">
        <f>'Input Data'!A34</f>
        <v>-</v>
      </c>
      <c r="C34" s="609" t="e">
        <f>IF(INDEX([1]Temps!$D$7:$AH$30,C$3,DAY($B34))="",NA(),INDEX([1]Temps!$D$7:$AH$30,C$3,DAY($B34)))</f>
        <v>#VALUE!</v>
      </c>
      <c r="D34" s="609" t="e">
        <f>IF(INDEX([1]Temps!$D$7:$AH$30,D$3,DAY($B34))="",NA(),INDEX([1]Temps!$D$7:$AH$30,D$3,DAY($B34)))</f>
        <v>#VALUE!</v>
      </c>
      <c r="E34" s="609" t="e">
        <f>IF(INDEX([1]Temps!$D$7:$AH$30,E$3,DAY($B34))="",NA(),INDEX([1]Temps!$D$7:$AH$30,E$3,DAY($B34)))</f>
        <v>#VALUE!</v>
      </c>
      <c r="F34" s="609" t="e">
        <f>IF(INDEX([1]Temps!$D$7:$AH$30,F$3,DAY($B34))="",NA(),INDEX([1]Temps!$D$7:$AH$30,F$3,DAY($B34)))</f>
        <v>#VALUE!</v>
      </c>
      <c r="G34" s="609" t="e">
        <f>IF(INDEX([1]Temps!$D$7:$AH$30,G$3,DAY($B34))="",NA(),INDEX([1]Temps!$D$7:$AH$30,G$3,DAY($B34)))</f>
        <v>#VALUE!</v>
      </c>
      <c r="H34" s="609" t="e">
        <f>IF(INDEX([1]Temps!$D$7:$AH$30,H$3,DAY($B34))="",NA(),INDEX([1]Temps!$D$7:$AH$30,H$3,DAY($B34)))</f>
        <v>#VALUE!</v>
      </c>
      <c r="I34" s="609" t="e">
        <f>IF(INDEX([1]Temps!$D$7:$AH$30,I$3,DAY($B34))="",NA(),INDEX([1]Temps!$D$7:$AH$30,I$3,DAY($B34)))</f>
        <v>#VALUE!</v>
      </c>
      <c r="J34" s="609" t="e">
        <f>IF(INDEX([1]Temps!$D$7:$AH$30,J$3,DAY($B34))="",NA(),INDEX([1]Temps!$D$7:$AH$30,J$3,DAY($B34)))</f>
        <v>#VALUE!</v>
      </c>
      <c r="K34" s="609" t="e">
        <f>IF(INDEX([1]Temps!$D$7:$AH$30,K$3,DAY($B34))="",NA(),INDEX([1]Temps!$D$7:$AH$30,K$3,DAY($B34)))</f>
        <v>#VALUE!</v>
      </c>
      <c r="L34" s="609" t="e">
        <f>IF(INDEX([1]Temps!$D$7:$AH$30,L$3,DAY($B34))="",NA(),INDEX([1]Temps!$D$7:$AH$30,L$3,DAY($B34)))</f>
        <v>#VALUE!</v>
      </c>
      <c r="M34" s="609" t="e">
        <f>IF(INDEX([1]Temps!$D$7:$AH$30,M$3,DAY($B34))="",NA(),INDEX([1]Temps!$D$7:$AH$30,M$3,DAY($B34)))</f>
        <v>#VALUE!</v>
      </c>
      <c r="N34" s="609" t="e">
        <f>IF(INDEX([1]Temps!$D$7:$AH$30,N$3,DAY($B34))="",NA(),INDEX([1]Temps!$D$7:$AH$30,N$3,DAY($B34)))</f>
        <v>#VALUE!</v>
      </c>
      <c r="O34" s="609" t="e">
        <f>IF(INDEX([1]Temps!$D$7:$AH$30,O$3,DAY($B34))="",NA(),INDEX([1]Temps!$D$7:$AH$30,O$3,DAY($B34)))</f>
        <v>#VALUE!</v>
      </c>
      <c r="P34" s="609" t="e">
        <f>IF(INDEX([1]Temps!$D$7:$AH$30,P$3,DAY($B34))="",NA(),INDEX([1]Temps!$D$7:$AH$30,P$3,DAY($B34)))</f>
        <v>#VALUE!</v>
      </c>
      <c r="Q34" s="609" t="e">
        <f>IF(INDEX([1]Temps!$D$7:$AH$30,Q$3,DAY($B34))="",NA(),INDEX([1]Temps!$D$7:$AH$30,Q$3,DAY($B34)))</f>
        <v>#VALUE!</v>
      </c>
      <c r="R34" s="609" t="e">
        <f>IF(INDEX([1]Temps!$D$7:$AH$30,R$3,DAY($B34))="",NA(),INDEX([1]Temps!$D$7:$AH$30,R$3,DAY($B34)))</f>
        <v>#VALUE!</v>
      </c>
      <c r="S34" s="609" t="e">
        <f>IF(INDEX([1]Temps!$D$7:$AH$30,S$3,DAY($B34))="",NA(),INDEX([1]Temps!$D$7:$AH$30,S$3,DAY($B34)))</f>
        <v>#VALUE!</v>
      </c>
      <c r="T34" s="609" t="e">
        <f>IF(INDEX([1]Temps!$D$7:$AH$30,T$3,DAY($B34))="",NA(),INDEX([1]Temps!$D$7:$AH$30,T$3,DAY($B34)))</f>
        <v>#VALUE!</v>
      </c>
      <c r="U34" s="609" t="e">
        <f>IF(INDEX([1]Temps!$D$7:$AH$30,U$3,DAY($B34))="",NA(),INDEX([1]Temps!$D$7:$AH$30,U$3,DAY($B34)))</f>
        <v>#VALUE!</v>
      </c>
      <c r="V34" s="609" t="e">
        <f>IF(INDEX([1]Temps!$D$7:$AH$30,V$3,DAY($B34))="",NA(),INDEX([1]Temps!$D$7:$AH$30,V$3,DAY($B34)))</f>
        <v>#VALUE!</v>
      </c>
      <c r="W34" s="609" t="e">
        <f>IF(INDEX([1]Temps!$D$7:$AH$30,W$3,DAY($B34))="",NA(),INDEX([1]Temps!$D$7:$AH$30,W$3,DAY($B34)))</f>
        <v>#VALUE!</v>
      </c>
      <c r="X34" s="609" t="e">
        <f>IF(INDEX([1]Temps!$D$7:$AH$30,X$3,DAY($B34))="",NA(),INDEX([1]Temps!$D$7:$AH$30,X$3,DAY($B34)))</f>
        <v>#VALUE!</v>
      </c>
      <c r="Y34" s="609" t="e">
        <f>IF(INDEX([1]Temps!$D$7:$AH$30,Y$3,DAY($B34))="",NA(),INDEX([1]Temps!$D$7:$AH$30,Y$3,DAY($B34)))</f>
        <v>#VALUE!</v>
      </c>
      <c r="Z34" s="609" t="e">
        <f>IF(INDEX([1]Temps!$D$7:$AH$30,Z$3,DAY($B34))="",NA(),INDEX([1]Temps!$D$7:$AH$30,Z$3,DAY($B34)))</f>
        <v>#VALUE!</v>
      </c>
      <c r="AA34" s="584"/>
      <c r="AB34" s="583" t="str">
        <f t="shared" si="6"/>
        <v>-</v>
      </c>
      <c r="AC34" s="587" t="e">
        <f>IF(INDEX([1]Temps!$D$43:$AH$66,AC$3,DAY($B34))="",NA(),INDEX([1]Temps!$D$43:$AH$66,AC$3,DAY($B34)))</f>
        <v>#VALUE!</v>
      </c>
      <c r="AD34" s="587" t="e">
        <f>IF(INDEX([1]Temps!$D$43:$AH$66,AD$3,DAY($B34))="",NA(),INDEX([1]Temps!$D$43:$AH$66,AD$3,DAY($B34)))</f>
        <v>#VALUE!</v>
      </c>
      <c r="AE34" s="587" t="e">
        <f>IF(INDEX([1]Temps!$D$43:$AH$66,AE$3,DAY($B34))="",NA(),INDEX([1]Temps!$D$43:$AH$66,AE$3,DAY($B34)))</f>
        <v>#VALUE!</v>
      </c>
      <c r="AF34" s="587" t="e">
        <f>IF(INDEX([1]Temps!$D$43:$AH$66,AF$3,DAY($B34))="",NA(),INDEX([1]Temps!$D$43:$AH$66,AF$3,DAY($B34)))</f>
        <v>#VALUE!</v>
      </c>
      <c r="AG34" s="587" t="e">
        <f>IF(INDEX([1]Temps!$D$43:$AH$66,AG$3,DAY($B34))="",NA(),INDEX([1]Temps!$D$43:$AH$66,AG$3,DAY($B34)))</f>
        <v>#VALUE!</v>
      </c>
      <c r="AH34" s="587" t="e">
        <f>IF(INDEX([1]Temps!$D$43:$AH$66,AH$3,DAY($B34))="",NA(),INDEX([1]Temps!$D$43:$AH$66,AH$3,DAY($B34)))</f>
        <v>#VALUE!</v>
      </c>
      <c r="AI34" s="587" t="e">
        <f>IF(INDEX([1]Temps!$D$43:$AH$66,AI$3,DAY($B34))="",NA(),INDEX([1]Temps!$D$43:$AH$66,AI$3,DAY($B34)))</f>
        <v>#VALUE!</v>
      </c>
      <c r="AJ34" s="587" t="e">
        <f>IF(INDEX([1]Temps!$D$43:$AH$66,AJ$3,DAY($B34))="",NA(),INDEX([1]Temps!$D$43:$AH$66,AJ$3,DAY($B34)))</f>
        <v>#VALUE!</v>
      </c>
      <c r="AK34" s="587" t="e">
        <f>IF(INDEX([1]Temps!$D$43:$AH$66,AK$3,DAY($B34))="",NA(),INDEX([1]Temps!$D$43:$AH$66,AK$3,DAY($B34)))</f>
        <v>#VALUE!</v>
      </c>
      <c r="AL34" s="587" t="e">
        <f>IF(INDEX([1]Temps!$D$43:$AH$66,AL$3,DAY($B34))="",NA(),INDEX([1]Temps!$D$43:$AH$66,AL$3,DAY($B34)))</f>
        <v>#VALUE!</v>
      </c>
      <c r="AM34" s="587" t="e">
        <f>IF(INDEX([1]Temps!$D$43:$AH$66,AM$3,DAY($B34))="",NA(),INDEX([1]Temps!$D$43:$AH$66,AM$3,DAY($B34)))</f>
        <v>#VALUE!</v>
      </c>
      <c r="AN34" s="587" t="e">
        <f>IF(INDEX([1]Temps!$D$43:$AH$66,AN$3,DAY($B34))="",NA(),INDEX([1]Temps!$D$43:$AH$66,AN$3,DAY($B34)))</f>
        <v>#VALUE!</v>
      </c>
      <c r="AO34" s="587" t="e">
        <f>IF(INDEX([1]Temps!$D$43:$AH$66,AO$3,DAY($B34))="",NA(),INDEX([1]Temps!$D$43:$AH$66,AO$3,DAY($B34)))</f>
        <v>#VALUE!</v>
      </c>
      <c r="AP34" s="587" t="e">
        <f>IF(INDEX([1]Temps!$D$43:$AH$66,AP$3,DAY($B34))="",NA(),INDEX([1]Temps!$D$43:$AH$66,AP$3,DAY($B34)))</f>
        <v>#VALUE!</v>
      </c>
      <c r="AQ34" s="587" t="e">
        <f>IF(INDEX([1]Temps!$D$43:$AH$66,AQ$3,DAY($B34))="",NA(),INDEX([1]Temps!$D$43:$AH$66,AQ$3,DAY($B34)))</f>
        <v>#VALUE!</v>
      </c>
      <c r="AR34" s="587" t="e">
        <f>IF(INDEX([1]Temps!$D$43:$AH$66,AR$3,DAY($B34))="",NA(),INDEX([1]Temps!$D$43:$AH$66,AR$3,DAY($B34)))</f>
        <v>#VALUE!</v>
      </c>
      <c r="AS34" s="587" t="e">
        <f>IF(INDEX([1]Temps!$D$43:$AH$66,AS$3,DAY($B34))="",NA(),INDEX([1]Temps!$D$43:$AH$66,AS$3,DAY($B34)))</f>
        <v>#VALUE!</v>
      </c>
      <c r="AT34" s="587" t="e">
        <f>IF(INDEX([1]Temps!$D$43:$AH$66,AT$3,DAY($B34))="",NA(),INDEX([1]Temps!$D$43:$AH$66,AT$3,DAY($B34)))</f>
        <v>#VALUE!</v>
      </c>
      <c r="AU34" s="587" t="e">
        <f>IF(INDEX([1]Temps!$D$43:$AH$66,AU$3,DAY($B34))="",NA(),INDEX([1]Temps!$D$43:$AH$66,AU$3,DAY($B34)))</f>
        <v>#VALUE!</v>
      </c>
      <c r="AV34" s="587" t="e">
        <f>IF(INDEX([1]Temps!$D$43:$AH$66,AV$3,DAY($B34))="",NA(),INDEX([1]Temps!$D$43:$AH$66,AV$3,DAY($B34)))</f>
        <v>#VALUE!</v>
      </c>
      <c r="AW34" s="587" t="e">
        <f>IF(INDEX([1]Temps!$D$43:$AH$66,AW$3,DAY($B34))="",NA(),INDEX([1]Temps!$D$43:$AH$66,AW$3,DAY($B34)))</f>
        <v>#VALUE!</v>
      </c>
      <c r="AX34" s="587" t="e">
        <f>IF(INDEX([1]Temps!$D$43:$AH$66,AX$3,DAY($B34))="",NA(),INDEX([1]Temps!$D$43:$AH$66,AX$3,DAY($B34)))</f>
        <v>#VALUE!</v>
      </c>
      <c r="AY34" s="587" t="e">
        <f>IF(INDEX([1]Temps!$D$43:$AH$66,AY$3,DAY($B34))="",NA(),INDEX([1]Temps!$D$43:$AH$66,AY$3,DAY($B34)))</f>
        <v>#VALUE!</v>
      </c>
      <c r="AZ34" s="587" t="e">
        <f>IF(INDEX([1]Temps!$D$43:$AH$66,AZ$3,DAY($B34))="",NA(),INDEX([1]Temps!$D$43:$AH$66,AZ$3,DAY($B34)))</f>
        <v>#VALUE!</v>
      </c>
      <c r="BB34" s="583" t="str">
        <f t="shared" si="7"/>
        <v>-</v>
      </c>
      <c r="BC34" s="587">
        <f>'[1]Hourly Load'!B34</f>
        <v>0</v>
      </c>
      <c r="BD34" s="587">
        <f>'[1]Hourly Load'!C34</f>
        <v>0</v>
      </c>
      <c r="BE34" s="587">
        <f>'[1]Hourly Load'!D34</f>
        <v>0</v>
      </c>
      <c r="BF34" s="587">
        <f>'[1]Hourly Load'!E34</f>
        <v>0</v>
      </c>
      <c r="BG34" s="587">
        <f>'[1]Hourly Load'!F34</f>
        <v>0</v>
      </c>
      <c r="BH34" s="587">
        <f>'[1]Hourly Load'!G34</f>
        <v>0</v>
      </c>
      <c r="BI34" s="587">
        <f>'[1]Hourly Load'!H34</f>
        <v>0</v>
      </c>
      <c r="BJ34" s="587">
        <f>'[1]Hourly Load'!I34</f>
        <v>0</v>
      </c>
      <c r="BK34" s="587">
        <f>'[1]Hourly Load'!J34</f>
        <v>0</v>
      </c>
      <c r="BL34" s="587">
        <f>'[1]Hourly Load'!K34</f>
        <v>0</v>
      </c>
      <c r="BM34" s="587">
        <f>'[1]Hourly Load'!L34</f>
        <v>0</v>
      </c>
      <c r="BN34" s="587">
        <f>'[1]Hourly Load'!M34</f>
        <v>0</v>
      </c>
      <c r="BO34" s="587">
        <f>'[1]Hourly Load'!N34</f>
        <v>0</v>
      </c>
      <c r="BP34" s="587">
        <f>'[1]Hourly Load'!O34</f>
        <v>0</v>
      </c>
      <c r="BQ34" s="587">
        <f>'[1]Hourly Load'!P34</f>
        <v>0</v>
      </c>
      <c r="BR34" s="587">
        <f>'[1]Hourly Load'!Q34</f>
        <v>0</v>
      </c>
      <c r="BS34" s="587">
        <f>'[1]Hourly Load'!R34</f>
        <v>0</v>
      </c>
      <c r="BT34" s="587">
        <f>'[1]Hourly Load'!S34</f>
        <v>0</v>
      </c>
      <c r="BU34" s="587">
        <f>'[1]Hourly Load'!T34</f>
        <v>0</v>
      </c>
      <c r="BV34" s="587">
        <f>'[1]Hourly Load'!U34</f>
        <v>0</v>
      </c>
      <c r="BW34" s="587">
        <f>'[1]Hourly Load'!V34</f>
        <v>0</v>
      </c>
      <c r="BX34" s="587">
        <f>'[1]Hourly Load'!W34</f>
        <v>0</v>
      </c>
      <c r="BY34" s="587">
        <f>'[1]Hourly Load'!X34</f>
        <v>0</v>
      </c>
      <c r="BZ34" s="587">
        <f>'[1]Hourly Load'!Y34</f>
        <v>0</v>
      </c>
      <c r="CA34" s="584"/>
      <c r="CB34" s="583" t="str">
        <f t="shared" si="8"/>
        <v>-</v>
      </c>
      <c r="CC34" s="587">
        <f>'[1]Hourly Load'!AA34</f>
        <v>0</v>
      </c>
      <c r="CD34" s="587">
        <f>'[1]Hourly Load'!AB34</f>
        <v>0</v>
      </c>
      <c r="CE34" s="587">
        <f>'[1]Hourly Load'!AC34</f>
        <v>0</v>
      </c>
      <c r="CF34" s="587">
        <f>'[1]Hourly Load'!AD34</f>
        <v>0</v>
      </c>
      <c r="CG34" s="587">
        <f>'[1]Hourly Load'!AE34</f>
        <v>0</v>
      </c>
      <c r="CH34" s="587">
        <f>'[1]Hourly Load'!AF34</f>
        <v>0</v>
      </c>
      <c r="CI34" s="587">
        <f>'[1]Hourly Load'!AG34</f>
        <v>0</v>
      </c>
      <c r="CJ34" s="587">
        <f>'[1]Hourly Load'!AH34</f>
        <v>0</v>
      </c>
      <c r="CK34" s="587">
        <f>'[1]Hourly Load'!AI34</f>
        <v>0</v>
      </c>
      <c r="CL34" s="587">
        <f>'[1]Hourly Load'!AJ34</f>
        <v>0</v>
      </c>
      <c r="CM34" s="587">
        <f>'[1]Hourly Load'!AK34</f>
        <v>0</v>
      </c>
      <c r="CN34" s="587">
        <f>'[1]Hourly Load'!AL34</f>
        <v>0</v>
      </c>
      <c r="CO34" s="587">
        <f>'[1]Hourly Load'!AM34</f>
        <v>0</v>
      </c>
      <c r="CP34" s="587">
        <f>'[1]Hourly Load'!AN34</f>
        <v>0</v>
      </c>
      <c r="CQ34" s="587">
        <f>'[1]Hourly Load'!AO34</f>
        <v>0</v>
      </c>
      <c r="CR34" s="587">
        <f>'[1]Hourly Load'!AP34</f>
        <v>0</v>
      </c>
      <c r="CS34" s="587">
        <f>'[1]Hourly Load'!AQ34</f>
        <v>0</v>
      </c>
      <c r="CT34" s="587">
        <f>'[1]Hourly Load'!AR34</f>
        <v>0</v>
      </c>
      <c r="CU34" s="587">
        <f>'[1]Hourly Load'!AS34</f>
        <v>0</v>
      </c>
      <c r="CV34" s="587">
        <f>'[1]Hourly Load'!AT34</f>
        <v>0</v>
      </c>
      <c r="CW34" s="587">
        <f>'[1]Hourly Load'!AU34</f>
        <v>0</v>
      </c>
      <c r="CX34" s="587">
        <f>'[1]Hourly Load'!AV34</f>
        <v>0</v>
      </c>
      <c r="CY34" s="587">
        <f>'[1]Hourly Load'!AW34</f>
        <v>0</v>
      </c>
      <c r="CZ34" s="587">
        <f>'[1]Hourly Load'!AX34</f>
        <v>0</v>
      </c>
    </row>
    <row r="35" spans="1:104">
      <c r="B35" s="583"/>
    </row>
    <row r="37" spans="1:104">
      <c r="B37" s="582" t="s">
        <v>338</v>
      </c>
      <c r="C37" s="610">
        <v>23</v>
      </c>
      <c r="D37" s="589">
        <f>VLOOKUP(C37,$A$4:$B$34,2,0)</f>
        <v>41966</v>
      </c>
      <c r="E37" s="610" t="str">
        <f>VLOOKUP(WEEKDAY(D37,1),$B$44:$C$50,2,0)</f>
        <v>Sunday</v>
      </c>
      <c r="H37" s="582" t="str">
        <f>"Hourly Load and Temperature - " &amp; TEXT(D37,"M/D/YYYY")</f>
        <v>Hourly Load and Temperature - 11/23/2014</v>
      </c>
    </row>
    <row r="38" spans="1:104">
      <c r="C38" s="608">
        <v>1</v>
      </c>
      <c r="D38" s="608">
        <f t="shared" ref="D38:Z38" si="9">C38+1</f>
        <v>2</v>
      </c>
      <c r="E38" s="608">
        <f t="shared" si="9"/>
        <v>3</v>
      </c>
      <c r="F38" s="608">
        <f t="shared" si="9"/>
        <v>4</v>
      </c>
      <c r="G38" s="585">
        <f t="shared" si="9"/>
        <v>5</v>
      </c>
      <c r="H38" s="585">
        <f t="shared" si="9"/>
        <v>6</v>
      </c>
      <c r="I38" s="585">
        <f t="shared" si="9"/>
        <v>7</v>
      </c>
      <c r="J38" s="585">
        <f t="shared" si="9"/>
        <v>8</v>
      </c>
      <c r="K38" s="585">
        <f t="shared" si="9"/>
        <v>9</v>
      </c>
      <c r="L38" s="585">
        <f t="shared" si="9"/>
        <v>10</v>
      </c>
      <c r="M38" s="585">
        <f t="shared" si="9"/>
        <v>11</v>
      </c>
      <c r="N38" s="585">
        <f t="shared" si="9"/>
        <v>12</v>
      </c>
      <c r="O38" s="585">
        <f t="shared" si="9"/>
        <v>13</v>
      </c>
      <c r="P38" s="585">
        <f t="shared" si="9"/>
        <v>14</v>
      </c>
      <c r="Q38" s="585">
        <f t="shared" si="9"/>
        <v>15</v>
      </c>
      <c r="R38" s="585">
        <f t="shared" si="9"/>
        <v>16</v>
      </c>
      <c r="S38" s="585">
        <f t="shared" si="9"/>
        <v>17</v>
      </c>
      <c r="T38" s="585">
        <f t="shared" si="9"/>
        <v>18</v>
      </c>
      <c r="U38" s="585">
        <f t="shared" si="9"/>
        <v>19</v>
      </c>
      <c r="V38" s="585">
        <f t="shared" si="9"/>
        <v>20</v>
      </c>
      <c r="W38" s="585">
        <f t="shared" si="9"/>
        <v>21</v>
      </c>
      <c r="X38" s="585">
        <f t="shared" si="9"/>
        <v>22</v>
      </c>
      <c r="Y38" s="585">
        <f t="shared" si="9"/>
        <v>23</v>
      </c>
      <c r="Z38" s="585">
        <f t="shared" si="9"/>
        <v>24</v>
      </c>
      <c r="AA38" s="585"/>
    </row>
    <row r="39" spans="1:104">
      <c r="B39" s="582" t="s">
        <v>333</v>
      </c>
      <c r="C39" s="611">
        <f ca="1">IF($D$37&gt;TODAY()-1,0,MAX(0,VLOOKUP($D$37,$BB$4:$BZ$34,C$38+1,0)))</f>
        <v>2169</v>
      </c>
      <c r="D39" s="611">
        <f t="shared" ref="D39:Z39" ca="1" si="10">IF($D$37&gt;TODAY()-1,0,MAX(0,VLOOKUP($D$37,$BB$4:$BZ$34,D$38+1,0)))</f>
        <v>2139</v>
      </c>
      <c r="E39" s="611">
        <f t="shared" ca="1" si="10"/>
        <v>2080</v>
      </c>
      <c r="F39" s="611">
        <f t="shared" ca="1" si="10"/>
        <v>2057</v>
      </c>
      <c r="G39" s="611">
        <f t="shared" ca="1" si="10"/>
        <v>2029</v>
      </c>
      <c r="H39" s="611">
        <f t="shared" ca="1" si="10"/>
        <v>2086</v>
      </c>
      <c r="I39" s="611">
        <f t="shared" ca="1" si="10"/>
        <v>2160</v>
      </c>
      <c r="J39" s="611">
        <f t="shared" ca="1" si="10"/>
        <v>2156</v>
      </c>
      <c r="K39" s="611">
        <f t="shared" ca="1" si="10"/>
        <v>2286</v>
      </c>
      <c r="L39" s="611">
        <f t="shared" ca="1" si="10"/>
        <v>2269</v>
      </c>
      <c r="M39" s="611">
        <f t="shared" ca="1" si="10"/>
        <v>2287</v>
      </c>
      <c r="N39" s="611">
        <f t="shared" ca="1" si="10"/>
        <v>2197</v>
      </c>
      <c r="O39" s="611">
        <f t="shared" ca="1" si="10"/>
        <v>2274</v>
      </c>
      <c r="P39" s="611">
        <f t="shared" ca="1" si="10"/>
        <v>2263</v>
      </c>
      <c r="Q39" s="611">
        <f t="shared" ca="1" si="10"/>
        <v>2256</v>
      </c>
      <c r="R39" s="611">
        <f t="shared" ca="1" si="10"/>
        <v>2249</v>
      </c>
      <c r="S39" s="611">
        <f t="shared" ca="1" si="10"/>
        <v>2314</v>
      </c>
      <c r="T39" s="611">
        <f t="shared" ca="1" si="10"/>
        <v>2412</v>
      </c>
      <c r="U39" s="611">
        <f t="shared" ca="1" si="10"/>
        <v>2432</v>
      </c>
      <c r="V39" s="611">
        <f t="shared" ca="1" si="10"/>
        <v>2399</v>
      </c>
      <c r="W39" s="611">
        <f t="shared" ca="1" si="10"/>
        <v>2318</v>
      </c>
      <c r="X39" s="611">
        <f t="shared" ca="1" si="10"/>
        <v>2201</v>
      </c>
      <c r="Y39" s="611">
        <f t="shared" ca="1" si="10"/>
        <v>2114</v>
      </c>
      <c r="Z39" s="611">
        <f t="shared" ca="1" si="10"/>
        <v>2000</v>
      </c>
    </row>
    <row r="40" spans="1:104">
      <c r="B40" s="582" t="s">
        <v>341</v>
      </c>
      <c r="C40" s="611">
        <f ca="1">IF($D$37&gt;TODAY()-1,0,MAX(0,VLOOKUP($D$37,$CB$4:$CZ$34,C$38+1,0)))</f>
        <v>1062.760986328125</v>
      </c>
      <c r="D40" s="611">
        <f t="shared" ref="D40:Z40" ca="1" si="11">IF($D$37&gt;TODAY()-1,0,MAX(0,VLOOKUP($D$37,$CB$4:$CZ$34,D$38+1,0)))</f>
        <v>1028.1590576171875</v>
      </c>
      <c r="E40" s="611">
        <f t="shared" ca="1" si="11"/>
        <v>973.0579833984375</v>
      </c>
      <c r="F40" s="611">
        <f t="shared" ca="1" si="11"/>
        <v>964.45697021484375</v>
      </c>
      <c r="G40" s="611">
        <f t="shared" ca="1" si="11"/>
        <v>976.0570068359375</v>
      </c>
      <c r="H40" s="611">
        <f t="shared" ca="1" si="11"/>
        <v>995.655029296875</v>
      </c>
      <c r="I40" s="611">
        <f t="shared" ca="1" si="11"/>
        <v>1041.54296875</v>
      </c>
      <c r="J40" s="611">
        <f t="shared" ca="1" si="11"/>
        <v>1103.5589599609375</v>
      </c>
      <c r="K40" s="611">
        <f t="shared" ca="1" si="11"/>
        <v>1126.8609619140625</v>
      </c>
      <c r="L40" s="611">
        <f t="shared" ca="1" si="11"/>
        <v>1175.3609619140625</v>
      </c>
      <c r="M40" s="611">
        <f t="shared" ca="1" si="11"/>
        <v>1189.261962890625</v>
      </c>
      <c r="N40" s="611">
        <f t="shared" ca="1" si="11"/>
        <v>1205.458984375</v>
      </c>
      <c r="O40" s="611">
        <f t="shared" ca="1" si="11"/>
        <v>1218.657958984375</v>
      </c>
      <c r="P40" s="611">
        <f t="shared" ca="1" si="11"/>
        <v>1225.759033203125</v>
      </c>
      <c r="Q40" s="611">
        <f t="shared" ca="1" si="11"/>
        <v>1223.759033203125</v>
      </c>
      <c r="R40" s="611">
        <f t="shared" ca="1" si="11"/>
        <v>1236.15087890625</v>
      </c>
      <c r="S40" s="611">
        <f t="shared" ca="1" si="11"/>
        <v>1270.3509521484375</v>
      </c>
      <c r="T40" s="611">
        <f t="shared" ca="1" si="11"/>
        <v>1349.6600341796875</v>
      </c>
      <c r="U40" s="611">
        <f t="shared" ca="1" si="11"/>
        <v>1362.6590576171875</v>
      </c>
      <c r="V40" s="611">
        <f t="shared" ca="1" si="11"/>
        <v>1350.4530029296875</v>
      </c>
      <c r="W40" s="611">
        <f t="shared" ca="1" si="11"/>
        <v>1304.7430419921875</v>
      </c>
      <c r="X40" s="611">
        <f t="shared" ca="1" si="11"/>
        <v>1258.7569580078125</v>
      </c>
      <c r="Y40" s="611">
        <f t="shared" ca="1" si="11"/>
        <v>1193.95703125</v>
      </c>
      <c r="Z40" s="611">
        <f t="shared" ca="1" si="11"/>
        <v>1121.2490234375</v>
      </c>
    </row>
    <row r="41" spans="1:104">
      <c r="B41" s="582" t="s">
        <v>339</v>
      </c>
      <c r="C41" s="612">
        <f t="shared" ref="C41:Z41" si="12">VLOOKUP($D$37,$B$4:$Z$34,C$38+1,0)</f>
        <v>48.9</v>
      </c>
      <c r="D41" s="612">
        <f t="shared" si="12"/>
        <v>50</v>
      </c>
      <c r="E41" s="612">
        <f t="shared" si="12"/>
        <v>48.9</v>
      </c>
      <c r="F41" s="612">
        <f t="shared" si="12"/>
        <v>52</v>
      </c>
      <c r="G41" s="588">
        <f t="shared" si="12"/>
        <v>52</v>
      </c>
      <c r="H41" s="588">
        <f t="shared" si="12"/>
        <v>51.1</v>
      </c>
      <c r="I41" s="588">
        <f t="shared" si="12"/>
        <v>48.9</v>
      </c>
      <c r="J41" s="588">
        <f t="shared" si="12"/>
        <v>48</v>
      </c>
      <c r="K41" s="588">
        <f t="shared" si="12"/>
        <v>52</v>
      </c>
      <c r="L41" s="588">
        <f t="shared" si="12"/>
        <v>54</v>
      </c>
      <c r="M41" s="588">
        <f t="shared" si="12"/>
        <v>55.9</v>
      </c>
      <c r="N41" s="588">
        <f t="shared" si="12"/>
        <v>54</v>
      </c>
      <c r="O41" s="588">
        <f t="shared" si="12"/>
        <v>53.1</v>
      </c>
      <c r="P41" s="588">
        <f t="shared" si="12"/>
        <v>53.1</v>
      </c>
      <c r="Q41" s="588">
        <f t="shared" si="12"/>
        <v>52</v>
      </c>
      <c r="R41" s="588">
        <f t="shared" si="12"/>
        <v>52.366666666666667</v>
      </c>
      <c r="S41" s="588">
        <f t="shared" si="12"/>
        <v>53.1</v>
      </c>
      <c r="T41" s="588">
        <f t="shared" si="12"/>
        <v>54</v>
      </c>
      <c r="U41" s="588">
        <f t="shared" si="12"/>
        <v>55</v>
      </c>
      <c r="V41" s="588">
        <f t="shared" si="12"/>
        <v>55</v>
      </c>
      <c r="W41" s="588">
        <f t="shared" si="12"/>
        <v>55.9</v>
      </c>
      <c r="X41" s="588">
        <f t="shared" si="12"/>
        <v>57.6</v>
      </c>
      <c r="Y41" s="588">
        <f t="shared" si="12"/>
        <v>57.45</v>
      </c>
      <c r="Z41" s="588">
        <f t="shared" si="12"/>
        <v>57.274999999999999</v>
      </c>
    </row>
    <row r="42" spans="1:104">
      <c r="B42" s="582" t="s">
        <v>340</v>
      </c>
      <c r="C42" s="612">
        <f t="shared" ref="C42:Z42" si="13">VLOOKUP($D$37,$AB$4:$AZ$34,C$38+1,0)</f>
        <v>48</v>
      </c>
      <c r="D42" s="612">
        <f t="shared" si="13"/>
        <v>48.9</v>
      </c>
      <c r="E42" s="612">
        <f t="shared" si="13"/>
        <v>52</v>
      </c>
      <c r="F42" s="612">
        <f t="shared" si="13"/>
        <v>53.1</v>
      </c>
      <c r="G42" s="588">
        <f t="shared" si="13"/>
        <v>55</v>
      </c>
      <c r="H42" s="588">
        <f t="shared" si="13"/>
        <v>54</v>
      </c>
      <c r="I42" s="588">
        <f t="shared" si="13"/>
        <v>54</v>
      </c>
      <c r="J42" s="588">
        <f t="shared" si="13"/>
        <v>54</v>
      </c>
      <c r="K42" s="588">
        <f t="shared" si="13"/>
        <v>55</v>
      </c>
      <c r="L42" s="588">
        <f t="shared" si="13"/>
        <v>57</v>
      </c>
      <c r="M42" s="588">
        <f t="shared" si="13"/>
        <v>57.9</v>
      </c>
      <c r="N42" s="588">
        <f t="shared" si="13"/>
        <v>57</v>
      </c>
      <c r="O42" s="588">
        <f t="shared" si="13"/>
        <v>55.9</v>
      </c>
      <c r="P42" s="588">
        <f t="shared" si="13"/>
        <v>54.666666666666664</v>
      </c>
      <c r="Q42" s="588">
        <f t="shared" si="13"/>
        <v>54.25</v>
      </c>
      <c r="R42" s="588">
        <f t="shared" si="13"/>
        <v>54</v>
      </c>
      <c r="S42" s="588">
        <f t="shared" si="13"/>
        <v>54</v>
      </c>
      <c r="T42" s="588">
        <f t="shared" si="13"/>
        <v>54.333333333333336</v>
      </c>
      <c r="U42" s="588">
        <f t="shared" si="13"/>
        <v>55.45</v>
      </c>
      <c r="V42" s="588">
        <f t="shared" si="13"/>
        <v>55.9</v>
      </c>
      <c r="W42" s="588">
        <f t="shared" si="13"/>
        <v>57.45</v>
      </c>
      <c r="X42" s="588">
        <f t="shared" si="13"/>
        <v>59</v>
      </c>
      <c r="Y42" s="588">
        <f t="shared" si="13"/>
        <v>59</v>
      </c>
      <c r="Z42" s="588">
        <f t="shared" si="13"/>
        <v>60.1</v>
      </c>
    </row>
    <row r="44" spans="1:104">
      <c r="B44" s="582">
        <v>1</v>
      </c>
      <c r="C44" s="610" t="s">
        <v>386</v>
      </c>
    </row>
    <row r="45" spans="1:104">
      <c r="B45" s="582">
        <v>2</v>
      </c>
      <c r="C45" s="610" t="s">
        <v>387</v>
      </c>
    </row>
    <row r="46" spans="1:104">
      <c r="B46" s="582">
        <v>3</v>
      </c>
      <c r="C46" s="610" t="s">
        <v>388</v>
      </c>
    </row>
    <row r="47" spans="1:104">
      <c r="B47" s="582">
        <v>4</v>
      </c>
      <c r="C47" s="610" t="s">
        <v>389</v>
      </c>
    </row>
    <row r="48" spans="1:104">
      <c r="B48" s="582">
        <v>5</v>
      </c>
      <c r="C48" s="610" t="s">
        <v>390</v>
      </c>
    </row>
    <row r="49" spans="2:17">
      <c r="B49" s="582">
        <v>6</v>
      </c>
      <c r="C49" s="610" t="s">
        <v>391</v>
      </c>
    </row>
    <row r="50" spans="2:17">
      <c r="B50" s="582">
        <v>7</v>
      </c>
      <c r="C50" s="610" t="s">
        <v>392</v>
      </c>
    </row>
    <row r="51" spans="2:17" ht="13.5" thickBot="1">
      <c r="D51" s="620"/>
      <c r="E51" s="620"/>
      <c r="F51" s="620"/>
      <c r="G51" s="620"/>
    </row>
    <row r="52" spans="2:17">
      <c r="C52" s="620"/>
      <c r="D52" s="620"/>
      <c r="E52" s="620"/>
      <c r="F52" s="749" t="s">
        <v>360</v>
      </c>
      <c r="G52" s="750"/>
      <c r="H52" s="751" t="s">
        <v>361</v>
      </c>
      <c r="I52" s="751"/>
      <c r="J52" s="749" t="s">
        <v>366</v>
      </c>
      <c r="K52" s="750"/>
      <c r="L52" s="751" t="s">
        <v>367</v>
      </c>
      <c r="M52" s="750"/>
      <c r="N52" s="749" t="s">
        <v>368</v>
      </c>
      <c r="O52" s="750"/>
      <c r="P52" s="749" t="s">
        <v>369</v>
      </c>
      <c r="Q52" s="750"/>
    </row>
    <row r="53" spans="2:17" s="628" customFormat="1" ht="25.5" customHeight="1" thickBot="1">
      <c r="B53" s="629" t="str">
        <f>TEXT('OSS Summary'!C6,"MMM-YYYY")</f>
        <v>Nov-2014</v>
      </c>
      <c r="C53" s="630"/>
      <c r="D53" s="630" t="s">
        <v>50</v>
      </c>
      <c r="E53" s="630" t="s">
        <v>67</v>
      </c>
      <c r="F53" s="643" t="s">
        <v>362</v>
      </c>
      <c r="G53" s="644" t="s">
        <v>363</v>
      </c>
      <c r="H53" s="645" t="s">
        <v>364</v>
      </c>
      <c r="I53" s="645" t="s">
        <v>365</v>
      </c>
      <c r="J53" s="643" t="s">
        <v>372</v>
      </c>
      <c r="K53" s="644" t="s">
        <v>373</v>
      </c>
      <c r="L53" s="645" t="s">
        <v>370</v>
      </c>
      <c r="M53" s="644" t="s">
        <v>371</v>
      </c>
      <c r="N53" s="643" t="s">
        <v>374</v>
      </c>
      <c r="O53" s="644" t="s">
        <v>375</v>
      </c>
      <c r="P53" s="643" t="s">
        <v>377</v>
      </c>
      <c r="Q53" s="644" t="s">
        <v>376</v>
      </c>
    </row>
    <row r="54" spans="2:17">
      <c r="B54" s="582">
        <v>1</v>
      </c>
      <c r="C54" s="613"/>
      <c r="D54" s="613">
        <f>IF($B54&lt;='Input Data'!$A$1,'Input Data'!AG4,NA())</f>
        <v>90667</v>
      </c>
      <c r="E54" s="614">
        <f>IF('Monthly Budget Data'!G5=0,NA(),'Monthly Budget Data'!G5)</f>
        <v>77742.633369188014</v>
      </c>
      <c r="F54" s="621">
        <f>IF('Input Data'!CI4="",NA(),'Input Data'!CI4)</f>
        <v>37.015277777777776</v>
      </c>
      <c r="G54" s="622">
        <f>IF('Input Data'!CJ4="",NA(),'Input Data'!CJ4)</f>
        <v>38.114583333333336</v>
      </c>
      <c r="H54" s="625">
        <f>IFERROR(AVERAGEIFS('Daily Historical Avg Temp'!$F$4:$F$368,'Daily Historical Avg Temp'!$B$4:$B$368,MONTH($B$4),'Daily Historical Avg Temp'!$C$4:$C$368,$B54),NA())</f>
        <v>51.8</v>
      </c>
      <c r="I54" s="625">
        <f>IFERROR(AVERAGEIFS('Daily Historical Avg Temp'!$G$4:$G$368,'Daily Historical Avg Temp'!$B$4:$B$368,MONTH($B$4),'Daily Historical Avg Temp'!$C$4:$C$368,$B54),NA())</f>
        <v>53.7</v>
      </c>
      <c r="J54" s="621">
        <f>IFERROR(IF(INDEX([1]Temps!$D$80:$AH$80,1,$B54)="",NA(),INDEX([1]Temps!$D$80:$AH$80,1,$B54)),NA())</f>
        <v>41</v>
      </c>
      <c r="K54" s="622">
        <f>IFERROR(IF(INDEX([1]Temps!$D$83:$AH$83,1,$B54)="",NA(),INDEX([1]Temps!$D$83:$AH$83,1,$B54)),NA())</f>
        <v>45</v>
      </c>
      <c r="L54" s="625">
        <f>IFERROR(AVERAGEIFS('Daily Historical Avg Temp'!$D$4:$D$368,'Daily Historical Avg Temp'!$B$4:$B$368,MONTH($B$4),'Daily Historical Avg Temp'!$C$4:$C$368,$B54),NA())</f>
        <v>60.55</v>
      </c>
      <c r="M54" s="625">
        <f>IFERROR(AVERAGEIFS('Daily Historical Avg Temp'!$E$4:$E$368,'Daily Historical Avg Temp'!$B$4:$B$368,MONTH($B$4),'Daily Historical Avg Temp'!$C$4:$C$368,$B54),NA())</f>
        <v>62.85</v>
      </c>
      <c r="N54" s="621">
        <f>IFERROR(IF(INDEX([1]Temps!$D$81:$AH$81,1,$B54)="",NA(),INDEX([1]Temps!$D$81:$AH$81,1,$B54)),NA())</f>
        <v>30</v>
      </c>
      <c r="O54" s="622">
        <f>IFERROR(IF(INDEX([1]Temps!$D$84:$AH$84,1,$B54)="",NA(),INDEX([1]Temps!$D$84:$AH$84,1,$B54)),NA())</f>
        <v>29</v>
      </c>
      <c r="P54" s="625">
        <f>IFERROR(AVERAGEIFS('Daily Historical Avg Temp'!$H$4:$H$368,'Daily Historical Avg Temp'!$B$4:$B$368,MONTH($B$4),'Daily Historical Avg Temp'!$C$4:$C$368,$B54),NA())</f>
        <v>42.25</v>
      </c>
      <c r="Q54" s="622">
        <f>IFERROR(AVERAGEIFS('Daily Historical Avg Temp'!$I$4:$I$368,'Daily Historical Avg Temp'!$B$4:$B$368,MONTH($B$4),'Daily Historical Avg Temp'!$C$4:$C$368,$B54),NA())</f>
        <v>43.65</v>
      </c>
    </row>
    <row r="55" spans="2:17">
      <c r="B55" s="582">
        <f t="shared" ref="B55:B84" si="14">IF(B54="","",IF(B54+1&lt;=DAY(EOMONTH(B4,0)),B54+1,""))</f>
        <v>2</v>
      </c>
      <c r="C55" s="613"/>
      <c r="D55" s="613">
        <f>IF($B55&lt;='Input Data'!$A$1,'Input Data'!AG5,NA())</f>
        <v>86719</v>
      </c>
      <c r="E55" s="614">
        <f>IF('Monthly Budget Data'!G6=0,NA(),'Monthly Budget Data'!G6)</f>
        <v>76294.615678592934</v>
      </c>
      <c r="F55" s="621">
        <f>IF('Input Data'!CI5="",NA(),'Input Data'!CI5)</f>
        <v>38.352173913043487</v>
      </c>
      <c r="G55" s="622">
        <f>IF('Input Data'!CJ5="",NA(),'Input Data'!CJ5)</f>
        <v>38.639130434782608</v>
      </c>
      <c r="H55" s="625">
        <f>IFERROR(AVERAGEIFS('Daily Historical Avg Temp'!$F$4:$F$368,'Daily Historical Avg Temp'!$B$4:$B$368,MONTH($B$4),'Daily Historical Avg Temp'!$C$4:$C$368,$B55),NA())</f>
        <v>50</v>
      </c>
      <c r="I55" s="625">
        <f>IFERROR(AVERAGEIFS('Daily Historical Avg Temp'!$G$4:$G$368,'Daily Historical Avg Temp'!$B$4:$B$368,MONTH($B$4),'Daily Historical Avg Temp'!$C$4:$C$368,$B55),NA())</f>
        <v>51.35</v>
      </c>
      <c r="J55" s="621">
        <f>IFERROR(IF(INDEX([1]Temps!$D$80:$AH$80,1,$B55)="",NA(),INDEX([1]Temps!$D$80:$AH$80,1,$B55)),NA())</f>
        <v>52</v>
      </c>
      <c r="K55" s="622">
        <f>IFERROR(IF(INDEX([1]Temps!$D$83:$AH$83,1,$B55)="",NA(),INDEX([1]Temps!$D$83:$AH$83,1,$B55)),NA())</f>
        <v>51</v>
      </c>
      <c r="L55" s="625">
        <f>IFERROR(AVERAGEIFS('Daily Historical Avg Temp'!$D$4:$D$368,'Daily Historical Avg Temp'!$B$4:$B$368,MONTH($B$4),'Daily Historical Avg Temp'!$C$4:$C$368,$B55),NA())</f>
        <v>59.9</v>
      </c>
      <c r="M55" s="625">
        <f>IFERROR(AVERAGEIFS('Daily Historical Avg Temp'!$E$4:$E$368,'Daily Historical Avg Temp'!$B$4:$B$368,MONTH($B$4),'Daily Historical Avg Temp'!$C$4:$C$368,$B55),NA())</f>
        <v>62</v>
      </c>
      <c r="N55" s="621">
        <f>IFERROR(IF(INDEX([1]Temps!$D$81:$AH$81,1,$B55)="",NA(),INDEX([1]Temps!$D$81:$AH$81,1,$B55)),NA())</f>
        <v>27</v>
      </c>
      <c r="O55" s="622">
        <f>IFERROR(IF(INDEX([1]Temps!$D$84:$AH$84,1,$B55)="",NA(),INDEX([1]Temps!$D$84:$AH$84,1,$B55)),NA())</f>
        <v>25</v>
      </c>
      <c r="P55" s="625">
        <f>IFERROR(AVERAGEIFS('Daily Historical Avg Temp'!$H$4:$H$368,'Daily Historical Avg Temp'!$B$4:$B$368,MONTH($B$4),'Daily Historical Avg Temp'!$C$4:$C$368,$B55),NA())</f>
        <v>39.450000000000003</v>
      </c>
      <c r="Q55" s="622">
        <f>IFERROR(AVERAGEIFS('Daily Historical Avg Temp'!$I$4:$I$368,'Daily Historical Avg Temp'!$B$4:$B$368,MONTH($B$4),'Daily Historical Avg Temp'!$C$4:$C$368,$B55),NA())</f>
        <v>40.35</v>
      </c>
    </row>
    <row r="56" spans="2:17">
      <c r="B56" s="582">
        <f t="shared" si="14"/>
        <v>3</v>
      </c>
      <c r="C56" s="613"/>
      <c r="D56" s="613">
        <f>IF($B56&lt;='Input Data'!$A$1,'Input Data'!AG6,NA())</f>
        <v>91338</v>
      </c>
      <c r="E56" s="614">
        <f>IF('Monthly Budget Data'!G7=0,NA(),'Monthly Budget Data'!G7)</f>
        <v>87853.704973689746</v>
      </c>
      <c r="F56" s="621">
        <f>IF('Input Data'!CI6="",NA(),'Input Data'!CI6)</f>
        <v>51.404166666666661</v>
      </c>
      <c r="G56" s="622">
        <f>IF('Input Data'!CJ6="",NA(),'Input Data'!CJ6)</f>
        <v>51.8125</v>
      </c>
      <c r="H56" s="625">
        <f>IFERROR(AVERAGEIFS('Daily Historical Avg Temp'!$F$4:$F$368,'Daily Historical Avg Temp'!$B$4:$B$368,MONTH($B$4),'Daily Historical Avg Temp'!$C$4:$C$368,$B56),NA())</f>
        <v>46.7</v>
      </c>
      <c r="I56" s="625">
        <f>IFERROR(AVERAGEIFS('Daily Historical Avg Temp'!$G$4:$G$368,'Daily Historical Avg Temp'!$B$4:$B$368,MONTH($B$4),'Daily Historical Avg Temp'!$C$4:$C$368,$B56),NA())</f>
        <v>48.3</v>
      </c>
      <c r="J56" s="621">
        <f>IFERROR(IF(INDEX([1]Temps!$D$80:$AH$80,1,$B56)="",NA(),INDEX([1]Temps!$D$80:$AH$80,1,$B56)),NA())</f>
        <v>69</v>
      </c>
      <c r="K56" s="622">
        <f>IFERROR(IF(INDEX([1]Temps!$D$83:$AH$83,1,$B56)="",NA(),INDEX([1]Temps!$D$83:$AH$83,1,$B56)),NA())</f>
        <v>67</v>
      </c>
      <c r="L56" s="625">
        <f>IFERROR(AVERAGEIFS('Daily Historical Avg Temp'!$D$4:$D$368,'Daily Historical Avg Temp'!$B$4:$B$368,MONTH($B$4),'Daily Historical Avg Temp'!$C$4:$C$368,$B56),NA())</f>
        <v>55.5</v>
      </c>
      <c r="M56" s="625">
        <f>IFERROR(AVERAGEIFS('Daily Historical Avg Temp'!$E$4:$E$368,'Daily Historical Avg Temp'!$B$4:$B$368,MONTH($B$4),'Daily Historical Avg Temp'!$C$4:$C$368,$B56),NA())</f>
        <v>56.95</v>
      </c>
      <c r="N56" s="621">
        <f>IFERROR(IF(INDEX([1]Temps!$D$81:$AH$81,1,$B56)="",NA(),INDEX([1]Temps!$D$81:$AH$81,1,$B56)),NA())</f>
        <v>33</v>
      </c>
      <c r="O56" s="622">
        <f>IFERROR(IF(INDEX([1]Temps!$D$84:$AH$84,1,$B56)="",NA(),INDEX([1]Temps!$D$84:$AH$84,1,$B56)),NA())</f>
        <v>39</v>
      </c>
      <c r="P56" s="625">
        <f>IFERROR(AVERAGEIFS('Daily Historical Avg Temp'!$H$4:$H$368,'Daily Historical Avg Temp'!$B$4:$B$368,MONTH($B$4),'Daily Historical Avg Temp'!$C$4:$C$368,$B56),NA())</f>
        <v>37.6</v>
      </c>
      <c r="Q56" s="622">
        <f>IFERROR(AVERAGEIFS('Daily Historical Avg Temp'!$I$4:$I$368,'Daily Historical Avg Temp'!$B$4:$B$368,MONTH($B$4),'Daily Historical Avg Temp'!$C$4:$C$368,$B56),NA())</f>
        <v>39.950000000000003</v>
      </c>
    </row>
    <row r="57" spans="2:17">
      <c r="B57" s="582">
        <f t="shared" si="14"/>
        <v>4</v>
      </c>
      <c r="C57" s="613"/>
      <c r="D57" s="613">
        <f>IF($B57&lt;='Input Data'!$A$1,'Input Data'!AG7,NA())</f>
        <v>87415</v>
      </c>
      <c r="E57" s="614">
        <f>IF('Monthly Budget Data'!G8=0,NA(),'Monthly Budget Data'!G8)</f>
        <v>90013.197680882906</v>
      </c>
      <c r="F57" s="621">
        <f>IF('Input Data'!CI7="",NA(),'Input Data'!CI7)</f>
        <v>56.804166666666674</v>
      </c>
      <c r="G57" s="622">
        <f>IF('Input Data'!CJ7="",NA(),'Input Data'!CJ7)</f>
        <v>57.245833333333358</v>
      </c>
      <c r="H57" s="625">
        <f>IFERROR(AVERAGEIFS('Daily Historical Avg Temp'!$F$4:$F$368,'Daily Historical Avg Temp'!$B$4:$B$368,MONTH($B$4),'Daily Historical Avg Temp'!$C$4:$C$368,$B57),NA())</f>
        <v>48.3</v>
      </c>
      <c r="I57" s="625">
        <f>IFERROR(AVERAGEIFS('Daily Historical Avg Temp'!$G$4:$G$368,'Daily Historical Avg Temp'!$B$4:$B$368,MONTH($B$4),'Daily Historical Avg Temp'!$C$4:$C$368,$B57),NA())</f>
        <v>50.2</v>
      </c>
      <c r="J57" s="621">
        <f>IFERROR(IF(INDEX([1]Temps!$D$80:$AH$80,1,$B57)="",NA(),INDEX([1]Temps!$D$80:$AH$80,1,$B57)),NA())</f>
        <v>65</v>
      </c>
      <c r="K57" s="622">
        <f>IFERROR(IF(INDEX([1]Temps!$D$83:$AH$83,1,$B57)="",NA(),INDEX([1]Temps!$D$83:$AH$83,1,$B57)),NA())</f>
        <v>65</v>
      </c>
      <c r="L57" s="625">
        <f>IFERROR(AVERAGEIFS('Daily Historical Avg Temp'!$D$4:$D$368,'Daily Historical Avg Temp'!$B$4:$B$368,MONTH($B$4),'Daily Historical Avg Temp'!$C$4:$C$368,$B57),NA())</f>
        <v>57.95</v>
      </c>
      <c r="M57" s="625">
        <f>IFERROR(AVERAGEIFS('Daily Historical Avg Temp'!$E$4:$E$368,'Daily Historical Avg Temp'!$B$4:$B$368,MONTH($B$4),'Daily Historical Avg Temp'!$C$4:$C$368,$B57),NA())</f>
        <v>59.8</v>
      </c>
      <c r="N57" s="621">
        <f>IFERROR(IF(INDEX([1]Temps!$D$81:$AH$81,1,$B57)="",NA(),INDEX([1]Temps!$D$81:$AH$81,1,$B57)),NA())</f>
        <v>50</v>
      </c>
      <c r="O57" s="622">
        <f>IFERROR(IF(INDEX([1]Temps!$D$84:$AH$84,1,$B57)="",NA(),INDEX([1]Temps!$D$84:$AH$84,1,$B57)),NA())</f>
        <v>50</v>
      </c>
      <c r="P57" s="625">
        <f>IFERROR(AVERAGEIFS('Daily Historical Avg Temp'!$H$4:$H$368,'Daily Historical Avg Temp'!$B$4:$B$368,MONTH($B$4),'Daily Historical Avg Temp'!$C$4:$C$368,$B57),NA())</f>
        <v>38.35</v>
      </c>
      <c r="Q57" s="622">
        <f>IFERROR(AVERAGEIFS('Daily Historical Avg Temp'!$I$4:$I$368,'Daily Historical Avg Temp'!$B$4:$B$368,MONTH($B$4),'Daily Historical Avg Temp'!$C$4:$C$368,$B57),NA())</f>
        <v>40.450000000000003</v>
      </c>
    </row>
    <row r="58" spans="2:17">
      <c r="B58" s="582">
        <f t="shared" si="14"/>
        <v>5</v>
      </c>
      <c r="C58" s="613"/>
      <c r="D58" s="613">
        <f>IF($B58&lt;='Input Data'!$A$1,'Input Data'!AG8,NA())</f>
        <v>87514</v>
      </c>
      <c r="E58" s="614">
        <f>IF('Monthly Budget Data'!G9=0,NA(),'Monthly Budget Data'!G9)</f>
        <v>90527.382637702263</v>
      </c>
      <c r="F58" s="621">
        <f>IF('Input Data'!CI8="",NA(),'Input Data'!CI8)</f>
        <v>52.924652777777794</v>
      </c>
      <c r="G58" s="622">
        <f>IF('Input Data'!CJ8="",NA(),'Input Data'!CJ8)</f>
        <v>54.572222222222223</v>
      </c>
      <c r="H58" s="625">
        <f>IFERROR(AVERAGEIFS('Daily Historical Avg Temp'!$F$4:$F$368,'Daily Historical Avg Temp'!$B$4:$B$368,MONTH($B$4),'Daily Historical Avg Temp'!$C$4:$C$368,$B58),NA())</f>
        <v>48.15</v>
      </c>
      <c r="I58" s="625">
        <f>IFERROR(AVERAGEIFS('Daily Historical Avg Temp'!$G$4:$G$368,'Daily Historical Avg Temp'!$B$4:$B$368,MONTH($B$4),'Daily Historical Avg Temp'!$C$4:$C$368,$B58),NA())</f>
        <v>50.1</v>
      </c>
      <c r="J58" s="621">
        <f>IFERROR(IF(INDEX([1]Temps!$D$80:$AH$80,1,$B58)="",NA(),INDEX([1]Temps!$D$80:$AH$80,1,$B58)),NA())</f>
        <v>54</v>
      </c>
      <c r="K58" s="622">
        <f>IFERROR(IF(INDEX([1]Temps!$D$83:$AH$83,1,$B58)="",NA(),INDEX([1]Temps!$D$83:$AH$83,1,$B58)),NA())</f>
        <v>57</v>
      </c>
      <c r="L58" s="625">
        <f>IFERROR(AVERAGEIFS('Daily Historical Avg Temp'!$D$4:$D$368,'Daily Historical Avg Temp'!$B$4:$B$368,MONTH($B$4),'Daily Historical Avg Temp'!$C$4:$C$368,$B58),NA())</f>
        <v>57.65</v>
      </c>
      <c r="M58" s="625">
        <f>IFERROR(AVERAGEIFS('Daily Historical Avg Temp'!$E$4:$E$368,'Daily Historical Avg Temp'!$B$4:$B$368,MONTH($B$4),'Daily Historical Avg Temp'!$C$4:$C$368,$B58),NA())</f>
        <v>59.4</v>
      </c>
      <c r="N58" s="621">
        <f>IFERROR(IF(INDEX([1]Temps!$D$81:$AH$81,1,$B58)="",NA(),INDEX([1]Temps!$D$81:$AH$81,1,$B58)),NA())</f>
        <v>52</v>
      </c>
      <c r="O58" s="622">
        <f>IFERROR(IF(INDEX([1]Temps!$D$84:$AH$84,1,$B58)="",NA(),INDEX([1]Temps!$D$84:$AH$84,1,$B58)),NA())</f>
        <v>52</v>
      </c>
      <c r="P58" s="625">
        <f>IFERROR(AVERAGEIFS('Daily Historical Avg Temp'!$H$4:$H$368,'Daily Historical Avg Temp'!$B$4:$B$368,MONTH($B$4),'Daily Historical Avg Temp'!$C$4:$C$368,$B58),NA())</f>
        <v>38.549999999999997</v>
      </c>
      <c r="Q58" s="622">
        <f>IFERROR(AVERAGEIFS('Daily Historical Avg Temp'!$I$4:$I$368,'Daily Historical Avg Temp'!$B$4:$B$368,MONTH($B$4),'Daily Historical Avg Temp'!$C$4:$C$368,$B58),NA())</f>
        <v>40.65</v>
      </c>
    </row>
    <row r="59" spans="2:17">
      <c r="B59" s="582">
        <f t="shared" si="14"/>
        <v>6</v>
      </c>
      <c r="C59" s="613"/>
      <c r="D59" s="613">
        <f>IF($B59&lt;='Input Data'!$A$1,'Input Data'!AG9,NA())</f>
        <v>89603</v>
      </c>
      <c r="E59" s="614">
        <f>IF('Monthly Budget Data'!G10=0,NA(),'Monthly Budget Data'!G10)</f>
        <v>90958.297824827125</v>
      </c>
      <c r="F59" s="621">
        <f>IF('Input Data'!CI9="",NA(),'Input Data'!CI9)</f>
        <v>47.726041666666667</v>
      </c>
      <c r="G59" s="622">
        <f>IF('Input Data'!CJ9="",NA(),'Input Data'!CJ9)</f>
        <v>48.691666666666663</v>
      </c>
      <c r="H59" s="625">
        <f>IFERROR(AVERAGEIFS('Daily Historical Avg Temp'!$F$4:$F$368,'Daily Historical Avg Temp'!$B$4:$B$368,MONTH($B$4),'Daily Historical Avg Temp'!$C$4:$C$368,$B59),NA())</f>
        <v>46.85</v>
      </c>
      <c r="I59" s="625">
        <f>IFERROR(AVERAGEIFS('Daily Historical Avg Temp'!$G$4:$G$368,'Daily Historical Avg Temp'!$B$4:$B$368,MONTH($B$4),'Daily Historical Avg Temp'!$C$4:$C$368,$B59),NA())</f>
        <v>49.05</v>
      </c>
      <c r="J59" s="621">
        <f>IFERROR(IF(INDEX([1]Temps!$D$80:$AH$80,1,$B59)="",NA(),INDEX([1]Temps!$D$80:$AH$80,1,$B59)),NA())</f>
        <v>53</v>
      </c>
      <c r="K59" s="622">
        <f>IFERROR(IF(INDEX([1]Temps!$D$83:$AH$83,1,$B59)="",NA(),INDEX([1]Temps!$D$83:$AH$83,1,$B59)),NA())</f>
        <v>55</v>
      </c>
      <c r="L59" s="625">
        <f>IFERROR(AVERAGEIFS('Daily Historical Avg Temp'!$D$4:$D$368,'Daily Historical Avg Temp'!$B$4:$B$368,MONTH($B$4),'Daily Historical Avg Temp'!$C$4:$C$368,$B59),NA())</f>
        <v>55.35</v>
      </c>
      <c r="M59" s="625">
        <f>IFERROR(AVERAGEIFS('Daily Historical Avg Temp'!$E$4:$E$368,'Daily Historical Avg Temp'!$B$4:$B$368,MONTH($B$4),'Daily Historical Avg Temp'!$C$4:$C$368,$B59),NA())</f>
        <v>57.4</v>
      </c>
      <c r="N59" s="621">
        <f>IFERROR(IF(INDEX([1]Temps!$D$81:$AH$81,1,$B59)="",NA(),INDEX([1]Temps!$D$81:$AH$81,1,$B59)),NA())</f>
        <v>41</v>
      </c>
      <c r="O59" s="622">
        <f>IFERROR(IF(INDEX([1]Temps!$D$84:$AH$84,1,$B59)="",NA(),INDEX([1]Temps!$D$84:$AH$84,1,$B59)),NA())</f>
        <v>43</v>
      </c>
      <c r="P59" s="625">
        <f>IFERROR(AVERAGEIFS('Daily Historical Avg Temp'!$H$4:$H$368,'Daily Historical Avg Temp'!$B$4:$B$368,MONTH($B$4),'Daily Historical Avg Temp'!$C$4:$C$368,$B59),NA())</f>
        <v>38.15</v>
      </c>
      <c r="Q59" s="622">
        <f>IFERROR(AVERAGEIFS('Daily Historical Avg Temp'!$I$4:$I$368,'Daily Historical Avg Temp'!$B$4:$B$368,MONTH($B$4),'Daily Historical Avg Temp'!$C$4:$C$368,$B59),NA())</f>
        <v>40.15</v>
      </c>
    </row>
    <row r="60" spans="2:17">
      <c r="B60" s="582">
        <f t="shared" si="14"/>
        <v>7</v>
      </c>
      <c r="C60" s="613"/>
      <c r="D60" s="613">
        <f>IF($B60&lt;='Input Data'!$A$1,'Input Data'!AG10,NA())</f>
        <v>92454</v>
      </c>
      <c r="E60" s="614">
        <f>IF('Monthly Budget Data'!G11=0,NA(),'Monthly Budget Data'!G11)</f>
        <v>89360.802877482085</v>
      </c>
      <c r="F60" s="621">
        <f>IF('Input Data'!CI10="",NA(),'Input Data'!CI10)</f>
        <v>40.158333333333339</v>
      </c>
      <c r="G60" s="622">
        <f>IF('Input Data'!CJ10="",NA(),'Input Data'!CJ10)</f>
        <v>43.497222222222227</v>
      </c>
      <c r="H60" s="625">
        <f>IFERROR(AVERAGEIFS('Daily Historical Avg Temp'!$F$4:$F$368,'Daily Historical Avg Temp'!$B$4:$B$368,MONTH($B$4),'Daily Historical Avg Temp'!$C$4:$C$368,$B60),NA())</f>
        <v>47.5</v>
      </c>
      <c r="I60" s="625">
        <f>IFERROR(AVERAGEIFS('Daily Historical Avg Temp'!$G$4:$G$368,'Daily Historical Avg Temp'!$B$4:$B$368,MONTH($B$4),'Daily Historical Avg Temp'!$C$4:$C$368,$B60),NA())</f>
        <v>49.25</v>
      </c>
      <c r="J60" s="621">
        <f>IFERROR(IF(INDEX([1]Temps!$D$80:$AH$80,1,$B60)="",NA(),INDEX([1]Temps!$D$80:$AH$80,1,$B60)),NA())</f>
        <v>46</v>
      </c>
      <c r="K60" s="622">
        <f>IFERROR(IF(INDEX([1]Temps!$D$83:$AH$83,1,$B60)="",NA(),INDEX([1]Temps!$D$83:$AH$83,1,$B60)),NA())</f>
        <v>50</v>
      </c>
      <c r="L60" s="625">
        <f>IFERROR(AVERAGEIFS('Daily Historical Avg Temp'!$D$4:$D$368,'Daily Historical Avg Temp'!$B$4:$B$368,MONTH($B$4),'Daily Historical Avg Temp'!$C$4:$C$368,$B60),NA())</f>
        <v>56.55</v>
      </c>
      <c r="M60" s="625">
        <f>IFERROR(AVERAGEIFS('Daily Historical Avg Temp'!$E$4:$E$368,'Daily Historical Avg Temp'!$B$4:$B$368,MONTH($B$4),'Daily Historical Avg Temp'!$C$4:$C$368,$B60),NA())</f>
        <v>58.75</v>
      </c>
      <c r="N60" s="621">
        <f>IFERROR(IF(INDEX([1]Temps!$D$81:$AH$81,1,$B60)="",NA(),INDEX([1]Temps!$D$81:$AH$81,1,$B60)),NA())</f>
        <v>32</v>
      </c>
      <c r="O60" s="622">
        <f>IFERROR(IF(INDEX([1]Temps!$D$84:$AH$84,1,$B60)="",NA(),INDEX([1]Temps!$D$84:$AH$84,1,$B60)),NA())</f>
        <v>37</v>
      </c>
      <c r="P60" s="625">
        <f>IFERROR(AVERAGEIFS('Daily Historical Avg Temp'!$H$4:$H$368,'Daily Historical Avg Temp'!$B$4:$B$368,MONTH($B$4),'Daily Historical Avg Temp'!$C$4:$C$368,$B60),NA())</f>
        <v>38.1</v>
      </c>
      <c r="Q60" s="622">
        <f>IFERROR(AVERAGEIFS('Daily Historical Avg Temp'!$I$4:$I$368,'Daily Historical Avg Temp'!$B$4:$B$368,MONTH($B$4),'Daily Historical Avg Temp'!$C$4:$C$368,$B60),NA())</f>
        <v>39.200000000000003</v>
      </c>
    </row>
    <row r="61" spans="2:17">
      <c r="B61" s="582">
        <f t="shared" si="14"/>
        <v>8</v>
      </c>
      <c r="C61" s="613"/>
      <c r="D61" s="613">
        <f>IF($B61&lt;='Input Data'!$A$1,'Input Data'!AG11,NA())</f>
        <v>86277</v>
      </c>
      <c r="E61" s="614">
        <f>IF('Monthly Budget Data'!G12=0,NA(),'Monthly Budget Data'!G12)</f>
        <v>81011.618279048853</v>
      </c>
      <c r="F61" s="621">
        <f>IF('Input Data'!CI11="",NA(),'Input Data'!CI11)</f>
        <v>44.154166666666669</v>
      </c>
      <c r="G61" s="622">
        <f>IF('Input Data'!CJ11="",NA(),'Input Data'!CJ11)</f>
        <v>45.504166666666663</v>
      </c>
      <c r="H61" s="625">
        <f>IFERROR(AVERAGEIFS('Daily Historical Avg Temp'!$F$4:$F$368,'Daily Historical Avg Temp'!$B$4:$B$368,MONTH($B$4),'Daily Historical Avg Temp'!$C$4:$C$368,$B61),NA())</f>
        <v>47.95</v>
      </c>
      <c r="I61" s="625">
        <f>IFERROR(AVERAGEIFS('Daily Historical Avg Temp'!$G$4:$G$368,'Daily Historical Avg Temp'!$B$4:$B$368,MONTH($B$4),'Daily Historical Avg Temp'!$C$4:$C$368,$B61),NA())</f>
        <v>50.15</v>
      </c>
      <c r="J61" s="621">
        <f>IFERROR(IF(INDEX([1]Temps!$D$80:$AH$80,1,$B61)="",NA(),INDEX([1]Temps!$D$80:$AH$80,1,$B61)),NA())</f>
        <v>55</v>
      </c>
      <c r="K61" s="622">
        <f>IFERROR(IF(INDEX([1]Temps!$D$83:$AH$83,1,$B61)="",NA(),INDEX([1]Temps!$D$83:$AH$83,1,$B61)),NA())</f>
        <v>57</v>
      </c>
      <c r="L61" s="625">
        <f>IFERROR(AVERAGEIFS('Daily Historical Avg Temp'!$D$4:$D$368,'Daily Historical Avg Temp'!$B$4:$B$368,MONTH($B$4),'Daily Historical Avg Temp'!$C$4:$C$368,$B61),NA())</f>
        <v>57.25</v>
      </c>
      <c r="M61" s="625">
        <f>IFERROR(AVERAGEIFS('Daily Historical Avg Temp'!$E$4:$E$368,'Daily Historical Avg Temp'!$B$4:$B$368,MONTH($B$4),'Daily Historical Avg Temp'!$C$4:$C$368,$B61),NA())</f>
        <v>60.4</v>
      </c>
      <c r="N61" s="621">
        <f>IFERROR(IF(INDEX([1]Temps!$D$81:$AH$81,1,$B61)="",NA(),INDEX([1]Temps!$D$81:$AH$81,1,$B61)),NA())</f>
        <v>32</v>
      </c>
      <c r="O61" s="622">
        <f>IFERROR(IF(INDEX([1]Temps!$D$84:$AH$84,1,$B61)="",NA(),INDEX([1]Temps!$D$84:$AH$84,1,$B61)),NA())</f>
        <v>35</v>
      </c>
      <c r="P61" s="625">
        <f>IFERROR(AVERAGEIFS('Daily Historical Avg Temp'!$H$4:$H$368,'Daily Historical Avg Temp'!$B$4:$B$368,MONTH($B$4),'Daily Historical Avg Temp'!$C$4:$C$368,$B61),NA())</f>
        <v>38.549999999999997</v>
      </c>
      <c r="Q61" s="622">
        <f>IFERROR(AVERAGEIFS('Daily Historical Avg Temp'!$I$4:$I$368,'Daily Historical Avg Temp'!$B$4:$B$368,MONTH($B$4),'Daily Historical Avg Temp'!$C$4:$C$368,$B61),NA())</f>
        <v>40</v>
      </c>
    </row>
    <row r="62" spans="2:17">
      <c r="B62" s="582">
        <f t="shared" si="14"/>
        <v>9</v>
      </c>
      <c r="C62" s="613"/>
      <c r="D62" s="613">
        <f>IF($B62&lt;='Input Data'!$A$1,'Input Data'!AG12,NA())</f>
        <v>79269</v>
      </c>
      <c r="E62" s="614">
        <f>IF('Monthly Budget Data'!G13=0,NA(),'Monthly Budget Data'!G13)</f>
        <v>79470.655571441021</v>
      </c>
      <c r="F62" s="621">
        <f>IF('Input Data'!CI12="",NA(),'Input Data'!CI12)</f>
        <v>43.800000000000004</v>
      </c>
      <c r="G62" s="622">
        <f>IF('Input Data'!CJ12="",NA(),'Input Data'!CJ12)</f>
        <v>44.55833333333333</v>
      </c>
      <c r="H62" s="625">
        <f>IFERROR(AVERAGEIFS('Daily Historical Avg Temp'!$F$4:$F$368,'Daily Historical Avg Temp'!$B$4:$B$368,MONTH($B$4),'Daily Historical Avg Temp'!$C$4:$C$368,$B62),NA())</f>
        <v>48.7</v>
      </c>
      <c r="I62" s="625">
        <f>IFERROR(AVERAGEIFS('Daily Historical Avg Temp'!$G$4:$G$368,'Daily Historical Avg Temp'!$B$4:$B$368,MONTH($B$4),'Daily Historical Avg Temp'!$C$4:$C$368,$B62),NA())</f>
        <v>51.1</v>
      </c>
      <c r="J62" s="621">
        <f>IFERROR(IF(INDEX([1]Temps!$D$80:$AH$80,1,$B62)="",NA(),INDEX([1]Temps!$D$80:$AH$80,1,$B62)),NA())</f>
        <v>53</v>
      </c>
      <c r="K62" s="622">
        <f>IFERROR(IF(INDEX([1]Temps!$D$83:$AH$83,1,$B62)="",NA(),INDEX([1]Temps!$D$83:$AH$83,1,$B62)),NA())</f>
        <v>55</v>
      </c>
      <c r="L62" s="625">
        <f>IFERROR(AVERAGEIFS('Daily Historical Avg Temp'!$D$4:$D$368,'Daily Historical Avg Temp'!$B$4:$B$368,MONTH($B$4),'Daily Historical Avg Temp'!$C$4:$C$368,$B62),NA())</f>
        <v>58.75</v>
      </c>
      <c r="M62" s="625">
        <f>IFERROR(AVERAGEIFS('Daily Historical Avg Temp'!$E$4:$E$368,'Daily Historical Avg Temp'!$B$4:$B$368,MONTH($B$4),'Daily Historical Avg Temp'!$C$4:$C$368,$B62),NA())</f>
        <v>60.85</v>
      </c>
      <c r="N62" s="621">
        <f>IFERROR(IF(INDEX([1]Temps!$D$81:$AH$81,1,$B62)="",NA(),INDEX([1]Temps!$D$81:$AH$81,1,$B62)),NA())</f>
        <v>32</v>
      </c>
      <c r="O62" s="622">
        <f>IFERROR(IF(INDEX([1]Temps!$D$84:$AH$84,1,$B62)="",NA(),INDEX([1]Temps!$D$84:$AH$84,1,$B62)),NA())</f>
        <v>32</v>
      </c>
      <c r="P62" s="625">
        <f>IFERROR(AVERAGEIFS('Daily Historical Avg Temp'!$H$4:$H$368,'Daily Historical Avg Temp'!$B$4:$B$368,MONTH($B$4),'Daily Historical Avg Temp'!$C$4:$C$368,$B62),NA())</f>
        <v>38.6</v>
      </c>
      <c r="Q62" s="622">
        <f>IFERROR(AVERAGEIFS('Daily Historical Avg Temp'!$I$4:$I$368,'Daily Historical Avg Temp'!$B$4:$B$368,MONTH($B$4),'Daily Historical Avg Temp'!$C$4:$C$368,$B62),NA())</f>
        <v>40.9</v>
      </c>
    </row>
    <row r="63" spans="2:17">
      <c r="B63" s="582">
        <f t="shared" si="14"/>
        <v>10</v>
      </c>
      <c r="C63" s="613"/>
      <c r="D63" s="613">
        <f>IF($B63&lt;='Input Data'!$A$1,'Input Data'!AG13,NA())</f>
        <v>89373</v>
      </c>
      <c r="E63" s="614">
        <f>IF('Monthly Budget Data'!G14=0,NA(),'Monthly Budget Data'!G14)</f>
        <v>91014.453079502418</v>
      </c>
      <c r="F63" s="621">
        <f>IF('Input Data'!CI13="",NA(),'Input Data'!CI13)</f>
        <v>50.412499999999987</v>
      </c>
      <c r="G63" s="622">
        <f>IF('Input Data'!CJ13="",NA(),'Input Data'!CJ13)</f>
        <v>52.116666666666674</v>
      </c>
      <c r="H63" s="625">
        <f>IFERROR(AVERAGEIFS('Daily Historical Avg Temp'!$F$4:$F$368,'Daily Historical Avg Temp'!$B$4:$B$368,MONTH($B$4),'Daily Historical Avg Temp'!$C$4:$C$368,$B63),NA())</f>
        <v>50.1</v>
      </c>
      <c r="I63" s="625">
        <f>IFERROR(AVERAGEIFS('Daily Historical Avg Temp'!$G$4:$G$368,'Daily Historical Avg Temp'!$B$4:$B$368,MONTH($B$4),'Daily Historical Avg Temp'!$C$4:$C$368,$B63),NA())</f>
        <v>51.8</v>
      </c>
      <c r="J63" s="621">
        <f>IFERROR(IF(INDEX([1]Temps!$D$80:$AH$80,1,$B63)="",NA(),INDEX([1]Temps!$D$80:$AH$80,1,$B63)),NA())</f>
        <v>65</v>
      </c>
      <c r="K63" s="622">
        <f>IFERROR(IF(INDEX([1]Temps!$D$83:$AH$83,1,$B63)="",NA(),INDEX([1]Temps!$D$83:$AH$83,1,$B63)),NA())</f>
        <v>65</v>
      </c>
      <c r="L63" s="625">
        <f>IFERROR(AVERAGEIFS('Daily Historical Avg Temp'!$D$4:$D$368,'Daily Historical Avg Temp'!$B$4:$B$368,MONTH($B$4),'Daily Historical Avg Temp'!$C$4:$C$368,$B63),NA())</f>
        <v>59.6</v>
      </c>
      <c r="M63" s="625">
        <f>IFERROR(AVERAGEIFS('Daily Historical Avg Temp'!$E$4:$E$368,'Daily Historical Avg Temp'!$B$4:$B$368,MONTH($B$4),'Daily Historical Avg Temp'!$C$4:$C$368,$B63),NA())</f>
        <v>61.8</v>
      </c>
      <c r="N63" s="621">
        <f>IFERROR(IF(INDEX([1]Temps!$D$81:$AH$81,1,$B63)="",NA(),INDEX([1]Temps!$D$81:$AH$81,1,$B63)),NA())</f>
        <v>37</v>
      </c>
      <c r="O63" s="622">
        <f>IFERROR(IF(INDEX([1]Temps!$D$84:$AH$84,1,$B63)="",NA(),INDEX([1]Temps!$D$84:$AH$84,1,$B63)),NA())</f>
        <v>36</v>
      </c>
      <c r="P63" s="625">
        <f>IFERROR(AVERAGEIFS('Daily Historical Avg Temp'!$H$4:$H$368,'Daily Historical Avg Temp'!$B$4:$B$368,MONTH($B$4),'Daily Historical Avg Temp'!$C$4:$C$368,$B63),NA())</f>
        <v>39.950000000000003</v>
      </c>
      <c r="Q63" s="622">
        <f>IFERROR(AVERAGEIFS('Daily Historical Avg Temp'!$I$4:$I$368,'Daily Historical Avg Temp'!$B$4:$B$368,MONTH($B$4),'Daily Historical Avg Temp'!$C$4:$C$368,$B63),NA())</f>
        <v>41.9</v>
      </c>
    </row>
    <row r="64" spans="2:17">
      <c r="B64" s="582">
        <f t="shared" si="14"/>
        <v>11</v>
      </c>
      <c r="C64" s="613"/>
      <c r="D64" s="613">
        <f>IF($B64&lt;='Input Data'!$A$1,'Input Data'!AG14,NA())</f>
        <v>87201</v>
      </c>
      <c r="E64" s="614">
        <f>IF('Monthly Budget Data'!G15=0,NA(),'Monthly Budget Data'!G15)</f>
        <v>93210.212862650355</v>
      </c>
      <c r="F64" s="621">
        <f>IF('Input Data'!CI14="",NA(),'Input Data'!CI14)</f>
        <v>53.927083333333343</v>
      </c>
      <c r="G64" s="622">
        <f>IF('Input Data'!CJ14="",NA(),'Input Data'!CJ14)</f>
        <v>53.391458333333325</v>
      </c>
      <c r="H64" s="625">
        <f>IFERROR(AVERAGEIFS('Daily Historical Avg Temp'!$F$4:$F$368,'Daily Historical Avg Temp'!$B$4:$B$368,MONTH($B$4),'Daily Historical Avg Temp'!$C$4:$C$368,$B64),NA())</f>
        <v>47.1</v>
      </c>
      <c r="I64" s="625">
        <f>IFERROR(AVERAGEIFS('Daily Historical Avg Temp'!$G$4:$G$368,'Daily Historical Avg Temp'!$B$4:$B$368,MONTH($B$4),'Daily Historical Avg Temp'!$C$4:$C$368,$B64),NA())</f>
        <v>49.85</v>
      </c>
      <c r="J64" s="621">
        <f>IFERROR(IF(INDEX([1]Temps!$D$80:$AH$80,1,$B64)="",NA(),INDEX([1]Temps!$D$80:$AH$80,1,$B64)),NA())</f>
        <v>67</v>
      </c>
      <c r="K64" s="622">
        <f>IFERROR(IF(INDEX([1]Temps!$D$83:$AH$83,1,$B64)="",NA(),INDEX([1]Temps!$D$83:$AH$83,1,$B64)),NA())</f>
        <v>64</v>
      </c>
      <c r="L64" s="625">
        <f>IFERROR(AVERAGEIFS('Daily Historical Avg Temp'!$D$4:$D$368,'Daily Historical Avg Temp'!$B$4:$B$368,MONTH($B$4),'Daily Historical Avg Temp'!$C$4:$C$368,$B64),NA())</f>
        <v>56</v>
      </c>
      <c r="M64" s="625">
        <f>IFERROR(AVERAGEIFS('Daily Historical Avg Temp'!$E$4:$E$368,'Daily Historical Avg Temp'!$B$4:$B$368,MONTH($B$4),'Daily Historical Avg Temp'!$C$4:$C$368,$B64),NA())</f>
        <v>58.55</v>
      </c>
      <c r="N64" s="621">
        <f>IFERROR(IF(INDEX([1]Temps!$D$81:$AH$81,1,$B64)="",NA(),INDEX([1]Temps!$D$81:$AH$81,1,$B64)),NA())</f>
        <v>37</v>
      </c>
      <c r="O64" s="622">
        <f>IFERROR(IF(INDEX([1]Temps!$D$84:$AH$84,1,$B64)="",NA(),INDEX([1]Temps!$D$84:$AH$84,1,$B64)),NA())</f>
        <v>37</v>
      </c>
      <c r="P64" s="625">
        <f>IFERROR(AVERAGEIFS('Daily Historical Avg Temp'!$H$4:$H$368,'Daily Historical Avg Temp'!$B$4:$B$368,MONTH($B$4),'Daily Historical Avg Temp'!$C$4:$C$368,$B64),NA())</f>
        <v>37.9</v>
      </c>
      <c r="Q64" s="622">
        <f>IFERROR(AVERAGEIFS('Daily Historical Avg Temp'!$I$4:$I$368,'Daily Historical Avg Temp'!$B$4:$B$368,MONTH($B$4),'Daily Historical Avg Temp'!$C$4:$C$368,$B64),NA())</f>
        <v>40.65</v>
      </c>
    </row>
    <row r="65" spans="2:17">
      <c r="B65" s="582">
        <f t="shared" si="14"/>
        <v>12</v>
      </c>
      <c r="C65" s="613"/>
      <c r="D65" s="613">
        <f>IF($B65&lt;='Input Data'!$A$1,'Input Data'!AG15,NA())</f>
        <v>98239</v>
      </c>
      <c r="E65" s="614">
        <f>IF('Monthly Budget Data'!G16=0,NA(),'Monthly Budget Data'!G16)</f>
        <v>93640.70759138705</v>
      </c>
      <c r="F65" s="621">
        <f>IF('Input Data'!CI15="",NA(),'Input Data'!CI15)</f>
        <v>35.220833333333346</v>
      </c>
      <c r="G65" s="622">
        <f>IF('Input Data'!CJ15="",NA(),'Input Data'!CJ15)</f>
        <v>36.991666666666667</v>
      </c>
      <c r="H65" s="625">
        <f>IFERROR(AVERAGEIFS('Daily Historical Avg Temp'!$F$4:$F$368,'Daily Historical Avg Temp'!$B$4:$B$368,MONTH($B$4),'Daily Historical Avg Temp'!$C$4:$C$368,$B65),NA())</f>
        <v>46.55</v>
      </c>
      <c r="I65" s="625">
        <f>IFERROR(AVERAGEIFS('Daily Historical Avg Temp'!$G$4:$G$368,'Daily Historical Avg Temp'!$B$4:$B$368,MONTH($B$4),'Daily Historical Avg Temp'!$C$4:$C$368,$B65),NA())</f>
        <v>48.55</v>
      </c>
      <c r="J65" s="621">
        <f>IFERROR(IF(INDEX([1]Temps!$D$80:$AH$80,1,$B65)="",NA(),INDEX([1]Temps!$D$80:$AH$80,1,$B65)),NA())</f>
        <v>37</v>
      </c>
      <c r="K65" s="622">
        <f>IFERROR(IF(INDEX([1]Temps!$D$83:$AH$83,1,$B65)="",NA(),INDEX([1]Temps!$D$83:$AH$83,1,$B65)),NA())</f>
        <v>40</v>
      </c>
      <c r="L65" s="625">
        <f>IFERROR(AVERAGEIFS('Daily Historical Avg Temp'!$D$4:$D$368,'Daily Historical Avg Temp'!$B$4:$B$368,MONTH($B$4),'Daily Historical Avg Temp'!$C$4:$C$368,$B65),NA())</f>
        <v>55.9</v>
      </c>
      <c r="M65" s="625">
        <f>IFERROR(AVERAGEIFS('Daily Historical Avg Temp'!$E$4:$E$368,'Daily Historical Avg Temp'!$B$4:$B$368,MONTH($B$4),'Daily Historical Avg Temp'!$C$4:$C$368,$B65),NA())</f>
        <v>58.35</v>
      </c>
      <c r="N65" s="621">
        <f>IFERROR(IF(INDEX([1]Temps!$D$81:$AH$81,1,$B65)="",NA(),INDEX([1]Temps!$D$81:$AH$81,1,$B65)),NA())</f>
        <v>34</v>
      </c>
      <c r="O65" s="622">
        <f>IFERROR(IF(INDEX([1]Temps!$D$84:$AH$84,1,$B65)="",NA(),INDEX([1]Temps!$D$84:$AH$84,1,$B65)),NA())</f>
        <v>33</v>
      </c>
      <c r="P65" s="625">
        <f>IFERROR(AVERAGEIFS('Daily Historical Avg Temp'!$H$4:$H$368,'Daily Historical Avg Temp'!$B$4:$B$368,MONTH($B$4),'Daily Historical Avg Temp'!$C$4:$C$368,$B65),NA())</f>
        <v>36.549999999999997</v>
      </c>
      <c r="Q65" s="622">
        <f>IFERROR(AVERAGEIFS('Daily Historical Avg Temp'!$I$4:$I$368,'Daily Historical Avg Temp'!$B$4:$B$368,MONTH($B$4),'Daily Historical Avg Temp'!$C$4:$C$368,$B65),NA())</f>
        <v>37.9</v>
      </c>
    </row>
    <row r="66" spans="2:17">
      <c r="B66" s="582">
        <f t="shared" si="14"/>
        <v>13</v>
      </c>
      <c r="C66" s="613"/>
      <c r="D66" s="613">
        <f>IF($B66&lt;='Input Data'!$A$1,'Input Data'!AG16,NA())</f>
        <v>107925</v>
      </c>
      <c r="E66" s="614">
        <f>IF('Monthly Budget Data'!G17=0,NA(),'Monthly Budget Data'!G17)</f>
        <v>94087.321901102085</v>
      </c>
      <c r="F66" s="621">
        <f>IF('Input Data'!CI16="",NA(),'Input Data'!CI16)</f>
        <v>28.747916666666669</v>
      </c>
      <c r="G66" s="622">
        <f>IF('Input Data'!CJ16="",NA(),'Input Data'!CJ16)</f>
        <v>29.927083333333329</v>
      </c>
      <c r="H66" s="625">
        <f>IFERROR(AVERAGEIFS('Daily Historical Avg Temp'!$F$4:$F$368,'Daily Historical Avg Temp'!$B$4:$B$368,MONTH($B$4),'Daily Historical Avg Temp'!$C$4:$C$368,$B66),NA())</f>
        <v>47.35</v>
      </c>
      <c r="I66" s="625">
        <f>IFERROR(AVERAGEIFS('Daily Historical Avg Temp'!$G$4:$G$368,'Daily Historical Avg Temp'!$B$4:$B$368,MONTH($B$4),'Daily Historical Avg Temp'!$C$4:$C$368,$B66),NA())</f>
        <v>49.25</v>
      </c>
      <c r="J66" s="621">
        <f>IFERROR(IF(INDEX([1]Temps!$D$80:$AH$80,1,$B66)="",NA(),INDEX([1]Temps!$D$80:$AH$80,1,$B66)),NA())</f>
        <v>34</v>
      </c>
      <c r="K66" s="622">
        <f>IFERROR(IF(INDEX([1]Temps!$D$83:$AH$83,1,$B66)="",NA(),INDEX([1]Temps!$D$83:$AH$83,1,$B66)),NA())</f>
        <v>33</v>
      </c>
      <c r="L66" s="625">
        <f>IFERROR(AVERAGEIFS('Daily Historical Avg Temp'!$D$4:$D$368,'Daily Historical Avg Temp'!$B$4:$B$368,MONTH($B$4),'Daily Historical Avg Temp'!$C$4:$C$368,$B66),NA())</f>
        <v>55.4</v>
      </c>
      <c r="M66" s="625">
        <f>IFERROR(AVERAGEIFS('Daily Historical Avg Temp'!$E$4:$E$368,'Daily Historical Avg Temp'!$B$4:$B$368,MONTH($B$4),'Daily Historical Avg Temp'!$C$4:$C$368,$B66),NA())</f>
        <v>58.05</v>
      </c>
      <c r="N66" s="621">
        <f>IFERROR(IF(INDEX([1]Temps!$D$81:$AH$81,1,$B66)="",NA(),INDEX([1]Temps!$D$81:$AH$81,1,$B66)),NA())</f>
        <v>25</v>
      </c>
      <c r="O66" s="622">
        <f>IFERROR(IF(INDEX([1]Temps!$D$84:$AH$84,1,$B66)="",NA(),INDEX([1]Temps!$D$84:$AH$84,1,$B66)),NA())</f>
        <v>26</v>
      </c>
      <c r="P66" s="625">
        <f>IFERROR(AVERAGEIFS('Daily Historical Avg Temp'!$H$4:$H$368,'Daily Historical Avg Temp'!$B$4:$B$368,MONTH($B$4),'Daily Historical Avg Temp'!$C$4:$C$368,$B66),NA())</f>
        <v>39</v>
      </c>
      <c r="Q66" s="622">
        <f>IFERROR(AVERAGEIFS('Daily Historical Avg Temp'!$I$4:$I$368,'Daily Historical Avg Temp'!$B$4:$B$368,MONTH($B$4),'Daily Historical Avg Temp'!$C$4:$C$368,$B66),NA())</f>
        <v>40.200000000000003</v>
      </c>
    </row>
    <row r="67" spans="2:17">
      <c r="B67" s="582">
        <f t="shared" si="14"/>
        <v>14</v>
      </c>
      <c r="C67" s="613"/>
      <c r="D67" s="613">
        <f>IF($B67&lt;='Input Data'!$A$1,'Input Data'!AG17,NA())</f>
        <v>110898</v>
      </c>
      <c r="E67" s="614">
        <f>IF('Monthly Budget Data'!G18=0,NA(),'Monthly Budget Data'!G18)</f>
        <v>92372.942166222172</v>
      </c>
      <c r="F67" s="621">
        <f>IF('Input Data'!CI17="",NA(),'Input Data'!CI17)</f>
        <v>24.140277777777772</v>
      </c>
      <c r="G67" s="622">
        <f>IF('Input Data'!CJ17="",NA(),'Input Data'!CJ17)</f>
        <v>28.033333333333335</v>
      </c>
      <c r="H67" s="625">
        <f>IFERROR(AVERAGEIFS('Daily Historical Avg Temp'!$F$4:$F$368,'Daily Historical Avg Temp'!$B$4:$B$368,MONTH($B$4),'Daily Historical Avg Temp'!$C$4:$C$368,$B67),NA())</f>
        <v>47.05</v>
      </c>
      <c r="I67" s="625">
        <f>IFERROR(AVERAGEIFS('Daily Historical Avg Temp'!$G$4:$G$368,'Daily Historical Avg Temp'!$B$4:$B$368,MONTH($B$4),'Daily Historical Avg Temp'!$C$4:$C$368,$B67),NA())</f>
        <v>49.8</v>
      </c>
      <c r="J67" s="621">
        <f>IFERROR(IF(INDEX([1]Temps!$D$80:$AH$80,1,$B67)="",NA(),INDEX([1]Temps!$D$80:$AH$80,1,$B67)),NA())</f>
        <v>33</v>
      </c>
      <c r="K67" s="622">
        <f>IFERROR(IF(INDEX([1]Temps!$D$83:$AH$83,1,$B67)="",NA(),INDEX([1]Temps!$D$83:$AH$83,1,$B67)),NA())</f>
        <v>36</v>
      </c>
      <c r="L67" s="625">
        <f>IFERROR(AVERAGEIFS('Daily Historical Avg Temp'!$D$4:$D$368,'Daily Historical Avg Temp'!$B$4:$B$368,MONTH($B$4),'Daily Historical Avg Temp'!$C$4:$C$368,$B67),NA())</f>
        <v>55.2</v>
      </c>
      <c r="M67" s="625">
        <f>IFERROR(AVERAGEIFS('Daily Historical Avg Temp'!$E$4:$E$368,'Daily Historical Avg Temp'!$B$4:$B$368,MONTH($B$4),'Daily Historical Avg Temp'!$C$4:$C$368,$B67),NA())</f>
        <v>58.3</v>
      </c>
      <c r="N67" s="621">
        <f>IFERROR(IF(INDEX([1]Temps!$D$81:$AH$81,1,$B67)="",NA(),INDEX([1]Temps!$D$81:$AH$81,1,$B67)),NA())</f>
        <v>16</v>
      </c>
      <c r="O67" s="622">
        <f>IFERROR(IF(INDEX([1]Temps!$D$84:$AH$84,1,$B67)="",NA(),INDEX([1]Temps!$D$84:$AH$84,1,$B67)),NA())</f>
        <v>22</v>
      </c>
      <c r="P67" s="625">
        <f>IFERROR(AVERAGEIFS('Daily Historical Avg Temp'!$H$4:$H$368,'Daily Historical Avg Temp'!$B$4:$B$368,MONTH($B$4),'Daily Historical Avg Temp'!$C$4:$C$368,$B67),NA())</f>
        <v>38.700000000000003</v>
      </c>
      <c r="Q67" s="622">
        <f>IFERROR(AVERAGEIFS('Daily Historical Avg Temp'!$I$4:$I$368,'Daily Historical Avg Temp'!$B$4:$B$368,MONTH($B$4),'Daily Historical Avg Temp'!$C$4:$C$368,$B67),NA())</f>
        <v>40.950000000000003</v>
      </c>
    </row>
    <row r="68" spans="2:17">
      <c r="B68" s="582">
        <f t="shared" si="14"/>
        <v>15</v>
      </c>
      <c r="C68" s="613"/>
      <c r="D68" s="613">
        <f>IF($B68&lt;='Input Data'!$A$1,'Input Data'!AG18,NA())</f>
        <v>101830</v>
      </c>
      <c r="E68" s="614">
        <f>IF('Monthly Budget Data'!G19=0,NA(),'Monthly Budget Data'!G19)</f>
        <v>83627.378561375619</v>
      </c>
      <c r="F68" s="621">
        <f>IF('Input Data'!CI18="",NA(),'Input Data'!CI18)</f>
        <v>28.507291666666671</v>
      </c>
      <c r="G68" s="622">
        <f>IF('Input Data'!CJ18="",NA(),'Input Data'!CJ18)</f>
        <v>31.237499999999997</v>
      </c>
      <c r="H68" s="625">
        <f>IFERROR(AVERAGEIFS('Daily Historical Avg Temp'!$F$4:$F$368,'Daily Historical Avg Temp'!$B$4:$B$368,MONTH($B$4),'Daily Historical Avg Temp'!$C$4:$C$368,$B68),NA())</f>
        <v>44.75</v>
      </c>
      <c r="I68" s="625">
        <f>IFERROR(AVERAGEIFS('Daily Historical Avg Temp'!$G$4:$G$368,'Daily Historical Avg Temp'!$B$4:$B$368,MONTH($B$4),'Daily Historical Avg Temp'!$C$4:$C$368,$B68),NA())</f>
        <v>46.2</v>
      </c>
      <c r="J68" s="621">
        <f>IFERROR(IF(INDEX([1]Temps!$D$80:$AH$80,1,$B68)="",NA(),INDEX([1]Temps!$D$80:$AH$80,1,$B68)),NA())</f>
        <v>38</v>
      </c>
      <c r="K68" s="622">
        <f>IFERROR(IF(INDEX([1]Temps!$D$83:$AH$83,1,$B68)="",NA(),INDEX([1]Temps!$D$83:$AH$83,1,$B68)),NA())</f>
        <v>40</v>
      </c>
      <c r="L68" s="625">
        <f>IFERROR(AVERAGEIFS('Daily Historical Avg Temp'!$D$4:$D$368,'Daily Historical Avg Temp'!$B$4:$B$368,MONTH($B$4),'Daily Historical Avg Temp'!$C$4:$C$368,$B68),NA())</f>
        <v>52.5</v>
      </c>
      <c r="M68" s="625">
        <f>IFERROR(AVERAGEIFS('Daily Historical Avg Temp'!$E$4:$E$368,'Daily Historical Avg Temp'!$B$4:$B$368,MONTH($B$4),'Daily Historical Avg Temp'!$C$4:$C$368,$B68),NA())</f>
        <v>54.35</v>
      </c>
      <c r="N68" s="621">
        <f>IFERROR(IF(INDEX([1]Temps!$D$81:$AH$81,1,$B68)="",NA(),INDEX([1]Temps!$D$81:$AH$81,1,$B68)),NA())</f>
        <v>14</v>
      </c>
      <c r="O68" s="622">
        <f>IFERROR(IF(INDEX([1]Temps!$D$84:$AH$84,1,$B68)="",NA(),INDEX([1]Temps!$D$84:$AH$84,1,$B68)),NA())</f>
        <v>19</v>
      </c>
      <c r="P68" s="625">
        <f>IFERROR(AVERAGEIFS('Daily Historical Avg Temp'!$H$4:$H$368,'Daily Historical Avg Temp'!$B$4:$B$368,MONTH($B$4),'Daily Historical Avg Temp'!$C$4:$C$368,$B68),NA())</f>
        <v>36.65</v>
      </c>
      <c r="Q68" s="622">
        <f>IFERROR(AVERAGEIFS('Daily Historical Avg Temp'!$I$4:$I$368,'Daily Historical Avg Temp'!$B$4:$B$368,MONTH($B$4),'Daily Historical Avg Temp'!$C$4:$C$368,$B68),NA())</f>
        <v>37.549999999999997</v>
      </c>
    </row>
    <row r="69" spans="2:17">
      <c r="B69" s="582">
        <f t="shared" si="14"/>
        <v>16</v>
      </c>
      <c r="C69" s="613"/>
      <c r="D69" s="613">
        <f>IF($B69&lt;='Input Data'!$A$1,'Input Data'!AG19,NA())</f>
        <v>90890</v>
      </c>
      <c r="E69" s="614">
        <f>IF('Monthly Budget Data'!G20=0,NA(),'Monthly Budget Data'!G20)</f>
        <v>82092.581502078145</v>
      </c>
      <c r="F69" s="621">
        <f>IF('Input Data'!CI19="",NA(),'Input Data'!CI19)</f>
        <v>37.36805555555555</v>
      </c>
      <c r="G69" s="622">
        <f>IF('Input Data'!CJ19="",NA(),'Input Data'!CJ19)</f>
        <v>37.280208333333327</v>
      </c>
      <c r="H69" s="625">
        <f>IFERROR(AVERAGEIFS('Daily Historical Avg Temp'!$F$4:$F$368,'Daily Historical Avg Temp'!$B$4:$B$368,MONTH($B$4),'Daily Historical Avg Temp'!$C$4:$C$368,$B69),NA())</f>
        <v>43.75</v>
      </c>
      <c r="I69" s="625">
        <f>IFERROR(AVERAGEIFS('Daily Historical Avg Temp'!$G$4:$G$368,'Daily Historical Avg Temp'!$B$4:$B$368,MONTH($B$4),'Daily Historical Avg Temp'!$C$4:$C$368,$B69),NA())</f>
        <v>45.35</v>
      </c>
      <c r="J69" s="621">
        <f>IFERROR(IF(INDEX([1]Temps!$D$80:$AH$80,1,$B69)="",NA(),INDEX([1]Temps!$D$80:$AH$80,1,$B69)),NA())</f>
        <v>42</v>
      </c>
      <c r="K69" s="622">
        <f>IFERROR(IF(INDEX([1]Temps!$D$83:$AH$83,1,$B69)="",NA(),INDEX([1]Temps!$D$83:$AH$83,1,$B69)),NA())</f>
        <v>41</v>
      </c>
      <c r="L69" s="625">
        <f>IFERROR(AVERAGEIFS('Daily Historical Avg Temp'!$D$4:$D$368,'Daily Historical Avg Temp'!$B$4:$B$368,MONTH($B$4),'Daily Historical Avg Temp'!$C$4:$C$368,$B69),NA())</f>
        <v>52.3</v>
      </c>
      <c r="M69" s="625">
        <f>IFERROR(AVERAGEIFS('Daily Historical Avg Temp'!$E$4:$E$368,'Daily Historical Avg Temp'!$B$4:$B$368,MONTH($B$4),'Daily Historical Avg Temp'!$C$4:$C$368,$B69),NA())</f>
        <v>53.5</v>
      </c>
      <c r="N69" s="621">
        <f>IFERROR(IF(INDEX([1]Temps!$D$81:$AH$81,1,$B69)="",NA(),INDEX([1]Temps!$D$81:$AH$81,1,$B69)),NA())</f>
        <v>31</v>
      </c>
      <c r="O69" s="622">
        <f>IFERROR(IF(INDEX([1]Temps!$D$84:$AH$84,1,$B69)="",NA(),INDEX([1]Temps!$D$84:$AH$84,1,$B69)),NA())</f>
        <v>33</v>
      </c>
      <c r="P69" s="625">
        <f>IFERROR(AVERAGEIFS('Daily Historical Avg Temp'!$H$4:$H$368,'Daily Historical Avg Temp'!$B$4:$B$368,MONTH($B$4),'Daily Historical Avg Temp'!$C$4:$C$368,$B69),NA())</f>
        <v>34.9</v>
      </c>
      <c r="Q69" s="622">
        <f>IFERROR(AVERAGEIFS('Daily Historical Avg Temp'!$I$4:$I$368,'Daily Historical Avg Temp'!$B$4:$B$368,MONTH($B$4),'Daily Historical Avg Temp'!$C$4:$C$368,$B69),NA())</f>
        <v>37.049999999999997</v>
      </c>
    </row>
    <row r="70" spans="2:17">
      <c r="B70" s="582">
        <f t="shared" si="14"/>
        <v>17</v>
      </c>
      <c r="C70" s="613"/>
      <c r="D70" s="613">
        <f>IF($B70&lt;='Input Data'!$A$1,'Input Data'!AG20,NA())</f>
        <v>111760</v>
      </c>
      <c r="E70" s="614">
        <f>IF('Monthly Budget Data'!G21=0,NA(),'Monthly Budget Data'!G21)</f>
        <v>93952.074754699468</v>
      </c>
      <c r="F70" s="621">
        <f>IF('Input Data'!CI20="",NA(),'Input Data'!CI20)</f>
        <v>27.179811507936503</v>
      </c>
      <c r="G70" s="622">
        <f>IF('Input Data'!CJ20="",NA(),'Input Data'!CJ20)</f>
        <v>26.898680555555558</v>
      </c>
      <c r="H70" s="625">
        <f>IFERROR(AVERAGEIFS('Daily Historical Avg Temp'!$F$4:$F$368,'Daily Historical Avg Temp'!$B$4:$B$368,MONTH($B$4),'Daily Historical Avg Temp'!$C$4:$C$368,$B70),NA())</f>
        <v>43.75</v>
      </c>
      <c r="I70" s="625">
        <f>IFERROR(AVERAGEIFS('Daily Historical Avg Temp'!$G$4:$G$368,'Daily Historical Avg Temp'!$B$4:$B$368,MONTH($B$4),'Daily Historical Avg Temp'!$C$4:$C$368,$B70),NA())</f>
        <v>45.6</v>
      </c>
      <c r="J70" s="621">
        <f>IFERROR(IF(INDEX([1]Temps!$D$80:$AH$80,1,$B70)="",NA(),INDEX([1]Temps!$D$80:$AH$80,1,$B70)),NA())</f>
        <v>38</v>
      </c>
      <c r="K70" s="622">
        <f>IFERROR(IF(INDEX([1]Temps!$D$83:$AH$83,1,$B70)="",NA(),INDEX([1]Temps!$D$83:$AH$83,1,$B70)),NA())</f>
        <v>33</v>
      </c>
      <c r="L70" s="625">
        <f>IFERROR(AVERAGEIFS('Daily Historical Avg Temp'!$D$4:$D$368,'Daily Historical Avg Temp'!$B$4:$B$368,MONTH($B$4),'Daily Historical Avg Temp'!$C$4:$C$368,$B70),NA())</f>
        <v>51.6</v>
      </c>
      <c r="M70" s="625">
        <f>IFERROR(AVERAGEIFS('Daily Historical Avg Temp'!$E$4:$E$368,'Daily Historical Avg Temp'!$B$4:$B$368,MONTH($B$4),'Daily Historical Avg Temp'!$C$4:$C$368,$B70),NA())</f>
        <v>53.75</v>
      </c>
      <c r="N70" s="621">
        <f>IFERROR(IF(INDEX([1]Temps!$D$81:$AH$81,1,$B70)="",NA(),INDEX([1]Temps!$D$81:$AH$81,1,$B70)),NA())</f>
        <v>18</v>
      </c>
      <c r="O70" s="622">
        <f>IFERROR(IF(INDEX([1]Temps!$D$84:$AH$84,1,$B70)="",NA(),INDEX([1]Temps!$D$84:$AH$84,1,$B70)),NA())</f>
        <v>19</v>
      </c>
      <c r="P70" s="625">
        <f>IFERROR(AVERAGEIFS('Daily Historical Avg Temp'!$H$4:$H$368,'Daily Historical Avg Temp'!$B$4:$B$368,MONTH($B$4),'Daily Historical Avg Temp'!$C$4:$C$368,$B70),NA())</f>
        <v>35.549999999999997</v>
      </c>
      <c r="Q70" s="622">
        <f>IFERROR(AVERAGEIFS('Daily Historical Avg Temp'!$I$4:$I$368,'Daily Historical Avg Temp'!$B$4:$B$368,MONTH($B$4),'Daily Historical Avg Temp'!$C$4:$C$368,$B70),NA())</f>
        <v>37.35</v>
      </c>
    </row>
    <row r="71" spans="2:17">
      <c r="B71" s="582">
        <f t="shared" si="14"/>
        <v>18</v>
      </c>
      <c r="C71" s="613"/>
      <c r="D71" s="613">
        <f>IF($B71&lt;='Input Data'!$A$1,'Input Data'!AG21,NA())</f>
        <v>125288</v>
      </c>
      <c r="E71" s="614">
        <f>IF('Monthly Budget Data'!G22=0,NA(),'Monthly Budget Data'!G22)</f>
        <v>96399.870874105953</v>
      </c>
      <c r="F71" s="621">
        <f>IF('Input Data'!CI21="",NA(),'Input Data'!CI21)</f>
        <v>16.782638888888886</v>
      </c>
      <c r="G71" s="622">
        <f>IF('Input Data'!CJ21="",NA(),'Input Data'!CJ21)</f>
        <v>19.191666666666666</v>
      </c>
      <c r="H71" s="625">
        <f>IFERROR(AVERAGEIFS('Daily Historical Avg Temp'!$F$4:$F$368,'Daily Historical Avg Temp'!$B$4:$B$368,MONTH($B$4),'Daily Historical Avg Temp'!$C$4:$C$368,$B71),NA())</f>
        <v>45.35</v>
      </c>
      <c r="I71" s="625">
        <f>IFERROR(AVERAGEIFS('Daily Historical Avg Temp'!$G$4:$G$368,'Daily Historical Avg Temp'!$B$4:$B$368,MONTH($B$4),'Daily Historical Avg Temp'!$C$4:$C$368,$B71),NA())</f>
        <v>46.8</v>
      </c>
      <c r="J71" s="621">
        <f>IFERROR(IF(INDEX([1]Temps!$D$80:$AH$80,1,$B71)="",NA(),INDEX([1]Temps!$D$80:$AH$80,1,$B71)),NA())</f>
        <v>22</v>
      </c>
      <c r="K71" s="622">
        <f>IFERROR(IF(INDEX([1]Temps!$D$83:$AH$83,1,$B71)="",NA(),INDEX([1]Temps!$D$83:$AH$83,1,$B71)),NA())</f>
        <v>24</v>
      </c>
      <c r="L71" s="625">
        <f>IFERROR(AVERAGEIFS('Daily Historical Avg Temp'!$D$4:$D$368,'Daily Historical Avg Temp'!$B$4:$B$368,MONTH($B$4),'Daily Historical Avg Temp'!$C$4:$C$368,$B71),NA())</f>
        <v>54.3</v>
      </c>
      <c r="M71" s="625">
        <f>IFERROR(AVERAGEIFS('Daily Historical Avg Temp'!$E$4:$E$368,'Daily Historical Avg Temp'!$B$4:$B$368,MONTH($B$4),'Daily Historical Avg Temp'!$C$4:$C$368,$B71),NA())</f>
        <v>56.2</v>
      </c>
      <c r="N71" s="621">
        <f>IFERROR(IF(INDEX([1]Temps!$D$81:$AH$81,1,$B71)="",NA(),INDEX([1]Temps!$D$81:$AH$81,1,$B71)),NA())</f>
        <v>12</v>
      </c>
      <c r="O71" s="622">
        <f>IFERROR(IF(INDEX([1]Temps!$D$84:$AH$84,1,$B71)="",NA(),INDEX([1]Temps!$D$84:$AH$84,1,$B71)),NA())</f>
        <v>15</v>
      </c>
      <c r="P71" s="625">
        <f>IFERROR(AVERAGEIFS('Daily Historical Avg Temp'!$H$4:$H$368,'Daily Historical Avg Temp'!$B$4:$B$368,MONTH($B$4),'Daily Historical Avg Temp'!$C$4:$C$368,$B71),NA())</f>
        <v>36</v>
      </c>
      <c r="Q71" s="622">
        <f>IFERROR(AVERAGEIFS('Daily Historical Avg Temp'!$I$4:$I$368,'Daily Historical Avg Temp'!$B$4:$B$368,MONTH($B$4),'Daily Historical Avg Temp'!$C$4:$C$368,$B71),NA())</f>
        <v>37.15</v>
      </c>
    </row>
    <row r="72" spans="2:17">
      <c r="B72" s="582">
        <f t="shared" si="14"/>
        <v>19</v>
      </c>
      <c r="C72" s="613"/>
      <c r="D72" s="613">
        <f>IF($B72&lt;='Input Data'!$A$1,'Input Data'!AG22,NA())</f>
        <v>116523</v>
      </c>
      <c r="E72" s="614">
        <f>IF('Monthly Budget Data'!G23=0,NA(),'Monthly Budget Data'!G23)</f>
        <v>97057.918756245257</v>
      </c>
      <c r="F72" s="621">
        <f>IF('Input Data'!CI22="",NA(),'Input Data'!CI22)</f>
        <v>31.166666666666671</v>
      </c>
      <c r="G72" s="622">
        <f>IF('Input Data'!CJ22="",NA(),'Input Data'!CJ22)</f>
        <v>32.87916666666667</v>
      </c>
      <c r="H72" s="625">
        <f>IFERROR(AVERAGEIFS('Daily Historical Avg Temp'!$F$4:$F$368,'Daily Historical Avg Temp'!$B$4:$B$368,MONTH($B$4),'Daily Historical Avg Temp'!$C$4:$C$368,$B72),NA())</f>
        <v>47.45</v>
      </c>
      <c r="I72" s="625">
        <f>IFERROR(AVERAGEIFS('Daily Historical Avg Temp'!$G$4:$G$368,'Daily Historical Avg Temp'!$B$4:$B$368,MONTH($B$4),'Daily Historical Avg Temp'!$C$4:$C$368,$B72),NA())</f>
        <v>48.9</v>
      </c>
      <c r="J72" s="621">
        <f>IFERROR(IF(INDEX([1]Temps!$D$80:$AH$80,1,$B72)="",NA(),INDEX([1]Temps!$D$80:$AH$80,1,$B72)),NA())</f>
        <v>47</v>
      </c>
      <c r="K72" s="622">
        <f>IFERROR(IF(INDEX([1]Temps!$D$83:$AH$83,1,$B72)="",NA(),INDEX([1]Temps!$D$83:$AH$83,1,$B72)),NA())</f>
        <v>47</v>
      </c>
      <c r="L72" s="625">
        <f>IFERROR(AVERAGEIFS('Daily Historical Avg Temp'!$D$4:$D$368,'Daily Historical Avg Temp'!$B$4:$B$368,MONTH($B$4),'Daily Historical Avg Temp'!$C$4:$C$368,$B72),NA())</f>
        <v>55.9</v>
      </c>
      <c r="M72" s="625">
        <f>IFERROR(AVERAGEIFS('Daily Historical Avg Temp'!$E$4:$E$368,'Daily Historical Avg Temp'!$B$4:$B$368,MONTH($B$4),'Daily Historical Avg Temp'!$C$4:$C$368,$B72),NA())</f>
        <v>57.2</v>
      </c>
      <c r="N72" s="621">
        <f>IFERROR(IF(INDEX([1]Temps!$D$81:$AH$81,1,$B72)="",NA(),INDEX([1]Temps!$D$81:$AH$81,1,$B72)),NA())</f>
        <v>11</v>
      </c>
      <c r="O72" s="622">
        <f>IFERROR(IF(INDEX([1]Temps!$D$84:$AH$84,1,$B72)="",NA(),INDEX([1]Temps!$D$84:$AH$84,1,$B72)),NA())</f>
        <v>16</v>
      </c>
      <c r="P72" s="625">
        <f>IFERROR(AVERAGEIFS('Daily Historical Avg Temp'!$H$4:$H$368,'Daily Historical Avg Temp'!$B$4:$B$368,MONTH($B$4),'Daily Historical Avg Temp'!$C$4:$C$368,$B72),NA())</f>
        <v>38.549999999999997</v>
      </c>
      <c r="Q72" s="622">
        <f>IFERROR(AVERAGEIFS('Daily Historical Avg Temp'!$I$4:$I$368,'Daily Historical Avg Temp'!$B$4:$B$368,MONTH($B$4),'Daily Historical Avg Temp'!$C$4:$C$368,$B72),NA())</f>
        <v>39.950000000000003</v>
      </c>
    </row>
    <row r="73" spans="2:17">
      <c r="B73" s="582">
        <f t="shared" si="14"/>
        <v>20</v>
      </c>
      <c r="C73" s="613"/>
      <c r="D73" s="613">
        <f>IF($B73&lt;='Input Data'!$A$1,'Input Data'!AG23,NA())</f>
        <v>108200</v>
      </c>
      <c r="E73" s="614">
        <f>IF('Monthly Budget Data'!G24=0,NA(),'Monthly Budget Data'!G24)</f>
        <v>97640.587458247988</v>
      </c>
      <c r="F73" s="621">
        <f>IF('Input Data'!CI23="",NA(),'Input Data'!CI23)</f>
        <v>28.311111111111114</v>
      </c>
      <c r="G73" s="622">
        <f>IF('Input Data'!CJ23="",NA(),'Input Data'!CJ23)</f>
        <v>28.783333333333335</v>
      </c>
      <c r="H73" s="625">
        <f>IFERROR(AVERAGEIFS('Daily Historical Avg Temp'!$F$4:$F$368,'Daily Historical Avg Temp'!$B$4:$B$368,MONTH($B$4),'Daily Historical Avg Temp'!$C$4:$C$368,$B73),NA())</f>
        <v>46.9</v>
      </c>
      <c r="I73" s="625">
        <f>IFERROR(AVERAGEIFS('Daily Historical Avg Temp'!$G$4:$G$368,'Daily Historical Avg Temp'!$B$4:$B$368,MONTH($B$4),'Daily Historical Avg Temp'!$C$4:$C$368,$B73),NA())</f>
        <v>48.95</v>
      </c>
      <c r="J73" s="621">
        <f>IFERROR(IF(INDEX([1]Temps!$D$80:$AH$80,1,$B73)="",NA(),INDEX([1]Temps!$D$80:$AH$80,1,$B73)),NA())</f>
        <v>34</v>
      </c>
      <c r="K73" s="622">
        <f>IFERROR(IF(INDEX([1]Temps!$D$83:$AH$83,1,$B73)="",NA(),INDEX([1]Temps!$D$83:$AH$83,1,$B73)),NA())</f>
        <v>36</v>
      </c>
      <c r="L73" s="625">
        <f>IFERROR(AVERAGEIFS('Daily Historical Avg Temp'!$D$4:$D$368,'Daily Historical Avg Temp'!$B$4:$B$368,MONTH($B$4),'Daily Historical Avg Temp'!$C$4:$C$368,$B73),NA())</f>
        <v>55.4</v>
      </c>
      <c r="M73" s="625">
        <f>IFERROR(AVERAGEIFS('Daily Historical Avg Temp'!$E$4:$E$368,'Daily Historical Avg Temp'!$B$4:$B$368,MONTH($B$4),'Daily Historical Avg Temp'!$C$4:$C$368,$B73),NA())</f>
        <v>57.6</v>
      </c>
      <c r="N73" s="621">
        <f>IFERROR(IF(INDEX([1]Temps!$D$81:$AH$81,1,$B73)="",NA(),INDEX([1]Temps!$D$81:$AH$81,1,$B73)),NA())</f>
        <v>22</v>
      </c>
      <c r="O73" s="622">
        <f>IFERROR(IF(INDEX([1]Temps!$D$84:$AH$84,1,$B73)="",NA(),INDEX([1]Temps!$D$84:$AH$84,1,$B73)),NA())</f>
        <v>23</v>
      </c>
      <c r="P73" s="625">
        <f>IFERROR(AVERAGEIFS('Daily Historical Avg Temp'!$H$4:$H$368,'Daily Historical Avg Temp'!$B$4:$B$368,MONTH($B$4),'Daily Historical Avg Temp'!$C$4:$C$368,$B73),NA())</f>
        <v>38.6</v>
      </c>
      <c r="Q73" s="622">
        <f>IFERROR(AVERAGEIFS('Daily Historical Avg Temp'!$I$4:$I$368,'Daily Historical Avg Temp'!$B$4:$B$368,MONTH($B$4),'Daily Historical Avg Temp'!$C$4:$C$368,$B73),NA())</f>
        <v>39.950000000000003</v>
      </c>
    </row>
    <row r="74" spans="2:17">
      <c r="B74" s="582">
        <f t="shared" si="14"/>
        <v>21</v>
      </c>
      <c r="C74" s="613"/>
      <c r="D74" s="613">
        <f>IF($B74&lt;='Input Data'!$A$1,'Input Data'!AG24,NA())</f>
        <v>111127</v>
      </c>
      <c r="E74" s="614">
        <f>IF('Monthly Budget Data'!G25=0,NA(),'Monthly Budget Data'!G25)</f>
        <v>95902.164039585768</v>
      </c>
      <c r="F74" s="621">
        <f>IF('Input Data'!CI24="",NA(),'Input Data'!CI24)</f>
        <v>28.191666666666663</v>
      </c>
      <c r="G74" s="622">
        <f>IF('Input Data'!CJ24="",NA(),'Input Data'!CJ24)</f>
        <v>30.25</v>
      </c>
      <c r="H74" s="625">
        <f>IFERROR(AVERAGEIFS('Daily Historical Avg Temp'!$F$4:$F$368,'Daily Historical Avg Temp'!$B$4:$B$368,MONTH($B$4),'Daily Historical Avg Temp'!$C$4:$C$368,$B74),NA())</f>
        <v>47.2</v>
      </c>
      <c r="I74" s="625">
        <f>IFERROR(AVERAGEIFS('Daily Historical Avg Temp'!$G$4:$G$368,'Daily Historical Avg Temp'!$B$4:$B$368,MONTH($B$4),'Daily Historical Avg Temp'!$C$4:$C$368,$B74),NA())</f>
        <v>48.9</v>
      </c>
      <c r="J74" s="621">
        <f>IFERROR(IF(INDEX([1]Temps!$D$80:$AH$80,1,$B74)="",NA(),INDEX([1]Temps!$D$80:$AH$80,1,$B74)),NA())</f>
        <v>39</v>
      </c>
      <c r="K74" s="622">
        <f>IFERROR(IF(INDEX([1]Temps!$D$83:$AH$83,1,$B74)="",NA(),INDEX([1]Temps!$D$83:$AH$83,1,$B74)),NA())</f>
        <v>41</v>
      </c>
      <c r="L74" s="625">
        <f>IFERROR(AVERAGEIFS('Daily Historical Avg Temp'!$D$4:$D$368,'Daily Historical Avg Temp'!$B$4:$B$368,MONTH($B$4),'Daily Historical Avg Temp'!$C$4:$C$368,$B74),NA())</f>
        <v>55.3</v>
      </c>
      <c r="M74" s="625">
        <f>IFERROR(AVERAGEIFS('Daily Historical Avg Temp'!$E$4:$E$368,'Daily Historical Avg Temp'!$B$4:$B$368,MONTH($B$4),'Daily Historical Avg Temp'!$C$4:$C$368,$B74),NA())</f>
        <v>56.75</v>
      </c>
      <c r="N74" s="621">
        <f>IFERROR(IF(INDEX([1]Temps!$D$81:$AH$81,1,$B74)="",NA(),INDEX([1]Temps!$D$81:$AH$81,1,$B74)),NA())</f>
        <v>14</v>
      </c>
      <c r="O74" s="622">
        <f>IFERROR(IF(INDEX([1]Temps!$D$84:$AH$84,1,$B74)="",NA(),INDEX([1]Temps!$D$84:$AH$84,1,$B74)),NA())</f>
        <v>17</v>
      </c>
      <c r="P74" s="625">
        <f>IFERROR(AVERAGEIFS('Daily Historical Avg Temp'!$H$4:$H$368,'Daily Historical Avg Temp'!$B$4:$B$368,MONTH($B$4),'Daily Historical Avg Temp'!$C$4:$C$368,$B74),NA())</f>
        <v>38.85</v>
      </c>
      <c r="Q74" s="622">
        <f>IFERROR(AVERAGEIFS('Daily Historical Avg Temp'!$I$4:$I$368,'Daily Historical Avg Temp'!$B$4:$B$368,MONTH($B$4),'Daily Historical Avg Temp'!$C$4:$C$368,$B74),NA())</f>
        <v>40.75</v>
      </c>
    </row>
    <row r="75" spans="2:17">
      <c r="B75" s="582">
        <f t="shared" si="14"/>
        <v>22</v>
      </c>
      <c r="C75" s="613"/>
      <c r="D75" s="613">
        <f>IF($B75&lt;='Input Data'!$A$1,'Input Data'!AG25,NA())</f>
        <v>90863</v>
      </c>
      <c r="E75" s="614">
        <f>IF('Monthly Budget Data'!G26=0,NA(),'Monthly Budget Data'!G26)</f>
        <v>87044.532396252311</v>
      </c>
      <c r="F75" s="621">
        <f>IF('Input Data'!CI25="",NA(),'Input Data'!CI25)</f>
        <v>48.270833333333343</v>
      </c>
      <c r="G75" s="622">
        <f>IF('Input Data'!CJ25="",NA(),'Input Data'!CJ25)</f>
        <v>50.479166666666657</v>
      </c>
      <c r="H75" s="625">
        <f>IFERROR(AVERAGEIFS('Daily Historical Avg Temp'!$F$4:$F$368,'Daily Historical Avg Temp'!$B$4:$B$368,MONTH($B$4),'Daily Historical Avg Temp'!$C$4:$C$368,$B75),NA())</f>
        <v>46</v>
      </c>
      <c r="I75" s="625">
        <f>IFERROR(AVERAGEIFS('Daily Historical Avg Temp'!$G$4:$G$368,'Daily Historical Avg Temp'!$B$4:$B$368,MONTH($B$4),'Daily Historical Avg Temp'!$C$4:$C$368,$B75),NA())</f>
        <v>47.65</v>
      </c>
      <c r="J75" s="621">
        <f>IFERROR(IF(INDEX([1]Temps!$D$80:$AH$80,1,$B75)="",NA(),INDEX([1]Temps!$D$80:$AH$80,1,$B75)),NA())</f>
        <v>63</v>
      </c>
      <c r="K75" s="622">
        <f>IFERROR(IF(INDEX([1]Temps!$D$83:$AH$83,1,$B75)="",NA(),INDEX([1]Temps!$D$83:$AH$83,1,$B75)),NA())</f>
        <v>64</v>
      </c>
      <c r="L75" s="625">
        <f>IFERROR(AVERAGEIFS('Daily Historical Avg Temp'!$D$4:$D$368,'Daily Historical Avg Temp'!$B$4:$B$368,MONTH($B$4),'Daily Historical Avg Temp'!$C$4:$C$368,$B75),NA())</f>
        <v>54.2</v>
      </c>
      <c r="M75" s="625">
        <f>IFERROR(AVERAGEIFS('Daily Historical Avg Temp'!$E$4:$E$368,'Daily Historical Avg Temp'!$B$4:$B$368,MONTH($B$4),'Daily Historical Avg Temp'!$C$4:$C$368,$B75),NA())</f>
        <v>56.6</v>
      </c>
      <c r="N75" s="621">
        <f>IFERROR(IF(INDEX([1]Temps!$D$81:$AH$81,1,$B75)="",NA(),INDEX([1]Temps!$D$81:$AH$81,1,$B75)),NA())</f>
        <v>32</v>
      </c>
      <c r="O75" s="622">
        <f>IFERROR(IF(INDEX([1]Temps!$D$84:$AH$84,1,$B75)="",NA(),INDEX([1]Temps!$D$84:$AH$84,1,$B75)),NA())</f>
        <v>35</v>
      </c>
      <c r="P75" s="625">
        <f>IFERROR(AVERAGEIFS('Daily Historical Avg Temp'!$H$4:$H$368,'Daily Historical Avg Temp'!$B$4:$B$368,MONTH($B$4),'Daily Historical Avg Temp'!$C$4:$C$368,$B75),NA())</f>
        <v>37.1</v>
      </c>
      <c r="Q75" s="622">
        <f>IFERROR(AVERAGEIFS('Daily Historical Avg Temp'!$I$4:$I$368,'Daily Historical Avg Temp'!$B$4:$B$368,MONTH($B$4),'Daily Historical Avg Temp'!$C$4:$C$368,$B75),NA())</f>
        <v>38.700000000000003</v>
      </c>
    </row>
    <row r="76" spans="2:17">
      <c r="B76" s="582">
        <f t="shared" si="14"/>
        <v>23</v>
      </c>
      <c r="C76" s="613"/>
      <c r="D76" s="613">
        <f>IF($B76&lt;='Input Data'!$A$1,'Input Data'!AG26,NA())</f>
        <v>81106</v>
      </c>
      <c r="E76" s="614">
        <f>IF('Monthly Budget Data'!G27=0,NA(),'Monthly Budget Data'!G27)</f>
        <v>85606.636287763366</v>
      </c>
      <c r="F76" s="621">
        <f>IF('Input Data'!CI26="",NA(),'Input Data'!CI26)</f>
        <v>52.982986111111124</v>
      </c>
      <c r="G76" s="622">
        <f>IF('Input Data'!CJ26="",NA(),'Input Data'!CJ26)</f>
        <v>54.997916666666669</v>
      </c>
      <c r="H76" s="625">
        <f>IFERROR(AVERAGEIFS('Daily Historical Avg Temp'!$F$4:$F$368,'Daily Historical Avg Temp'!$B$4:$B$368,MONTH($B$4),'Daily Historical Avg Temp'!$C$4:$C$368,$B76),NA())</f>
        <v>44.8</v>
      </c>
      <c r="I76" s="625">
        <f>IFERROR(AVERAGEIFS('Daily Historical Avg Temp'!$G$4:$G$368,'Daily Historical Avg Temp'!$B$4:$B$368,MONTH($B$4),'Daily Historical Avg Temp'!$C$4:$C$368,$B76),NA())</f>
        <v>46.6</v>
      </c>
      <c r="J76" s="621">
        <f>IFERROR(IF(INDEX([1]Temps!$D$80:$AH$80,1,$B76)="",NA(),INDEX([1]Temps!$D$80:$AH$80,1,$B76)),NA())</f>
        <v>58</v>
      </c>
      <c r="K76" s="622">
        <f>IFERROR(IF(INDEX([1]Temps!$D$83:$AH$83,1,$B76)="",NA(),INDEX([1]Temps!$D$83:$AH$83,1,$B76)),NA())</f>
        <v>60</v>
      </c>
      <c r="L76" s="625">
        <f>IFERROR(AVERAGEIFS('Daily Historical Avg Temp'!$D$4:$D$368,'Daily Historical Avg Temp'!$B$4:$B$368,MONTH($B$4),'Daily Historical Avg Temp'!$C$4:$C$368,$B76),NA())</f>
        <v>54.3</v>
      </c>
      <c r="M76" s="625">
        <f>IFERROR(AVERAGEIFS('Daily Historical Avg Temp'!$E$4:$E$368,'Daily Historical Avg Temp'!$B$4:$B$368,MONTH($B$4),'Daily Historical Avg Temp'!$C$4:$C$368,$B76),NA())</f>
        <v>56.1</v>
      </c>
      <c r="N76" s="621">
        <f>IFERROR(IF(INDEX([1]Temps!$D$81:$AH$81,1,$B76)="",NA(),INDEX([1]Temps!$D$81:$AH$81,1,$B76)),NA())</f>
        <v>48</v>
      </c>
      <c r="O76" s="622">
        <f>IFERROR(IF(INDEX([1]Temps!$D$84:$AH$84,1,$B76)="",NA(),INDEX([1]Temps!$D$84:$AH$84,1,$B76)),NA())</f>
        <v>47</v>
      </c>
      <c r="P76" s="625">
        <f>IFERROR(AVERAGEIFS('Daily Historical Avg Temp'!$H$4:$H$368,'Daily Historical Avg Temp'!$B$4:$B$368,MONTH($B$4),'Daily Historical Avg Temp'!$C$4:$C$368,$B76),NA())</f>
        <v>35</v>
      </c>
      <c r="Q76" s="622">
        <f>IFERROR(AVERAGEIFS('Daily Historical Avg Temp'!$I$4:$I$368,'Daily Historical Avg Temp'!$B$4:$B$368,MONTH($B$4),'Daily Historical Avg Temp'!$C$4:$C$368,$B76),NA())</f>
        <v>36.85</v>
      </c>
    </row>
    <row r="77" spans="2:17">
      <c r="B77" s="582">
        <f t="shared" si="14"/>
        <v>24</v>
      </c>
      <c r="C77" s="613"/>
      <c r="D77" s="613" t="e">
        <f>IF($B77&lt;='Input Data'!$A$1,'Input Data'!AG27,NA())</f>
        <v>#N/A</v>
      </c>
      <c r="E77" s="614">
        <f>IF('Monthly Budget Data'!G28=0,NA(),'Monthly Budget Data'!G28)</f>
        <v>97784.947576284045</v>
      </c>
      <c r="F77" s="621" t="e">
        <f>IF('Input Data'!CI27="",NA(),'Input Data'!CI27)</f>
        <v>#N/A</v>
      </c>
      <c r="G77" s="622" t="e">
        <f>IF('Input Data'!CJ27="",NA(),'Input Data'!CJ27)</f>
        <v>#N/A</v>
      </c>
      <c r="H77" s="625">
        <f>IFERROR(AVERAGEIFS('Daily Historical Avg Temp'!$F$4:$F$368,'Daily Historical Avg Temp'!$B$4:$B$368,MONTH($B$4),'Daily Historical Avg Temp'!$C$4:$C$368,$B77),NA())</f>
        <v>43.85</v>
      </c>
      <c r="I77" s="625">
        <f>IFERROR(AVERAGEIFS('Daily Historical Avg Temp'!$G$4:$G$368,'Daily Historical Avg Temp'!$B$4:$B$368,MONTH($B$4),'Daily Historical Avg Temp'!$C$4:$C$368,$B77),NA())</f>
        <v>45.1</v>
      </c>
      <c r="J77" s="621" t="e">
        <f>IFERROR(IF(INDEX([1]Temps!$D$80:$AH$80,1,$B77)="",NA(),INDEX([1]Temps!$D$80:$AH$80,1,$B77)),NA())</f>
        <v>#N/A</v>
      </c>
      <c r="K77" s="622" t="e">
        <f>IFERROR(IF(INDEX([1]Temps!$D$83:$AH$83,1,$B77)="",NA(),INDEX([1]Temps!$D$83:$AH$83,1,$B77)),NA())</f>
        <v>#N/A</v>
      </c>
      <c r="L77" s="625">
        <f>IFERROR(AVERAGEIFS('Daily Historical Avg Temp'!$D$4:$D$368,'Daily Historical Avg Temp'!$B$4:$B$368,MONTH($B$4),'Daily Historical Avg Temp'!$C$4:$C$368,$B77),NA())</f>
        <v>52.8</v>
      </c>
      <c r="M77" s="625">
        <f>IFERROR(AVERAGEIFS('Daily Historical Avg Temp'!$E$4:$E$368,'Daily Historical Avg Temp'!$B$4:$B$368,MONTH($B$4),'Daily Historical Avg Temp'!$C$4:$C$368,$B77),NA())</f>
        <v>54.3</v>
      </c>
      <c r="N77" s="621" t="e">
        <f>IFERROR(IF(INDEX([1]Temps!$D$81:$AH$81,1,$B77)="",NA(),INDEX([1]Temps!$D$81:$AH$81,1,$B77)),NA())</f>
        <v>#N/A</v>
      </c>
      <c r="O77" s="622" t="e">
        <f>IFERROR(IF(INDEX([1]Temps!$D$84:$AH$84,1,$B77)="",NA(),INDEX([1]Temps!$D$84:$AH$84,1,$B77)),NA())</f>
        <v>#N/A</v>
      </c>
      <c r="P77" s="625">
        <f>IFERROR(AVERAGEIFS('Daily Historical Avg Temp'!$H$4:$H$368,'Daily Historical Avg Temp'!$B$4:$B$368,MONTH($B$4),'Daily Historical Avg Temp'!$C$4:$C$368,$B77),NA())</f>
        <v>34.35</v>
      </c>
      <c r="Q77" s="622">
        <f>IFERROR(AVERAGEIFS('Daily Historical Avg Temp'!$I$4:$I$368,'Daily Historical Avg Temp'!$B$4:$B$368,MONTH($B$4),'Daily Historical Avg Temp'!$C$4:$C$368,$B77),NA())</f>
        <v>35.35</v>
      </c>
    </row>
    <row r="78" spans="2:17">
      <c r="B78" s="582">
        <f t="shared" si="14"/>
        <v>25</v>
      </c>
      <c r="C78" s="613"/>
      <c r="D78" s="613" t="e">
        <f>IF($B78&lt;='Input Data'!$A$1,'Input Data'!AG28,NA())</f>
        <v>#N/A</v>
      </c>
      <c r="E78" s="614">
        <f>IF('Monthly Budget Data'!G29=0,NA(),'Monthly Budget Data'!G29)</f>
        <v>100043.14269111304</v>
      </c>
      <c r="F78" s="621" t="e">
        <f>IF('Input Data'!CI28="",NA(),'Input Data'!CI28)</f>
        <v>#N/A</v>
      </c>
      <c r="G78" s="622" t="e">
        <f>IF('Input Data'!CJ28="",NA(),'Input Data'!CJ28)</f>
        <v>#N/A</v>
      </c>
      <c r="H78" s="625">
        <f>IFERROR(AVERAGEIFS('Daily Historical Avg Temp'!$F$4:$F$368,'Daily Historical Avg Temp'!$B$4:$B$368,MONTH($B$4),'Daily Historical Avg Temp'!$C$4:$C$368,$B78),NA())</f>
        <v>43.6</v>
      </c>
      <c r="I78" s="625">
        <f>IFERROR(AVERAGEIFS('Daily Historical Avg Temp'!$G$4:$G$368,'Daily Historical Avg Temp'!$B$4:$B$368,MONTH($B$4),'Daily Historical Avg Temp'!$C$4:$C$368,$B78),NA())</f>
        <v>44.15</v>
      </c>
      <c r="J78" s="621" t="e">
        <f>IFERROR(IF(INDEX([1]Temps!$D$80:$AH$80,1,$B78)="",NA(),INDEX([1]Temps!$D$80:$AH$80,1,$B78)),NA())</f>
        <v>#N/A</v>
      </c>
      <c r="K78" s="622" t="e">
        <f>IFERROR(IF(INDEX([1]Temps!$D$83:$AH$83,1,$B78)="",NA(),INDEX([1]Temps!$D$83:$AH$83,1,$B78)),NA())</f>
        <v>#N/A</v>
      </c>
      <c r="L78" s="625">
        <f>IFERROR(AVERAGEIFS('Daily Historical Avg Temp'!$D$4:$D$368,'Daily Historical Avg Temp'!$B$4:$B$368,MONTH($B$4),'Daily Historical Avg Temp'!$C$4:$C$368,$B78),NA())</f>
        <v>52.45</v>
      </c>
      <c r="M78" s="625">
        <f>IFERROR(AVERAGEIFS('Daily Historical Avg Temp'!$E$4:$E$368,'Daily Historical Avg Temp'!$B$4:$B$368,MONTH($B$4),'Daily Historical Avg Temp'!$C$4:$C$368,$B78),NA())</f>
        <v>53.8</v>
      </c>
      <c r="N78" s="621" t="e">
        <f>IFERROR(IF(INDEX([1]Temps!$D$81:$AH$81,1,$B78)="",NA(),INDEX([1]Temps!$D$81:$AH$81,1,$B78)),NA())</f>
        <v>#N/A</v>
      </c>
      <c r="O78" s="622" t="e">
        <f>IFERROR(IF(INDEX([1]Temps!$D$84:$AH$84,1,$B78)="",NA(),INDEX([1]Temps!$D$84:$AH$84,1,$B78)),NA())</f>
        <v>#N/A</v>
      </c>
      <c r="P78" s="625">
        <f>IFERROR(AVERAGEIFS('Daily Historical Avg Temp'!$H$4:$H$368,'Daily Historical Avg Temp'!$B$4:$B$368,MONTH($B$4),'Daily Historical Avg Temp'!$C$4:$C$368,$B78),NA())</f>
        <v>34.4</v>
      </c>
      <c r="Q78" s="622">
        <f>IFERROR(AVERAGEIFS('Daily Historical Avg Temp'!$I$4:$I$368,'Daily Historical Avg Temp'!$B$4:$B$368,MONTH($B$4),'Daily Historical Avg Temp'!$C$4:$C$368,$B78),NA())</f>
        <v>34.4</v>
      </c>
    </row>
    <row r="79" spans="2:17">
      <c r="B79" s="582">
        <f t="shared" si="14"/>
        <v>26</v>
      </c>
      <c r="C79" s="613"/>
      <c r="D79" s="613" t="e">
        <f>IF($B79&lt;='Input Data'!$A$1,'Input Data'!AG29,NA())</f>
        <v>#N/A</v>
      </c>
      <c r="E79" s="614">
        <f>IF('Monthly Budget Data'!G30=0,NA(),'Monthly Budget Data'!G30)</f>
        <v>100495.38335352983</v>
      </c>
      <c r="F79" s="621" t="e">
        <f>IF('Input Data'!CI29="",NA(),'Input Data'!CI29)</f>
        <v>#N/A</v>
      </c>
      <c r="G79" s="622" t="e">
        <f>IF('Input Data'!CJ29="",NA(),'Input Data'!CJ29)</f>
        <v>#N/A</v>
      </c>
      <c r="H79" s="625">
        <f>IFERROR(AVERAGEIFS('Daily Historical Avg Temp'!$F$4:$F$368,'Daily Historical Avg Temp'!$B$4:$B$368,MONTH($B$4),'Daily Historical Avg Temp'!$C$4:$C$368,$B79),NA())</f>
        <v>44.5</v>
      </c>
      <c r="I79" s="625">
        <f>IFERROR(AVERAGEIFS('Daily Historical Avg Temp'!$G$4:$G$368,'Daily Historical Avg Temp'!$B$4:$B$368,MONTH($B$4),'Daily Historical Avg Temp'!$C$4:$C$368,$B79),NA())</f>
        <v>45.05</v>
      </c>
      <c r="J79" s="621" t="e">
        <f>IFERROR(IF(INDEX([1]Temps!$D$80:$AH$80,1,$B79)="",NA(),INDEX([1]Temps!$D$80:$AH$80,1,$B79)),NA())</f>
        <v>#N/A</v>
      </c>
      <c r="K79" s="622" t="e">
        <f>IFERROR(IF(INDEX([1]Temps!$D$83:$AH$83,1,$B79)="",NA(),INDEX([1]Temps!$D$83:$AH$83,1,$B79)),NA())</f>
        <v>#N/A</v>
      </c>
      <c r="L79" s="625">
        <f>IFERROR(AVERAGEIFS('Daily Historical Avg Temp'!$D$4:$D$368,'Daily Historical Avg Temp'!$B$4:$B$368,MONTH($B$4),'Daily Historical Avg Temp'!$C$4:$C$368,$B79),NA())</f>
        <v>53.4</v>
      </c>
      <c r="M79" s="625">
        <f>IFERROR(AVERAGEIFS('Daily Historical Avg Temp'!$E$4:$E$368,'Daily Historical Avg Temp'!$B$4:$B$368,MONTH($B$4),'Daily Historical Avg Temp'!$C$4:$C$368,$B79),NA())</f>
        <v>54.25</v>
      </c>
      <c r="N79" s="621" t="e">
        <f>IFERROR(IF(INDEX([1]Temps!$D$81:$AH$81,1,$B79)="",NA(),INDEX([1]Temps!$D$81:$AH$81,1,$B79)),NA())</f>
        <v>#N/A</v>
      </c>
      <c r="O79" s="622" t="e">
        <f>IFERROR(IF(INDEX([1]Temps!$D$84:$AH$84,1,$B79)="",NA(),INDEX([1]Temps!$D$84:$AH$84,1,$B79)),NA())</f>
        <v>#N/A</v>
      </c>
      <c r="P79" s="625">
        <f>IFERROR(AVERAGEIFS('Daily Historical Avg Temp'!$H$4:$H$368,'Daily Historical Avg Temp'!$B$4:$B$368,MONTH($B$4),'Daily Historical Avg Temp'!$C$4:$C$368,$B79),NA())</f>
        <v>35.049999999999997</v>
      </c>
      <c r="Q79" s="622">
        <f>IFERROR(AVERAGEIFS('Daily Historical Avg Temp'!$I$4:$I$368,'Daily Historical Avg Temp'!$B$4:$B$368,MONTH($B$4),'Daily Historical Avg Temp'!$C$4:$C$368,$B79),NA())</f>
        <v>35.9</v>
      </c>
    </row>
    <row r="80" spans="2:17">
      <c r="B80" s="582">
        <f t="shared" si="14"/>
        <v>27</v>
      </c>
      <c r="C80" s="613"/>
      <c r="D80" s="613" t="e">
        <f>IF($B80&lt;='Input Data'!$A$1,'Input Data'!AG30,NA())</f>
        <v>#N/A</v>
      </c>
      <c r="E80" s="614">
        <f>IF('Monthly Budget Data'!G31=0,NA(),'Monthly Budget Data'!G31)</f>
        <v>80729.742889161673</v>
      </c>
      <c r="F80" s="621" t="e">
        <f>IF('Input Data'!CI30="",NA(),'Input Data'!CI30)</f>
        <v>#N/A</v>
      </c>
      <c r="G80" s="622" t="e">
        <f>IF('Input Data'!CJ30="",NA(),'Input Data'!CJ30)</f>
        <v>#N/A</v>
      </c>
      <c r="H80" s="625">
        <f>IFERROR(AVERAGEIFS('Daily Historical Avg Temp'!$F$4:$F$368,'Daily Historical Avg Temp'!$B$4:$B$368,MONTH($B$4),'Daily Historical Avg Temp'!$C$4:$C$368,$B80),NA())</f>
        <v>43.5</v>
      </c>
      <c r="I80" s="625">
        <f>IFERROR(AVERAGEIFS('Daily Historical Avg Temp'!$G$4:$G$368,'Daily Historical Avg Temp'!$B$4:$B$368,MONTH($B$4),'Daily Historical Avg Temp'!$C$4:$C$368,$B80),NA())</f>
        <v>44.85</v>
      </c>
      <c r="J80" s="621" t="e">
        <f>IFERROR(IF(INDEX([1]Temps!$D$80:$AH$80,1,$B80)="",NA(),INDEX([1]Temps!$D$80:$AH$80,1,$B80)),NA())</f>
        <v>#N/A</v>
      </c>
      <c r="K80" s="622" t="e">
        <f>IFERROR(IF(INDEX([1]Temps!$D$83:$AH$83,1,$B80)="",NA(),INDEX([1]Temps!$D$83:$AH$83,1,$B80)),NA())</f>
        <v>#N/A</v>
      </c>
      <c r="L80" s="625">
        <f>IFERROR(AVERAGEIFS('Daily Historical Avg Temp'!$D$4:$D$368,'Daily Historical Avg Temp'!$B$4:$B$368,MONTH($B$4),'Daily Historical Avg Temp'!$C$4:$C$368,$B80),NA())</f>
        <v>50.9</v>
      </c>
      <c r="M80" s="625">
        <f>IFERROR(AVERAGEIFS('Daily Historical Avg Temp'!$E$4:$E$368,'Daily Historical Avg Temp'!$B$4:$B$368,MONTH($B$4),'Daily Historical Avg Temp'!$C$4:$C$368,$B80),NA())</f>
        <v>52.95</v>
      </c>
      <c r="N80" s="621" t="e">
        <f>IFERROR(IF(INDEX([1]Temps!$D$81:$AH$81,1,$B80)="",NA(),INDEX([1]Temps!$D$81:$AH$81,1,$B80)),NA())</f>
        <v>#N/A</v>
      </c>
      <c r="O80" s="622" t="e">
        <f>IFERROR(IF(INDEX([1]Temps!$D$84:$AH$84,1,$B80)="",NA(),INDEX([1]Temps!$D$84:$AH$84,1,$B80)),NA())</f>
        <v>#N/A</v>
      </c>
      <c r="P80" s="625">
        <f>IFERROR(AVERAGEIFS('Daily Historical Avg Temp'!$H$4:$H$368,'Daily Historical Avg Temp'!$B$4:$B$368,MONTH($B$4),'Daily Historical Avg Temp'!$C$4:$C$368,$B80),NA())</f>
        <v>35.65</v>
      </c>
      <c r="Q80" s="622">
        <f>IFERROR(AVERAGEIFS('Daily Historical Avg Temp'!$I$4:$I$368,'Daily Historical Avg Temp'!$B$4:$B$368,MONTH($B$4),'Daily Historical Avg Temp'!$C$4:$C$368,$B80),NA())</f>
        <v>36.450000000000003</v>
      </c>
    </row>
    <row r="81" spans="2:17">
      <c r="B81" s="582">
        <f t="shared" si="14"/>
        <v>28</v>
      </c>
      <c r="C81" s="613"/>
      <c r="D81" s="613" t="e">
        <f>IF($B81&lt;='Input Data'!$A$1,'Input Data'!AG31,NA())</f>
        <v>#N/A</v>
      </c>
      <c r="E81" s="614">
        <f>IF('Monthly Budget Data'!G32=0,NA(),'Monthly Budget Data'!G32)</f>
        <v>88152.233245465701</v>
      </c>
      <c r="F81" s="621" t="e">
        <f>IF('Input Data'!CI31="",NA(),'Input Data'!CI31)</f>
        <v>#N/A</v>
      </c>
      <c r="G81" s="622" t="e">
        <f>IF('Input Data'!CJ31="",NA(),'Input Data'!CJ31)</f>
        <v>#N/A</v>
      </c>
      <c r="H81" s="625">
        <f>IFERROR(AVERAGEIFS('Daily Historical Avg Temp'!$F$4:$F$368,'Daily Historical Avg Temp'!$B$4:$B$368,MONTH($B$4),'Daily Historical Avg Temp'!$C$4:$C$368,$B81),NA())</f>
        <v>42.2</v>
      </c>
      <c r="I81" s="625">
        <f>IFERROR(AVERAGEIFS('Daily Historical Avg Temp'!$G$4:$G$368,'Daily Historical Avg Temp'!$B$4:$B$368,MONTH($B$4),'Daily Historical Avg Temp'!$C$4:$C$368,$B81),NA())</f>
        <v>43.65</v>
      </c>
      <c r="J81" s="621" t="e">
        <f>IFERROR(IF(INDEX([1]Temps!$D$80:$AH$80,1,$B81)="",NA(),INDEX([1]Temps!$D$80:$AH$80,1,$B81)),NA())</f>
        <v>#N/A</v>
      </c>
      <c r="K81" s="622" t="e">
        <f>IFERROR(IF(INDEX([1]Temps!$D$83:$AH$83,1,$B81)="",NA(),INDEX([1]Temps!$D$83:$AH$83,1,$B81)),NA())</f>
        <v>#N/A</v>
      </c>
      <c r="L81" s="625">
        <f>IFERROR(AVERAGEIFS('Daily Historical Avg Temp'!$D$4:$D$368,'Daily Historical Avg Temp'!$B$4:$B$368,MONTH($B$4),'Daily Historical Avg Temp'!$C$4:$C$368,$B81),NA())</f>
        <v>50.65</v>
      </c>
      <c r="M81" s="625">
        <f>IFERROR(AVERAGEIFS('Daily Historical Avg Temp'!$E$4:$E$368,'Daily Historical Avg Temp'!$B$4:$B$368,MONTH($B$4),'Daily Historical Avg Temp'!$C$4:$C$368,$B81),NA())</f>
        <v>52.1</v>
      </c>
      <c r="N81" s="621" t="e">
        <f>IFERROR(IF(INDEX([1]Temps!$D$81:$AH$81,1,$B81)="",NA(),INDEX([1]Temps!$D$81:$AH$81,1,$B81)),NA())</f>
        <v>#N/A</v>
      </c>
      <c r="O81" s="622" t="e">
        <f>IFERROR(IF(INDEX([1]Temps!$D$84:$AH$84,1,$B81)="",NA(),INDEX([1]Temps!$D$84:$AH$84,1,$B81)),NA())</f>
        <v>#N/A</v>
      </c>
      <c r="P81" s="625">
        <f>IFERROR(AVERAGEIFS('Daily Historical Avg Temp'!$H$4:$H$368,'Daily Historical Avg Temp'!$B$4:$B$368,MONTH($B$4),'Daily Historical Avg Temp'!$C$4:$C$368,$B81),NA())</f>
        <v>33.450000000000003</v>
      </c>
      <c r="Q81" s="622">
        <f>IFERROR(AVERAGEIFS('Daily Historical Avg Temp'!$I$4:$I$368,'Daily Historical Avg Temp'!$B$4:$B$368,MONTH($B$4),'Daily Historical Avg Temp'!$C$4:$C$368,$B81),NA())</f>
        <v>35.25</v>
      </c>
    </row>
    <row r="82" spans="2:17">
      <c r="B82" s="582">
        <f t="shared" si="14"/>
        <v>29</v>
      </c>
      <c r="C82" s="613"/>
      <c r="D82" s="613" t="e">
        <f>IF($B82&lt;='Input Data'!$A$1,'Input Data'!AG32,NA())</f>
        <v>#N/A</v>
      </c>
      <c r="E82" s="614">
        <f>IF('Monthly Budget Data'!G33=0,NA(),'Monthly Budget Data'!G33)</f>
        <v>90129.084981541135</v>
      </c>
      <c r="F82" s="621" t="e">
        <f>IF('Input Data'!CI32="",NA(),'Input Data'!CI32)</f>
        <v>#N/A</v>
      </c>
      <c r="G82" s="622" t="e">
        <f>IF('Input Data'!CJ32="",NA(),'Input Data'!CJ32)</f>
        <v>#N/A</v>
      </c>
      <c r="H82" s="625">
        <f>IFERROR(AVERAGEIFS('Daily Historical Avg Temp'!$F$4:$F$368,'Daily Historical Avg Temp'!$B$4:$B$368,MONTH($B$4),'Daily Historical Avg Temp'!$C$4:$C$368,$B82),NA())</f>
        <v>42.65</v>
      </c>
      <c r="I82" s="625">
        <f>IFERROR(AVERAGEIFS('Daily Historical Avg Temp'!$G$4:$G$368,'Daily Historical Avg Temp'!$B$4:$B$368,MONTH($B$4),'Daily Historical Avg Temp'!$C$4:$C$368,$B82),NA())</f>
        <v>44.8</v>
      </c>
      <c r="J82" s="621" t="e">
        <f>IFERROR(IF(INDEX([1]Temps!$D$80:$AH$80,1,$B82)="",NA(),INDEX([1]Temps!$D$80:$AH$80,1,$B82)),NA())</f>
        <v>#N/A</v>
      </c>
      <c r="K82" s="622" t="e">
        <f>IFERROR(IF(INDEX([1]Temps!$D$83:$AH$83,1,$B82)="",NA(),INDEX([1]Temps!$D$83:$AH$83,1,$B82)),NA())</f>
        <v>#N/A</v>
      </c>
      <c r="L82" s="625">
        <f>IFERROR(AVERAGEIFS('Daily Historical Avg Temp'!$D$4:$D$368,'Daily Historical Avg Temp'!$B$4:$B$368,MONTH($B$4),'Daily Historical Avg Temp'!$C$4:$C$368,$B82),NA())</f>
        <v>50.4</v>
      </c>
      <c r="M82" s="625">
        <f>IFERROR(AVERAGEIFS('Daily Historical Avg Temp'!$E$4:$E$368,'Daily Historical Avg Temp'!$B$4:$B$368,MONTH($B$4),'Daily Historical Avg Temp'!$C$4:$C$368,$B82),NA())</f>
        <v>52.75</v>
      </c>
      <c r="N82" s="621" t="e">
        <f>IFERROR(IF(INDEX([1]Temps!$D$81:$AH$81,1,$B82)="",NA(),INDEX([1]Temps!$D$81:$AH$81,1,$B82)),NA())</f>
        <v>#N/A</v>
      </c>
      <c r="O82" s="622" t="e">
        <f>IFERROR(IF(INDEX([1]Temps!$D$84:$AH$84,1,$B82)="",NA(),INDEX([1]Temps!$D$84:$AH$84,1,$B82)),NA())</f>
        <v>#N/A</v>
      </c>
      <c r="P82" s="625">
        <f>IFERROR(AVERAGEIFS('Daily Historical Avg Temp'!$H$4:$H$368,'Daily Historical Avg Temp'!$B$4:$B$368,MONTH($B$4),'Daily Historical Avg Temp'!$C$4:$C$368,$B82),NA())</f>
        <v>34.5</v>
      </c>
      <c r="Q82" s="622">
        <f>IFERROR(AVERAGEIFS('Daily Historical Avg Temp'!$I$4:$I$368,'Daily Historical Avg Temp'!$B$4:$B$368,MONTH($B$4),'Daily Historical Avg Temp'!$C$4:$C$368,$B82),NA())</f>
        <v>36.65</v>
      </c>
    </row>
    <row r="83" spans="2:17">
      <c r="B83" s="582">
        <f t="shared" si="14"/>
        <v>30</v>
      </c>
      <c r="C83" s="613"/>
      <c r="D83" s="613" t="e">
        <f>IF($B83&lt;='Input Data'!$A$1,'Input Data'!AG33,NA())</f>
        <v>#N/A</v>
      </c>
      <c r="E83" s="614">
        <f>IF('Monthly Budget Data'!G34=0,NA(),'Monthly Budget Data'!G34)</f>
        <v>88445.218994218347</v>
      </c>
      <c r="F83" s="621" t="e">
        <f>IF('Input Data'!CI33="",NA(),'Input Data'!CI33)</f>
        <v>#N/A</v>
      </c>
      <c r="G83" s="622" t="e">
        <f>IF('Input Data'!CJ33="",NA(),'Input Data'!CJ33)</f>
        <v>#N/A</v>
      </c>
      <c r="H83" s="625">
        <f>IFERROR(AVERAGEIFS('Daily Historical Avg Temp'!$F$4:$F$368,'Daily Historical Avg Temp'!$B$4:$B$368,MONTH($B$4),'Daily Historical Avg Temp'!$C$4:$C$368,$B83),NA())</f>
        <v>42.7</v>
      </c>
      <c r="I83" s="625">
        <f>IFERROR(AVERAGEIFS('Daily Historical Avg Temp'!$G$4:$G$368,'Daily Historical Avg Temp'!$B$4:$B$368,MONTH($B$4),'Daily Historical Avg Temp'!$C$4:$C$368,$B83),NA())</f>
        <v>44.5</v>
      </c>
      <c r="J83" s="621" t="e">
        <f>IFERROR(IF(INDEX([1]Temps!$D$80:$AH$80,1,$B83)="",NA(),INDEX([1]Temps!$D$80:$AH$80,1,$B83)),NA())</f>
        <v>#N/A</v>
      </c>
      <c r="K83" s="622" t="e">
        <f>IFERROR(IF(INDEX([1]Temps!$D$83:$AH$83,1,$B83)="",NA(),INDEX([1]Temps!$D$83:$AH$83,1,$B83)),NA())</f>
        <v>#N/A</v>
      </c>
      <c r="L83" s="625">
        <f>IFERROR(AVERAGEIFS('Daily Historical Avg Temp'!$D$4:$D$368,'Daily Historical Avg Temp'!$B$4:$B$368,MONTH($B$4),'Daily Historical Avg Temp'!$C$4:$C$368,$B83),NA())</f>
        <v>50.95</v>
      </c>
      <c r="M83" s="625">
        <f>IFERROR(AVERAGEIFS('Daily Historical Avg Temp'!$E$4:$E$368,'Daily Historical Avg Temp'!$B$4:$B$368,MONTH($B$4),'Daily Historical Avg Temp'!$C$4:$C$368,$B83),NA())</f>
        <v>52.2</v>
      </c>
      <c r="N83" s="621" t="e">
        <f>IFERROR(IF(INDEX([1]Temps!$D$81:$AH$81,1,$B83)="",NA(),INDEX([1]Temps!$D$81:$AH$81,1,$B83)),NA())</f>
        <v>#N/A</v>
      </c>
      <c r="O83" s="622" t="e">
        <f>IFERROR(IF(INDEX([1]Temps!$D$84:$AH$84,1,$B83)="",NA(),INDEX([1]Temps!$D$84:$AH$84,1,$B83)),NA())</f>
        <v>#N/A</v>
      </c>
      <c r="P83" s="625">
        <f>IFERROR(AVERAGEIFS('Daily Historical Avg Temp'!$H$4:$H$368,'Daily Historical Avg Temp'!$B$4:$B$368,MONTH($B$4),'Daily Historical Avg Temp'!$C$4:$C$368,$B83),NA())</f>
        <v>34.25</v>
      </c>
      <c r="Q83" s="622">
        <f>IFERROR(AVERAGEIFS('Daily Historical Avg Temp'!$I$4:$I$368,'Daily Historical Avg Temp'!$B$4:$B$368,MONTH($B$4),'Daily Historical Avg Temp'!$C$4:$C$368,$B83),NA())</f>
        <v>36.299999999999997</v>
      </c>
    </row>
    <row r="84" spans="2:17" ht="13.5" thickBot="1">
      <c r="B84" s="582" t="str">
        <f t="shared" si="14"/>
        <v/>
      </c>
      <c r="C84" s="613"/>
      <c r="D84" s="613" t="e">
        <f>IF($B84&lt;='Input Data'!$A$1,'Input Data'!AG34,NA())</f>
        <v>#N/A</v>
      </c>
      <c r="E84" s="614" t="e">
        <f>IF('Monthly Budget Data'!G35=0,NA(),'Monthly Budget Data'!G35)</f>
        <v>#N/A</v>
      </c>
      <c r="F84" s="623" t="e">
        <f>IF('Input Data'!CI34="",NA(),'Input Data'!CI34)</f>
        <v>#N/A</v>
      </c>
      <c r="G84" s="624" t="e">
        <f>IF('Input Data'!CJ34="",NA(),'Input Data'!CJ34)</f>
        <v>#N/A</v>
      </c>
      <c r="H84" s="626" t="e">
        <f>IFERROR(AVERAGEIFS('Daily Historical Avg Temp'!$F$4:$F$368,'Daily Historical Avg Temp'!$B$4:$B$368,MONTH($B$4),'Daily Historical Avg Temp'!$C$4:$C$368,$B84),NA())</f>
        <v>#N/A</v>
      </c>
      <c r="I84" s="626" t="e">
        <f>IFERROR(AVERAGEIFS('Daily Historical Avg Temp'!$G$4:$G$368,'Daily Historical Avg Temp'!$B$4:$B$368,MONTH($B$4),'Daily Historical Avg Temp'!$C$4:$C$368,$B84),NA())</f>
        <v>#N/A</v>
      </c>
      <c r="J84" s="623" t="e">
        <f>IFERROR(IF(INDEX([1]Temps!$D$80:$AH$80,1,$B84)="",NA(),INDEX([1]Temps!$D$80:$AH$80,1,$B84)),NA())</f>
        <v>#N/A</v>
      </c>
      <c r="K84" s="624" t="e">
        <f>IFERROR(IF(INDEX([1]Temps!$D$83:$AH$83,1,$B84)="",NA(),INDEX([1]Temps!$D$83:$AH$83,1,$B84)),NA())</f>
        <v>#N/A</v>
      </c>
      <c r="L84" s="626" t="e">
        <f>IFERROR(AVERAGEIFS('Daily Historical Avg Temp'!$D$4:$D$368,'Daily Historical Avg Temp'!$B$4:$B$368,MONTH($B$4),'Daily Historical Avg Temp'!$C$4:$C$368,$B84),NA())</f>
        <v>#N/A</v>
      </c>
      <c r="M84" s="626" t="e">
        <f>IFERROR(AVERAGEIFS('Daily Historical Avg Temp'!$E$4:$E$368,'Daily Historical Avg Temp'!$B$4:$B$368,MONTH($B$4),'Daily Historical Avg Temp'!$C$4:$C$368,$B84),NA())</f>
        <v>#N/A</v>
      </c>
      <c r="N84" s="623" t="e">
        <f>IFERROR(IF(INDEX([1]Temps!$D$81:$AH$81,1,$B84)="",NA(),INDEX([1]Temps!$D$81:$AH$81,1,$B84)),NA())</f>
        <v>#N/A</v>
      </c>
      <c r="O84" s="624" t="e">
        <f>IFERROR(IF(INDEX([1]Temps!$D$84:$AH$84,1,$B84)="",NA(),INDEX([1]Temps!$D$84:$AH$84,1,$B84)),NA())</f>
        <v>#N/A</v>
      </c>
      <c r="P84" s="626" t="e">
        <f>IFERROR(AVERAGEIFS('Daily Historical Avg Temp'!$H$4:$H$368,'Daily Historical Avg Temp'!$B$4:$B$368,MONTH($B$4),'Daily Historical Avg Temp'!$C$4:$C$368,$B84),NA())</f>
        <v>#N/A</v>
      </c>
      <c r="Q84" s="624" t="e">
        <f>IFERROR(AVERAGEIFS('Daily Historical Avg Temp'!$I$4:$I$368,'Daily Historical Avg Temp'!$B$4:$B$368,MONTH($B$4),'Daily Historical Avg Temp'!$C$4:$C$368,$B84),NA())</f>
        <v>#N/A</v>
      </c>
    </row>
    <row r="85" spans="2:17">
      <c r="H85" s="613"/>
      <c r="I85" s="613"/>
    </row>
    <row r="87" spans="2:17">
      <c r="B87" s="582">
        <f>YEAR('Input Data'!A4)</f>
        <v>2014</v>
      </c>
    </row>
    <row r="88" spans="2:17" ht="25.5">
      <c r="B88" s="582" t="s">
        <v>385</v>
      </c>
      <c r="D88" s="630" t="s">
        <v>50</v>
      </c>
      <c r="E88" s="630" t="s">
        <v>67</v>
      </c>
      <c r="F88" s="630" t="s">
        <v>394</v>
      </c>
      <c r="G88" s="630" t="s">
        <v>393</v>
      </c>
    </row>
    <row r="89" spans="2:17">
      <c r="B89" s="582">
        <v>1</v>
      </c>
      <c r="D89" s="642">
        <f>IF('Year to Date'!L27&gt;0,'Year to Date'!L27/1000000,NA())</f>
        <v>3.6316752310791016</v>
      </c>
      <c r="E89" s="642">
        <v>3.2040540259429999</v>
      </c>
      <c r="F89" s="642" t="e">
        <f>IF(MONTH($B$4)=$B89,'OSS Summary'!$F$34/1000000,NA())</f>
        <v>#N/A</v>
      </c>
      <c r="G89" s="642" t="e">
        <f>IF(MONTH($B$4)=$B89,'OSS Summary'!$G$34/1000000,NA())</f>
        <v>#N/A</v>
      </c>
    </row>
    <row r="90" spans="2:17">
      <c r="B90" s="582">
        <v>2</v>
      </c>
      <c r="D90" s="642">
        <f>IF('Year to Date'!L28&gt;0,'Year to Date'!L28/1000000,NA())</f>
        <v>3.0236581121826172</v>
      </c>
      <c r="E90" s="642">
        <v>2.8593655968515184</v>
      </c>
      <c r="F90" s="642" t="e">
        <f>IF(MONTH($B$4)=$B90,'OSS Summary'!$F$34/1000000,NA())</f>
        <v>#N/A</v>
      </c>
      <c r="G90" s="642" t="e">
        <f>IF(MONTH($B$4)=$B90,'OSS Summary'!$G$34/1000000,NA())</f>
        <v>#N/A</v>
      </c>
    </row>
    <row r="91" spans="2:17">
      <c r="B91" s="582">
        <v>3</v>
      </c>
      <c r="D91" s="642">
        <f>IF('Year to Date'!L29&gt;0,'Year to Date'!L29/1000000,NA())</f>
        <v>2.9356230000000001</v>
      </c>
      <c r="E91" s="642">
        <v>2.8114698371906104</v>
      </c>
      <c r="F91" s="642" t="e">
        <f>IF(MONTH($B$4)=$B91,'OSS Summary'!$F$34/1000000,NA())</f>
        <v>#N/A</v>
      </c>
      <c r="G91" s="642" t="e">
        <f>IF(MONTH($B$4)=$B91,'OSS Summary'!$G$34/1000000,NA())</f>
        <v>#N/A</v>
      </c>
    </row>
    <row r="92" spans="2:17">
      <c r="B92" s="582">
        <v>4</v>
      </c>
      <c r="D92" s="642">
        <f>IF('Year to Date'!L30&gt;0,'Year to Date'!L30/1000000,NA())</f>
        <v>2.4681143041381834</v>
      </c>
      <c r="E92" s="642">
        <v>2.5172543277377075</v>
      </c>
      <c r="F92" s="642" t="e">
        <f>IF(MONTH($B$4)=$B92,'OSS Summary'!$F$34/1000000,NA())</f>
        <v>#N/A</v>
      </c>
      <c r="G92" s="642" t="e">
        <f>IF(MONTH($B$4)=$B92,'OSS Summary'!$G$34/1000000,NA())</f>
        <v>#N/A</v>
      </c>
    </row>
    <row r="93" spans="2:17">
      <c r="B93" s="582">
        <v>5</v>
      </c>
      <c r="D93" s="642">
        <f>IF('Year to Date'!L31&gt;0,'Year to Date'!L31/1000000,NA())</f>
        <v>2.7832269130859375</v>
      </c>
      <c r="E93" s="642">
        <v>2.7018435086360864</v>
      </c>
      <c r="F93" s="642" t="e">
        <f>IF(MONTH($B$4)=$B93,'OSS Summary'!$F$34/1000000,NA())</f>
        <v>#N/A</v>
      </c>
      <c r="G93" s="642" t="e">
        <f>IF(MONTH($B$4)=$B93,'OSS Summary'!$G$34/1000000,NA())</f>
        <v>#N/A</v>
      </c>
    </row>
    <row r="94" spans="2:17">
      <c r="B94" s="582">
        <v>6</v>
      </c>
      <c r="D94" s="642">
        <f>IF('Year to Date'!L32&gt;0,'Year to Date'!L32/1000000,NA())</f>
        <v>3.108632946533203</v>
      </c>
      <c r="E94" s="642">
        <v>3.1536199342092037</v>
      </c>
      <c r="F94" s="642" t="e">
        <f>IF(MONTH($B$4)=$B94,'OSS Summary'!$F$34/1000000,NA())</f>
        <v>#N/A</v>
      </c>
      <c r="G94" s="642" t="e">
        <f>IF(MONTH($B$4)=$B94,'OSS Summary'!$G$34/1000000,NA())</f>
        <v>#N/A</v>
      </c>
    </row>
    <row r="95" spans="2:17">
      <c r="B95" s="582">
        <v>7</v>
      </c>
      <c r="D95" s="642">
        <f>IF('Year to Date'!L33&gt;0,'Year to Date'!L33/1000000,NA())</f>
        <v>3.1182979225463869</v>
      </c>
      <c r="E95" s="642">
        <v>3.5428093258800963</v>
      </c>
      <c r="F95" s="642" t="e">
        <f>IF(MONTH($B$4)=$B95,'OSS Summary'!$F$34/1000000,NA())</f>
        <v>#N/A</v>
      </c>
      <c r="G95" s="642" t="e">
        <f>IF(MONTH($B$4)=$B95,'OSS Summary'!$G$34/1000000,NA())</f>
        <v>#N/A</v>
      </c>
    </row>
    <row r="96" spans="2:17">
      <c r="B96" s="582">
        <v>8</v>
      </c>
      <c r="D96" s="642">
        <f>IF('Year to Date'!L34&gt;0,'Year to Date'!L34/1000000,NA())</f>
        <v>3.2590089999999998</v>
      </c>
      <c r="E96" s="642">
        <v>3.5690942982098637</v>
      </c>
      <c r="F96" s="642" t="e">
        <f>IF(MONTH($B$4)=$B96,'OSS Summary'!$F$34/1000000,NA())</f>
        <v>#N/A</v>
      </c>
      <c r="G96" s="642" t="e">
        <f>IF(MONTH($B$4)=$B96,'OSS Summary'!$G$34/1000000,NA())</f>
        <v>#N/A</v>
      </c>
    </row>
    <row r="97" spans="2:7">
      <c r="B97" s="582">
        <v>9</v>
      </c>
      <c r="D97" s="642">
        <f>IF('Year to Date'!L35&gt;0,'Year to Date'!L35/1000000,NA())</f>
        <v>2.7978678876342773</v>
      </c>
      <c r="E97" s="642">
        <v>2.9072251343285096</v>
      </c>
      <c r="F97" s="642" t="e">
        <f>IF(MONTH($B$4)=$B97,'OSS Summary'!$F$34/1000000,NA())</f>
        <v>#N/A</v>
      </c>
      <c r="G97" s="642" t="e">
        <f>IF(MONTH($B$4)=$B97,'OSS Summary'!$G$34/1000000,NA())</f>
        <v>#N/A</v>
      </c>
    </row>
    <row r="98" spans="2:7">
      <c r="B98" s="582">
        <v>10</v>
      </c>
      <c r="D98" s="642">
        <f>IF('Year to Date'!L36&gt;0,'Year to Date'!L36/1000000,NA())</f>
        <v>2.5592095591430666</v>
      </c>
      <c r="E98" s="642">
        <v>2.6590848179377424</v>
      </c>
      <c r="F98" s="642" t="e">
        <f>IF(MONTH($B$4)=$B98,'OSS Summary'!$F$34/1000000,NA())</f>
        <v>#N/A</v>
      </c>
      <c r="G98" s="642" t="e">
        <f>IF(MONTH($B$4)=$B98,'OSS Summary'!$G$34/1000000,NA())</f>
        <v>#N/A</v>
      </c>
    </row>
    <row r="99" spans="2:7">
      <c r="B99" s="582">
        <v>11</v>
      </c>
      <c r="D99" s="642" t="e">
        <f>IF('Year to Date'!L37&gt;0,'Year to Date'!L37/1000000,NA())</f>
        <v>#N/A</v>
      </c>
      <c r="E99" s="642">
        <v>2.692662044855386</v>
      </c>
      <c r="F99" s="642">
        <f>IF(MONTH($B$4)=$B99,'OSS Summary'!$F$34/1000000,NA())</f>
        <v>2.2224789999999999</v>
      </c>
      <c r="G99" s="642">
        <f>IF(MONTH($B$4)=$B99,'OSS Summary'!$G$34/1000000,NA())</f>
        <v>2.0468822911240729</v>
      </c>
    </row>
    <row r="100" spans="2:7">
      <c r="B100" s="582">
        <v>12</v>
      </c>
      <c r="D100" s="642" t="e">
        <f>IF('Year to Date'!L38&gt;0,'Year to Date'!L38/1000000,NA())</f>
        <v>#N/A</v>
      </c>
      <c r="E100" s="642">
        <v>3.0977893819807409</v>
      </c>
      <c r="F100" s="642" t="e">
        <f>IF(MONTH($B$4)=$B100,'OSS Summary'!$F$34/1000000,NA())</f>
        <v>#N/A</v>
      </c>
      <c r="G100" s="642" t="e">
        <f>IF(MONTH($B$4)=$B100,'OSS Summary'!$G$34/1000000,NA())</f>
        <v>#N/A</v>
      </c>
    </row>
  </sheetData>
  <mergeCells count="10">
    <mergeCell ref="C2:Z2"/>
    <mergeCell ref="AC2:AZ2"/>
    <mergeCell ref="BC2:BZ2"/>
    <mergeCell ref="CC2:CZ2"/>
    <mergeCell ref="P52:Q52"/>
    <mergeCell ref="F52:G52"/>
    <mergeCell ref="H52:I52"/>
    <mergeCell ref="J52:K52"/>
    <mergeCell ref="L52:M52"/>
    <mergeCell ref="N52:O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J369"/>
  <sheetViews>
    <sheetView workbookViewId="0">
      <pane xSplit="3" ySplit="4" topLeftCell="D5" activePane="bottomRight" state="frozen"/>
      <selection activeCell="D4" sqref="D4:D38"/>
      <selection pane="topRight" activeCell="D4" sqref="D4:D38"/>
      <selection pane="bottomLeft" activeCell="D4" sqref="D4:D38"/>
      <selection pane="bottomRight" activeCell="L6" sqref="L6"/>
    </sheetView>
  </sheetViews>
  <sheetFormatPr defaultRowHeight="15"/>
  <cols>
    <col min="1" max="1" width="10.7109375" style="593" bestFit="1" customWidth="1"/>
    <col min="2" max="5" width="9.42578125" style="593" bestFit="1" customWidth="1"/>
    <col min="6" max="9" width="9.42578125" style="593" customWidth="1"/>
    <col min="10" max="10" width="15.7109375" style="593" bestFit="1" customWidth="1"/>
    <col min="11" max="16384" width="9.140625" style="593"/>
  </cols>
  <sheetData>
    <row r="1" spans="1:10">
      <c r="B1" s="594" t="s">
        <v>345</v>
      </c>
      <c r="F1" s="649" t="s">
        <v>395</v>
      </c>
    </row>
    <row r="2" spans="1:10">
      <c r="A2"/>
      <c r="B2"/>
      <c r="C2"/>
      <c r="D2" s="752" t="s">
        <v>355</v>
      </c>
      <c r="E2" s="752"/>
      <c r="F2" s="752" t="s">
        <v>356</v>
      </c>
      <c r="G2" s="752"/>
      <c r="H2" s="752" t="s">
        <v>357</v>
      </c>
      <c r="I2" s="752"/>
    </row>
    <row r="3" spans="1:10">
      <c r="A3"/>
      <c r="B3" s="616" t="s">
        <v>331</v>
      </c>
      <c r="C3" s="616" t="s">
        <v>342</v>
      </c>
      <c r="D3" s="617" t="s">
        <v>343</v>
      </c>
      <c r="E3" s="617" t="s">
        <v>344</v>
      </c>
      <c r="F3" s="617" t="s">
        <v>343</v>
      </c>
      <c r="G3" s="617" t="s">
        <v>344</v>
      </c>
      <c r="H3" s="617" t="s">
        <v>343</v>
      </c>
      <c r="I3" s="617" t="s">
        <v>344</v>
      </c>
      <c r="J3" s="595" t="s">
        <v>346</v>
      </c>
    </row>
    <row r="4" spans="1:10">
      <c r="A4" s="618">
        <v>41640</v>
      </c>
      <c r="B4" s="599">
        <v>1</v>
      </c>
      <c r="C4" s="599">
        <v>1</v>
      </c>
      <c r="D4" s="619">
        <v>44.3</v>
      </c>
      <c r="E4" s="619">
        <v>44.45</v>
      </c>
      <c r="F4" s="619">
        <v>35.4</v>
      </c>
      <c r="G4" s="619">
        <v>36.25</v>
      </c>
      <c r="H4" s="619">
        <v>26.35</v>
      </c>
      <c r="I4" s="619">
        <v>27.85</v>
      </c>
      <c r="J4" s="599" t="str">
        <f>IF(OR(B4&lt;=4,B4&gt;=11),"H","C")</f>
        <v>H</v>
      </c>
    </row>
    <row r="5" spans="1:10">
      <c r="A5" s="596">
        <v>41641</v>
      </c>
      <c r="B5" s="599">
        <v>1</v>
      </c>
      <c r="C5" s="599">
        <v>2</v>
      </c>
      <c r="D5" s="619">
        <v>41.15</v>
      </c>
      <c r="E5" s="619">
        <v>43.4</v>
      </c>
      <c r="F5" s="619">
        <v>35</v>
      </c>
      <c r="G5" s="619">
        <v>36.799999999999997</v>
      </c>
      <c r="H5" s="619">
        <v>29</v>
      </c>
      <c r="I5" s="619">
        <v>30.05</v>
      </c>
      <c r="J5" s="599" t="str">
        <f t="shared" ref="J5:J68" si="0">IF(OR(B5&lt;=4,B5&gt;=11),"H","C")</f>
        <v>H</v>
      </c>
    </row>
    <row r="6" spans="1:10">
      <c r="A6" s="596">
        <v>41642</v>
      </c>
      <c r="B6" s="599">
        <v>1</v>
      </c>
      <c r="C6" s="599">
        <v>3</v>
      </c>
      <c r="D6" s="619">
        <v>41.95</v>
      </c>
      <c r="E6" s="619">
        <v>43.25</v>
      </c>
      <c r="F6" s="619">
        <v>35.6</v>
      </c>
      <c r="G6" s="619">
        <v>37.1</v>
      </c>
      <c r="H6" s="619">
        <v>28.95</v>
      </c>
      <c r="I6" s="619">
        <v>30.85</v>
      </c>
      <c r="J6" s="599" t="str">
        <f t="shared" si="0"/>
        <v>H</v>
      </c>
    </row>
    <row r="7" spans="1:10">
      <c r="A7" s="596">
        <v>41643</v>
      </c>
      <c r="B7" s="599">
        <v>1</v>
      </c>
      <c r="C7" s="599">
        <v>4</v>
      </c>
      <c r="D7" s="619">
        <v>45.1</v>
      </c>
      <c r="E7" s="619">
        <v>46.6</v>
      </c>
      <c r="F7" s="619">
        <v>38</v>
      </c>
      <c r="G7" s="619">
        <v>39.450000000000003</v>
      </c>
      <c r="H7" s="619">
        <v>30.5</v>
      </c>
      <c r="I7" s="619">
        <v>31.95</v>
      </c>
      <c r="J7" s="599" t="str">
        <f t="shared" si="0"/>
        <v>H</v>
      </c>
    </row>
    <row r="8" spans="1:10">
      <c r="A8" s="596">
        <v>41644</v>
      </c>
      <c r="B8" s="599">
        <v>1</v>
      </c>
      <c r="C8" s="599">
        <v>5</v>
      </c>
      <c r="D8" s="619">
        <v>42.05</v>
      </c>
      <c r="E8" s="619">
        <v>43.1</v>
      </c>
      <c r="F8" s="619">
        <v>35.85</v>
      </c>
      <c r="G8" s="619">
        <v>36.950000000000003</v>
      </c>
      <c r="H8" s="619">
        <v>29.15</v>
      </c>
      <c r="I8" s="619">
        <v>30.6</v>
      </c>
      <c r="J8" s="599" t="str">
        <f t="shared" si="0"/>
        <v>H</v>
      </c>
    </row>
    <row r="9" spans="1:10">
      <c r="A9" s="596">
        <v>41645</v>
      </c>
      <c r="B9" s="599">
        <v>1</v>
      </c>
      <c r="C9" s="599">
        <v>6</v>
      </c>
      <c r="D9" s="619">
        <v>41.85</v>
      </c>
      <c r="E9" s="619">
        <v>42.95</v>
      </c>
      <c r="F9" s="619">
        <v>35.5</v>
      </c>
      <c r="G9" s="619">
        <v>36.85</v>
      </c>
      <c r="H9" s="619">
        <v>28.6</v>
      </c>
      <c r="I9" s="619">
        <v>30.35</v>
      </c>
      <c r="J9" s="599" t="str">
        <f t="shared" si="0"/>
        <v>H</v>
      </c>
    </row>
    <row r="10" spans="1:10">
      <c r="A10" s="596">
        <v>41646</v>
      </c>
      <c r="B10" s="599">
        <v>1</v>
      </c>
      <c r="C10" s="599">
        <v>7</v>
      </c>
      <c r="D10" s="619">
        <v>41.05</v>
      </c>
      <c r="E10" s="619">
        <v>42.15</v>
      </c>
      <c r="F10" s="619">
        <v>34.4</v>
      </c>
      <c r="G10" s="619">
        <v>35.299999999999997</v>
      </c>
      <c r="H10" s="619">
        <v>27.45</v>
      </c>
      <c r="I10" s="619">
        <v>28.45</v>
      </c>
      <c r="J10" s="599" t="str">
        <f t="shared" si="0"/>
        <v>H</v>
      </c>
    </row>
    <row r="11" spans="1:10">
      <c r="A11" s="596">
        <v>41647</v>
      </c>
      <c r="B11" s="599">
        <v>1</v>
      </c>
      <c r="C11" s="599">
        <v>8</v>
      </c>
      <c r="D11" s="619">
        <v>39.5</v>
      </c>
      <c r="E11" s="619">
        <v>41.6</v>
      </c>
      <c r="F11" s="619">
        <v>32.35</v>
      </c>
      <c r="G11" s="619">
        <v>34.450000000000003</v>
      </c>
      <c r="H11" s="619">
        <v>24.95</v>
      </c>
      <c r="I11" s="619">
        <v>27.4</v>
      </c>
      <c r="J11" s="599" t="str">
        <f t="shared" si="0"/>
        <v>H</v>
      </c>
    </row>
    <row r="12" spans="1:10">
      <c r="A12" s="596">
        <v>41648</v>
      </c>
      <c r="B12" s="599">
        <v>1</v>
      </c>
      <c r="C12" s="599">
        <v>9</v>
      </c>
      <c r="D12" s="619">
        <v>40.9</v>
      </c>
      <c r="E12" s="619">
        <v>42.45</v>
      </c>
      <c r="F12" s="619">
        <v>33.15</v>
      </c>
      <c r="G12" s="619">
        <v>35.35</v>
      </c>
      <c r="H12" s="619">
        <v>25.15</v>
      </c>
      <c r="I12" s="619">
        <v>27.4</v>
      </c>
      <c r="J12" s="599" t="str">
        <f t="shared" si="0"/>
        <v>H</v>
      </c>
    </row>
    <row r="13" spans="1:10">
      <c r="A13" s="596">
        <v>41649</v>
      </c>
      <c r="B13" s="599">
        <v>1</v>
      </c>
      <c r="C13" s="599">
        <v>10</v>
      </c>
      <c r="D13" s="619">
        <v>39.85</v>
      </c>
      <c r="E13" s="619">
        <v>41.4</v>
      </c>
      <c r="F13" s="619">
        <v>32.450000000000003</v>
      </c>
      <c r="G13" s="619">
        <v>34.049999999999997</v>
      </c>
      <c r="H13" s="619">
        <v>24.45</v>
      </c>
      <c r="I13" s="619">
        <v>26.65</v>
      </c>
      <c r="J13" s="599" t="str">
        <f t="shared" si="0"/>
        <v>H</v>
      </c>
    </row>
    <row r="14" spans="1:10">
      <c r="A14" s="596">
        <v>41650</v>
      </c>
      <c r="B14" s="599">
        <v>1</v>
      </c>
      <c r="C14" s="599">
        <v>11</v>
      </c>
      <c r="D14" s="619">
        <v>40.9</v>
      </c>
      <c r="E14" s="619">
        <v>42.1</v>
      </c>
      <c r="F14" s="619">
        <v>33.9</v>
      </c>
      <c r="G14" s="619">
        <v>35.6</v>
      </c>
      <c r="H14" s="619">
        <v>26.7</v>
      </c>
      <c r="I14" s="619">
        <v>28.8</v>
      </c>
      <c r="J14" s="599" t="str">
        <f t="shared" si="0"/>
        <v>H</v>
      </c>
    </row>
    <row r="15" spans="1:10">
      <c r="A15" s="596">
        <v>41651</v>
      </c>
      <c r="B15" s="599">
        <v>1</v>
      </c>
      <c r="C15" s="599">
        <v>12</v>
      </c>
      <c r="D15" s="619">
        <v>44.35</v>
      </c>
      <c r="E15" s="619">
        <v>46.1</v>
      </c>
      <c r="F15" s="619">
        <v>37.549999999999997</v>
      </c>
      <c r="G15" s="619">
        <v>38.950000000000003</v>
      </c>
      <c r="H15" s="619">
        <v>30.2</v>
      </c>
      <c r="I15" s="619">
        <v>31.6</v>
      </c>
      <c r="J15" s="599" t="str">
        <f t="shared" si="0"/>
        <v>H</v>
      </c>
    </row>
    <row r="16" spans="1:10">
      <c r="A16" s="596">
        <v>41652</v>
      </c>
      <c r="B16" s="599">
        <v>1</v>
      </c>
      <c r="C16" s="599">
        <v>13</v>
      </c>
      <c r="D16" s="619">
        <v>43.95</v>
      </c>
      <c r="E16" s="619">
        <v>45.9</v>
      </c>
      <c r="F16" s="619">
        <v>35.950000000000003</v>
      </c>
      <c r="G16" s="619">
        <v>37.799999999999997</v>
      </c>
      <c r="H16" s="619">
        <v>27.65</v>
      </c>
      <c r="I16" s="619">
        <v>29.3</v>
      </c>
      <c r="J16" s="599" t="str">
        <f t="shared" si="0"/>
        <v>H</v>
      </c>
    </row>
    <row r="17" spans="1:10">
      <c r="A17" s="596">
        <v>41653</v>
      </c>
      <c r="B17" s="599">
        <v>1</v>
      </c>
      <c r="C17" s="599">
        <v>14</v>
      </c>
      <c r="D17" s="619">
        <v>40.5</v>
      </c>
      <c r="E17" s="619">
        <v>42.45</v>
      </c>
      <c r="F17" s="619">
        <v>32.85</v>
      </c>
      <c r="G17" s="619">
        <v>34.4</v>
      </c>
      <c r="H17" s="619">
        <v>25.05</v>
      </c>
      <c r="I17" s="619">
        <v>26.05</v>
      </c>
      <c r="J17" s="599" t="str">
        <f t="shared" si="0"/>
        <v>H</v>
      </c>
    </row>
    <row r="18" spans="1:10">
      <c r="A18" s="596">
        <v>41654</v>
      </c>
      <c r="B18" s="599">
        <v>1</v>
      </c>
      <c r="C18" s="599">
        <v>15</v>
      </c>
      <c r="D18" s="619">
        <v>38.1</v>
      </c>
      <c r="E18" s="619">
        <v>38.4</v>
      </c>
      <c r="F18" s="619">
        <v>30.6</v>
      </c>
      <c r="G18" s="619">
        <v>31.65</v>
      </c>
      <c r="H18" s="619">
        <v>22.65</v>
      </c>
      <c r="I18" s="619">
        <v>24.15</v>
      </c>
      <c r="J18" s="599" t="str">
        <f t="shared" si="0"/>
        <v>H</v>
      </c>
    </row>
    <row r="19" spans="1:10">
      <c r="A19" s="596">
        <v>41655</v>
      </c>
      <c r="B19" s="599">
        <v>1</v>
      </c>
      <c r="C19" s="599">
        <v>16</v>
      </c>
      <c r="D19" s="619">
        <v>37.450000000000003</v>
      </c>
      <c r="E19" s="619">
        <v>40.35</v>
      </c>
      <c r="F19" s="619">
        <v>29.2</v>
      </c>
      <c r="G19" s="619">
        <v>31.85</v>
      </c>
      <c r="H19" s="619">
        <v>20.85</v>
      </c>
      <c r="I19" s="619">
        <v>23.25</v>
      </c>
      <c r="J19" s="599" t="str">
        <f t="shared" si="0"/>
        <v>H</v>
      </c>
    </row>
    <row r="20" spans="1:10">
      <c r="A20" s="596">
        <v>41656</v>
      </c>
      <c r="B20" s="599">
        <v>1</v>
      </c>
      <c r="C20" s="599">
        <v>17</v>
      </c>
      <c r="D20" s="619">
        <v>40.299999999999997</v>
      </c>
      <c r="E20" s="619">
        <v>42.8</v>
      </c>
      <c r="F20" s="619">
        <v>32.450000000000003</v>
      </c>
      <c r="G20" s="619">
        <v>34.65</v>
      </c>
      <c r="H20" s="619">
        <v>24.25</v>
      </c>
      <c r="I20" s="619">
        <v>25.95</v>
      </c>
      <c r="J20" s="599" t="str">
        <f t="shared" si="0"/>
        <v>H</v>
      </c>
    </row>
    <row r="21" spans="1:10">
      <c r="A21" s="596">
        <v>41657</v>
      </c>
      <c r="B21" s="599">
        <v>1</v>
      </c>
      <c r="C21" s="599">
        <v>18</v>
      </c>
      <c r="D21" s="619">
        <v>36</v>
      </c>
      <c r="E21" s="619">
        <v>37.700000000000003</v>
      </c>
      <c r="F21" s="619">
        <v>29.6</v>
      </c>
      <c r="G21" s="619">
        <v>31.3</v>
      </c>
      <c r="H21" s="619">
        <v>22.65</v>
      </c>
      <c r="I21" s="619">
        <v>23.85</v>
      </c>
      <c r="J21" s="599" t="str">
        <f t="shared" si="0"/>
        <v>H</v>
      </c>
    </row>
    <row r="22" spans="1:10">
      <c r="A22" s="596">
        <v>41658</v>
      </c>
      <c r="B22" s="599">
        <v>1</v>
      </c>
      <c r="C22" s="599">
        <v>19</v>
      </c>
      <c r="D22" s="619">
        <v>36.15</v>
      </c>
      <c r="E22" s="619">
        <v>37.049999999999997</v>
      </c>
      <c r="F22" s="619">
        <v>28.45</v>
      </c>
      <c r="G22" s="619">
        <v>29.1</v>
      </c>
      <c r="H22" s="619">
        <v>20.3</v>
      </c>
      <c r="I22" s="619">
        <v>21.2</v>
      </c>
      <c r="J22" s="599" t="str">
        <f t="shared" si="0"/>
        <v>H</v>
      </c>
    </row>
    <row r="23" spans="1:10">
      <c r="A23" s="596">
        <v>41659</v>
      </c>
      <c r="B23" s="599">
        <v>1</v>
      </c>
      <c r="C23" s="599">
        <v>20</v>
      </c>
      <c r="D23" s="619">
        <v>36.85</v>
      </c>
      <c r="E23" s="619">
        <v>38.15</v>
      </c>
      <c r="F23" s="619">
        <v>29.9</v>
      </c>
      <c r="G23" s="619">
        <v>31.55</v>
      </c>
      <c r="H23" s="619">
        <v>22.65</v>
      </c>
      <c r="I23" s="619">
        <v>25</v>
      </c>
      <c r="J23" s="599" t="str">
        <f t="shared" si="0"/>
        <v>H</v>
      </c>
    </row>
    <row r="24" spans="1:10">
      <c r="A24" s="596">
        <v>41660</v>
      </c>
      <c r="B24" s="599">
        <v>1</v>
      </c>
      <c r="C24" s="599">
        <v>21</v>
      </c>
      <c r="D24" s="619">
        <v>39.9</v>
      </c>
      <c r="E24" s="619">
        <v>41.15</v>
      </c>
      <c r="F24" s="619">
        <v>31.55</v>
      </c>
      <c r="G24" s="619">
        <v>33.200000000000003</v>
      </c>
      <c r="H24" s="619">
        <v>23.05</v>
      </c>
      <c r="I24" s="619">
        <v>25.05</v>
      </c>
      <c r="J24" s="599" t="str">
        <f t="shared" si="0"/>
        <v>H</v>
      </c>
    </row>
    <row r="25" spans="1:10">
      <c r="A25" s="596">
        <v>41661</v>
      </c>
      <c r="B25" s="599">
        <v>1</v>
      </c>
      <c r="C25" s="599">
        <v>22</v>
      </c>
      <c r="D25" s="619">
        <v>43.35</v>
      </c>
      <c r="E25" s="619">
        <v>45.2</v>
      </c>
      <c r="F25" s="619">
        <v>35.15</v>
      </c>
      <c r="G25" s="619">
        <v>36.950000000000003</v>
      </c>
      <c r="H25" s="619">
        <v>26.4</v>
      </c>
      <c r="I25" s="619">
        <v>28.05</v>
      </c>
      <c r="J25" s="599" t="str">
        <f t="shared" si="0"/>
        <v>H</v>
      </c>
    </row>
    <row r="26" spans="1:10">
      <c r="A26" s="596">
        <v>41662</v>
      </c>
      <c r="B26" s="599">
        <v>1</v>
      </c>
      <c r="C26" s="599">
        <v>23</v>
      </c>
      <c r="D26" s="619">
        <v>42.4</v>
      </c>
      <c r="E26" s="619">
        <v>44.65</v>
      </c>
      <c r="F26" s="619">
        <v>34.9</v>
      </c>
      <c r="G26" s="619">
        <v>36.85</v>
      </c>
      <c r="H26" s="619">
        <v>26.95</v>
      </c>
      <c r="I26" s="619">
        <v>28.9</v>
      </c>
      <c r="J26" s="599" t="str">
        <f t="shared" si="0"/>
        <v>H</v>
      </c>
    </row>
    <row r="27" spans="1:10">
      <c r="A27" s="596">
        <v>41663</v>
      </c>
      <c r="B27" s="599">
        <v>1</v>
      </c>
      <c r="C27" s="599">
        <v>24</v>
      </c>
      <c r="D27" s="619">
        <v>40.9</v>
      </c>
      <c r="E27" s="619">
        <v>42</v>
      </c>
      <c r="F27" s="619">
        <v>32.700000000000003</v>
      </c>
      <c r="G27" s="619">
        <v>34.299999999999997</v>
      </c>
      <c r="H27" s="619">
        <v>24</v>
      </c>
      <c r="I27" s="619">
        <v>26.35</v>
      </c>
      <c r="J27" s="599" t="str">
        <f t="shared" si="0"/>
        <v>H</v>
      </c>
    </row>
    <row r="28" spans="1:10">
      <c r="A28" s="596">
        <v>41664</v>
      </c>
      <c r="B28" s="599">
        <v>1</v>
      </c>
      <c r="C28" s="599">
        <v>25</v>
      </c>
      <c r="D28" s="619">
        <v>38.25</v>
      </c>
      <c r="E28" s="619">
        <v>39.6</v>
      </c>
      <c r="F28" s="619">
        <v>30.6</v>
      </c>
      <c r="G28" s="619">
        <v>32.1</v>
      </c>
      <c r="H28" s="619">
        <v>22.55</v>
      </c>
      <c r="I28" s="619">
        <v>24.25</v>
      </c>
      <c r="J28" s="599" t="str">
        <f t="shared" si="0"/>
        <v>H</v>
      </c>
    </row>
    <row r="29" spans="1:10">
      <c r="A29" s="596">
        <v>41665</v>
      </c>
      <c r="B29" s="599">
        <v>1</v>
      </c>
      <c r="C29" s="599">
        <v>26</v>
      </c>
      <c r="D29" s="619">
        <v>41.1</v>
      </c>
      <c r="E29" s="619">
        <v>43.2</v>
      </c>
      <c r="F29" s="619">
        <v>32.950000000000003</v>
      </c>
      <c r="G29" s="619">
        <v>34.5</v>
      </c>
      <c r="H29" s="619">
        <v>24.8</v>
      </c>
      <c r="I29" s="619">
        <v>25.85</v>
      </c>
      <c r="J29" s="599" t="str">
        <f t="shared" si="0"/>
        <v>H</v>
      </c>
    </row>
    <row r="30" spans="1:10">
      <c r="A30" s="596">
        <v>41666</v>
      </c>
      <c r="B30" s="599">
        <v>1</v>
      </c>
      <c r="C30" s="599">
        <v>27</v>
      </c>
      <c r="D30" s="619">
        <v>44.15</v>
      </c>
      <c r="E30" s="619">
        <v>45.5</v>
      </c>
      <c r="F30" s="619">
        <v>35.4</v>
      </c>
      <c r="G30" s="619">
        <v>36.75</v>
      </c>
      <c r="H30" s="619">
        <v>26.2</v>
      </c>
      <c r="I30" s="619">
        <v>27.6</v>
      </c>
      <c r="J30" s="599" t="str">
        <f t="shared" si="0"/>
        <v>H</v>
      </c>
    </row>
    <row r="31" spans="1:10">
      <c r="A31" s="596">
        <v>41667</v>
      </c>
      <c r="B31" s="599">
        <v>1</v>
      </c>
      <c r="C31" s="599">
        <v>28</v>
      </c>
      <c r="D31" s="619">
        <v>43.65</v>
      </c>
      <c r="E31" s="619">
        <v>44.5</v>
      </c>
      <c r="F31" s="619">
        <v>34.4</v>
      </c>
      <c r="G31" s="619">
        <v>35.65</v>
      </c>
      <c r="H31" s="619">
        <v>25</v>
      </c>
      <c r="I31" s="619">
        <v>26.4</v>
      </c>
      <c r="J31" s="599" t="str">
        <f t="shared" si="0"/>
        <v>H</v>
      </c>
    </row>
    <row r="32" spans="1:10">
      <c r="A32" s="596">
        <v>41668</v>
      </c>
      <c r="B32" s="599">
        <v>1</v>
      </c>
      <c r="C32" s="599">
        <v>29</v>
      </c>
      <c r="D32" s="619">
        <v>42.45</v>
      </c>
      <c r="E32" s="619">
        <v>43.6</v>
      </c>
      <c r="F32" s="619">
        <v>35.450000000000003</v>
      </c>
      <c r="G32" s="619">
        <v>36.450000000000003</v>
      </c>
      <c r="H32" s="619">
        <v>27.75</v>
      </c>
      <c r="I32" s="619">
        <v>28.95</v>
      </c>
      <c r="J32" s="599" t="str">
        <f t="shared" si="0"/>
        <v>H</v>
      </c>
    </row>
    <row r="33" spans="1:10">
      <c r="A33" s="596">
        <v>41669</v>
      </c>
      <c r="B33" s="599">
        <v>1</v>
      </c>
      <c r="C33" s="599">
        <v>30</v>
      </c>
      <c r="D33" s="619">
        <v>39.4</v>
      </c>
      <c r="E33" s="619">
        <v>41.05</v>
      </c>
      <c r="F33" s="619">
        <v>32.1</v>
      </c>
      <c r="G33" s="619">
        <v>33.6</v>
      </c>
      <c r="H33" s="619">
        <v>24.45</v>
      </c>
      <c r="I33" s="619">
        <v>25.85</v>
      </c>
      <c r="J33" s="599" t="str">
        <f t="shared" si="0"/>
        <v>H</v>
      </c>
    </row>
    <row r="34" spans="1:10">
      <c r="A34" s="596">
        <v>41670</v>
      </c>
      <c r="B34" s="599">
        <v>1</v>
      </c>
      <c r="C34" s="599">
        <v>31</v>
      </c>
      <c r="D34" s="619">
        <v>39.700000000000003</v>
      </c>
      <c r="E34" s="619">
        <v>41.7</v>
      </c>
      <c r="F34" s="619">
        <v>32.15</v>
      </c>
      <c r="G34" s="619">
        <v>34.049999999999997</v>
      </c>
      <c r="H34" s="619">
        <v>24.45</v>
      </c>
      <c r="I34" s="619">
        <v>26.45</v>
      </c>
      <c r="J34" s="599" t="str">
        <f t="shared" si="0"/>
        <v>H</v>
      </c>
    </row>
    <row r="35" spans="1:10">
      <c r="A35" s="596">
        <v>41671</v>
      </c>
      <c r="B35" s="599">
        <v>2</v>
      </c>
      <c r="C35" s="599">
        <v>1</v>
      </c>
      <c r="D35" s="619">
        <v>43.6</v>
      </c>
      <c r="E35" s="619">
        <v>45.4</v>
      </c>
      <c r="F35" s="619">
        <v>35.700000000000003</v>
      </c>
      <c r="G35" s="619">
        <v>37.549999999999997</v>
      </c>
      <c r="H35" s="619">
        <v>27.6</v>
      </c>
      <c r="I35" s="619">
        <v>29.7</v>
      </c>
      <c r="J35" s="599" t="str">
        <f t="shared" si="0"/>
        <v>H</v>
      </c>
    </row>
    <row r="36" spans="1:10">
      <c r="A36" s="596">
        <v>41672</v>
      </c>
      <c r="B36" s="599">
        <v>2</v>
      </c>
      <c r="C36" s="599">
        <v>2</v>
      </c>
      <c r="D36" s="619">
        <v>43.55</v>
      </c>
      <c r="E36" s="619">
        <v>45.55</v>
      </c>
      <c r="F36" s="619">
        <v>35.299999999999997</v>
      </c>
      <c r="G36" s="619">
        <v>36.799999999999997</v>
      </c>
      <c r="H36" s="619">
        <v>26.55</v>
      </c>
      <c r="I36" s="619">
        <v>27.95</v>
      </c>
      <c r="J36" s="599" t="str">
        <f t="shared" si="0"/>
        <v>H</v>
      </c>
    </row>
    <row r="37" spans="1:10">
      <c r="A37" s="596">
        <v>41673</v>
      </c>
      <c r="B37" s="599">
        <v>2</v>
      </c>
      <c r="C37" s="599">
        <v>3</v>
      </c>
      <c r="D37" s="619">
        <v>42.2</v>
      </c>
      <c r="E37" s="619">
        <v>44.2</v>
      </c>
      <c r="F37" s="619">
        <v>34.049999999999997</v>
      </c>
      <c r="G37" s="619">
        <v>35.9</v>
      </c>
      <c r="H37" s="619">
        <v>25.7</v>
      </c>
      <c r="I37" s="619">
        <v>27.25</v>
      </c>
      <c r="J37" s="599" t="str">
        <f t="shared" si="0"/>
        <v>H</v>
      </c>
    </row>
    <row r="38" spans="1:10">
      <c r="A38" s="596">
        <v>41674</v>
      </c>
      <c r="B38" s="599">
        <v>2</v>
      </c>
      <c r="C38" s="599">
        <v>4</v>
      </c>
      <c r="D38" s="619">
        <v>40.799999999999997</v>
      </c>
      <c r="E38" s="619">
        <v>43.25</v>
      </c>
      <c r="F38" s="619">
        <v>33.15</v>
      </c>
      <c r="G38" s="619">
        <v>35.15</v>
      </c>
      <c r="H38" s="619">
        <v>24.95</v>
      </c>
      <c r="I38" s="619">
        <v>26.6</v>
      </c>
      <c r="J38" s="599" t="str">
        <f t="shared" si="0"/>
        <v>H</v>
      </c>
    </row>
    <row r="39" spans="1:10">
      <c r="A39" s="596">
        <v>41675</v>
      </c>
      <c r="B39" s="599">
        <v>2</v>
      </c>
      <c r="C39" s="599">
        <v>5</v>
      </c>
      <c r="D39" s="619">
        <v>38.85</v>
      </c>
      <c r="E39" s="619">
        <v>41.45</v>
      </c>
      <c r="F39" s="619">
        <v>31</v>
      </c>
      <c r="G39" s="619">
        <v>33.700000000000003</v>
      </c>
      <c r="H39" s="619">
        <v>23.15</v>
      </c>
      <c r="I39" s="619">
        <v>25.95</v>
      </c>
      <c r="J39" s="599" t="str">
        <f t="shared" si="0"/>
        <v>H</v>
      </c>
    </row>
    <row r="40" spans="1:10">
      <c r="A40" s="596">
        <v>41676</v>
      </c>
      <c r="B40" s="599">
        <v>2</v>
      </c>
      <c r="C40" s="599">
        <v>6</v>
      </c>
      <c r="D40" s="619">
        <v>43.8</v>
      </c>
      <c r="E40" s="619">
        <v>45.2</v>
      </c>
      <c r="F40" s="619">
        <v>34.299999999999997</v>
      </c>
      <c r="G40" s="619">
        <v>36.200000000000003</v>
      </c>
      <c r="H40" s="619">
        <v>24.65</v>
      </c>
      <c r="I40" s="619">
        <v>26.8</v>
      </c>
      <c r="J40" s="599" t="str">
        <f t="shared" si="0"/>
        <v>H</v>
      </c>
    </row>
    <row r="41" spans="1:10">
      <c r="A41" s="596">
        <v>41677</v>
      </c>
      <c r="B41" s="599">
        <v>2</v>
      </c>
      <c r="C41" s="599">
        <v>7</v>
      </c>
      <c r="D41" s="619">
        <v>41.85</v>
      </c>
      <c r="E41" s="619">
        <v>43.45</v>
      </c>
      <c r="F41" s="619">
        <v>34.799999999999997</v>
      </c>
      <c r="G41" s="619">
        <v>36.4</v>
      </c>
      <c r="H41" s="619">
        <v>27.1</v>
      </c>
      <c r="I41" s="619">
        <v>29.2</v>
      </c>
      <c r="J41" s="599" t="str">
        <f t="shared" si="0"/>
        <v>H</v>
      </c>
    </row>
    <row r="42" spans="1:10">
      <c r="A42" s="596">
        <v>41678</v>
      </c>
      <c r="B42" s="599">
        <v>2</v>
      </c>
      <c r="C42" s="599">
        <v>8</v>
      </c>
      <c r="D42" s="619">
        <v>41.45</v>
      </c>
      <c r="E42" s="619">
        <v>42.95</v>
      </c>
      <c r="F42" s="619">
        <v>33.549999999999997</v>
      </c>
      <c r="G42" s="619">
        <v>35.700000000000003</v>
      </c>
      <c r="H42" s="619">
        <v>25.55</v>
      </c>
      <c r="I42" s="619">
        <v>28.3</v>
      </c>
      <c r="J42" s="599" t="str">
        <f t="shared" si="0"/>
        <v>H</v>
      </c>
    </row>
    <row r="43" spans="1:10">
      <c r="A43" s="596">
        <v>41679</v>
      </c>
      <c r="B43" s="599">
        <v>2</v>
      </c>
      <c r="C43" s="599">
        <v>9</v>
      </c>
      <c r="D43" s="619">
        <v>44.1</v>
      </c>
      <c r="E43" s="619">
        <v>46</v>
      </c>
      <c r="F43" s="619">
        <v>35.200000000000003</v>
      </c>
      <c r="G43" s="619">
        <v>36.799999999999997</v>
      </c>
      <c r="H43" s="619">
        <v>25.85</v>
      </c>
      <c r="I43" s="619">
        <v>27.4</v>
      </c>
      <c r="J43" s="599" t="str">
        <f t="shared" si="0"/>
        <v>H</v>
      </c>
    </row>
    <row r="44" spans="1:10">
      <c r="A44" s="596">
        <v>41680</v>
      </c>
      <c r="B44" s="599">
        <v>2</v>
      </c>
      <c r="C44" s="599">
        <v>10</v>
      </c>
      <c r="D44" s="619">
        <v>41.85</v>
      </c>
      <c r="E44" s="619">
        <v>44.15</v>
      </c>
      <c r="F44" s="619">
        <v>34.049999999999997</v>
      </c>
      <c r="G44" s="619">
        <v>36.049999999999997</v>
      </c>
      <c r="H44" s="619">
        <v>26</v>
      </c>
      <c r="I44" s="619">
        <v>27.65</v>
      </c>
      <c r="J44" s="599" t="str">
        <f t="shared" si="0"/>
        <v>H</v>
      </c>
    </row>
    <row r="45" spans="1:10">
      <c r="A45" s="596">
        <v>41681</v>
      </c>
      <c r="B45" s="599">
        <v>2</v>
      </c>
      <c r="C45" s="599">
        <v>11</v>
      </c>
      <c r="D45" s="619">
        <v>40.6</v>
      </c>
      <c r="E45" s="619">
        <v>43.25</v>
      </c>
      <c r="F45" s="619">
        <v>33.65</v>
      </c>
      <c r="G45" s="619">
        <v>35.85</v>
      </c>
      <c r="H45" s="619">
        <v>26.3</v>
      </c>
      <c r="I45" s="619">
        <v>28.45</v>
      </c>
      <c r="J45" s="599" t="str">
        <f t="shared" si="0"/>
        <v>H</v>
      </c>
    </row>
    <row r="46" spans="1:10">
      <c r="A46" s="596">
        <v>41682</v>
      </c>
      <c r="B46" s="599">
        <v>2</v>
      </c>
      <c r="C46" s="599">
        <v>12</v>
      </c>
      <c r="D46" s="619">
        <v>41.55</v>
      </c>
      <c r="E46" s="619">
        <v>42.4</v>
      </c>
      <c r="F46" s="619">
        <v>33.5</v>
      </c>
      <c r="G46" s="619">
        <v>34.85</v>
      </c>
      <c r="H46" s="619">
        <v>25.1</v>
      </c>
      <c r="I46" s="619">
        <v>27.2</v>
      </c>
      <c r="J46" s="599" t="str">
        <f t="shared" si="0"/>
        <v>H</v>
      </c>
    </row>
    <row r="47" spans="1:10">
      <c r="A47" s="596">
        <v>41683</v>
      </c>
      <c r="B47" s="599">
        <v>2</v>
      </c>
      <c r="C47" s="599">
        <v>13</v>
      </c>
      <c r="D47" s="619">
        <v>38.950000000000003</v>
      </c>
      <c r="E47" s="619">
        <v>40.799999999999997</v>
      </c>
      <c r="F47" s="619">
        <v>32.35</v>
      </c>
      <c r="G47" s="619">
        <v>34.200000000000003</v>
      </c>
      <c r="H47" s="619">
        <v>25.7</v>
      </c>
      <c r="I47" s="619">
        <v>27.25</v>
      </c>
      <c r="J47" s="599" t="str">
        <f t="shared" si="0"/>
        <v>H</v>
      </c>
    </row>
    <row r="48" spans="1:10">
      <c r="A48" s="596">
        <v>41684</v>
      </c>
      <c r="B48" s="599">
        <v>2</v>
      </c>
      <c r="C48" s="599">
        <v>14</v>
      </c>
      <c r="D48" s="619">
        <v>43.35</v>
      </c>
      <c r="E48" s="619">
        <v>45.45</v>
      </c>
      <c r="F48" s="619">
        <v>36.049999999999997</v>
      </c>
      <c r="G48" s="619">
        <v>37.549999999999997</v>
      </c>
      <c r="H48" s="619">
        <v>28.6</v>
      </c>
      <c r="I48" s="619">
        <v>29.55</v>
      </c>
      <c r="J48" s="599" t="str">
        <f t="shared" si="0"/>
        <v>H</v>
      </c>
    </row>
    <row r="49" spans="1:10">
      <c r="A49" s="596">
        <v>41685</v>
      </c>
      <c r="B49" s="599">
        <v>2</v>
      </c>
      <c r="C49" s="599">
        <v>15</v>
      </c>
      <c r="D49" s="619">
        <v>47.15</v>
      </c>
      <c r="E49" s="619">
        <v>48.5</v>
      </c>
      <c r="F49" s="619">
        <v>38.75</v>
      </c>
      <c r="G49" s="619">
        <v>40.4</v>
      </c>
      <c r="H49" s="619">
        <v>30.2</v>
      </c>
      <c r="I49" s="619">
        <v>32.25</v>
      </c>
      <c r="J49" s="599" t="str">
        <f t="shared" si="0"/>
        <v>H</v>
      </c>
    </row>
    <row r="50" spans="1:10">
      <c r="A50" s="596">
        <v>41686</v>
      </c>
      <c r="B50" s="599">
        <v>2</v>
      </c>
      <c r="C50" s="599">
        <v>16</v>
      </c>
      <c r="D50" s="619">
        <v>46.2</v>
      </c>
      <c r="E50" s="619">
        <v>46.75</v>
      </c>
      <c r="F50" s="619">
        <v>37.549999999999997</v>
      </c>
      <c r="G50" s="619">
        <v>38.9</v>
      </c>
      <c r="H50" s="619">
        <v>28.8</v>
      </c>
      <c r="I50" s="619">
        <v>30.75</v>
      </c>
      <c r="J50" s="599" t="str">
        <f t="shared" si="0"/>
        <v>H</v>
      </c>
    </row>
    <row r="51" spans="1:10">
      <c r="A51" s="596">
        <v>41687</v>
      </c>
      <c r="B51" s="599">
        <v>2</v>
      </c>
      <c r="C51" s="599">
        <v>17</v>
      </c>
      <c r="D51" s="619">
        <v>46</v>
      </c>
      <c r="E51" s="619">
        <v>46.4</v>
      </c>
      <c r="F51" s="619">
        <v>37.25</v>
      </c>
      <c r="G51" s="619">
        <v>37.950000000000003</v>
      </c>
      <c r="H51" s="619">
        <v>28.1</v>
      </c>
      <c r="I51" s="619">
        <v>28.9</v>
      </c>
      <c r="J51" s="599" t="str">
        <f t="shared" si="0"/>
        <v>H</v>
      </c>
    </row>
    <row r="52" spans="1:10">
      <c r="A52" s="596">
        <v>41688</v>
      </c>
      <c r="B52" s="599">
        <v>2</v>
      </c>
      <c r="C52" s="599">
        <v>18</v>
      </c>
      <c r="D52" s="619">
        <v>45.35</v>
      </c>
      <c r="E52" s="619">
        <v>47.4</v>
      </c>
      <c r="F52" s="619">
        <v>35.9</v>
      </c>
      <c r="G52" s="619">
        <v>37.549999999999997</v>
      </c>
      <c r="H52" s="619">
        <v>26.25</v>
      </c>
      <c r="I52" s="619">
        <v>27.5</v>
      </c>
      <c r="J52" s="599" t="str">
        <f t="shared" si="0"/>
        <v>H</v>
      </c>
    </row>
    <row r="53" spans="1:10">
      <c r="A53" s="596">
        <v>41689</v>
      </c>
      <c r="B53" s="599">
        <v>2</v>
      </c>
      <c r="C53" s="599">
        <v>19</v>
      </c>
      <c r="D53" s="619">
        <v>45.8</v>
      </c>
      <c r="E53" s="619">
        <v>48.6</v>
      </c>
      <c r="F53" s="619">
        <v>36.85</v>
      </c>
      <c r="G53" s="619">
        <v>39.049999999999997</v>
      </c>
      <c r="H53" s="619">
        <v>27.5</v>
      </c>
      <c r="I53" s="619">
        <v>29.5</v>
      </c>
      <c r="J53" s="599" t="str">
        <f t="shared" si="0"/>
        <v>H</v>
      </c>
    </row>
    <row r="54" spans="1:10">
      <c r="A54" s="596">
        <v>41690</v>
      </c>
      <c r="B54" s="599">
        <v>2</v>
      </c>
      <c r="C54" s="599">
        <v>20</v>
      </c>
      <c r="D54" s="619">
        <v>48.8</v>
      </c>
      <c r="E54" s="619">
        <v>51.4</v>
      </c>
      <c r="F54" s="619">
        <v>41.35</v>
      </c>
      <c r="G54" s="619">
        <v>43.6</v>
      </c>
      <c r="H54" s="619">
        <v>33.85</v>
      </c>
      <c r="I54" s="619">
        <v>35.549999999999997</v>
      </c>
      <c r="J54" s="599" t="str">
        <f t="shared" si="0"/>
        <v>H</v>
      </c>
    </row>
    <row r="55" spans="1:10">
      <c r="A55" s="596">
        <v>41691</v>
      </c>
      <c r="B55" s="599">
        <v>2</v>
      </c>
      <c r="C55" s="599">
        <v>21</v>
      </c>
      <c r="D55" s="619">
        <v>51.35</v>
      </c>
      <c r="E55" s="619">
        <v>51.4</v>
      </c>
      <c r="F55" s="619">
        <v>43.1</v>
      </c>
      <c r="G55" s="619">
        <v>43.8</v>
      </c>
      <c r="H55" s="619">
        <v>34.4</v>
      </c>
      <c r="I55" s="619">
        <v>34.75</v>
      </c>
      <c r="J55" s="599" t="str">
        <f t="shared" si="0"/>
        <v>H</v>
      </c>
    </row>
    <row r="56" spans="1:10">
      <c r="A56" s="596">
        <v>41692</v>
      </c>
      <c r="B56" s="599">
        <v>2</v>
      </c>
      <c r="C56" s="599">
        <v>22</v>
      </c>
      <c r="D56" s="619">
        <v>45.9</v>
      </c>
      <c r="E56" s="619">
        <v>46.6</v>
      </c>
      <c r="F56" s="619">
        <v>38.799999999999997</v>
      </c>
      <c r="G56" s="619">
        <v>40</v>
      </c>
      <c r="H56" s="619">
        <v>31.25</v>
      </c>
      <c r="I56" s="619">
        <v>32.85</v>
      </c>
      <c r="J56" s="599" t="str">
        <f t="shared" si="0"/>
        <v>H</v>
      </c>
    </row>
    <row r="57" spans="1:10">
      <c r="A57" s="596">
        <v>41693</v>
      </c>
      <c r="B57" s="599">
        <v>2</v>
      </c>
      <c r="C57" s="599">
        <v>23</v>
      </c>
      <c r="D57" s="619">
        <v>47.05</v>
      </c>
      <c r="E57" s="619">
        <v>50.5</v>
      </c>
      <c r="F57" s="619">
        <v>39.299999999999997</v>
      </c>
      <c r="G57" s="619">
        <v>41.3</v>
      </c>
      <c r="H57" s="619">
        <v>31.15</v>
      </c>
      <c r="I57" s="619">
        <v>31.7</v>
      </c>
      <c r="J57" s="599" t="str">
        <f t="shared" si="0"/>
        <v>H</v>
      </c>
    </row>
    <row r="58" spans="1:10">
      <c r="A58" s="596">
        <v>41694</v>
      </c>
      <c r="B58" s="599">
        <v>2</v>
      </c>
      <c r="C58" s="599">
        <v>24</v>
      </c>
      <c r="D58" s="619">
        <v>45.9</v>
      </c>
      <c r="E58" s="619">
        <v>47.15</v>
      </c>
      <c r="F58" s="619">
        <v>37.549999999999997</v>
      </c>
      <c r="G58" s="619">
        <v>38.950000000000003</v>
      </c>
      <c r="H58" s="619">
        <v>28.75</v>
      </c>
      <c r="I58" s="619">
        <v>30.75</v>
      </c>
      <c r="J58" s="599" t="str">
        <f t="shared" si="0"/>
        <v>H</v>
      </c>
    </row>
    <row r="59" spans="1:10">
      <c r="A59" s="596">
        <v>41695</v>
      </c>
      <c r="B59" s="599">
        <v>2</v>
      </c>
      <c r="C59" s="599">
        <v>25</v>
      </c>
      <c r="D59" s="619">
        <v>48.8</v>
      </c>
      <c r="E59" s="619">
        <v>49.6</v>
      </c>
      <c r="F59" s="619">
        <v>39.299999999999997</v>
      </c>
      <c r="G59" s="619">
        <v>40.700000000000003</v>
      </c>
      <c r="H59" s="619">
        <v>29.35</v>
      </c>
      <c r="I59" s="619">
        <v>31.1</v>
      </c>
      <c r="J59" s="599" t="str">
        <f t="shared" si="0"/>
        <v>H</v>
      </c>
    </row>
    <row r="60" spans="1:10">
      <c r="A60" s="596">
        <v>41696</v>
      </c>
      <c r="B60" s="599">
        <v>2</v>
      </c>
      <c r="C60" s="599">
        <v>26</v>
      </c>
      <c r="D60" s="619">
        <v>48.45</v>
      </c>
      <c r="E60" s="619">
        <v>49</v>
      </c>
      <c r="F60" s="619">
        <v>39.25</v>
      </c>
      <c r="G60" s="619">
        <v>41</v>
      </c>
      <c r="H60" s="619">
        <v>29.85</v>
      </c>
      <c r="I60" s="619">
        <v>32.700000000000003</v>
      </c>
      <c r="J60" s="599" t="str">
        <f t="shared" si="0"/>
        <v>H</v>
      </c>
    </row>
    <row r="61" spans="1:10">
      <c r="A61" s="596">
        <v>41697</v>
      </c>
      <c r="B61" s="599">
        <v>2</v>
      </c>
      <c r="C61" s="599">
        <v>27</v>
      </c>
      <c r="D61" s="619">
        <v>48.2</v>
      </c>
      <c r="E61" s="619">
        <v>51.25</v>
      </c>
      <c r="F61" s="619">
        <v>41</v>
      </c>
      <c r="G61" s="619">
        <v>42.35</v>
      </c>
      <c r="H61" s="619">
        <v>31.9</v>
      </c>
      <c r="I61" s="619">
        <v>33.15</v>
      </c>
      <c r="J61" s="599" t="str">
        <f t="shared" si="0"/>
        <v>H</v>
      </c>
    </row>
    <row r="62" spans="1:10">
      <c r="A62" s="596">
        <v>41698</v>
      </c>
      <c r="B62" s="599">
        <v>2</v>
      </c>
      <c r="C62" s="599">
        <v>28</v>
      </c>
      <c r="D62" s="619">
        <v>50.25</v>
      </c>
      <c r="E62" s="619">
        <v>51.65</v>
      </c>
      <c r="F62" s="619">
        <v>39.85</v>
      </c>
      <c r="G62" s="619">
        <v>40.85</v>
      </c>
      <c r="H62" s="619">
        <v>29</v>
      </c>
      <c r="I62" s="619">
        <v>30.15</v>
      </c>
      <c r="J62" s="599" t="str">
        <f t="shared" si="0"/>
        <v>H</v>
      </c>
    </row>
    <row r="63" spans="1:10">
      <c r="A63" s="596">
        <v>41699</v>
      </c>
      <c r="B63" s="599">
        <v>3</v>
      </c>
      <c r="C63" s="599">
        <v>1</v>
      </c>
      <c r="D63" s="619">
        <v>49</v>
      </c>
      <c r="E63" s="619">
        <v>50.9</v>
      </c>
      <c r="F63" s="619">
        <v>41.2</v>
      </c>
      <c r="G63" s="619">
        <v>42.95</v>
      </c>
      <c r="H63" s="619">
        <v>33.450000000000003</v>
      </c>
      <c r="I63" s="619">
        <v>34.6</v>
      </c>
      <c r="J63" s="599" t="str">
        <f t="shared" si="0"/>
        <v>H</v>
      </c>
    </row>
    <row r="64" spans="1:10">
      <c r="A64" s="596">
        <v>41700</v>
      </c>
      <c r="B64" s="599">
        <v>3</v>
      </c>
      <c r="C64" s="599">
        <v>2</v>
      </c>
      <c r="D64" s="619">
        <v>50.15</v>
      </c>
      <c r="E64" s="619">
        <v>52</v>
      </c>
      <c r="F64" s="619">
        <v>41.75</v>
      </c>
      <c r="G64" s="619">
        <v>43</v>
      </c>
      <c r="H64" s="619">
        <v>32.9</v>
      </c>
      <c r="I64" s="619">
        <v>34.15</v>
      </c>
      <c r="J64" s="599" t="str">
        <f t="shared" si="0"/>
        <v>H</v>
      </c>
    </row>
    <row r="65" spans="1:10">
      <c r="A65" s="596">
        <v>41701</v>
      </c>
      <c r="B65" s="599">
        <v>3</v>
      </c>
      <c r="C65" s="599">
        <v>3</v>
      </c>
      <c r="D65" s="619">
        <v>46.45</v>
      </c>
      <c r="E65" s="619">
        <v>47.05</v>
      </c>
      <c r="F65" s="619">
        <v>37.75</v>
      </c>
      <c r="G65" s="619">
        <v>38.65</v>
      </c>
      <c r="H65" s="619">
        <v>29.3</v>
      </c>
      <c r="I65" s="619">
        <v>30.4</v>
      </c>
      <c r="J65" s="599" t="str">
        <f t="shared" si="0"/>
        <v>H</v>
      </c>
    </row>
    <row r="66" spans="1:10">
      <c r="A66" s="596">
        <v>41702</v>
      </c>
      <c r="B66" s="599">
        <v>3</v>
      </c>
      <c r="C66" s="599">
        <v>4</v>
      </c>
      <c r="D66" s="619">
        <v>50.95</v>
      </c>
      <c r="E66" s="619">
        <v>52.55</v>
      </c>
      <c r="F66" s="619">
        <v>40.75</v>
      </c>
      <c r="G66" s="619">
        <v>42.7</v>
      </c>
      <c r="H66" s="619">
        <v>30.6</v>
      </c>
      <c r="I66" s="619">
        <v>32.75</v>
      </c>
      <c r="J66" s="599" t="str">
        <f t="shared" si="0"/>
        <v>H</v>
      </c>
    </row>
    <row r="67" spans="1:10">
      <c r="A67" s="596">
        <v>41703</v>
      </c>
      <c r="B67" s="599">
        <v>3</v>
      </c>
      <c r="C67" s="599">
        <v>5</v>
      </c>
      <c r="D67" s="619">
        <v>50.6</v>
      </c>
      <c r="E67" s="619">
        <v>53.4</v>
      </c>
      <c r="F67" s="619">
        <v>42.6</v>
      </c>
      <c r="G67" s="619">
        <v>44.7</v>
      </c>
      <c r="H67" s="619">
        <v>33.700000000000003</v>
      </c>
      <c r="I67" s="619">
        <v>35.85</v>
      </c>
      <c r="J67" s="599" t="str">
        <f t="shared" si="0"/>
        <v>H</v>
      </c>
    </row>
    <row r="68" spans="1:10">
      <c r="A68" s="596">
        <v>41704</v>
      </c>
      <c r="B68" s="599">
        <v>3</v>
      </c>
      <c r="C68" s="599">
        <v>6</v>
      </c>
      <c r="D68" s="619">
        <v>51.5</v>
      </c>
      <c r="E68" s="619">
        <v>54.05</v>
      </c>
      <c r="F68" s="619">
        <v>43</v>
      </c>
      <c r="G68" s="619">
        <v>44.5</v>
      </c>
      <c r="H68" s="619">
        <v>33.1</v>
      </c>
      <c r="I68" s="619">
        <v>34.85</v>
      </c>
      <c r="J68" s="599" t="str">
        <f t="shared" si="0"/>
        <v>H</v>
      </c>
    </row>
    <row r="69" spans="1:10">
      <c r="A69" s="596">
        <v>41705</v>
      </c>
      <c r="B69" s="599">
        <v>3</v>
      </c>
      <c r="C69" s="599">
        <v>7</v>
      </c>
      <c r="D69" s="619">
        <v>54.75</v>
      </c>
      <c r="E69" s="619">
        <v>55.65</v>
      </c>
      <c r="F69" s="619">
        <v>44.4</v>
      </c>
      <c r="G69" s="619">
        <v>46.05</v>
      </c>
      <c r="H69" s="619">
        <v>33.75</v>
      </c>
      <c r="I69" s="619">
        <v>36.1</v>
      </c>
      <c r="J69" s="599" t="str">
        <f t="shared" ref="J69:J132" si="1">IF(OR(B69&lt;=4,B69&gt;=11),"H","C")</f>
        <v>H</v>
      </c>
    </row>
    <row r="70" spans="1:10">
      <c r="A70" s="596">
        <v>41706</v>
      </c>
      <c r="B70" s="599">
        <v>3</v>
      </c>
      <c r="C70" s="599">
        <v>8</v>
      </c>
      <c r="D70" s="619">
        <v>51.7</v>
      </c>
      <c r="E70" s="619">
        <v>53.6</v>
      </c>
      <c r="F70" s="619">
        <v>43.2</v>
      </c>
      <c r="G70" s="619">
        <v>45.3</v>
      </c>
      <c r="H70" s="619">
        <v>34.200000000000003</v>
      </c>
      <c r="I70" s="619">
        <v>36.15</v>
      </c>
      <c r="J70" s="599" t="str">
        <f t="shared" si="1"/>
        <v>H</v>
      </c>
    </row>
    <row r="71" spans="1:10">
      <c r="A71" s="596">
        <v>41707</v>
      </c>
      <c r="B71" s="599">
        <v>3</v>
      </c>
      <c r="C71" s="599">
        <v>9</v>
      </c>
      <c r="D71" s="619">
        <v>51.9</v>
      </c>
      <c r="E71" s="619">
        <v>52.35</v>
      </c>
      <c r="F71" s="619">
        <v>41.35</v>
      </c>
      <c r="G71" s="619">
        <v>42.55</v>
      </c>
      <c r="H71" s="619">
        <v>30.5</v>
      </c>
      <c r="I71" s="619">
        <v>32.4</v>
      </c>
      <c r="J71" s="599" t="str">
        <f t="shared" si="1"/>
        <v>H</v>
      </c>
    </row>
    <row r="72" spans="1:10">
      <c r="A72" s="596">
        <v>41708</v>
      </c>
      <c r="B72" s="599">
        <v>3</v>
      </c>
      <c r="C72" s="599">
        <v>10</v>
      </c>
      <c r="D72" s="619">
        <v>47.95</v>
      </c>
      <c r="E72" s="619">
        <v>50.65</v>
      </c>
      <c r="F72" s="619">
        <v>39.049999999999997</v>
      </c>
      <c r="G72" s="619">
        <v>41.55</v>
      </c>
      <c r="H72" s="619">
        <v>29.95</v>
      </c>
      <c r="I72" s="619">
        <v>32.049999999999997</v>
      </c>
      <c r="J72" s="599" t="str">
        <f t="shared" si="1"/>
        <v>H</v>
      </c>
    </row>
    <row r="73" spans="1:10">
      <c r="A73" s="596">
        <v>41709</v>
      </c>
      <c r="B73" s="599">
        <v>3</v>
      </c>
      <c r="C73" s="599">
        <v>11</v>
      </c>
      <c r="D73" s="619">
        <v>50.4</v>
      </c>
      <c r="E73" s="619">
        <v>53.2</v>
      </c>
      <c r="F73" s="619">
        <v>40.299999999999997</v>
      </c>
      <c r="G73" s="619">
        <v>42.6</v>
      </c>
      <c r="H73" s="619">
        <v>30.15</v>
      </c>
      <c r="I73" s="619">
        <v>31.8</v>
      </c>
      <c r="J73" s="599" t="str">
        <f t="shared" si="1"/>
        <v>H</v>
      </c>
    </row>
    <row r="74" spans="1:10">
      <c r="A74" s="596">
        <v>41710</v>
      </c>
      <c r="B74" s="599">
        <v>3</v>
      </c>
      <c r="C74" s="599">
        <v>12</v>
      </c>
      <c r="D74" s="619">
        <v>52.4</v>
      </c>
      <c r="E74" s="619">
        <v>54.65</v>
      </c>
      <c r="F74" s="619">
        <v>43.1</v>
      </c>
      <c r="G74" s="619">
        <v>45.05</v>
      </c>
      <c r="H74" s="619">
        <v>33.549999999999997</v>
      </c>
      <c r="I74" s="619">
        <v>35.35</v>
      </c>
      <c r="J74" s="599" t="str">
        <f t="shared" si="1"/>
        <v>H</v>
      </c>
    </row>
    <row r="75" spans="1:10">
      <c r="A75" s="596">
        <v>41711</v>
      </c>
      <c r="B75" s="599">
        <v>3</v>
      </c>
      <c r="C75" s="599">
        <v>13</v>
      </c>
      <c r="D75" s="619">
        <v>54.4</v>
      </c>
      <c r="E75" s="619">
        <v>56.1</v>
      </c>
      <c r="F75" s="619">
        <v>45.35</v>
      </c>
      <c r="G75" s="619">
        <v>46.85</v>
      </c>
      <c r="H75" s="619">
        <v>36.25</v>
      </c>
      <c r="I75" s="619">
        <v>37.950000000000003</v>
      </c>
      <c r="J75" s="599" t="str">
        <f t="shared" si="1"/>
        <v>H</v>
      </c>
    </row>
    <row r="76" spans="1:10">
      <c r="A76" s="596">
        <v>41712</v>
      </c>
      <c r="B76" s="599">
        <v>3</v>
      </c>
      <c r="C76" s="599">
        <v>14</v>
      </c>
      <c r="D76" s="619">
        <v>52.2</v>
      </c>
      <c r="E76" s="619">
        <v>55.45</v>
      </c>
      <c r="F76" s="619">
        <v>44.05</v>
      </c>
      <c r="G76" s="619">
        <v>46.6</v>
      </c>
      <c r="H76" s="619">
        <v>35.5</v>
      </c>
      <c r="I76" s="619">
        <v>37.25</v>
      </c>
      <c r="J76" s="599" t="str">
        <f t="shared" si="1"/>
        <v>H</v>
      </c>
    </row>
    <row r="77" spans="1:10">
      <c r="A77" s="596">
        <v>41713</v>
      </c>
      <c r="B77" s="599">
        <v>3</v>
      </c>
      <c r="C77" s="599">
        <v>15</v>
      </c>
      <c r="D77" s="619">
        <v>53.9</v>
      </c>
      <c r="E77" s="619">
        <v>56.25</v>
      </c>
      <c r="F77" s="619">
        <v>45.45</v>
      </c>
      <c r="G77" s="619">
        <v>47.15</v>
      </c>
      <c r="H77" s="619">
        <v>36.6</v>
      </c>
      <c r="I77" s="619">
        <v>37.65</v>
      </c>
      <c r="J77" s="599" t="str">
        <f t="shared" si="1"/>
        <v>H</v>
      </c>
    </row>
    <row r="78" spans="1:10">
      <c r="A78" s="596">
        <v>41714</v>
      </c>
      <c r="B78" s="599">
        <v>3</v>
      </c>
      <c r="C78" s="599">
        <v>16</v>
      </c>
      <c r="D78" s="619">
        <v>52.5</v>
      </c>
      <c r="E78" s="619">
        <v>55.35</v>
      </c>
      <c r="F78" s="619">
        <v>44.15</v>
      </c>
      <c r="G78" s="619">
        <v>46.75</v>
      </c>
      <c r="H78" s="619">
        <v>35.65</v>
      </c>
      <c r="I78" s="619">
        <v>37.950000000000003</v>
      </c>
      <c r="J78" s="599" t="str">
        <f t="shared" si="1"/>
        <v>H</v>
      </c>
    </row>
    <row r="79" spans="1:10">
      <c r="A79" s="596">
        <v>41715</v>
      </c>
      <c r="B79" s="599">
        <v>3</v>
      </c>
      <c r="C79" s="599">
        <v>17</v>
      </c>
      <c r="D79" s="619">
        <v>56.75</v>
      </c>
      <c r="E79" s="619">
        <v>58.8</v>
      </c>
      <c r="F79" s="619">
        <v>47.2</v>
      </c>
      <c r="G79" s="619">
        <v>49.15</v>
      </c>
      <c r="H79" s="619">
        <v>37.35</v>
      </c>
      <c r="I79" s="619">
        <v>39.4</v>
      </c>
      <c r="J79" s="599" t="str">
        <f t="shared" si="1"/>
        <v>H</v>
      </c>
    </row>
    <row r="80" spans="1:10">
      <c r="A80" s="596">
        <v>41716</v>
      </c>
      <c r="B80" s="599">
        <v>3</v>
      </c>
      <c r="C80" s="599">
        <v>18</v>
      </c>
      <c r="D80" s="619">
        <v>58.2</v>
      </c>
      <c r="E80" s="619">
        <v>60.65</v>
      </c>
      <c r="F80" s="619">
        <v>49.6</v>
      </c>
      <c r="G80" s="619">
        <v>51.1</v>
      </c>
      <c r="H80" s="619">
        <v>39.85</v>
      </c>
      <c r="I80" s="619">
        <v>41.3</v>
      </c>
      <c r="J80" s="599" t="str">
        <f t="shared" si="1"/>
        <v>H</v>
      </c>
    </row>
    <row r="81" spans="1:10">
      <c r="A81" s="596">
        <v>41717</v>
      </c>
      <c r="B81" s="599">
        <v>3</v>
      </c>
      <c r="C81" s="599">
        <v>19</v>
      </c>
      <c r="D81" s="619">
        <v>57.25</v>
      </c>
      <c r="E81" s="619">
        <v>58</v>
      </c>
      <c r="F81" s="619">
        <v>47.25</v>
      </c>
      <c r="G81" s="619">
        <v>48.85</v>
      </c>
      <c r="H81" s="619">
        <v>37.25</v>
      </c>
      <c r="I81" s="619">
        <v>39.450000000000003</v>
      </c>
      <c r="J81" s="599" t="str">
        <f t="shared" si="1"/>
        <v>H</v>
      </c>
    </row>
    <row r="82" spans="1:10">
      <c r="A82" s="596">
        <v>41718</v>
      </c>
      <c r="B82" s="599">
        <v>3</v>
      </c>
      <c r="C82" s="599">
        <v>20</v>
      </c>
      <c r="D82" s="619">
        <v>57.95</v>
      </c>
      <c r="E82" s="619">
        <v>59.75</v>
      </c>
      <c r="F82" s="619">
        <v>48.7</v>
      </c>
      <c r="G82" s="619">
        <v>50.9</v>
      </c>
      <c r="H82" s="619">
        <v>39.35</v>
      </c>
      <c r="I82" s="619">
        <v>41.65</v>
      </c>
      <c r="J82" s="599" t="str">
        <f t="shared" si="1"/>
        <v>H</v>
      </c>
    </row>
    <row r="83" spans="1:10">
      <c r="A83" s="596">
        <v>41719</v>
      </c>
      <c r="B83" s="599">
        <v>3</v>
      </c>
      <c r="C83" s="599">
        <v>21</v>
      </c>
      <c r="D83" s="619">
        <v>57.15</v>
      </c>
      <c r="E83" s="619">
        <v>58.95</v>
      </c>
      <c r="F83" s="619">
        <v>47.8</v>
      </c>
      <c r="G83" s="619">
        <v>49.85</v>
      </c>
      <c r="H83" s="619">
        <v>37.700000000000003</v>
      </c>
      <c r="I83" s="619">
        <v>40.15</v>
      </c>
      <c r="J83" s="599" t="str">
        <f t="shared" si="1"/>
        <v>H</v>
      </c>
    </row>
    <row r="84" spans="1:10">
      <c r="A84" s="596">
        <v>41720</v>
      </c>
      <c r="B84" s="599">
        <v>3</v>
      </c>
      <c r="C84" s="599">
        <v>22</v>
      </c>
      <c r="D84" s="619">
        <v>55.35</v>
      </c>
      <c r="E84" s="619">
        <v>57.4</v>
      </c>
      <c r="F84" s="619">
        <v>45.3</v>
      </c>
      <c r="G84" s="619">
        <v>47.7</v>
      </c>
      <c r="H84" s="619">
        <v>35.200000000000003</v>
      </c>
      <c r="I84" s="619">
        <v>37.65</v>
      </c>
      <c r="J84" s="599" t="str">
        <f t="shared" si="1"/>
        <v>H</v>
      </c>
    </row>
    <row r="85" spans="1:10">
      <c r="A85" s="596">
        <v>41721</v>
      </c>
      <c r="B85" s="599">
        <v>3</v>
      </c>
      <c r="C85" s="599">
        <v>23</v>
      </c>
      <c r="D85" s="619">
        <v>57.65</v>
      </c>
      <c r="E85" s="619">
        <v>59.2</v>
      </c>
      <c r="F85" s="619">
        <v>47.3</v>
      </c>
      <c r="G85" s="619">
        <v>49.2</v>
      </c>
      <c r="H85" s="619">
        <v>36.549999999999997</v>
      </c>
      <c r="I85" s="619">
        <v>39</v>
      </c>
      <c r="J85" s="599" t="str">
        <f t="shared" si="1"/>
        <v>H</v>
      </c>
    </row>
    <row r="86" spans="1:10">
      <c r="A86" s="596">
        <v>41722</v>
      </c>
      <c r="B86" s="599">
        <v>3</v>
      </c>
      <c r="C86" s="599">
        <v>24</v>
      </c>
      <c r="D86" s="619">
        <v>59.15</v>
      </c>
      <c r="E86" s="619">
        <v>60.95</v>
      </c>
      <c r="F86" s="619">
        <v>49.1</v>
      </c>
      <c r="G86" s="619">
        <v>50.8</v>
      </c>
      <c r="H86" s="619">
        <v>38.700000000000003</v>
      </c>
      <c r="I86" s="619">
        <v>40.4</v>
      </c>
      <c r="J86" s="599" t="str">
        <f t="shared" si="1"/>
        <v>H</v>
      </c>
    </row>
    <row r="87" spans="1:10">
      <c r="A87" s="596">
        <v>41723</v>
      </c>
      <c r="B87" s="599">
        <v>3</v>
      </c>
      <c r="C87" s="599">
        <v>25</v>
      </c>
      <c r="D87" s="619">
        <v>59.15</v>
      </c>
      <c r="E87" s="619">
        <v>60.7</v>
      </c>
      <c r="F87" s="619">
        <v>49.4</v>
      </c>
      <c r="G87" s="619">
        <v>50.5</v>
      </c>
      <c r="H87" s="619">
        <v>39.35</v>
      </c>
      <c r="I87" s="619">
        <v>40.15</v>
      </c>
      <c r="J87" s="599" t="str">
        <f t="shared" si="1"/>
        <v>H</v>
      </c>
    </row>
    <row r="88" spans="1:10">
      <c r="A88" s="596">
        <v>41724</v>
      </c>
      <c r="B88" s="599">
        <v>3</v>
      </c>
      <c r="C88" s="599">
        <v>26</v>
      </c>
      <c r="D88" s="619">
        <v>56.7</v>
      </c>
      <c r="E88" s="619">
        <v>58.1</v>
      </c>
      <c r="F88" s="619">
        <v>47.7</v>
      </c>
      <c r="G88" s="619">
        <v>49.6</v>
      </c>
      <c r="H88" s="619">
        <v>38.75</v>
      </c>
      <c r="I88" s="619">
        <v>41.2</v>
      </c>
      <c r="J88" s="599" t="str">
        <f t="shared" si="1"/>
        <v>H</v>
      </c>
    </row>
    <row r="89" spans="1:10">
      <c r="A89" s="596">
        <v>41725</v>
      </c>
      <c r="B89" s="599">
        <v>3</v>
      </c>
      <c r="C89" s="599">
        <v>27</v>
      </c>
      <c r="D89" s="619">
        <v>58.2</v>
      </c>
      <c r="E89" s="619">
        <v>60.85</v>
      </c>
      <c r="F89" s="619">
        <v>48.75</v>
      </c>
      <c r="G89" s="619">
        <v>50.7</v>
      </c>
      <c r="H89" s="619">
        <v>38.950000000000003</v>
      </c>
      <c r="I89" s="619">
        <v>40.75</v>
      </c>
      <c r="J89" s="599" t="str">
        <f t="shared" si="1"/>
        <v>H</v>
      </c>
    </row>
    <row r="90" spans="1:10">
      <c r="A90" s="596">
        <v>41726</v>
      </c>
      <c r="B90" s="599">
        <v>3</v>
      </c>
      <c r="C90" s="599">
        <v>28</v>
      </c>
      <c r="D90" s="619">
        <v>60.45</v>
      </c>
      <c r="E90" s="619">
        <v>62.7</v>
      </c>
      <c r="F90" s="619">
        <v>51.55</v>
      </c>
      <c r="G90" s="619">
        <v>53.5</v>
      </c>
      <c r="H90" s="619">
        <v>41.95</v>
      </c>
      <c r="I90" s="619">
        <v>44</v>
      </c>
      <c r="J90" s="599" t="str">
        <f t="shared" si="1"/>
        <v>H</v>
      </c>
    </row>
    <row r="91" spans="1:10">
      <c r="A91" s="596">
        <v>41727</v>
      </c>
      <c r="B91" s="599">
        <v>3</v>
      </c>
      <c r="C91" s="599">
        <v>29</v>
      </c>
      <c r="D91" s="619">
        <v>57.6</v>
      </c>
      <c r="E91" s="619">
        <v>59.7</v>
      </c>
      <c r="F91" s="619">
        <v>49.45</v>
      </c>
      <c r="G91" s="619">
        <v>51.25</v>
      </c>
      <c r="H91" s="619">
        <v>41.05</v>
      </c>
      <c r="I91" s="619">
        <v>42.6</v>
      </c>
      <c r="J91" s="599" t="str">
        <f t="shared" si="1"/>
        <v>H</v>
      </c>
    </row>
    <row r="92" spans="1:10">
      <c r="A92" s="596">
        <v>41728</v>
      </c>
      <c r="B92" s="599">
        <v>3</v>
      </c>
      <c r="C92" s="599">
        <v>30</v>
      </c>
      <c r="D92" s="619">
        <v>61.1</v>
      </c>
      <c r="E92" s="619">
        <v>62.25</v>
      </c>
      <c r="F92" s="619">
        <v>50.9</v>
      </c>
      <c r="G92" s="619">
        <v>52.05</v>
      </c>
      <c r="H92" s="619">
        <v>40.65</v>
      </c>
      <c r="I92" s="619">
        <v>41.7</v>
      </c>
      <c r="J92" s="599" t="str">
        <f t="shared" si="1"/>
        <v>H</v>
      </c>
    </row>
    <row r="93" spans="1:10">
      <c r="A93" s="596">
        <v>41729</v>
      </c>
      <c r="B93" s="599">
        <v>3</v>
      </c>
      <c r="C93" s="599">
        <v>31</v>
      </c>
      <c r="D93" s="619">
        <v>59.2</v>
      </c>
      <c r="E93" s="619">
        <v>61.65</v>
      </c>
      <c r="F93" s="619">
        <v>51.25</v>
      </c>
      <c r="G93" s="619">
        <v>53.1</v>
      </c>
      <c r="H93" s="619">
        <v>43.05</v>
      </c>
      <c r="I93" s="619">
        <v>44.25</v>
      </c>
      <c r="J93" s="599" t="str">
        <f t="shared" si="1"/>
        <v>H</v>
      </c>
    </row>
    <row r="94" spans="1:10">
      <c r="A94" s="596">
        <v>41730</v>
      </c>
      <c r="B94" s="599">
        <v>4</v>
      </c>
      <c r="C94" s="599">
        <v>1</v>
      </c>
      <c r="D94" s="619">
        <v>59.45</v>
      </c>
      <c r="E94" s="619">
        <v>61.95</v>
      </c>
      <c r="F94" s="619">
        <v>49.85</v>
      </c>
      <c r="G94" s="619">
        <v>51.9</v>
      </c>
      <c r="H94" s="619">
        <v>39.85</v>
      </c>
      <c r="I94" s="619">
        <v>41.55</v>
      </c>
      <c r="J94" s="599" t="str">
        <f t="shared" si="1"/>
        <v>H</v>
      </c>
    </row>
    <row r="95" spans="1:10">
      <c r="A95" s="596">
        <v>41731</v>
      </c>
      <c r="B95" s="599">
        <v>4</v>
      </c>
      <c r="C95" s="599">
        <v>2</v>
      </c>
      <c r="D95" s="619">
        <v>62.3</v>
      </c>
      <c r="E95" s="619">
        <v>65.5</v>
      </c>
      <c r="F95" s="619">
        <v>51.9</v>
      </c>
      <c r="G95" s="619">
        <v>54.55</v>
      </c>
      <c r="H95" s="619">
        <v>41.15</v>
      </c>
      <c r="I95" s="619">
        <v>43.2</v>
      </c>
      <c r="J95" s="599" t="str">
        <f t="shared" si="1"/>
        <v>H</v>
      </c>
    </row>
    <row r="96" spans="1:10">
      <c r="A96" s="596">
        <v>41732</v>
      </c>
      <c r="B96" s="599">
        <v>4</v>
      </c>
      <c r="C96" s="599">
        <v>3</v>
      </c>
      <c r="D96" s="619">
        <v>64.3</v>
      </c>
      <c r="E96" s="619">
        <v>66.150000000000006</v>
      </c>
      <c r="F96" s="619">
        <v>53.5</v>
      </c>
      <c r="G96" s="619">
        <v>55.1</v>
      </c>
      <c r="H96" s="619">
        <v>42.3</v>
      </c>
      <c r="I96" s="619">
        <v>43.75</v>
      </c>
      <c r="J96" s="599" t="str">
        <f t="shared" si="1"/>
        <v>H</v>
      </c>
    </row>
    <row r="97" spans="1:10">
      <c r="A97" s="596">
        <v>41733</v>
      </c>
      <c r="B97" s="599">
        <v>4</v>
      </c>
      <c r="C97" s="599">
        <v>4</v>
      </c>
      <c r="D97" s="619">
        <v>61.85</v>
      </c>
      <c r="E97" s="619">
        <v>64.2</v>
      </c>
      <c r="F97" s="619">
        <v>51.5</v>
      </c>
      <c r="G97" s="619">
        <v>53.3</v>
      </c>
      <c r="H97" s="619">
        <v>40.549999999999997</v>
      </c>
      <c r="I97" s="619">
        <v>41.9</v>
      </c>
      <c r="J97" s="599" t="str">
        <f t="shared" si="1"/>
        <v>H</v>
      </c>
    </row>
    <row r="98" spans="1:10">
      <c r="A98" s="596">
        <v>41734</v>
      </c>
      <c r="B98" s="599">
        <v>4</v>
      </c>
      <c r="C98" s="599">
        <v>5</v>
      </c>
      <c r="D98" s="619">
        <v>59.8</v>
      </c>
      <c r="E98" s="619">
        <v>61.85</v>
      </c>
      <c r="F98" s="619">
        <v>49.8</v>
      </c>
      <c r="G98" s="619">
        <v>51.5</v>
      </c>
      <c r="H98" s="619">
        <v>39.65</v>
      </c>
      <c r="I98" s="619">
        <v>41.3</v>
      </c>
      <c r="J98" s="599" t="str">
        <f t="shared" si="1"/>
        <v>H</v>
      </c>
    </row>
    <row r="99" spans="1:10">
      <c r="A99" s="596">
        <v>41735</v>
      </c>
      <c r="B99" s="599">
        <v>4</v>
      </c>
      <c r="C99" s="599">
        <v>6</v>
      </c>
      <c r="D99" s="619">
        <v>61.65</v>
      </c>
      <c r="E99" s="619">
        <v>63.45</v>
      </c>
      <c r="F99" s="619">
        <v>51.15</v>
      </c>
      <c r="G99" s="619">
        <v>52.95</v>
      </c>
      <c r="H99" s="619">
        <v>40.35</v>
      </c>
      <c r="I99" s="619">
        <v>41.6</v>
      </c>
      <c r="J99" s="599" t="str">
        <f t="shared" si="1"/>
        <v>H</v>
      </c>
    </row>
    <row r="100" spans="1:10">
      <c r="A100" s="596">
        <v>41736</v>
      </c>
      <c r="B100" s="599">
        <v>4</v>
      </c>
      <c r="C100" s="599">
        <v>7</v>
      </c>
      <c r="D100" s="619">
        <v>64.45</v>
      </c>
      <c r="E100" s="619">
        <v>67.099999999999994</v>
      </c>
      <c r="F100" s="619">
        <v>53.5</v>
      </c>
      <c r="G100" s="619">
        <v>55.8</v>
      </c>
      <c r="H100" s="619">
        <v>42.95</v>
      </c>
      <c r="I100" s="619">
        <v>44.65</v>
      </c>
      <c r="J100" s="599" t="str">
        <f t="shared" si="1"/>
        <v>H</v>
      </c>
    </row>
    <row r="101" spans="1:10">
      <c r="A101" s="596">
        <v>41737</v>
      </c>
      <c r="B101" s="599">
        <v>4</v>
      </c>
      <c r="C101" s="599">
        <v>8</v>
      </c>
      <c r="D101" s="619">
        <v>66.05</v>
      </c>
      <c r="E101" s="619">
        <v>67.3</v>
      </c>
      <c r="F101" s="619">
        <v>56</v>
      </c>
      <c r="G101" s="619">
        <v>58.15</v>
      </c>
      <c r="H101" s="619">
        <v>45.75</v>
      </c>
      <c r="I101" s="619">
        <v>48.8</v>
      </c>
      <c r="J101" s="599" t="str">
        <f t="shared" si="1"/>
        <v>H</v>
      </c>
    </row>
    <row r="102" spans="1:10">
      <c r="A102" s="596">
        <v>41738</v>
      </c>
      <c r="B102" s="599">
        <v>4</v>
      </c>
      <c r="C102" s="599">
        <v>9</v>
      </c>
      <c r="D102" s="619">
        <v>62.9</v>
      </c>
      <c r="E102" s="619">
        <v>64.8</v>
      </c>
      <c r="F102" s="619">
        <v>52.7</v>
      </c>
      <c r="G102" s="619">
        <v>54.95</v>
      </c>
      <c r="H102" s="619">
        <v>42.25</v>
      </c>
      <c r="I102" s="619">
        <v>44.85</v>
      </c>
      <c r="J102" s="599" t="str">
        <f t="shared" si="1"/>
        <v>H</v>
      </c>
    </row>
    <row r="103" spans="1:10">
      <c r="A103" s="596">
        <v>41739</v>
      </c>
      <c r="B103" s="599">
        <v>4</v>
      </c>
      <c r="C103" s="599">
        <v>10</v>
      </c>
      <c r="D103" s="619">
        <v>66.25</v>
      </c>
      <c r="E103" s="619">
        <v>68.95</v>
      </c>
      <c r="F103" s="619">
        <v>54.95</v>
      </c>
      <c r="G103" s="619">
        <v>57</v>
      </c>
      <c r="H103" s="619">
        <v>43.55</v>
      </c>
      <c r="I103" s="619">
        <v>45.1</v>
      </c>
      <c r="J103" s="599" t="str">
        <f t="shared" si="1"/>
        <v>H</v>
      </c>
    </row>
    <row r="104" spans="1:10">
      <c r="A104" s="596">
        <v>41740</v>
      </c>
      <c r="B104" s="599">
        <v>4</v>
      </c>
      <c r="C104" s="599">
        <v>11</v>
      </c>
      <c r="D104" s="619">
        <v>70.05</v>
      </c>
      <c r="E104" s="619">
        <v>71.900000000000006</v>
      </c>
      <c r="F104" s="619">
        <v>58.75</v>
      </c>
      <c r="G104" s="619">
        <v>60.25</v>
      </c>
      <c r="H104" s="619">
        <v>47.4</v>
      </c>
      <c r="I104" s="619">
        <v>48.3</v>
      </c>
      <c r="J104" s="599" t="str">
        <f t="shared" si="1"/>
        <v>H</v>
      </c>
    </row>
    <row r="105" spans="1:10">
      <c r="A105" s="596">
        <v>41741</v>
      </c>
      <c r="B105" s="599">
        <v>4</v>
      </c>
      <c r="C105" s="599">
        <v>12</v>
      </c>
      <c r="D105" s="619">
        <v>65.849999999999994</v>
      </c>
      <c r="E105" s="619">
        <v>66.3</v>
      </c>
      <c r="F105" s="619">
        <v>56</v>
      </c>
      <c r="G105" s="619">
        <v>57</v>
      </c>
      <c r="H105" s="619">
        <v>46.15</v>
      </c>
      <c r="I105" s="619">
        <v>47.5</v>
      </c>
      <c r="J105" s="599" t="str">
        <f t="shared" si="1"/>
        <v>H</v>
      </c>
    </row>
    <row r="106" spans="1:10">
      <c r="A106" s="596">
        <v>41742</v>
      </c>
      <c r="B106" s="599">
        <v>4</v>
      </c>
      <c r="C106" s="599">
        <v>13</v>
      </c>
      <c r="D106" s="619">
        <v>61.75</v>
      </c>
      <c r="E106" s="619">
        <v>64.5</v>
      </c>
      <c r="F106" s="619">
        <v>52.85</v>
      </c>
      <c r="G106" s="619">
        <v>55</v>
      </c>
      <c r="H106" s="619">
        <v>43.6</v>
      </c>
      <c r="I106" s="619">
        <v>45.2</v>
      </c>
      <c r="J106" s="599" t="str">
        <f t="shared" si="1"/>
        <v>H</v>
      </c>
    </row>
    <row r="107" spans="1:10">
      <c r="A107" s="596">
        <v>41743</v>
      </c>
      <c r="B107" s="599">
        <v>4</v>
      </c>
      <c r="C107" s="599">
        <v>14</v>
      </c>
      <c r="D107" s="619">
        <v>66.55</v>
      </c>
      <c r="E107" s="619">
        <v>68.650000000000006</v>
      </c>
      <c r="F107" s="619">
        <v>55.85</v>
      </c>
      <c r="G107" s="619">
        <v>57.15</v>
      </c>
      <c r="H107" s="619">
        <v>44.7</v>
      </c>
      <c r="I107" s="619">
        <v>45.45</v>
      </c>
      <c r="J107" s="599" t="str">
        <f t="shared" si="1"/>
        <v>H</v>
      </c>
    </row>
    <row r="108" spans="1:10">
      <c r="A108" s="596">
        <v>41744</v>
      </c>
      <c r="B108" s="599">
        <v>4</v>
      </c>
      <c r="C108" s="599">
        <v>15</v>
      </c>
      <c r="D108" s="619">
        <v>68.900000000000006</v>
      </c>
      <c r="E108" s="619">
        <v>70.8</v>
      </c>
      <c r="F108" s="619">
        <v>58.3</v>
      </c>
      <c r="G108" s="619">
        <v>60.05</v>
      </c>
      <c r="H108" s="619">
        <v>47.6</v>
      </c>
      <c r="I108" s="619">
        <v>48.8</v>
      </c>
      <c r="J108" s="599" t="str">
        <f t="shared" si="1"/>
        <v>H</v>
      </c>
    </row>
    <row r="109" spans="1:10">
      <c r="A109" s="596">
        <v>41745</v>
      </c>
      <c r="B109" s="599">
        <v>4</v>
      </c>
      <c r="C109" s="599">
        <v>16</v>
      </c>
      <c r="D109" s="619">
        <v>67.599999999999994</v>
      </c>
      <c r="E109" s="619">
        <v>68.900000000000006</v>
      </c>
      <c r="F109" s="619">
        <v>58</v>
      </c>
      <c r="G109" s="619">
        <v>59.35</v>
      </c>
      <c r="H109" s="619">
        <v>48.3</v>
      </c>
      <c r="I109" s="619">
        <v>49.45</v>
      </c>
      <c r="J109" s="599" t="str">
        <f t="shared" si="1"/>
        <v>H</v>
      </c>
    </row>
    <row r="110" spans="1:10">
      <c r="A110" s="596">
        <v>41746</v>
      </c>
      <c r="B110" s="599">
        <v>4</v>
      </c>
      <c r="C110" s="599">
        <v>17</v>
      </c>
      <c r="D110" s="619">
        <v>64.25</v>
      </c>
      <c r="E110" s="619">
        <v>67.8</v>
      </c>
      <c r="F110" s="619">
        <v>54.5</v>
      </c>
      <c r="G110" s="619">
        <v>57.4</v>
      </c>
      <c r="H110" s="619">
        <v>44.75</v>
      </c>
      <c r="I110" s="619">
        <v>46.9</v>
      </c>
      <c r="J110" s="599" t="str">
        <f t="shared" si="1"/>
        <v>H</v>
      </c>
    </row>
    <row r="111" spans="1:10">
      <c r="A111" s="596">
        <v>41747</v>
      </c>
      <c r="B111" s="599">
        <v>4</v>
      </c>
      <c r="C111" s="599">
        <v>18</v>
      </c>
      <c r="D111" s="619">
        <v>69.7</v>
      </c>
      <c r="E111" s="619">
        <v>72.25</v>
      </c>
      <c r="F111" s="619">
        <v>58.05</v>
      </c>
      <c r="G111" s="619">
        <v>60.35</v>
      </c>
      <c r="H111" s="619">
        <v>46.4</v>
      </c>
      <c r="I111" s="619">
        <v>48.6</v>
      </c>
      <c r="J111" s="599" t="str">
        <f t="shared" si="1"/>
        <v>H</v>
      </c>
    </row>
    <row r="112" spans="1:10">
      <c r="A112" s="596">
        <v>41748</v>
      </c>
      <c r="B112" s="599">
        <v>4</v>
      </c>
      <c r="C112" s="599">
        <v>19</v>
      </c>
      <c r="D112" s="619">
        <v>69.3</v>
      </c>
      <c r="E112" s="619">
        <v>71.2</v>
      </c>
      <c r="F112" s="619">
        <v>60.2</v>
      </c>
      <c r="G112" s="619">
        <v>62.05</v>
      </c>
      <c r="H112" s="619">
        <v>51.1</v>
      </c>
      <c r="I112" s="619">
        <v>52.65</v>
      </c>
      <c r="J112" s="599" t="str">
        <f t="shared" si="1"/>
        <v>H</v>
      </c>
    </row>
    <row r="113" spans="1:10">
      <c r="A113" s="596">
        <v>41749</v>
      </c>
      <c r="B113" s="599">
        <v>4</v>
      </c>
      <c r="C113" s="599">
        <v>20</v>
      </c>
      <c r="D113" s="619">
        <v>68.900000000000006</v>
      </c>
      <c r="E113" s="619">
        <v>71.05</v>
      </c>
      <c r="F113" s="619">
        <v>59.3</v>
      </c>
      <c r="G113" s="619">
        <v>60.6</v>
      </c>
      <c r="H113" s="619">
        <v>49.3</v>
      </c>
      <c r="I113" s="619">
        <v>50.4</v>
      </c>
      <c r="J113" s="599" t="str">
        <f t="shared" si="1"/>
        <v>H</v>
      </c>
    </row>
    <row r="114" spans="1:10">
      <c r="A114" s="596">
        <v>41750</v>
      </c>
      <c r="B114" s="599">
        <v>4</v>
      </c>
      <c r="C114" s="599">
        <v>21</v>
      </c>
      <c r="D114" s="619">
        <v>66.05</v>
      </c>
      <c r="E114" s="619">
        <v>67.75</v>
      </c>
      <c r="F114" s="619">
        <v>57.75</v>
      </c>
      <c r="G114" s="619">
        <v>59.25</v>
      </c>
      <c r="H114" s="619">
        <v>49.35</v>
      </c>
      <c r="I114" s="619">
        <v>50.85</v>
      </c>
      <c r="J114" s="599" t="str">
        <f t="shared" si="1"/>
        <v>H</v>
      </c>
    </row>
    <row r="115" spans="1:10">
      <c r="A115" s="596">
        <v>41751</v>
      </c>
      <c r="B115" s="599">
        <v>4</v>
      </c>
      <c r="C115" s="599">
        <v>22</v>
      </c>
      <c r="D115" s="619">
        <v>66.7</v>
      </c>
      <c r="E115" s="619">
        <v>69.150000000000006</v>
      </c>
      <c r="F115" s="619">
        <v>56.75</v>
      </c>
      <c r="G115" s="619">
        <v>59.45</v>
      </c>
      <c r="H115" s="619">
        <v>46.6</v>
      </c>
      <c r="I115" s="619">
        <v>49.75</v>
      </c>
      <c r="J115" s="599" t="str">
        <f t="shared" si="1"/>
        <v>H</v>
      </c>
    </row>
    <row r="116" spans="1:10">
      <c r="A116" s="596">
        <v>41752</v>
      </c>
      <c r="B116" s="599">
        <v>4</v>
      </c>
      <c r="C116" s="599">
        <v>23</v>
      </c>
      <c r="D116" s="619">
        <v>67.3</v>
      </c>
      <c r="E116" s="619">
        <v>69.05</v>
      </c>
      <c r="F116" s="619">
        <v>56.55</v>
      </c>
      <c r="G116" s="619">
        <v>58.7</v>
      </c>
      <c r="H116" s="619">
        <v>45.85</v>
      </c>
      <c r="I116" s="619">
        <v>48.05</v>
      </c>
      <c r="J116" s="599" t="str">
        <f t="shared" si="1"/>
        <v>H</v>
      </c>
    </row>
    <row r="117" spans="1:10">
      <c r="A117" s="596">
        <v>41753</v>
      </c>
      <c r="B117" s="599">
        <v>4</v>
      </c>
      <c r="C117" s="599">
        <v>24</v>
      </c>
      <c r="D117" s="619">
        <v>68.8</v>
      </c>
      <c r="E117" s="619">
        <v>70.3</v>
      </c>
      <c r="F117" s="619">
        <v>58.25</v>
      </c>
      <c r="G117" s="619">
        <v>59.8</v>
      </c>
      <c r="H117" s="619">
        <v>47.6</v>
      </c>
      <c r="I117" s="619">
        <v>49.4</v>
      </c>
      <c r="J117" s="599" t="str">
        <f t="shared" si="1"/>
        <v>H</v>
      </c>
    </row>
    <row r="118" spans="1:10">
      <c r="A118" s="596">
        <v>41754</v>
      </c>
      <c r="B118" s="599">
        <v>4</v>
      </c>
      <c r="C118" s="599">
        <v>25</v>
      </c>
      <c r="D118" s="619">
        <v>70.05</v>
      </c>
      <c r="E118" s="619">
        <v>71.150000000000006</v>
      </c>
      <c r="F118" s="619">
        <v>60.25</v>
      </c>
      <c r="G118" s="619">
        <v>62.2</v>
      </c>
      <c r="H118" s="619">
        <v>50.5</v>
      </c>
      <c r="I118" s="619">
        <v>52.95</v>
      </c>
      <c r="J118" s="599" t="str">
        <f t="shared" si="1"/>
        <v>H</v>
      </c>
    </row>
    <row r="119" spans="1:10">
      <c r="A119" s="596">
        <v>41755</v>
      </c>
      <c r="B119" s="599">
        <v>4</v>
      </c>
      <c r="C119" s="599">
        <v>26</v>
      </c>
      <c r="D119" s="619">
        <v>66.95</v>
      </c>
      <c r="E119" s="619">
        <v>68.900000000000006</v>
      </c>
      <c r="F119" s="619">
        <v>57.5</v>
      </c>
      <c r="G119" s="619">
        <v>59.4</v>
      </c>
      <c r="H119" s="619">
        <v>48.45</v>
      </c>
      <c r="I119" s="619">
        <v>49.8</v>
      </c>
      <c r="J119" s="599" t="str">
        <f t="shared" si="1"/>
        <v>H</v>
      </c>
    </row>
    <row r="120" spans="1:10">
      <c r="A120" s="596">
        <v>41756</v>
      </c>
      <c r="B120" s="599">
        <v>4</v>
      </c>
      <c r="C120" s="599">
        <v>27</v>
      </c>
      <c r="D120" s="619">
        <v>64.349999999999994</v>
      </c>
      <c r="E120" s="619">
        <v>66.5</v>
      </c>
      <c r="F120" s="619">
        <v>55.4</v>
      </c>
      <c r="G120" s="619">
        <v>57.2</v>
      </c>
      <c r="H120" s="619">
        <v>46.15</v>
      </c>
      <c r="I120" s="619">
        <v>47.7</v>
      </c>
      <c r="J120" s="599" t="str">
        <f t="shared" si="1"/>
        <v>H</v>
      </c>
    </row>
    <row r="121" spans="1:10">
      <c r="A121" s="596">
        <v>41757</v>
      </c>
      <c r="B121" s="599">
        <v>4</v>
      </c>
      <c r="C121" s="599">
        <v>28</v>
      </c>
      <c r="D121" s="619">
        <v>67.849999999999994</v>
      </c>
      <c r="E121" s="619">
        <v>70.150000000000006</v>
      </c>
      <c r="F121" s="619">
        <v>56.4</v>
      </c>
      <c r="G121" s="619">
        <v>58.55</v>
      </c>
      <c r="H121" s="619">
        <v>45</v>
      </c>
      <c r="I121" s="619">
        <v>47.1</v>
      </c>
      <c r="J121" s="599" t="str">
        <f t="shared" si="1"/>
        <v>H</v>
      </c>
    </row>
    <row r="122" spans="1:10">
      <c r="A122" s="596">
        <v>41758</v>
      </c>
      <c r="B122" s="599">
        <v>4</v>
      </c>
      <c r="C122" s="599">
        <v>29</v>
      </c>
      <c r="D122" s="619">
        <v>68.099999999999994</v>
      </c>
      <c r="E122" s="619">
        <v>70.55</v>
      </c>
      <c r="F122" s="619">
        <v>58.1</v>
      </c>
      <c r="G122" s="619">
        <v>59.95</v>
      </c>
      <c r="H122" s="619">
        <v>48.05</v>
      </c>
      <c r="I122" s="619">
        <v>49.85</v>
      </c>
      <c r="J122" s="599" t="str">
        <f t="shared" si="1"/>
        <v>H</v>
      </c>
    </row>
    <row r="123" spans="1:10">
      <c r="A123" s="596">
        <v>41759</v>
      </c>
      <c r="B123" s="599">
        <v>4</v>
      </c>
      <c r="C123" s="599">
        <v>30</v>
      </c>
      <c r="D123" s="619">
        <v>71.8</v>
      </c>
      <c r="E123" s="619">
        <v>73.95</v>
      </c>
      <c r="F123" s="619">
        <v>61.35</v>
      </c>
      <c r="G123" s="619">
        <v>62.95</v>
      </c>
      <c r="H123" s="619">
        <v>50.9</v>
      </c>
      <c r="I123" s="619">
        <v>52.1</v>
      </c>
      <c r="J123" s="599" t="str">
        <f t="shared" si="1"/>
        <v>H</v>
      </c>
    </row>
    <row r="124" spans="1:10">
      <c r="A124" s="596">
        <v>41760</v>
      </c>
      <c r="B124" s="599">
        <v>5</v>
      </c>
      <c r="C124" s="599">
        <v>1</v>
      </c>
      <c r="D124" s="619">
        <v>71.5</v>
      </c>
      <c r="E124" s="619">
        <v>72.400000000000006</v>
      </c>
      <c r="F124" s="619">
        <v>62.45</v>
      </c>
      <c r="G124" s="619">
        <v>62.95</v>
      </c>
      <c r="H124" s="619">
        <v>52.2</v>
      </c>
      <c r="I124" s="619">
        <v>53.3</v>
      </c>
      <c r="J124" s="599" t="str">
        <f t="shared" si="1"/>
        <v>C</v>
      </c>
    </row>
    <row r="125" spans="1:10">
      <c r="A125" s="596">
        <v>41761</v>
      </c>
      <c r="B125" s="599">
        <v>5</v>
      </c>
      <c r="C125" s="599">
        <v>2</v>
      </c>
      <c r="D125" s="619">
        <v>70.8</v>
      </c>
      <c r="E125" s="619">
        <v>71.75</v>
      </c>
      <c r="F125" s="619">
        <v>61.35</v>
      </c>
      <c r="G125" s="619">
        <v>62.4</v>
      </c>
      <c r="H125" s="619">
        <v>51.7</v>
      </c>
      <c r="I125" s="619">
        <v>53.2</v>
      </c>
      <c r="J125" s="599" t="str">
        <f t="shared" si="1"/>
        <v>C</v>
      </c>
    </row>
    <row r="126" spans="1:10">
      <c r="A126" s="596">
        <v>41762</v>
      </c>
      <c r="B126" s="599">
        <v>5</v>
      </c>
      <c r="C126" s="599">
        <v>3</v>
      </c>
      <c r="D126" s="619">
        <v>66.650000000000006</v>
      </c>
      <c r="E126" s="619">
        <v>69</v>
      </c>
      <c r="F126" s="619">
        <v>57.85</v>
      </c>
      <c r="G126" s="619">
        <v>60</v>
      </c>
      <c r="H126" s="619">
        <v>49.3</v>
      </c>
      <c r="I126" s="619">
        <v>51.05</v>
      </c>
      <c r="J126" s="599" t="str">
        <f t="shared" si="1"/>
        <v>C</v>
      </c>
    </row>
    <row r="127" spans="1:10">
      <c r="A127" s="596">
        <v>41763</v>
      </c>
      <c r="B127" s="599">
        <v>5</v>
      </c>
      <c r="C127" s="599">
        <v>4</v>
      </c>
      <c r="D127" s="619">
        <v>68.099999999999994</v>
      </c>
      <c r="E127" s="619">
        <v>70.05</v>
      </c>
      <c r="F127" s="619">
        <v>58.65</v>
      </c>
      <c r="G127" s="619">
        <v>60.5</v>
      </c>
      <c r="H127" s="619">
        <v>49.4</v>
      </c>
      <c r="I127" s="619">
        <v>51.3</v>
      </c>
      <c r="J127" s="599" t="str">
        <f t="shared" si="1"/>
        <v>C</v>
      </c>
    </row>
    <row r="128" spans="1:10">
      <c r="A128" s="596">
        <v>41764</v>
      </c>
      <c r="B128" s="599">
        <v>5</v>
      </c>
      <c r="C128" s="599">
        <v>5</v>
      </c>
      <c r="D128" s="619">
        <v>72.099999999999994</v>
      </c>
      <c r="E128" s="619">
        <v>75.5</v>
      </c>
      <c r="F128" s="619">
        <v>61.45</v>
      </c>
      <c r="G128" s="619">
        <v>64.099999999999994</v>
      </c>
      <c r="H128" s="619">
        <v>50.95</v>
      </c>
      <c r="I128" s="619">
        <v>52.9</v>
      </c>
      <c r="J128" s="599" t="str">
        <f t="shared" si="1"/>
        <v>C</v>
      </c>
    </row>
    <row r="129" spans="1:10">
      <c r="A129" s="596">
        <v>41765</v>
      </c>
      <c r="B129" s="599">
        <v>5</v>
      </c>
      <c r="C129" s="599">
        <v>6</v>
      </c>
      <c r="D129" s="619">
        <v>71.5</v>
      </c>
      <c r="E129" s="619">
        <v>73.3</v>
      </c>
      <c r="F129" s="619">
        <v>62.1</v>
      </c>
      <c r="G129" s="619">
        <v>64.25</v>
      </c>
      <c r="H129" s="619">
        <v>53.05</v>
      </c>
      <c r="I129" s="619">
        <v>55.2</v>
      </c>
      <c r="J129" s="599" t="str">
        <f t="shared" si="1"/>
        <v>C</v>
      </c>
    </row>
    <row r="130" spans="1:10">
      <c r="A130" s="596">
        <v>41766</v>
      </c>
      <c r="B130" s="599">
        <v>5</v>
      </c>
      <c r="C130" s="599">
        <v>7</v>
      </c>
      <c r="D130" s="619">
        <v>73.2</v>
      </c>
      <c r="E130" s="619">
        <v>76</v>
      </c>
      <c r="F130" s="619">
        <v>63.75</v>
      </c>
      <c r="G130" s="619">
        <v>65.75</v>
      </c>
      <c r="H130" s="619">
        <v>54.2</v>
      </c>
      <c r="I130" s="619">
        <v>55.7</v>
      </c>
      <c r="J130" s="599" t="str">
        <f t="shared" si="1"/>
        <v>C</v>
      </c>
    </row>
    <row r="131" spans="1:10">
      <c r="A131" s="596">
        <v>41767</v>
      </c>
      <c r="B131" s="599">
        <v>5</v>
      </c>
      <c r="C131" s="599">
        <v>8</v>
      </c>
      <c r="D131" s="619">
        <v>72.599999999999994</v>
      </c>
      <c r="E131" s="619">
        <v>74.25</v>
      </c>
      <c r="F131" s="619">
        <v>63.6</v>
      </c>
      <c r="G131" s="619">
        <v>65.45</v>
      </c>
      <c r="H131" s="619">
        <v>54.55</v>
      </c>
      <c r="I131" s="619">
        <v>56.7</v>
      </c>
      <c r="J131" s="599" t="str">
        <f t="shared" si="1"/>
        <v>C</v>
      </c>
    </row>
    <row r="132" spans="1:10">
      <c r="A132" s="596">
        <v>41768</v>
      </c>
      <c r="B132" s="599">
        <v>5</v>
      </c>
      <c r="C132" s="599">
        <v>9</v>
      </c>
      <c r="D132" s="619">
        <v>74</v>
      </c>
      <c r="E132" s="619">
        <v>75.75</v>
      </c>
      <c r="F132" s="619">
        <v>64</v>
      </c>
      <c r="G132" s="619">
        <v>65.75</v>
      </c>
      <c r="H132" s="619">
        <v>54</v>
      </c>
      <c r="I132" s="619">
        <v>55.9</v>
      </c>
      <c r="J132" s="599" t="str">
        <f t="shared" si="1"/>
        <v>C</v>
      </c>
    </row>
    <row r="133" spans="1:10">
      <c r="A133" s="596">
        <v>41769</v>
      </c>
      <c r="B133" s="599">
        <v>5</v>
      </c>
      <c r="C133" s="599">
        <v>10</v>
      </c>
      <c r="D133" s="619">
        <v>74.55</v>
      </c>
      <c r="E133" s="619">
        <v>76.75</v>
      </c>
      <c r="F133" s="619">
        <v>64.75</v>
      </c>
      <c r="G133" s="619">
        <v>66.55</v>
      </c>
      <c r="H133" s="619">
        <v>55.15</v>
      </c>
      <c r="I133" s="619">
        <v>56.35</v>
      </c>
      <c r="J133" s="599" t="str">
        <f t="shared" ref="J133:J196" si="2">IF(OR(B133&lt;=4,B133&gt;=11),"H","C")</f>
        <v>C</v>
      </c>
    </row>
    <row r="134" spans="1:10">
      <c r="A134" s="596">
        <v>41770</v>
      </c>
      <c r="B134" s="599">
        <v>5</v>
      </c>
      <c r="C134" s="599">
        <v>11</v>
      </c>
      <c r="D134" s="619">
        <v>74.849999999999994</v>
      </c>
      <c r="E134" s="619">
        <v>77.05</v>
      </c>
      <c r="F134" s="619">
        <v>64.599999999999994</v>
      </c>
      <c r="G134" s="619">
        <v>66.2</v>
      </c>
      <c r="H134" s="619">
        <v>54.25</v>
      </c>
      <c r="I134" s="619">
        <v>55.45</v>
      </c>
      <c r="J134" s="599" t="str">
        <f t="shared" si="2"/>
        <v>C</v>
      </c>
    </row>
    <row r="135" spans="1:10">
      <c r="A135" s="596">
        <v>41771</v>
      </c>
      <c r="B135" s="599">
        <v>5</v>
      </c>
      <c r="C135" s="599">
        <v>12</v>
      </c>
      <c r="D135" s="619">
        <v>71.7</v>
      </c>
      <c r="E135" s="619">
        <v>74.2</v>
      </c>
      <c r="F135" s="619">
        <v>63.75</v>
      </c>
      <c r="G135" s="619">
        <v>65.599999999999994</v>
      </c>
      <c r="H135" s="619">
        <v>54.9</v>
      </c>
      <c r="I135" s="619">
        <v>56.75</v>
      </c>
      <c r="J135" s="599" t="str">
        <f t="shared" si="2"/>
        <v>C</v>
      </c>
    </row>
    <row r="136" spans="1:10">
      <c r="A136" s="596">
        <v>41772</v>
      </c>
      <c r="B136" s="599">
        <v>5</v>
      </c>
      <c r="C136" s="599">
        <v>13</v>
      </c>
      <c r="D136" s="619">
        <v>70.95</v>
      </c>
      <c r="E136" s="619">
        <v>72.900000000000006</v>
      </c>
      <c r="F136" s="619">
        <v>61.75</v>
      </c>
      <c r="G136" s="619">
        <v>63.6</v>
      </c>
      <c r="H136" s="619">
        <v>52.85</v>
      </c>
      <c r="I136" s="619">
        <v>54.85</v>
      </c>
      <c r="J136" s="599" t="str">
        <f t="shared" si="2"/>
        <v>C</v>
      </c>
    </row>
    <row r="137" spans="1:10">
      <c r="A137" s="596">
        <v>41773</v>
      </c>
      <c r="B137" s="599">
        <v>5</v>
      </c>
      <c r="C137" s="599">
        <v>14</v>
      </c>
      <c r="D137" s="619">
        <v>72.75</v>
      </c>
      <c r="E137" s="619">
        <v>74.849999999999994</v>
      </c>
      <c r="F137" s="619">
        <v>62.55</v>
      </c>
      <c r="G137" s="619">
        <v>64.75</v>
      </c>
      <c r="H137" s="619">
        <v>52.9</v>
      </c>
      <c r="I137" s="619">
        <v>54.5</v>
      </c>
      <c r="J137" s="599" t="str">
        <f t="shared" si="2"/>
        <v>C</v>
      </c>
    </row>
    <row r="138" spans="1:10">
      <c r="A138" s="596">
        <v>41774</v>
      </c>
      <c r="B138" s="599">
        <v>5</v>
      </c>
      <c r="C138" s="599">
        <v>15</v>
      </c>
      <c r="D138" s="619">
        <v>72.2</v>
      </c>
      <c r="E138" s="619">
        <v>73.7</v>
      </c>
      <c r="F138" s="619">
        <v>63.5</v>
      </c>
      <c r="G138" s="619">
        <v>64.95</v>
      </c>
      <c r="H138" s="619">
        <v>54.8</v>
      </c>
      <c r="I138" s="619">
        <v>55.55</v>
      </c>
      <c r="J138" s="599" t="str">
        <f t="shared" si="2"/>
        <v>C</v>
      </c>
    </row>
    <row r="139" spans="1:10">
      <c r="A139" s="596">
        <v>41775</v>
      </c>
      <c r="B139" s="599">
        <v>5</v>
      </c>
      <c r="C139" s="599">
        <v>16</v>
      </c>
      <c r="D139" s="619">
        <v>72</v>
      </c>
      <c r="E139" s="619">
        <v>74.599999999999994</v>
      </c>
      <c r="F139" s="619">
        <v>63.05</v>
      </c>
      <c r="G139" s="619">
        <v>65.55</v>
      </c>
      <c r="H139" s="619">
        <v>53.9</v>
      </c>
      <c r="I139" s="619">
        <v>56.2</v>
      </c>
      <c r="J139" s="599" t="str">
        <f t="shared" si="2"/>
        <v>C</v>
      </c>
    </row>
    <row r="140" spans="1:10">
      <c r="A140" s="596">
        <v>41776</v>
      </c>
      <c r="B140" s="599">
        <v>5</v>
      </c>
      <c r="C140" s="599">
        <v>17</v>
      </c>
      <c r="D140" s="619">
        <v>72.5</v>
      </c>
      <c r="E140" s="619">
        <v>74.7</v>
      </c>
      <c r="F140" s="619">
        <v>63.25</v>
      </c>
      <c r="G140" s="619">
        <v>65.349999999999994</v>
      </c>
      <c r="H140" s="619">
        <v>53.8</v>
      </c>
      <c r="I140" s="619">
        <v>56</v>
      </c>
      <c r="J140" s="599" t="str">
        <f t="shared" si="2"/>
        <v>C</v>
      </c>
    </row>
    <row r="141" spans="1:10">
      <c r="A141" s="596">
        <v>41777</v>
      </c>
      <c r="B141" s="599">
        <v>5</v>
      </c>
      <c r="C141" s="599">
        <v>18</v>
      </c>
      <c r="D141" s="619">
        <v>72.3</v>
      </c>
      <c r="E141" s="619">
        <v>74.349999999999994</v>
      </c>
      <c r="F141" s="619">
        <v>63.35</v>
      </c>
      <c r="G141" s="619">
        <v>65.400000000000006</v>
      </c>
      <c r="H141" s="619">
        <v>54.45</v>
      </c>
      <c r="I141" s="619">
        <v>56.4</v>
      </c>
      <c r="J141" s="599" t="str">
        <f t="shared" si="2"/>
        <v>C</v>
      </c>
    </row>
    <row r="142" spans="1:10">
      <c r="A142" s="596">
        <v>41778</v>
      </c>
      <c r="B142" s="599">
        <v>5</v>
      </c>
      <c r="C142" s="599">
        <v>19</v>
      </c>
      <c r="D142" s="619">
        <v>73.7</v>
      </c>
      <c r="E142" s="619">
        <v>75.650000000000006</v>
      </c>
      <c r="F142" s="619">
        <v>62.95</v>
      </c>
      <c r="G142" s="619">
        <v>65.650000000000006</v>
      </c>
      <c r="H142" s="619">
        <v>52.25</v>
      </c>
      <c r="I142" s="619">
        <v>55.45</v>
      </c>
      <c r="J142" s="599" t="str">
        <f t="shared" si="2"/>
        <v>C</v>
      </c>
    </row>
    <row r="143" spans="1:10">
      <c r="A143" s="596">
        <v>41779</v>
      </c>
      <c r="B143" s="599">
        <v>5</v>
      </c>
      <c r="C143" s="599">
        <v>20</v>
      </c>
      <c r="D143" s="619">
        <v>73.849999999999994</v>
      </c>
      <c r="E143" s="619">
        <v>76.349999999999994</v>
      </c>
      <c r="F143" s="619">
        <v>63.9</v>
      </c>
      <c r="G143" s="619">
        <v>65.900000000000006</v>
      </c>
      <c r="H143" s="619">
        <v>53.95</v>
      </c>
      <c r="I143" s="619">
        <v>55.55</v>
      </c>
      <c r="J143" s="599" t="str">
        <f t="shared" si="2"/>
        <v>C</v>
      </c>
    </row>
    <row r="144" spans="1:10">
      <c r="A144" s="596">
        <v>41780</v>
      </c>
      <c r="B144" s="599">
        <v>5</v>
      </c>
      <c r="C144" s="599">
        <v>21</v>
      </c>
      <c r="D144" s="619">
        <v>74.5</v>
      </c>
      <c r="E144" s="619">
        <v>76.349999999999994</v>
      </c>
      <c r="F144" s="619">
        <v>64</v>
      </c>
      <c r="G144" s="619">
        <v>65.849999999999994</v>
      </c>
      <c r="H144" s="619">
        <v>54.05</v>
      </c>
      <c r="I144" s="619">
        <v>55.65</v>
      </c>
      <c r="J144" s="599" t="str">
        <f t="shared" si="2"/>
        <v>C</v>
      </c>
    </row>
    <row r="145" spans="1:10">
      <c r="A145" s="596">
        <v>41781</v>
      </c>
      <c r="B145" s="599">
        <v>5</v>
      </c>
      <c r="C145" s="599">
        <v>22</v>
      </c>
      <c r="D145" s="619">
        <v>74.900000000000006</v>
      </c>
      <c r="E145" s="619">
        <v>77.349999999999994</v>
      </c>
      <c r="F145" s="619">
        <v>64.400000000000006</v>
      </c>
      <c r="G145" s="619">
        <v>65.849999999999994</v>
      </c>
      <c r="H145" s="619">
        <v>53.9</v>
      </c>
      <c r="I145" s="619">
        <v>54.65</v>
      </c>
      <c r="J145" s="599" t="str">
        <f t="shared" si="2"/>
        <v>C</v>
      </c>
    </row>
    <row r="146" spans="1:10">
      <c r="A146" s="596">
        <v>41782</v>
      </c>
      <c r="B146" s="599">
        <v>5</v>
      </c>
      <c r="C146" s="599">
        <v>23</v>
      </c>
      <c r="D146" s="619">
        <v>78.150000000000006</v>
      </c>
      <c r="E146" s="619">
        <v>80.599999999999994</v>
      </c>
      <c r="F146" s="619">
        <v>66.7</v>
      </c>
      <c r="G146" s="619">
        <v>68.849999999999994</v>
      </c>
      <c r="H146" s="619">
        <v>55.2</v>
      </c>
      <c r="I146" s="619">
        <v>57.1</v>
      </c>
      <c r="J146" s="599" t="str">
        <f t="shared" si="2"/>
        <v>C</v>
      </c>
    </row>
    <row r="147" spans="1:10">
      <c r="A147" s="596">
        <v>41783</v>
      </c>
      <c r="B147" s="599">
        <v>5</v>
      </c>
      <c r="C147" s="599">
        <v>24</v>
      </c>
      <c r="D147" s="619">
        <v>77.099999999999994</v>
      </c>
      <c r="E147" s="619">
        <v>79.099999999999994</v>
      </c>
      <c r="F147" s="619">
        <v>67.599999999999994</v>
      </c>
      <c r="G147" s="619">
        <v>69.650000000000006</v>
      </c>
      <c r="H147" s="619">
        <v>57.9</v>
      </c>
      <c r="I147" s="619">
        <v>60.1</v>
      </c>
      <c r="J147" s="599" t="str">
        <f t="shared" si="2"/>
        <v>C</v>
      </c>
    </row>
    <row r="148" spans="1:10">
      <c r="A148" s="596">
        <v>41784</v>
      </c>
      <c r="B148" s="599">
        <v>5</v>
      </c>
      <c r="C148" s="599">
        <v>25</v>
      </c>
      <c r="D148" s="619">
        <v>76.5</v>
      </c>
      <c r="E148" s="619">
        <v>78.2</v>
      </c>
      <c r="F148" s="619">
        <v>67.3</v>
      </c>
      <c r="G148" s="619">
        <v>68.599999999999994</v>
      </c>
      <c r="H148" s="619">
        <v>58.2</v>
      </c>
      <c r="I148" s="619">
        <v>59.5</v>
      </c>
      <c r="J148" s="599" t="str">
        <f t="shared" si="2"/>
        <v>C</v>
      </c>
    </row>
    <row r="149" spans="1:10">
      <c r="A149" s="596">
        <v>41785</v>
      </c>
      <c r="B149" s="599">
        <v>5</v>
      </c>
      <c r="C149" s="599">
        <v>26</v>
      </c>
      <c r="D149" s="619">
        <v>75</v>
      </c>
      <c r="E149" s="619">
        <v>76.75</v>
      </c>
      <c r="F149" s="619">
        <v>66.349999999999994</v>
      </c>
      <c r="G149" s="619">
        <v>68.099999999999994</v>
      </c>
      <c r="H149" s="619">
        <v>57.75</v>
      </c>
      <c r="I149" s="619">
        <v>59.1</v>
      </c>
      <c r="J149" s="599" t="str">
        <f t="shared" si="2"/>
        <v>C</v>
      </c>
    </row>
    <row r="150" spans="1:10">
      <c r="A150" s="596">
        <v>41786</v>
      </c>
      <c r="B150" s="599">
        <v>5</v>
      </c>
      <c r="C150" s="599">
        <v>27</v>
      </c>
      <c r="D150" s="619">
        <v>77.25</v>
      </c>
      <c r="E150" s="619">
        <v>78.400000000000006</v>
      </c>
      <c r="F150" s="619">
        <v>67.3</v>
      </c>
      <c r="G150" s="619">
        <v>68.5</v>
      </c>
      <c r="H150" s="619">
        <v>57.3</v>
      </c>
      <c r="I150" s="619">
        <v>58.8</v>
      </c>
      <c r="J150" s="599" t="str">
        <f t="shared" si="2"/>
        <v>C</v>
      </c>
    </row>
    <row r="151" spans="1:10">
      <c r="A151" s="596">
        <v>41787</v>
      </c>
      <c r="B151" s="599">
        <v>5</v>
      </c>
      <c r="C151" s="599">
        <v>28</v>
      </c>
      <c r="D151" s="619">
        <v>77.95</v>
      </c>
      <c r="E151" s="619">
        <v>80.7</v>
      </c>
      <c r="F151" s="619">
        <v>67.75</v>
      </c>
      <c r="G151" s="619">
        <v>69.900000000000006</v>
      </c>
      <c r="H151" s="619">
        <v>57.5</v>
      </c>
      <c r="I151" s="619">
        <v>59.55</v>
      </c>
      <c r="J151" s="599" t="str">
        <f t="shared" si="2"/>
        <v>C</v>
      </c>
    </row>
    <row r="152" spans="1:10">
      <c r="A152" s="596">
        <v>41788</v>
      </c>
      <c r="B152" s="599">
        <v>5</v>
      </c>
      <c r="C152" s="599">
        <v>29</v>
      </c>
      <c r="D152" s="619">
        <v>77.400000000000006</v>
      </c>
      <c r="E152" s="619">
        <v>80.150000000000006</v>
      </c>
      <c r="F152" s="619">
        <v>67.900000000000006</v>
      </c>
      <c r="G152" s="619">
        <v>70</v>
      </c>
      <c r="H152" s="619">
        <v>58.2</v>
      </c>
      <c r="I152" s="619">
        <v>59.9</v>
      </c>
      <c r="J152" s="599" t="str">
        <f t="shared" si="2"/>
        <v>C</v>
      </c>
    </row>
    <row r="153" spans="1:10">
      <c r="A153" s="596">
        <v>41789</v>
      </c>
      <c r="B153" s="599">
        <v>5</v>
      </c>
      <c r="C153" s="599">
        <v>30</v>
      </c>
      <c r="D153" s="619">
        <v>79.8</v>
      </c>
      <c r="E153" s="619">
        <v>81.05</v>
      </c>
      <c r="F153" s="619">
        <v>69.150000000000006</v>
      </c>
      <c r="G153" s="619">
        <v>71.349999999999994</v>
      </c>
      <c r="H153" s="619">
        <v>58.65</v>
      </c>
      <c r="I153" s="619">
        <v>61.75</v>
      </c>
      <c r="J153" s="599" t="str">
        <f t="shared" si="2"/>
        <v>C</v>
      </c>
    </row>
    <row r="154" spans="1:10">
      <c r="A154" s="596">
        <v>41790</v>
      </c>
      <c r="B154" s="599">
        <v>5</v>
      </c>
      <c r="C154" s="599">
        <v>31</v>
      </c>
      <c r="D154" s="619">
        <v>78.599999999999994</v>
      </c>
      <c r="E154" s="619">
        <v>80</v>
      </c>
      <c r="F154" s="619">
        <v>69.349999999999994</v>
      </c>
      <c r="G154" s="619">
        <v>71.45</v>
      </c>
      <c r="H154" s="619">
        <v>60.15</v>
      </c>
      <c r="I154" s="619">
        <v>62.4</v>
      </c>
      <c r="J154" s="599" t="str">
        <f t="shared" si="2"/>
        <v>C</v>
      </c>
    </row>
    <row r="155" spans="1:10">
      <c r="A155" s="596">
        <v>41791</v>
      </c>
      <c r="B155" s="599">
        <v>6</v>
      </c>
      <c r="C155" s="599">
        <v>1</v>
      </c>
      <c r="D155" s="619">
        <v>77.8</v>
      </c>
      <c r="E155" s="650">
        <v>80.05</v>
      </c>
      <c r="F155" s="619">
        <v>68.75</v>
      </c>
      <c r="G155" s="650">
        <v>71.5</v>
      </c>
      <c r="H155" s="619">
        <v>59.4</v>
      </c>
      <c r="I155" s="650">
        <v>62.85</v>
      </c>
      <c r="J155" s="599" t="str">
        <f t="shared" si="2"/>
        <v>C</v>
      </c>
    </row>
    <row r="156" spans="1:10">
      <c r="A156" s="596">
        <v>41792</v>
      </c>
      <c r="B156" s="599">
        <v>6</v>
      </c>
      <c r="C156" s="599">
        <v>2</v>
      </c>
      <c r="D156" s="619">
        <v>77.55</v>
      </c>
      <c r="E156" s="650">
        <v>79.5</v>
      </c>
      <c r="F156" s="619">
        <v>67.849999999999994</v>
      </c>
      <c r="G156" s="650">
        <v>70.5</v>
      </c>
      <c r="H156" s="619">
        <v>58.1</v>
      </c>
      <c r="I156" s="650">
        <v>61.75</v>
      </c>
      <c r="J156" s="599" t="str">
        <f t="shared" si="2"/>
        <v>C</v>
      </c>
    </row>
    <row r="157" spans="1:10">
      <c r="A157" s="596">
        <v>41793</v>
      </c>
      <c r="B157" s="599">
        <v>6</v>
      </c>
      <c r="C157" s="599">
        <v>3</v>
      </c>
      <c r="D157" s="619">
        <v>78.55</v>
      </c>
      <c r="E157" s="650">
        <v>80.3</v>
      </c>
      <c r="F157" s="619">
        <v>68.75</v>
      </c>
      <c r="G157" s="650">
        <v>71.3</v>
      </c>
      <c r="H157" s="619">
        <v>59</v>
      </c>
      <c r="I157" s="650">
        <v>62.3</v>
      </c>
      <c r="J157" s="599" t="str">
        <f t="shared" si="2"/>
        <v>C</v>
      </c>
    </row>
    <row r="158" spans="1:10">
      <c r="A158" s="596">
        <v>41794</v>
      </c>
      <c r="B158" s="599">
        <v>6</v>
      </c>
      <c r="C158" s="599">
        <v>4</v>
      </c>
      <c r="D158" s="619">
        <v>75.900000000000006</v>
      </c>
      <c r="E158" s="650">
        <v>78.099999999999994</v>
      </c>
      <c r="F158" s="619">
        <v>67.8</v>
      </c>
      <c r="G158" s="650">
        <v>70.45</v>
      </c>
      <c r="H158" s="619">
        <v>59.75</v>
      </c>
      <c r="I158" s="650">
        <v>63.1</v>
      </c>
      <c r="J158" s="599" t="str">
        <f t="shared" si="2"/>
        <v>C</v>
      </c>
    </row>
    <row r="159" spans="1:10">
      <c r="A159" s="596">
        <v>41795</v>
      </c>
      <c r="B159" s="599">
        <v>6</v>
      </c>
      <c r="C159" s="599">
        <v>5</v>
      </c>
      <c r="D159" s="619">
        <v>79</v>
      </c>
      <c r="E159" s="650">
        <v>81.400000000000006</v>
      </c>
      <c r="F159" s="619">
        <v>68.55</v>
      </c>
      <c r="G159" s="650">
        <v>71.45</v>
      </c>
      <c r="H159" s="619">
        <v>58.4</v>
      </c>
      <c r="I159" s="650">
        <v>61.6</v>
      </c>
      <c r="J159" s="599" t="str">
        <f t="shared" si="2"/>
        <v>C</v>
      </c>
    </row>
    <row r="160" spans="1:10">
      <c r="A160" s="596">
        <v>41796</v>
      </c>
      <c r="B160" s="599">
        <v>6</v>
      </c>
      <c r="C160" s="599">
        <v>6</v>
      </c>
      <c r="D160" s="619">
        <v>79.7</v>
      </c>
      <c r="E160" s="650">
        <v>81.849999999999994</v>
      </c>
      <c r="F160" s="619">
        <v>69.599999999999994</v>
      </c>
      <c r="G160" s="650">
        <v>72.05</v>
      </c>
      <c r="H160" s="619">
        <v>59.4</v>
      </c>
      <c r="I160" s="650">
        <v>62.45</v>
      </c>
      <c r="J160" s="599" t="str">
        <f t="shared" si="2"/>
        <v>C</v>
      </c>
    </row>
    <row r="161" spans="1:10">
      <c r="A161" s="596">
        <v>41797</v>
      </c>
      <c r="B161" s="599">
        <v>6</v>
      </c>
      <c r="C161" s="599">
        <v>7</v>
      </c>
      <c r="D161" s="619">
        <v>80.099999999999994</v>
      </c>
      <c r="E161" s="650">
        <v>82.55</v>
      </c>
      <c r="F161" s="619">
        <v>71</v>
      </c>
      <c r="G161" s="650">
        <v>73.45</v>
      </c>
      <c r="H161" s="619">
        <v>61.85</v>
      </c>
      <c r="I161" s="650">
        <v>64.3</v>
      </c>
      <c r="J161" s="599" t="str">
        <f t="shared" si="2"/>
        <v>C</v>
      </c>
    </row>
    <row r="162" spans="1:10">
      <c r="A162" s="596">
        <v>41798</v>
      </c>
      <c r="B162" s="599">
        <v>6</v>
      </c>
      <c r="C162" s="599">
        <v>8</v>
      </c>
      <c r="D162" s="619">
        <v>81.95</v>
      </c>
      <c r="E162" s="650">
        <v>83.1</v>
      </c>
      <c r="F162" s="619">
        <v>72.650000000000006</v>
      </c>
      <c r="G162" s="650">
        <v>74.849999999999994</v>
      </c>
      <c r="H162" s="619">
        <v>63.4</v>
      </c>
      <c r="I162" s="650">
        <v>66.7</v>
      </c>
      <c r="J162" s="599" t="str">
        <f t="shared" si="2"/>
        <v>C</v>
      </c>
    </row>
    <row r="163" spans="1:10">
      <c r="A163" s="596">
        <v>41799</v>
      </c>
      <c r="B163" s="599">
        <v>6</v>
      </c>
      <c r="C163" s="599">
        <v>9</v>
      </c>
      <c r="D163" s="619">
        <v>82.1</v>
      </c>
      <c r="E163" s="650">
        <v>84.65</v>
      </c>
      <c r="F163" s="619">
        <v>72.3</v>
      </c>
      <c r="G163" s="650">
        <v>75.650000000000006</v>
      </c>
      <c r="H163" s="619">
        <v>62.75</v>
      </c>
      <c r="I163" s="650">
        <v>66.75</v>
      </c>
      <c r="J163" s="599" t="str">
        <f t="shared" si="2"/>
        <v>C</v>
      </c>
    </row>
    <row r="164" spans="1:10">
      <c r="A164" s="596">
        <v>41800</v>
      </c>
      <c r="B164" s="599">
        <v>6</v>
      </c>
      <c r="C164" s="599">
        <v>10</v>
      </c>
      <c r="D164" s="619">
        <v>82.85</v>
      </c>
      <c r="E164" s="650">
        <v>84.55</v>
      </c>
      <c r="F164" s="619">
        <v>72.75</v>
      </c>
      <c r="G164" s="650">
        <v>75.599999999999994</v>
      </c>
      <c r="H164" s="619">
        <v>62.95</v>
      </c>
      <c r="I164" s="650">
        <v>66.650000000000006</v>
      </c>
      <c r="J164" s="599" t="str">
        <f t="shared" si="2"/>
        <v>C</v>
      </c>
    </row>
    <row r="165" spans="1:10">
      <c r="A165" s="596">
        <v>41801</v>
      </c>
      <c r="B165" s="599">
        <v>6</v>
      </c>
      <c r="C165" s="599">
        <v>11</v>
      </c>
      <c r="D165" s="619">
        <v>80.7</v>
      </c>
      <c r="E165" s="650">
        <v>83.3</v>
      </c>
      <c r="F165" s="619">
        <v>72.599999999999994</v>
      </c>
      <c r="G165" s="650">
        <v>75.5</v>
      </c>
      <c r="H165" s="619">
        <v>64.650000000000006</v>
      </c>
      <c r="I165" s="650">
        <v>67.7</v>
      </c>
      <c r="J165" s="599" t="str">
        <f t="shared" si="2"/>
        <v>C</v>
      </c>
    </row>
    <row r="166" spans="1:10">
      <c r="A166" s="596">
        <v>41802</v>
      </c>
      <c r="B166" s="599">
        <v>6</v>
      </c>
      <c r="C166" s="599">
        <v>12</v>
      </c>
      <c r="D166" s="619">
        <v>82.35</v>
      </c>
      <c r="E166" s="650">
        <v>84.2</v>
      </c>
      <c r="F166" s="619">
        <v>73.3</v>
      </c>
      <c r="G166" s="650">
        <v>75.55</v>
      </c>
      <c r="H166" s="619">
        <v>64.45</v>
      </c>
      <c r="I166" s="650">
        <v>67.150000000000006</v>
      </c>
      <c r="J166" s="599" t="str">
        <f t="shared" si="2"/>
        <v>C</v>
      </c>
    </row>
    <row r="167" spans="1:10">
      <c r="A167" s="596">
        <v>41803</v>
      </c>
      <c r="B167" s="599">
        <v>6</v>
      </c>
      <c r="C167" s="599">
        <v>13</v>
      </c>
      <c r="D167" s="619">
        <v>82</v>
      </c>
      <c r="E167" s="650">
        <v>84.75</v>
      </c>
      <c r="F167" s="619">
        <v>72.55</v>
      </c>
      <c r="G167" s="650">
        <v>75.400000000000006</v>
      </c>
      <c r="H167" s="619">
        <v>63.05</v>
      </c>
      <c r="I167" s="650">
        <v>66.400000000000006</v>
      </c>
      <c r="J167" s="599" t="str">
        <f t="shared" si="2"/>
        <v>C</v>
      </c>
    </row>
    <row r="168" spans="1:10">
      <c r="A168" s="596">
        <v>41804</v>
      </c>
      <c r="B168" s="599">
        <v>6</v>
      </c>
      <c r="C168" s="599">
        <v>14</v>
      </c>
      <c r="D168" s="619">
        <v>80.45</v>
      </c>
      <c r="E168" s="650">
        <v>85.2</v>
      </c>
      <c r="F168" s="619">
        <v>72.400000000000006</v>
      </c>
      <c r="G168" s="650">
        <v>76.400000000000006</v>
      </c>
      <c r="H168" s="619">
        <v>62.75</v>
      </c>
      <c r="I168" s="650">
        <v>67.2</v>
      </c>
      <c r="J168" s="599" t="str">
        <f t="shared" si="2"/>
        <v>C</v>
      </c>
    </row>
    <row r="169" spans="1:10">
      <c r="A169" s="596">
        <v>41805</v>
      </c>
      <c r="B169" s="599">
        <v>6</v>
      </c>
      <c r="C169" s="599">
        <v>15</v>
      </c>
      <c r="D169" s="619">
        <v>80.3</v>
      </c>
      <c r="E169" s="650">
        <v>85.3</v>
      </c>
      <c r="F169" s="619">
        <v>72.45</v>
      </c>
      <c r="G169" s="650">
        <v>75.55</v>
      </c>
      <c r="H169" s="619">
        <v>62.8</v>
      </c>
      <c r="I169" s="650">
        <v>65.75</v>
      </c>
      <c r="J169" s="599" t="str">
        <f t="shared" si="2"/>
        <v>C</v>
      </c>
    </row>
    <row r="170" spans="1:10">
      <c r="A170" s="596">
        <v>41806</v>
      </c>
      <c r="B170" s="599">
        <v>6</v>
      </c>
      <c r="C170" s="599">
        <v>16</v>
      </c>
      <c r="D170" s="619">
        <v>80.5</v>
      </c>
      <c r="E170" s="650">
        <v>84.95</v>
      </c>
      <c r="F170" s="619">
        <v>73.099999999999994</v>
      </c>
      <c r="G170" s="650">
        <v>75.650000000000006</v>
      </c>
      <c r="H170" s="619">
        <v>63.75</v>
      </c>
      <c r="I170" s="650">
        <v>66.349999999999994</v>
      </c>
      <c r="J170" s="599" t="str">
        <f t="shared" si="2"/>
        <v>C</v>
      </c>
    </row>
    <row r="171" spans="1:10">
      <c r="A171" s="596">
        <v>41807</v>
      </c>
      <c r="B171" s="599">
        <v>6</v>
      </c>
      <c r="C171" s="599">
        <v>17</v>
      </c>
      <c r="D171" s="619">
        <v>83.4</v>
      </c>
      <c r="E171" s="650">
        <v>86.2</v>
      </c>
      <c r="F171" s="619">
        <v>73.55</v>
      </c>
      <c r="G171" s="650">
        <v>76.2</v>
      </c>
      <c r="H171" s="619">
        <v>63.5</v>
      </c>
      <c r="I171" s="650">
        <v>66.2</v>
      </c>
      <c r="J171" s="599" t="str">
        <f t="shared" si="2"/>
        <v>C</v>
      </c>
    </row>
    <row r="172" spans="1:10">
      <c r="A172" s="596">
        <v>41808</v>
      </c>
      <c r="B172" s="599">
        <v>6</v>
      </c>
      <c r="C172" s="599">
        <v>18</v>
      </c>
      <c r="D172" s="619">
        <v>83.45</v>
      </c>
      <c r="E172" s="650">
        <v>85.5</v>
      </c>
      <c r="F172" s="619">
        <v>73.5</v>
      </c>
      <c r="G172" s="650">
        <v>76.400000000000006</v>
      </c>
      <c r="H172" s="619">
        <v>63.75</v>
      </c>
      <c r="I172" s="650">
        <v>67.349999999999994</v>
      </c>
      <c r="J172" s="599" t="str">
        <f t="shared" si="2"/>
        <v>C</v>
      </c>
    </row>
    <row r="173" spans="1:10">
      <c r="A173" s="596">
        <v>41809</v>
      </c>
      <c r="B173" s="599">
        <v>6</v>
      </c>
      <c r="C173" s="599">
        <v>19</v>
      </c>
      <c r="D173" s="619">
        <v>84.5</v>
      </c>
      <c r="E173" s="650">
        <v>85.95</v>
      </c>
      <c r="F173" s="619">
        <v>74.55</v>
      </c>
      <c r="G173" s="650">
        <v>76.849999999999994</v>
      </c>
      <c r="H173" s="619">
        <v>64.75</v>
      </c>
      <c r="I173" s="650">
        <v>67.650000000000006</v>
      </c>
      <c r="J173" s="599" t="str">
        <f t="shared" si="2"/>
        <v>C</v>
      </c>
    </row>
    <row r="174" spans="1:10">
      <c r="A174" s="596">
        <v>41810</v>
      </c>
      <c r="B174" s="599">
        <v>6</v>
      </c>
      <c r="C174" s="599">
        <v>20</v>
      </c>
      <c r="D174" s="619">
        <v>83.4</v>
      </c>
      <c r="E174" s="619">
        <v>85.1</v>
      </c>
      <c r="F174" s="619">
        <v>73.5</v>
      </c>
      <c r="G174" s="619">
        <v>75.45</v>
      </c>
      <c r="H174" s="619">
        <v>63.7</v>
      </c>
      <c r="I174" s="619">
        <v>66.3</v>
      </c>
      <c r="J174" s="599" t="str">
        <f t="shared" si="2"/>
        <v>C</v>
      </c>
    </row>
    <row r="175" spans="1:10">
      <c r="A175" s="596">
        <v>41811</v>
      </c>
      <c r="B175" s="599">
        <v>6</v>
      </c>
      <c r="C175" s="599">
        <v>21</v>
      </c>
      <c r="D175" s="619">
        <v>84.9</v>
      </c>
      <c r="E175" s="619">
        <v>86.85</v>
      </c>
      <c r="F175" s="619">
        <v>74.099999999999994</v>
      </c>
      <c r="G175" s="619">
        <v>77.05</v>
      </c>
      <c r="H175" s="619">
        <v>63.5</v>
      </c>
      <c r="I175" s="619">
        <v>67.25</v>
      </c>
      <c r="J175" s="599" t="str">
        <f t="shared" si="2"/>
        <v>C</v>
      </c>
    </row>
    <row r="176" spans="1:10">
      <c r="A176" s="596">
        <v>41812</v>
      </c>
      <c r="B176" s="599">
        <v>6</v>
      </c>
      <c r="C176" s="599">
        <v>22</v>
      </c>
      <c r="D176" s="619">
        <v>83.8</v>
      </c>
      <c r="E176" s="619">
        <v>86.05</v>
      </c>
      <c r="F176" s="619">
        <v>74</v>
      </c>
      <c r="G176" s="619">
        <v>76.349999999999994</v>
      </c>
      <c r="H176" s="619">
        <v>64.150000000000006</v>
      </c>
      <c r="I176" s="619">
        <v>66.650000000000006</v>
      </c>
      <c r="J176" s="599" t="str">
        <f t="shared" si="2"/>
        <v>C</v>
      </c>
    </row>
    <row r="177" spans="1:10">
      <c r="A177" s="596">
        <v>41813</v>
      </c>
      <c r="B177" s="599">
        <v>6</v>
      </c>
      <c r="C177" s="599">
        <v>23</v>
      </c>
      <c r="D177" s="619">
        <v>84.85</v>
      </c>
      <c r="E177" s="619">
        <v>86.55</v>
      </c>
      <c r="F177" s="619">
        <v>74.150000000000006</v>
      </c>
      <c r="G177" s="619">
        <v>76.25</v>
      </c>
      <c r="H177" s="619">
        <v>63.6</v>
      </c>
      <c r="I177" s="619">
        <v>66.2</v>
      </c>
      <c r="J177" s="599" t="str">
        <f t="shared" si="2"/>
        <v>C</v>
      </c>
    </row>
    <row r="178" spans="1:10">
      <c r="A178" s="596">
        <v>41814</v>
      </c>
      <c r="B178" s="599">
        <v>6</v>
      </c>
      <c r="C178" s="599">
        <v>24</v>
      </c>
      <c r="D178" s="619">
        <v>84.85</v>
      </c>
      <c r="E178" s="619">
        <v>86.4</v>
      </c>
      <c r="F178" s="619">
        <v>74.7</v>
      </c>
      <c r="G178" s="619">
        <v>76.599999999999994</v>
      </c>
      <c r="H178" s="619">
        <v>64.900000000000006</v>
      </c>
      <c r="I178" s="619">
        <v>67.150000000000006</v>
      </c>
      <c r="J178" s="599" t="str">
        <f t="shared" si="2"/>
        <v>C</v>
      </c>
    </row>
    <row r="179" spans="1:10">
      <c r="A179" s="596">
        <v>41815</v>
      </c>
      <c r="B179" s="599">
        <v>6</v>
      </c>
      <c r="C179" s="599">
        <v>25</v>
      </c>
      <c r="D179" s="619">
        <v>85.35</v>
      </c>
      <c r="E179" s="619">
        <v>86.9</v>
      </c>
      <c r="F179" s="619">
        <v>75.3</v>
      </c>
      <c r="G179" s="619">
        <v>77.3</v>
      </c>
      <c r="H179" s="619">
        <v>65.400000000000006</v>
      </c>
      <c r="I179" s="619">
        <v>68.150000000000006</v>
      </c>
      <c r="J179" s="599" t="str">
        <f t="shared" si="2"/>
        <v>C</v>
      </c>
    </row>
    <row r="180" spans="1:10">
      <c r="A180" s="596">
        <v>41816</v>
      </c>
      <c r="B180" s="599">
        <v>6</v>
      </c>
      <c r="C180" s="599">
        <v>26</v>
      </c>
      <c r="D180" s="619">
        <v>83.7</v>
      </c>
      <c r="E180" s="619">
        <v>85.3</v>
      </c>
      <c r="F180" s="619">
        <v>74.650000000000006</v>
      </c>
      <c r="G180" s="619">
        <v>76.849999999999994</v>
      </c>
      <c r="H180" s="619">
        <v>65.25</v>
      </c>
      <c r="I180" s="619">
        <v>68.5</v>
      </c>
      <c r="J180" s="599" t="str">
        <f t="shared" si="2"/>
        <v>C</v>
      </c>
    </row>
    <row r="181" spans="1:10">
      <c r="A181" s="596">
        <v>41817</v>
      </c>
      <c r="B181" s="599">
        <v>6</v>
      </c>
      <c r="C181" s="599">
        <v>27</v>
      </c>
      <c r="D181" s="619">
        <v>84.1</v>
      </c>
      <c r="E181" s="619">
        <v>85.65</v>
      </c>
      <c r="F181" s="619">
        <v>73.95</v>
      </c>
      <c r="G181" s="619">
        <v>75.900000000000006</v>
      </c>
      <c r="H181" s="619">
        <v>63.8</v>
      </c>
      <c r="I181" s="619">
        <v>66.400000000000006</v>
      </c>
      <c r="J181" s="599" t="str">
        <f t="shared" si="2"/>
        <v>C</v>
      </c>
    </row>
    <row r="182" spans="1:10">
      <c r="A182" s="596">
        <v>41818</v>
      </c>
      <c r="B182" s="599">
        <v>6</v>
      </c>
      <c r="C182" s="599">
        <v>28</v>
      </c>
      <c r="D182" s="619">
        <v>85.5</v>
      </c>
      <c r="E182" s="619">
        <v>87.25</v>
      </c>
      <c r="F182" s="619">
        <v>75.150000000000006</v>
      </c>
      <c r="G182" s="619">
        <v>76.900000000000006</v>
      </c>
      <c r="H182" s="619">
        <v>64.8</v>
      </c>
      <c r="I182" s="619">
        <v>66.75</v>
      </c>
      <c r="J182" s="599" t="str">
        <f t="shared" si="2"/>
        <v>C</v>
      </c>
    </row>
    <row r="183" spans="1:10">
      <c r="A183" s="596">
        <v>41819</v>
      </c>
      <c r="B183" s="599">
        <v>6</v>
      </c>
      <c r="C183" s="599">
        <v>29</v>
      </c>
      <c r="D183" s="619">
        <v>82.65</v>
      </c>
      <c r="E183" s="619">
        <v>85.65</v>
      </c>
      <c r="F183" s="619">
        <v>75</v>
      </c>
      <c r="G183" s="619">
        <v>76.599999999999994</v>
      </c>
      <c r="H183" s="619">
        <v>65.45</v>
      </c>
      <c r="I183" s="619">
        <v>67.650000000000006</v>
      </c>
      <c r="J183" s="599" t="str">
        <f t="shared" si="2"/>
        <v>C</v>
      </c>
    </row>
    <row r="184" spans="1:10">
      <c r="A184" s="596">
        <v>41820</v>
      </c>
      <c r="B184" s="599">
        <v>6</v>
      </c>
      <c r="C184" s="599">
        <v>30</v>
      </c>
      <c r="D184" s="619">
        <v>85.1</v>
      </c>
      <c r="E184" s="619">
        <v>86.55</v>
      </c>
      <c r="F184" s="619">
        <v>75</v>
      </c>
      <c r="G184" s="619">
        <v>76.849999999999994</v>
      </c>
      <c r="H184" s="619">
        <v>64.900000000000006</v>
      </c>
      <c r="I184" s="619">
        <v>67.349999999999994</v>
      </c>
      <c r="J184" s="599" t="str">
        <f t="shared" si="2"/>
        <v>C</v>
      </c>
    </row>
    <row r="185" spans="1:10">
      <c r="A185" s="596">
        <v>41821</v>
      </c>
      <c r="B185" s="599">
        <v>7</v>
      </c>
      <c r="C185" s="599">
        <v>1</v>
      </c>
      <c r="D185" s="619">
        <v>85.15</v>
      </c>
      <c r="E185" s="619">
        <v>86.15</v>
      </c>
      <c r="F185" s="619">
        <v>75.099999999999994</v>
      </c>
      <c r="G185" s="619">
        <v>77.099999999999994</v>
      </c>
      <c r="H185" s="619">
        <v>65.3</v>
      </c>
      <c r="I185" s="619">
        <v>68.25</v>
      </c>
      <c r="J185" s="599" t="str">
        <f t="shared" si="2"/>
        <v>C</v>
      </c>
    </row>
    <row r="186" spans="1:10">
      <c r="A186" s="596">
        <v>41822</v>
      </c>
      <c r="B186" s="599">
        <v>7</v>
      </c>
      <c r="C186" s="599">
        <v>2</v>
      </c>
      <c r="D186" s="619">
        <v>85.3</v>
      </c>
      <c r="E186" s="619">
        <v>86.75</v>
      </c>
      <c r="F186" s="619">
        <v>74.95</v>
      </c>
      <c r="G186" s="619">
        <v>77.349999999999994</v>
      </c>
      <c r="H186" s="619">
        <v>64.8</v>
      </c>
      <c r="I186" s="619">
        <v>67.75</v>
      </c>
      <c r="J186" s="599" t="str">
        <f t="shared" si="2"/>
        <v>C</v>
      </c>
    </row>
    <row r="187" spans="1:10">
      <c r="A187" s="596">
        <v>41823</v>
      </c>
      <c r="B187" s="599">
        <v>7</v>
      </c>
      <c r="C187" s="599">
        <v>3</v>
      </c>
      <c r="D187" s="619">
        <v>86.95</v>
      </c>
      <c r="E187" s="619">
        <v>88.05</v>
      </c>
      <c r="F187" s="619">
        <v>75.900000000000006</v>
      </c>
      <c r="G187" s="619">
        <v>77.55</v>
      </c>
      <c r="H187" s="619">
        <v>64.900000000000006</v>
      </c>
      <c r="I187" s="619">
        <v>67.5</v>
      </c>
      <c r="J187" s="599" t="str">
        <f t="shared" si="2"/>
        <v>C</v>
      </c>
    </row>
    <row r="188" spans="1:10">
      <c r="A188" s="596">
        <v>41824</v>
      </c>
      <c r="B188" s="599">
        <v>7</v>
      </c>
      <c r="C188" s="599">
        <v>4</v>
      </c>
      <c r="D188" s="619">
        <v>86.1</v>
      </c>
      <c r="E188" s="619">
        <v>87.5</v>
      </c>
      <c r="F188" s="619">
        <v>76.849999999999994</v>
      </c>
      <c r="G188" s="619">
        <v>78.8</v>
      </c>
      <c r="H188" s="619">
        <v>67.650000000000006</v>
      </c>
      <c r="I188" s="619">
        <v>70.2</v>
      </c>
      <c r="J188" s="599" t="str">
        <f t="shared" si="2"/>
        <v>C</v>
      </c>
    </row>
    <row r="189" spans="1:10">
      <c r="A189" s="596">
        <v>41825</v>
      </c>
      <c r="B189" s="599">
        <v>7</v>
      </c>
      <c r="C189" s="599">
        <v>5</v>
      </c>
      <c r="D189" s="619">
        <v>85.55</v>
      </c>
      <c r="E189" s="619">
        <v>87.35</v>
      </c>
      <c r="F189" s="619">
        <v>76.05</v>
      </c>
      <c r="G189" s="619">
        <v>78.900000000000006</v>
      </c>
      <c r="H189" s="619">
        <v>66.599999999999994</v>
      </c>
      <c r="I189" s="619">
        <v>70</v>
      </c>
      <c r="J189" s="599" t="str">
        <f t="shared" si="2"/>
        <v>C</v>
      </c>
    </row>
    <row r="190" spans="1:10">
      <c r="A190" s="596">
        <v>41826</v>
      </c>
      <c r="B190" s="599">
        <v>7</v>
      </c>
      <c r="C190" s="599">
        <v>6</v>
      </c>
      <c r="D190" s="619">
        <v>86.3</v>
      </c>
      <c r="E190" s="619">
        <v>87.45</v>
      </c>
      <c r="F190" s="619">
        <v>75.3</v>
      </c>
      <c r="G190" s="619">
        <v>77.3</v>
      </c>
      <c r="H190" s="619">
        <v>64.650000000000006</v>
      </c>
      <c r="I190" s="619">
        <v>67.400000000000006</v>
      </c>
      <c r="J190" s="599" t="str">
        <f t="shared" si="2"/>
        <v>C</v>
      </c>
    </row>
    <row r="191" spans="1:10">
      <c r="A191" s="596">
        <v>41827</v>
      </c>
      <c r="B191" s="599">
        <v>7</v>
      </c>
      <c r="C191" s="599">
        <v>7</v>
      </c>
      <c r="D191" s="619">
        <v>87</v>
      </c>
      <c r="E191" s="619">
        <v>87.7</v>
      </c>
      <c r="F191" s="619">
        <v>76.25</v>
      </c>
      <c r="G191" s="619">
        <v>77.45</v>
      </c>
      <c r="H191" s="619">
        <v>65.849999999999994</v>
      </c>
      <c r="I191" s="619">
        <v>67.3</v>
      </c>
      <c r="J191" s="599" t="str">
        <f t="shared" si="2"/>
        <v>C</v>
      </c>
    </row>
    <row r="192" spans="1:10">
      <c r="A192" s="596">
        <v>41828</v>
      </c>
      <c r="B192" s="599">
        <v>7</v>
      </c>
      <c r="C192" s="599">
        <v>8</v>
      </c>
      <c r="D192" s="619">
        <v>87.6</v>
      </c>
      <c r="E192" s="619">
        <v>88.75</v>
      </c>
      <c r="F192" s="619">
        <v>77.2</v>
      </c>
      <c r="G192" s="619">
        <v>78.8</v>
      </c>
      <c r="H192" s="619">
        <v>67</v>
      </c>
      <c r="I192" s="619">
        <v>69.05</v>
      </c>
      <c r="J192" s="599" t="str">
        <f t="shared" si="2"/>
        <v>C</v>
      </c>
    </row>
    <row r="193" spans="1:10">
      <c r="A193" s="596">
        <v>41829</v>
      </c>
      <c r="B193" s="599">
        <v>7</v>
      </c>
      <c r="C193" s="599">
        <v>9</v>
      </c>
      <c r="D193" s="619">
        <v>86.1</v>
      </c>
      <c r="E193" s="619">
        <v>87.35</v>
      </c>
      <c r="F193" s="619">
        <v>76.599999999999994</v>
      </c>
      <c r="G193" s="619">
        <v>78.650000000000006</v>
      </c>
      <c r="H193" s="619">
        <v>67.349999999999994</v>
      </c>
      <c r="I193" s="619">
        <v>69.7</v>
      </c>
      <c r="J193" s="599" t="str">
        <f t="shared" si="2"/>
        <v>C</v>
      </c>
    </row>
    <row r="194" spans="1:10">
      <c r="A194" s="596">
        <v>41830</v>
      </c>
      <c r="B194" s="599">
        <v>7</v>
      </c>
      <c r="C194" s="599">
        <v>10</v>
      </c>
      <c r="D194" s="619">
        <v>86.4</v>
      </c>
      <c r="E194" s="619">
        <v>87.35</v>
      </c>
      <c r="F194" s="619">
        <v>76.150000000000006</v>
      </c>
      <c r="G194" s="619">
        <v>77.849999999999994</v>
      </c>
      <c r="H194" s="619">
        <v>66.05</v>
      </c>
      <c r="I194" s="619">
        <v>68.5</v>
      </c>
      <c r="J194" s="599" t="str">
        <f t="shared" si="2"/>
        <v>C</v>
      </c>
    </row>
    <row r="195" spans="1:10">
      <c r="A195" s="596">
        <v>41831</v>
      </c>
      <c r="B195" s="599">
        <v>7</v>
      </c>
      <c r="C195" s="599">
        <v>11</v>
      </c>
      <c r="D195" s="619">
        <v>85.75</v>
      </c>
      <c r="E195" s="619">
        <v>86.35</v>
      </c>
      <c r="F195" s="619">
        <v>75.2</v>
      </c>
      <c r="G195" s="619">
        <v>77</v>
      </c>
      <c r="H195" s="619">
        <v>64.7</v>
      </c>
      <c r="I195" s="619">
        <v>68</v>
      </c>
      <c r="J195" s="599" t="str">
        <f t="shared" si="2"/>
        <v>C</v>
      </c>
    </row>
    <row r="196" spans="1:10">
      <c r="A196" s="596">
        <v>41832</v>
      </c>
      <c r="B196" s="599">
        <v>7</v>
      </c>
      <c r="C196" s="599">
        <v>12</v>
      </c>
      <c r="D196" s="619">
        <v>85.3</v>
      </c>
      <c r="E196" s="619">
        <v>86.6</v>
      </c>
      <c r="F196" s="619">
        <v>75.349999999999994</v>
      </c>
      <c r="G196" s="619">
        <v>76.95</v>
      </c>
      <c r="H196" s="619">
        <v>65.849999999999994</v>
      </c>
      <c r="I196" s="619">
        <v>67.45</v>
      </c>
      <c r="J196" s="599" t="str">
        <f t="shared" si="2"/>
        <v>C</v>
      </c>
    </row>
    <row r="197" spans="1:10">
      <c r="A197" s="596">
        <v>41833</v>
      </c>
      <c r="B197" s="599">
        <v>7</v>
      </c>
      <c r="C197" s="599">
        <v>13</v>
      </c>
      <c r="D197" s="619">
        <v>83.15</v>
      </c>
      <c r="E197" s="619">
        <v>86.05</v>
      </c>
      <c r="F197" s="619">
        <v>74.8</v>
      </c>
      <c r="G197" s="619">
        <v>77.349999999999994</v>
      </c>
      <c r="H197" s="619">
        <v>66.75</v>
      </c>
      <c r="I197" s="619">
        <v>68.75</v>
      </c>
      <c r="J197" s="599" t="str">
        <f t="shared" ref="J197:J260" si="3">IF(OR(B197&lt;=4,B197&gt;=11),"H","C")</f>
        <v>C</v>
      </c>
    </row>
    <row r="198" spans="1:10">
      <c r="A198" s="596">
        <v>41834</v>
      </c>
      <c r="B198" s="599">
        <v>7</v>
      </c>
      <c r="C198" s="599">
        <v>14</v>
      </c>
      <c r="D198" s="619">
        <v>85.35</v>
      </c>
      <c r="E198" s="619">
        <v>87.15</v>
      </c>
      <c r="F198" s="619">
        <v>75.599999999999994</v>
      </c>
      <c r="G198" s="619">
        <v>77.599999999999994</v>
      </c>
      <c r="H198" s="619">
        <v>66.25</v>
      </c>
      <c r="I198" s="619">
        <v>67.900000000000006</v>
      </c>
      <c r="J198" s="599" t="str">
        <f t="shared" si="3"/>
        <v>C</v>
      </c>
    </row>
    <row r="199" spans="1:10">
      <c r="A199" s="596">
        <v>41835</v>
      </c>
      <c r="B199" s="599">
        <v>7</v>
      </c>
      <c r="C199" s="599">
        <v>15</v>
      </c>
      <c r="D199" s="619">
        <v>85.25</v>
      </c>
      <c r="E199" s="619">
        <v>86.85</v>
      </c>
      <c r="F199" s="619">
        <v>76.25</v>
      </c>
      <c r="G199" s="619">
        <v>77.900000000000006</v>
      </c>
      <c r="H199" s="619">
        <v>67.150000000000006</v>
      </c>
      <c r="I199" s="619">
        <v>69.5</v>
      </c>
      <c r="J199" s="599" t="str">
        <f t="shared" si="3"/>
        <v>C</v>
      </c>
    </row>
    <row r="200" spans="1:10">
      <c r="A200" s="596">
        <v>41836</v>
      </c>
      <c r="B200" s="599">
        <v>7</v>
      </c>
      <c r="C200" s="599">
        <v>16</v>
      </c>
      <c r="D200" s="619">
        <v>86.55</v>
      </c>
      <c r="E200" s="619">
        <v>88.8</v>
      </c>
      <c r="F200" s="619">
        <v>77.05</v>
      </c>
      <c r="G200" s="619">
        <v>79.3</v>
      </c>
      <c r="H200" s="619">
        <v>67.849999999999994</v>
      </c>
      <c r="I200" s="619">
        <v>70.25</v>
      </c>
      <c r="J200" s="599" t="str">
        <f t="shared" si="3"/>
        <v>C</v>
      </c>
    </row>
    <row r="201" spans="1:10">
      <c r="A201" s="596">
        <v>41837</v>
      </c>
      <c r="B201" s="599">
        <v>7</v>
      </c>
      <c r="C201" s="599">
        <v>17</v>
      </c>
      <c r="D201" s="619">
        <v>86.5</v>
      </c>
      <c r="E201" s="619">
        <v>88.8</v>
      </c>
      <c r="F201" s="619">
        <v>77</v>
      </c>
      <c r="G201" s="619">
        <v>79.5</v>
      </c>
      <c r="H201" s="619">
        <v>67.75</v>
      </c>
      <c r="I201" s="619">
        <v>70.5</v>
      </c>
      <c r="J201" s="599" t="str">
        <f t="shared" si="3"/>
        <v>C</v>
      </c>
    </row>
    <row r="202" spans="1:10">
      <c r="A202" s="596">
        <v>41838</v>
      </c>
      <c r="B202" s="599">
        <v>7</v>
      </c>
      <c r="C202" s="599">
        <v>18</v>
      </c>
      <c r="D202" s="619">
        <v>86.45</v>
      </c>
      <c r="E202" s="619">
        <v>88.4</v>
      </c>
      <c r="F202" s="619">
        <v>77.099999999999994</v>
      </c>
      <c r="G202" s="619">
        <v>79.3</v>
      </c>
      <c r="H202" s="619">
        <v>67.55</v>
      </c>
      <c r="I202" s="619">
        <v>70.3</v>
      </c>
      <c r="J202" s="599" t="str">
        <f t="shared" si="3"/>
        <v>C</v>
      </c>
    </row>
    <row r="203" spans="1:10">
      <c r="A203" s="596">
        <v>41839</v>
      </c>
      <c r="B203" s="599">
        <v>7</v>
      </c>
      <c r="C203" s="599">
        <v>19</v>
      </c>
      <c r="D203" s="619">
        <v>87.65</v>
      </c>
      <c r="E203" s="619">
        <v>89.55</v>
      </c>
      <c r="F203" s="619">
        <v>77.849999999999994</v>
      </c>
      <c r="G203" s="619">
        <v>80.099999999999994</v>
      </c>
      <c r="H203" s="619">
        <v>68.2</v>
      </c>
      <c r="I203" s="619">
        <v>70.599999999999994</v>
      </c>
      <c r="J203" s="599" t="str">
        <f t="shared" si="3"/>
        <v>C</v>
      </c>
    </row>
    <row r="204" spans="1:10">
      <c r="A204" s="596">
        <v>41840</v>
      </c>
      <c r="B204" s="599">
        <v>7</v>
      </c>
      <c r="C204" s="599">
        <v>20</v>
      </c>
      <c r="D204" s="619">
        <v>87.95</v>
      </c>
      <c r="E204" s="619">
        <v>88.5</v>
      </c>
      <c r="F204" s="619">
        <v>77.45</v>
      </c>
      <c r="G204" s="619">
        <v>79.3</v>
      </c>
      <c r="H204" s="619">
        <v>67.2</v>
      </c>
      <c r="I204" s="619">
        <v>69.95</v>
      </c>
      <c r="J204" s="599" t="str">
        <f t="shared" si="3"/>
        <v>C</v>
      </c>
    </row>
    <row r="205" spans="1:10">
      <c r="A205" s="596">
        <v>41841</v>
      </c>
      <c r="B205" s="599">
        <v>7</v>
      </c>
      <c r="C205" s="599">
        <v>21</v>
      </c>
      <c r="D205" s="619">
        <v>86.8</v>
      </c>
      <c r="E205" s="619">
        <v>88.15</v>
      </c>
      <c r="F205" s="619">
        <v>77.5</v>
      </c>
      <c r="G205" s="619">
        <v>79.349999999999994</v>
      </c>
      <c r="H205" s="619">
        <v>68.2</v>
      </c>
      <c r="I205" s="619">
        <v>70.650000000000006</v>
      </c>
      <c r="J205" s="599" t="str">
        <f t="shared" si="3"/>
        <v>C</v>
      </c>
    </row>
    <row r="206" spans="1:10">
      <c r="A206" s="596">
        <v>41842</v>
      </c>
      <c r="B206" s="599">
        <v>7</v>
      </c>
      <c r="C206" s="599">
        <v>22</v>
      </c>
      <c r="D206" s="619">
        <v>85.1</v>
      </c>
      <c r="E206" s="619">
        <v>86.7</v>
      </c>
      <c r="F206" s="619">
        <v>76.400000000000006</v>
      </c>
      <c r="G206" s="619">
        <v>78.8</v>
      </c>
      <c r="H206" s="619">
        <v>68.2</v>
      </c>
      <c r="I206" s="619">
        <v>70.95</v>
      </c>
      <c r="J206" s="599" t="str">
        <f t="shared" si="3"/>
        <v>C</v>
      </c>
    </row>
    <row r="207" spans="1:10">
      <c r="A207" s="596">
        <v>41843</v>
      </c>
      <c r="B207" s="599">
        <v>7</v>
      </c>
      <c r="C207" s="599">
        <v>23</v>
      </c>
      <c r="D207" s="619">
        <v>85.15</v>
      </c>
      <c r="E207" s="619">
        <v>87.55</v>
      </c>
      <c r="F207" s="619">
        <v>76.599999999999994</v>
      </c>
      <c r="G207" s="619">
        <v>78.75</v>
      </c>
      <c r="H207" s="619">
        <v>68.099999999999994</v>
      </c>
      <c r="I207" s="619">
        <v>70.349999999999994</v>
      </c>
      <c r="J207" s="599" t="str">
        <f t="shared" si="3"/>
        <v>C</v>
      </c>
    </row>
    <row r="208" spans="1:10">
      <c r="A208" s="596">
        <v>41844</v>
      </c>
      <c r="B208" s="599">
        <v>7</v>
      </c>
      <c r="C208" s="599">
        <v>24</v>
      </c>
      <c r="D208" s="619">
        <v>85.6</v>
      </c>
      <c r="E208" s="619">
        <v>88.1</v>
      </c>
      <c r="F208" s="619">
        <v>76.400000000000006</v>
      </c>
      <c r="G208" s="619">
        <v>78.849999999999994</v>
      </c>
      <c r="H208" s="619">
        <v>67.3</v>
      </c>
      <c r="I208" s="619">
        <v>69.7</v>
      </c>
      <c r="J208" s="599" t="str">
        <f t="shared" si="3"/>
        <v>C</v>
      </c>
    </row>
    <row r="209" spans="1:10">
      <c r="A209" s="596">
        <v>41845</v>
      </c>
      <c r="B209" s="599">
        <v>7</v>
      </c>
      <c r="C209" s="599">
        <v>25</v>
      </c>
      <c r="D209" s="619">
        <v>87.1</v>
      </c>
      <c r="E209" s="619">
        <v>88.15</v>
      </c>
      <c r="F209" s="619">
        <v>77.5</v>
      </c>
      <c r="G209" s="619">
        <v>79.400000000000006</v>
      </c>
      <c r="H209" s="619">
        <v>68</v>
      </c>
      <c r="I209" s="619">
        <v>70.55</v>
      </c>
      <c r="J209" s="599" t="str">
        <f t="shared" si="3"/>
        <v>C</v>
      </c>
    </row>
    <row r="210" spans="1:10">
      <c r="A210" s="596">
        <v>41846</v>
      </c>
      <c r="B210" s="599">
        <v>7</v>
      </c>
      <c r="C210" s="599">
        <v>26</v>
      </c>
      <c r="D210" s="619">
        <v>86</v>
      </c>
      <c r="E210" s="619">
        <v>87.45</v>
      </c>
      <c r="F210" s="619">
        <v>77</v>
      </c>
      <c r="G210" s="619">
        <v>78.599999999999994</v>
      </c>
      <c r="H210" s="619">
        <v>68.150000000000006</v>
      </c>
      <c r="I210" s="619">
        <v>69.8</v>
      </c>
      <c r="J210" s="599" t="str">
        <f t="shared" si="3"/>
        <v>C</v>
      </c>
    </row>
    <row r="211" spans="1:10">
      <c r="A211" s="596">
        <v>41847</v>
      </c>
      <c r="B211" s="599">
        <v>7</v>
      </c>
      <c r="C211" s="599">
        <v>27</v>
      </c>
      <c r="D211" s="619">
        <v>85.65</v>
      </c>
      <c r="E211" s="619">
        <v>87.4</v>
      </c>
      <c r="F211" s="619">
        <v>76.650000000000006</v>
      </c>
      <c r="G211" s="619">
        <v>78.849999999999994</v>
      </c>
      <c r="H211" s="619">
        <v>67.5</v>
      </c>
      <c r="I211" s="619">
        <v>70.55</v>
      </c>
      <c r="J211" s="599" t="str">
        <f t="shared" si="3"/>
        <v>C</v>
      </c>
    </row>
    <row r="212" spans="1:10">
      <c r="A212" s="596">
        <v>41848</v>
      </c>
      <c r="B212" s="599">
        <v>7</v>
      </c>
      <c r="C212" s="599">
        <v>28</v>
      </c>
      <c r="D212" s="619">
        <v>85.2</v>
      </c>
      <c r="E212" s="619">
        <v>86.95</v>
      </c>
      <c r="F212" s="619">
        <v>76.3</v>
      </c>
      <c r="G212" s="619">
        <v>78.05</v>
      </c>
      <c r="H212" s="619">
        <v>67.7</v>
      </c>
      <c r="I212" s="619">
        <v>69.349999999999994</v>
      </c>
      <c r="J212" s="599" t="str">
        <f t="shared" si="3"/>
        <v>C</v>
      </c>
    </row>
    <row r="213" spans="1:10">
      <c r="A213" s="596">
        <v>41849</v>
      </c>
      <c r="B213" s="599">
        <v>7</v>
      </c>
      <c r="C213" s="599">
        <v>29</v>
      </c>
      <c r="D213" s="619">
        <v>85.55</v>
      </c>
      <c r="E213" s="619">
        <v>88.1</v>
      </c>
      <c r="F213" s="619">
        <v>76.599999999999994</v>
      </c>
      <c r="G213" s="619">
        <v>78.849999999999994</v>
      </c>
      <c r="H213" s="619">
        <v>67.8</v>
      </c>
      <c r="I213" s="619">
        <v>69.900000000000006</v>
      </c>
      <c r="J213" s="599" t="str">
        <f t="shared" si="3"/>
        <v>C</v>
      </c>
    </row>
    <row r="214" spans="1:10">
      <c r="A214" s="596">
        <v>41850</v>
      </c>
      <c r="B214" s="599">
        <v>7</v>
      </c>
      <c r="C214" s="599">
        <v>30</v>
      </c>
      <c r="D214" s="619">
        <v>86.05</v>
      </c>
      <c r="E214" s="619">
        <v>87.2</v>
      </c>
      <c r="F214" s="619">
        <v>76.3</v>
      </c>
      <c r="G214" s="619">
        <v>78.099999999999994</v>
      </c>
      <c r="H214" s="619">
        <v>66.599999999999994</v>
      </c>
      <c r="I214" s="619">
        <v>69.05</v>
      </c>
      <c r="J214" s="599" t="str">
        <f t="shared" si="3"/>
        <v>C</v>
      </c>
    </row>
    <row r="215" spans="1:10">
      <c r="A215" s="596">
        <v>41851</v>
      </c>
      <c r="B215" s="599">
        <v>7</v>
      </c>
      <c r="C215" s="599">
        <v>31</v>
      </c>
      <c r="D215" s="619">
        <v>86.4</v>
      </c>
      <c r="E215" s="619">
        <v>88.2</v>
      </c>
      <c r="F215" s="619">
        <v>76.650000000000006</v>
      </c>
      <c r="G215" s="619">
        <v>78.3</v>
      </c>
      <c r="H215" s="619">
        <v>66.7</v>
      </c>
      <c r="I215" s="619">
        <v>68.349999999999994</v>
      </c>
      <c r="J215" s="599" t="str">
        <f t="shared" si="3"/>
        <v>C</v>
      </c>
    </row>
    <row r="216" spans="1:10">
      <c r="A216" s="596">
        <v>41852</v>
      </c>
      <c r="B216" s="599">
        <v>8</v>
      </c>
      <c r="C216" s="599">
        <v>1</v>
      </c>
      <c r="D216" s="619">
        <v>87.75</v>
      </c>
      <c r="E216" s="619">
        <v>89.45</v>
      </c>
      <c r="F216" s="619">
        <v>76.75</v>
      </c>
      <c r="G216" s="619">
        <v>78.849999999999994</v>
      </c>
      <c r="H216" s="619">
        <v>65.95</v>
      </c>
      <c r="I216" s="619">
        <v>68.75</v>
      </c>
      <c r="J216" s="599" t="str">
        <f t="shared" si="3"/>
        <v>C</v>
      </c>
    </row>
    <row r="217" spans="1:10">
      <c r="A217" s="596">
        <v>41853</v>
      </c>
      <c r="B217" s="599">
        <v>8</v>
      </c>
      <c r="C217" s="599">
        <v>2</v>
      </c>
      <c r="D217" s="619">
        <v>87.7</v>
      </c>
      <c r="E217" s="619">
        <v>89.1</v>
      </c>
      <c r="F217" s="619">
        <v>77.150000000000006</v>
      </c>
      <c r="G217" s="619">
        <v>78.900000000000006</v>
      </c>
      <c r="H217" s="619">
        <v>66.650000000000006</v>
      </c>
      <c r="I217" s="619">
        <v>68.7</v>
      </c>
      <c r="J217" s="599" t="str">
        <f t="shared" si="3"/>
        <v>C</v>
      </c>
    </row>
    <row r="218" spans="1:10">
      <c r="A218" s="596">
        <v>41854</v>
      </c>
      <c r="B218" s="599">
        <v>8</v>
      </c>
      <c r="C218" s="599">
        <v>3</v>
      </c>
      <c r="D218" s="619">
        <v>86.55</v>
      </c>
      <c r="E218" s="619">
        <v>88.7</v>
      </c>
      <c r="F218" s="619">
        <v>76.75</v>
      </c>
      <c r="G218" s="619">
        <v>79.099999999999994</v>
      </c>
      <c r="H218" s="619">
        <v>66.95</v>
      </c>
      <c r="I218" s="619">
        <v>69.650000000000006</v>
      </c>
      <c r="J218" s="599" t="str">
        <f t="shared" si="3"/>
        <v>C</v>
      </c>
    </row>
    <row r="219" spans="1:10">
      <c r="A219" s="596">
        <v>41855</v>
      </c>
      <c r="B219" s="599">
        <v>8</v>
      </c>
      <c r="C219" s="599">
        <v>4</v>
      </c>
      <c r="D219" s="619">
        <v>87.15</v>
      </c>
      <c r="E219" s="619">
        <v>88.45</v>
      </c>
      <c r="F219" s="619">
        <v>77.55</v>
      </c>
      <c r="G219" s="619">
        <v>79.599999999999994</v>
      </c>
      <c r="H219" s="619">
        <v>68.099999999999994</v>
      </c>
      <c r="I219" s="619">
        <v>70.7</v>
      </c>
      <c r="J219" s="599" t="str">
        <f t="shared" si="3"/>
        <v>C</v>
      </c>
    </row>
    <row r="220" spans="1:10">
      <c r="A220" s="596">
        <v>41856</v>
      </c>
      <c r="B220" s="599">
        <v>8</v>
      </c>
      <c r="C220" s="599">
        <v>5</v>
      </c>
      <c r="D220" s="619">
        <v>84.7</v>
      </c>
      <c r="E220" s="619">
        <v>86.25</v>
      </c>
      <c r="F220" s="619">
        <v>75.55</v>
      </c>
      <c r="G220" s="619">
        <v>77.55</v>
      </c>
      <c r="H220" s="619">
        <v>66.599999999999994</v>
      </c>
      <c r="I220" s="619">
        <v>69.3</v>
      </c>
      <c r="J220" s="599" t="str">
        <f t="shared" si="3"/>
        <v>C</v>
      </c>
    </row>
    <row r="221" spans="1:10">
      <c r="A221" s="596">
        <v>41857</v>
      </c>
      <c r="B221" s="599">
        <v>8</v>
      </c>
      <c r="C221" s="599">
        <v>6</v>
      </c>
      <c r="D221" s="619">
        <v>84</v>
      </c>
      <c r="E221" s="619">
        <v>85.95</v>
      </c>
      <c r="F221" s="619">
        <v>74.849999999999994</v>
      </c>
      <c r="G221" s="619">
        <v>77</v>
      </c>
      <c r="H221" s="619">
        <v>65.7</v>
      </c>
      <c r="I221" s="619">
        <v>68.150000000000006</v>
      </c>
      <c r="J221" s="599" t="str">
        <f t="shared" si="3"/>
        <v>C</v>
      </c>
    </row>
    <row r="222" spans="1:10">
      <c r="A222" s="596">
        <v>41858</v>
      </c>
      <c r="B222" s="599">
        <v>8</v>
      </c>
      <c r="C222" s="599">
        <v>7</v>
      </c>
      <c r="D222" s="619">
        <v>86.3</v>
      </c>
      <c r="E222" s="619">
        <v>87.8</v>
      </c>
      <c r="F222" s="619">
        <v>75.5</v>
      </c>
      <c r="G222" s="619">
        <v>77.349999999999994</v>
      </c>
      <c r="H222" s="619">
        <v>64.849999999999994</v>
      </c>
      <c r="I222" s="619">
        <v>67.2</v>
      </c>
      <c r="J222" s="599" t="str">
        <f t="shared" si="3"/>
        <v>C</v>
      </c>
    </row>
    <row r="223" spans="1:10">
      <c r="A223" s="596">
        <v>41859</v>
      </c>
      <c r="B223" s="599">
        <v>8</v>
      </c>
      <c r="C223" s="599">
        <v>8</v>
      </c>
      <c r="D223" s="619">
        <v>85.8</v>
      </c>
      <c r="E223" s="619">
        <v>88</v>
      </c>
      <c r="F223" s="619">
        <v>75.650000000000006</v>
      </c>
      <c r="G223" s="619">
        <v>78</v>
      </c>
      <c r="H223" s="619">
        <v>65.7</v>
      </c>
      <c r="I223" s="619">
        <v>68.05</v>
      </c>
      <c r="J223" s="599" t="str">
        <f t="shared" si="3"/>
        <v>C</v>
      </c>
    </row>
    <row r="224" spans="1:10">
      <c r="A224" s="596">
        <v>41860</v>
      </c>
      <c r="B224" s="599">
        <v>8</v>
      </c>
      <c r="C224" s="599">
        <v>9</v>
      </c>
      <c r="D224" s="619">
        <v>85.55</v>
      </c>
      <c r="E224" s="619">
        <v>86.55</v>
      </c>
      <c r="F224" s="619">
        <v>75.95</v>
      </c>
      <c r="G224" s="619">
        <v>77.599999999999994</v>
      </c>
      <c r="H224" s="619">
        <v>66.2</v>
      </c>
      <c r="I224" s="619">
        <v>69.05</v>
      </c>
      <c r="J224" s="599" t="str">
        <f t="shared" si="3"/>
        <v>C</v>
      </c>
    </row>
    <row r="225" spans="1:10">
      <c r="A225" s="596">
        <v>41861</v>
      </c>
      <c r="B225" s="599">
        <v>8</v>
      </c>
      <c r="C225" s="599">
        <v>10</v>
      </c>
      <c r="D225" s="619">
        <v>86.5</v>
      </c>
      <c r="E225" s="619">
        <v>88.25</v>
      </c>
      <c r="F225" s="619">
        <v>76</v>
      </c>
      <c r="G225" s="619">
        <v>78.25</v>
      </c>
      <c r="H225" s="619">
        <v>65.599999999999994</v>
      </c>
      <c r="I225" s="619">
        <v>68.650000000000006</v>
      </c>
      <c r="J225" s="599" t="str">
        <f t="shared" si="3"/>
        <v>C</v>
      </c>
    </row>
    <row r="226" spans="1:10">
      <c r="A226" s="596">
        <v>41862</v>
      </c>
      <c r="B226" s="599">
        <v>8</v>
      </c>
      <c r="C226" s="599">
        <v>11</v>
      </c>
      <c r="D226" s="619">
        <v>84.75</v>
      </c>
      <c r="E226" s="619">
        <v>85.95</v>
      </c>
      <c r="F226" s="619">
        <v>75.150000000000006</v>
      </c>
      <c r="G226" s="619">
        <v>77.349999999999994</v>
      </c>
      <c r="H226" s="619">
        <v>65.849999999999994</v>
      </c>
      <c r="I226" s="619">
        <v>68.849999999999994</v>
      </c>
      <c r="J226" s="599" t="str">
        <f t="shared" si="3"/>
        <v>C</v>
      </c>
    </row>
    <row r="227" spans="1:10">
      <c r="A227" s="596">
        <v>41863</v>
      </c>
      <c r="B227" s="599">
        <v>8</v>
      </c>
      <c r="C227" s="599">
        <v>12</v>
      </c>
      <c r="D227" s="619">
        <v>84.8</v>
      </c>
      <c r="E227" s="619">
        <v>87.15</v>
      </c>
      <c r="F227" s="619">
        <v>74.849999999999994</v>
      </c>
      <c r="G227" s="619">
        <v>77.349999999999994</v>
      </c>
      <c r="H227" s="619">
        <v>64.95</v>
      </c>
      <c r="I227" s="619">
        <v>67.900000000000006</v>
      </c>
      <c r="J227" s="599" t="str">
        <f t="shared" si="3"/>
        <v>C</v>
      </c>
    </row>
    <row r="228" spans="1:10">
      <c r="A228" s="596">
        <v>41864</v>
      </c>
      <c r="B228" s="599">
        <v>8</v>
      </c>
      <c r="C228" s="599">
        <v>13</v>
      </c>
      <c r="D228" s="619">
        <v>85.8</v>
      </c>
      <c r="E228" s="619">
        <v>87.2</v>
      </c>
      <c r="F228" s="619">
        <v>76.05</v>
      </c>
      <c r="G228" s="619">
        <v>77.95</v>
      </c>
      <c r="H228" s="619">
        <v>66.3</v>
      </c>
      <c r="I228" s="619">
        <v>68.55</v>
      </c>
      <c r="J228" s="599" t="str">
        <f t="shared" si="3"/>
        <v>C</v>
      </c>
    </row>
    <row r="229" spans="1:10">
      <c r="A229" s="596">
        <v>41865</v>
      </c>
      <c r="B229" s="599">
        <v>8</v>
      </c>
      <c r="C229" s="599">
        <v>14</v>
      </c>
      <c r="D229" s="619">
        <v>84.05</v>
      </c>
      <c r="E229" s="619">
        <v>85.4</v>
      </c>
      <c r="F229" s="619">
        <v>74.599999999999994</v>
      </c>
      <c r="G229" s="619">
        <v>76.400000000000006</v>
      </c>
      <c r="H229" s="619">
        <v>65.05</v>
      </c>
      <c r="I229" s="619">
        <v>67.650000000000006</v>
      </c>
      <c r="J229" s="599" t="str">
        <f t="shared" si="3"/>
        <v>C</v>
      </c>
    </row>
    <row r="230" spans="1:10">
      <c r="A230" s="596">
        <v>41866</v>
      </c>
      <c r="B230" s="599">
        <v>8</v>
      </c>
      <c r="C230" s="599">
        <v>15</v>
      </c>
      <c r="D230" s="619">
        <v>85.1</v>
      </c>
      <c r="E230" s="619">
        <v>86.9</v>
      </c>
      <c r="F230" s="619">
        <v>74.900000000000006</v>
      </c>
      <c r="G230" s="619">
        <v>76.8</v>
      </c>
      <c r="H230" s="619">
        <v>64.5</v>
      </c>
      <c r="I230" s="619">
        <v>66.900000000000006</v>
      </c>
      <c r="J230" s="599" t="str">
        <f t="shared" si="3"/>
        <v>C</v>
      </c>
    </row>
    <row r="231" spans="1:10">
      <c r="A231" s="596">
        <v>41867</v>
      </c>
      <c r="B231" s="599">
        <v>8</v>
      </c>
      <c r="C231" s="599">
        <v>16</v>
      </c>
      <c r="D231" s="619">
        <v>85.75</v>
      </c>
      <c r="E231" s="619">
        <v>87.6</v>
      </c>
      <c r="F231" s="619">
        <v>75.349999999999994</v>
      </c>
      <c r="G231" s="619">
        <v>77.2</v>
      </c>
      <c r="H231" s="619">
        <v>65.05</v>
      </c>
      <c r="I231" s="619">
        <v>67.05</v>
      </c>
      <c r="J231" s="599" t="str">
        <f t="shared" si="3"/>
        <v>C</v>
      </c>
    </row>
    <row r="232" spans="1:10">
      <c r="A232" s="596">
        <v>41868</v>
      </c>
      <c r="B232" s="599">
        <v>8</v>
      </c>
      <c r="C232" s="599">
        <v>17</v>
      </c>
      <c r="D232" s="619">
        <v>85.75</v>
      </c>
      <c r="E232" s="619">
        <v>87.75</v>
      </c>
      <c r="F232" s="619">
        <v>75</v>
      </c>
      <c r="G232" s="619">
        <v>77.45</v>
      </c>
      <c r="H232" s="619">
        <v>64.3</v>
      </c>
      <c r="I232" s="619">
        <v>67.25</v>
      </c>
      <c r="J232" s="599" t="str">
        <f t="shared" si="3"/>
        <v>C</v>
      </c>
    </row>
    <row r="233" spans="1:10">
      <c r="A233" s="596">
        <v>41869</v>
      </c>
      <c r="B233" s="599">
        <v>8</v>
      </c>
      <c r="C233" s="599">
        <v>18</v>
      </c>
      <c r="D233" s="619">
        <v>85.05</v>
      </c>
      <c r="E233" s="619">
        <v>87.25</v>
      </c>
      <c r="F233" s="619">
        <v>74.95</v>
      </c>
      <c r="G233" s="619">
        <v>77.8</v>
      </c>
      <c r="H233" s="619">
        <v>64.8</v>
      </c>
      <c r="I233" s="619">
        <v>68.400000000000006</v>
      </c>
      <c r="J233" s="599" t="str">
        <f t="shared" si="3"/>
        <v>C</v>
      </c>
    </row>
    <row r="234" spans="1:10">
      <c r="A234" s="596">
        <v>41870</v>
      </c>
      <c r="B234" s="599">
        <v>8</v>
      </c>
      <c r="C234" s="599">
        <v>19</v>
      </c>
      <c r="D234" s="619">
        <v>85.9</v>
      </c>
      <c r="E234" s="619">
        <v>87</v>
      </c>
      <c r="F234" s="619">
        <v>75.900000000000006</v>
      </c>
      <c r="G234" s="619">
        <v>77.25</v>
      </c>
      <c r="H234" s="619">
        <v>65.75</v>
      </c>
      <c r="I234" s="619">
        <v>68.349999999999994</v>
      </c>
      <c r="J234" s="599" t="str">
        <f t="shared" si="3"/>
        <v>C</v>
      </c>
    </row>
    <row r="235" spans="1:10">
      <c r="A235" s="596">
        <v>41871</v>
      </c>
      <c r="B235" s="599">
        <v>8</v>
      </c>
      <c r="C235" s="599">
        <v>20</v>
      </c>
      <c r="D235" s="619">
        <v>84.85</v>
      </c>
      <c r="E235" s="619">
        <v>86.3</v>
      </c>
      <c r="F235" s="619">
        <v>75.2</v>
      </c>
      <c r="G235" s="619">
        <v>76.849999999999994</v>
      </c>
      <c r="H235" s="619">
        <v>65.400000000000006</v>
      </c>
      <c r="I235" s="619">
        <v>67.650000000000006</v>
      </c>
      <c r="J235" s="599" t="str">
        <f t="shared" si="3"/>
        <v>C</v>
      </c>
    </row>
    <row r="236" spans="1:10">
      <c r="A236" s="596">
        <v>41872</v>
      </c>
      <c r="B236" s="599">
        <v>8</v>
      </c>
      <c r="C236" s="599">
        <v>21</v>
      </c>
      <c r="D236" s="619">
        <v>84.3</v>
      </c>
      <c r="E236" s="619">
        <v>85.7</v>
      </c>
      <c r="F236" s="619">
        <v>74.55</v>
      </c>
      <c r="G236" s="619">
        <v>76.3</v>
      </c>
      <c r="H236" s="619">
        <v>64.7</v>
      </c>
      <c r="I236" s="619">
        <v>66.75</v>
      </c>
      <c r="J236" s="599" t="str">
        <f t="shared" si="3"/>
        <v>C</v>
      </c>
    </row>
    <row r="237" spans="1:10">
      <c r="A237" s="596">
        <v>41873</v>
      </c>
      <c r="B237" s="599">
        <v>8</v>
      </c>
      <c r="C237" s="599">
        <v>22</v>
      </c>
      <c r="D237" s="619">
        <v>84.95</v>
      </c>
      <c r="E237" s="619">
        <v>87.5</v>
      </c>
      <c r="F237" s="619">
        <v>74.5</v>
      </c>
      <c r="G237" s="619">
        <v>76.5</v>
      </c>
      <c r="H237" s="619">
        <v>63.85</v>
      </c>
      <c r="I237" s="619">
        <v>65.95</v>
      </c>
      <c r="J237" s="599" t="str">
        <f t="shared" si="3"/>
        <v>C</v>
      </c>
    </row>
    <row r="238" spans="1:10">
      <c r="A238" s="596">
        <v>41874</v>
      </c>
      <c r="B238" s="599">
        <v>8</v>
      </c>
      <c r="C238" s="599">
        <v>23</v>
      </c>
      <c r="D238" s="619">
        <v>85.45</v>
      </c>
      <c r="E238" s="619">
        <v>87.3</v>
      </c>
      <c r="F238" s="619">
        <v>74.55</v>
      </c>
      <c r="G238" s="619">
        <v>76.8</v>
      </c>
      <c r="H238" s="619">
        <v>64.099999999999994</v>
      </c>
      <c r="I238" s="619">
        <v>66.3</v>
      </c>
      <c r="J238" s="599" t="str">
        <f t="shared" si="3"/>
        <v>C</v>
      </c>
    </row>
    <row r="239" spans="1:10">
      <c r="A239" s="596">
        <v>41875</v>
      </c>
      <c r="B239" s="599">
        <v>8</v>
      </c>
      <c r="C239" s="599">
        <v>24</v>
      </c>
      <c r="D239" s="619">
        <v>85.65</v>
      </c>
      <c r="E239" s="619">
        <v>87.4</v>
      </c>
      <c r="F239" s="619">
        <v>75.099999999999994</v>
      </c>
      <c r="G239" s="619">
        <v>77.25</v>
      </c>
      <c r="H239" s="619">
        <v>64.900000000000006</v>
      </c>
      <c r="I239" s="619">
        <v>66.8</v>
      </c>
      <c r="J239" s="599" t="str">
        <f t="shared" si="3"/>
        <v>C</v>
      </c>
    </row>
    <row r="240" spans="1:10">
      <c r="A240" s="596">
        <v>41876</v>
      </c>
      <c r="B240" s="599">
        <v>8</v>
      </c>
      <c r="C240" s="599">
        <v>25</v>
      </c>
      <c r="D240" s="619">
        <v>86.55</v>
      </c>
      <c r="E240" s="619">
        <v>88</v>
      </c>
      <c r="F240" s="619">
        <v>76.05</v>
      </c>
      <c r="G240" s="619">
        <v>77.75</v>
      </c>
      <c r="H240" s="619">
        <v>65.5</v>
      </c>
      <c r="I240" s="619">
        <v>67.55</v>
      </c>
      <c r="J240" s="599" t="str">
        <f t="shared" si="3"/>
        <v>C</v>
      </c>
    </row>
    <row r="241" spans="1:10">
      <c r="A241" s="596">
        <v>41877</v>
      </c>
      <c r="B241" s="599">
        <v>8</v>
      </c>
      <c r="C241" s="599">
        <v>26</v>
      </c>
      <c r="D241" s="619">
        <v>85.55</v>
      </c>
      <c r="E241" s="619">
        <v>87.2</v>
      </c>
      <c r="F241" s="619">
        <v>76</v>
      </c>
      <c r="G241" s="619">
        <v>77.650000000000006</v>
      </c>
      <c r="H241" s="619">
        <v>66.45</v>
      </c>
      <c r="I241" s="619">
        <v>68.150000000000006</v>
      </c>
      <c r="J241" s="599" t="str">
        <f t="shared" si="3"/>
        <v>C</v>
      </c>
    </row>
    <row r="242" spans="1:10">
      <c r="A242" s="596">
        <v>41878</v>
      </c>
      <c r="B242" s="599">
        <v>8</v>
      </c>
      <c r="C242" s="599">
        <v>27</v>
      </c>
      <c r="D242" s="619">
        <v>85.7</v>
      </c>
      <c r="E242" s="619">
        <v>87.9</v>
      </c>
      <c r="F242" s="619">
        <v>76.2</v>
      </c>
      <c r="G242" s="619">
        <v>78.150000000000006</v>
      </c>
      <c r="H242" s="619">
        <v>66.900000000000006</v>
      </c>
      <c r="I242" s="619">
        <v>68.5</v>
      </c>
      <c r="J242" s="599" t="str">
        <f t="shared" si="3"/>
        <v>C</v>
      </c>
    </row>
    <row r="243" spans="1:10">
      <c r="A243" s="596">
        <v>41879</v>
      </c>
      <c r="B243" s="599">
        <v>8</v>
      </c>
      <c r="C243" s="599">
        <v>28</v>
      </c>
      <c r="D243" s="619">
        <v>85.8</v>
      </c>
      <c r="E243" s="619">
        <v>88.25</v>
      </c>
      <c r="F243" s="619">
        <v>75.95</v>
      </c>
      <c r="G243" s="619">
        <v>78.099999999999994</v>
      </c>
      <c r="H243" s="619">
        <v>66.3</v>
      </c>
      <c r="I243" s="619">
        <v>68.349999999999994</v>
      </c>
      <c r="J243" s="599" t="str">
        <f t="shared" si="3"/>
        <v>C</v>
      </c>
    </row>
    <row r="244" spans="1:10">
      <c r="A244" s="596">
        <v>41880</v>
      </c>
      <c r="B244" s="599">
        <v>8</v>
      </c>
      <c r="C244" s="599">
        <v>29</v>
      </c>
      <c r="D244" s="619">
        <v>84.4</v>
      </c>
      <c r="E244" s="619">
        <v>86.5</v>
      </c>
      <c r="F244" s="619">
        <v>74.849999999999994</v>
      </c>
      <c r="G244" s="619">
        <v>76.95</v>
      </c>
      <c r="H244" s="619">
        <v>65.45</v>
      </c>
      <c r="I244" s="619">
        <v>67.650000000000006</v>
      </c>
      <c r="J244" s="599" t="str">
        <f t="shared" si="3"/>
        <v>C</v>
      </c>
    </row>
    <row r="245" spans="1:10">
      <c r="A245" s="596">
        <v>41881</v>
      </c>
      <c r="B245" s="599">
        <v>8</v>
      </c>
      <c r="C245" s="599">
        <v>30</v>
      </c>
      <c r="D245" s="619">
        <v>83.75</v>
      </c>
      <c r="E245" s="619">
        <v>84.25</v>
      </c>
      <c r="F245" s="619">
        <v>73.75</v>
      </c>
      <c r="G245" s="619">
        <v>74.900000000000006</v>
      </c>
      <c r="H245" s="619">
        <v>63.75</v>
      </c>
      <c r="I245" s="619">
        <v>65.55</v>
      </c>
      <c r="J245" s="599" t="str">
        <f t="shared" si="3"/>
        <v>C</v>
      </c>
    </row>
    <row r="246" spans="1:10">
      <c r="A246" s="596">
        <v>41882</v>
      </c>
      <c r="B246" s="599">
        <v>8</v>
      </c>
      <c r="C246" s="599">
        <v>31</v>
      </c>
      <c r="D246" s="619">
        <v>84.1</v>
      </c>
      <c r="E246" s="619">
        <v>85.4</v>
      </c>
      <c r="F246" s="619">
        <v>74.5</v>
      </c>
      <c r="G246" s="619">
        <v>75.599999999999994</v>
      </c>
      <c r="H246" s="619">
        <v>64.5</v>
      </c>
      <c r="I246" s="619">
        <v>66</v>
      </c>
      <c r="J246" s="599" t="str">
        <f t="shared" si="3"/>
        <v>C</v>
      </c>
    </row>
    <row r="247" spans="1:10">
      <c r="A247" s="596">
        <v>41883</v>
      </c>
      <c r="B247" s="599">
        <v>9</v>
      </c>
      <c r="C247" s="599">
        <v>1</v>
      </c>
      <c r="D247" s="619">
        <v>83.8</v>
      </c>
      <c r="E247" s="619">
        <v>85.75</v>
      </c>
      <c r="F247" s="619">
        <v>73.25</v>
      </c>
      <c r="G247" s="619">
        <v>75.150000000000006</v>
      </c>
      <c r="H247" s="619">
        <v>63.05</v>
      </c>
      <c r="I247" s="619">
        <v>64.650000000000006</v>
      </c>
      <c r="J247" s="599" t="str">
        <f t="shared" si="3"/>
        <v>C</v>
      </c>
    </row>
    <row r="248" spans="1:10">
      <c r="A248" s="596">
        <v>41884</v>
      </c>
      <c r="B248" s="599">
        <v>9</v>
      </c>
      <c r="C248" s="599">
        <v>2</v>
      </c>
      <c r="D248" s="619">
        <v>83.6</v>
      </c>
      <c r="E248" s="619">
        <v>84.85</v>
      </c>
      <c r="F248" s="619">
        <v>73.7</v>
      </c>
      <c r="G248" s="619">
        <v>75.349999999999994</v>
      </c>
      <c r="H248" s="619">
        <v>63.95</v>
      </c>
      <c r="I248" s="619">
        <v>65.849999999999994</v>
      </c>
      <c r="J248" s="599" t="str">
        <f t="shared" si="3"/>
        <v>C</v>
      </c>
    </row>
    <row r="249" spans="1:10">
      <c r="A249" s="596">
        <v>41885</v>
      </c>
      <c r="B249" s="599">
        <v>9</v>
      </c>
      <c r="C249" s="599">
        <v>3</v>
      </c>
      <c r="D249" s="619">
        <v>82.8</v>
      </c>
      <c r="E249" s="619">
        <v>84.5</v>
      </c>
      <c r="F249" s="619">
        <v>73.25</v>
      </c>
      <c r="G249" s="619">
        <v>75.3</v>
      </c>
      <c r="H249" s="619">
        <v>63.6</v>
      </c>
      <c r="I249" s="619">
        <v>66.3</v>
      </c>
      <c r="J249" s="599" t="str">
        <f t="shared" si="3"/>
        <v>C</v>
      </c>
    </row>
    <row r="250" spans="1:10">
      <c r="A250" s="596">
        <v>41886</v>
      </c>
      <c r="B250" s="599">
        <v>9</v>
      </c>
      <c r="C250" s="599">
        <v>4</v>
      </c>
      <c r="D250" s="619">
        <v>82.4</v>
      </c>
      <c r="E250" s="619">
        <v>83.8</v>
      </c>
      <c r="F250" s="619">
        <v>71.75</v>
      </c>
      <c r="G250" s="619">
        <v>74.150000000000006</v>
      </c>
      <c r="H250" s="619">
        <v>61.2</v>
      </c>
      <c r="I250" s="619">
        <v>64.2</v>
      </c>
      <c r="J250" s="599" t="str">
        <f t="shared" si="3"/>
        <v>C</v>
      </c>
    </row>
    <row r="251" spans="1:10">
      <c r="A251" s="596">
        <v>41887</v>
      </c>
      <c r="B251" s="599">
        <v>9</v>
      </c>
      <c r="C251" s="599">
        <v>5</v>
      </c>
      <c r="D251" s="619">
        <v>82.3</v>
      </c>
      <c r="E251" s="619">
        <v>84.2</v>
      </c>
      <c r="F251" s="619">
        <v>71.45</v>
      </c>
      <c r="G251" s="619">
        <v>73.400000000000006</v>
      </c>
      <c r="H251" s="619">
        <v>60.8</v>
      </c>
      <c r="I251" s="619">
        <v>62.55</v>
      </c>
      <c r="J251" s="599" t="str">
        <f t="shared" si="3"/>
        <v>C</v>
      </c>
    </row>
    <row r="252" spans="1:10">
      <c r="A252" s="596">
        <v>41888</v>
      </c>
      <c r="B252" s="599">
        <v>9</v>
      </c>
      <c r="C252" s="599">
        <v>6</v>
      </c>
      <c r="D252" s="619">
        <v>83</v>
      </c>
      <c r="E252" s="619">
        <v>85.2</v>
      </c>
      <c r="F252" s="619">
        <v>72.099999999999994</v>
      </c>
      <c r="G252" s="619">
        <v>74.3</v>
      </c>
      <c r="H252" s="619">
        <v>61.2</v>
      </c>
      <c r="I252" s="619">
        <v>63.3</v>
      </c>
      <c r="J252" s="599" t="str">
        <f t="shared" si="3"/>
        <v>C</v>
      </c>
    </row>
    <row r="253" spans="1:10">
      <c r="A253" s="596">
        <v>41889</v>
      </c>
      <c r="B253" s="599">
        <v>9</v>
      </c>
      <c r="C253" s="599">
        <v>7</v>
      </c>
      <c r="D253" s="619">
        <v>82.8</v>
      </c>
      <c r="E253" s="619">
        <v>83.3</v>
      </c>
      <c r="F253" s="619">
        <v>72.650000000000006</v>
      </c>
      <c r="G253" s="619">
        <v>73.599999999999994</v>
      </c>
      <c r="H253" s="619">
        <v>62.55</v>
      </c>
      <c r="I253" s="619">
        <v>64.400000000000006</v>
      </c>
      <c r="J253" s="599" t="str">
        <f t="shared" si="3"/>
        <v>C</v>
      </c>
    </row>
    <row r="254" spans="1:10">
      <c r="A254" s="596">
        <v>41890</v>
      </c>
      <c r="B254" s="599">
        <v>9</v>
      </c>
      <c r="C254" s="599">
        <v>8</v>
      </c>
      <c r="D254" s="619">
        <v>81.599999999999994</v>
      </c>
      <c r="E254" s="619">
        <v>82.4</v>
      </c>
      <c r="F254" s="619">
        <v>71.400000000000006</v>
      </c>
      <c r="G254" s="619">
        <v>72.8</v>
      </c>
      <c r="H254" s="619">
        <v>61.5</v>
      </c>
      <c r="I254" s="619">
        <v>63.55</v>
      </c>
      <c r="J254" s="599" t="str">
        <f t="shared" si="3"/>
        <v>C</v>
      </c>
    </row>
    <row r="255" spans="1:10">
      <c r="A255" s="596">
        <v>41891</v>
      </c>
      <c r="B255" s="599">
        <v>9</v>
      </c>
      <c r="C255" s="599">
        <v>9</v>
      </c>
      <c r="D255" s="619">
        <v>79.84210526315789</v>
      </c>
      <c r="E255" s="619">
        <v>81.05</v>
      </c>
      <c r="F255" s="619">
        <v>70.526315789473685</v>
      </c>
      <c r="G255" s="619">
        <v>71.900000000000006</v>
      </c>
      <c r="H255" s="619">
        <v>61.157894736842103</v>
      </c>
      <c r="I255" s="619">
        <v>62.85</v>
      </c>
      <c r="J255" s="599" t="str">
        <f t="shared" si="3"/>
        <v>C</v>
      </c>
    </row>
    <row r="256" spans="1:10">
      <c r="A256" s="596">
        <v>41892</v>
      </c>
      <c r="B256" s="599">
        <v>9</v>
      </c>
      <c r="C256" s="599">
        <v>10</v>
      </c>
      <c r="D256" s="619">
        <v>79.400000000000006</v>
      </c>
      <c r="E256" s="619">
        <v>81.150000000000006</v>
      </c>
      <c r="F256" s="619">
        <v>69.5</v>
      </c>
      <c r="G256" s="619">
        <v>71</v>
      </c>
      <c r="H256" s="619">
        <v>59.35</v>
      </c>
      <c r="I256" s="619">
        <v>60.65</v>
      </c>
      <c r="J256" s="599" t="str">
        <f t="shared" si="3"/>
        <v>C</v>
      </c>
    </row>
    <row r="257" spans="1:10">
      <c r="A257" s="596">
        <v>41893</v>
      </c>
      <c r="B257" s="599">
        <v>9</v>
      </c>
      <c r="C257" s="599">
        <v>11</v>
      </c>
      <c r="D257" s="619">
        <v>80.5</v>
      </c>
      <c r="E257" s="619">
        <v>81.75</v>
      </c>
      <c r="F257" s="619">
        <v>69.05</v>
      </c>
      <c r="G257" s="619">
        <v>70.45</v>
      </c>
      <c r="H257" s="619">
        <v>57.6</v>
      </c>
      <c r="I257" s="619">
        <v>59.05</v>
      </c>
      <c r="J257" s="599" t="str">
        <f t="shared" si="3"/>
        <v>C</v>
      </c>
    </row>
    <row r="258" spans="1:10">
      <c r="A258" s="596">
        <v>41894</v>
      </c>
      <c r="B258" s="599">
        <v>9</v>
      </c>
      <c r="C258" s="599">
        <v>12</v>
      </c>
      <c r="D258" s="619">
        <v>81.55</v>
      </c>
      <c r="E258" s="619">
        <v>83.3</v>
      </c>
      <c r="F258" s="619">
        <v>70.150000000000006</v>
      </c>
      <c r="G258" s="619">
        <v>71.55</v>
      </c>
      <c r="H258" s="619">
        <v>58.7</v>
      </c>
      <c r="I258" s="619">
        <v>59.8</v>
      </c>
      <c r="J258" s="599" t="str">
        <f t="shared" si="3"/>
        <v>C</v>
      </c>
    </row>
    <row r="259" spans="1:10">
      <c r="A259" s="596">
        <v>41895</v>
      </c>
      <c r="B259" s="599">
        <v>9</v>
      </c>
      <c r="C259" s="599">
        <v>13</v>
      </c>
      <c r="D259" s="619">
        <v>82</v>
      </c>
      <c r="E259" s="619">
        <v>83.8</v>
      </c>
      <c r="F259" s="619">
        <v>70.55</v>
      </c>
      <c r="G259" s="619">
        <v>72.2</v>
      </c>
      <c r="H259" s="619">
        <v>59.35</v>
      </c>
      <c r="I259" s="619">
        <v>60.5</v>
      </c>
      <c r="J259" s="599" t="str">
        <f t="shared" si="3"/>
        <v>C</v>
      </c>
    </row>
    <row r="260" spans="1:10">
      <c r="A260" s="596">
        <v>41896</v>
      </c>
      <c r="B260" s="599">
        <v>9</v>
      </c>
      <c r="C260" s="599">
        <v>14</v>
      </c>
      <c r="D260" s="619">
        <v>81.099999999999994</v>
      </c>
      <c r="E260" s="619">
        <v>83.1</v>
      </c>
      <c r="F260" s="619">
        <v>70.900000000000006</v>
      </c>
      <c r="G260" s="619">
        <v>72.95</v>
      </c>
      <c r="H260" s="619">
        <v>60.55</v>
      </c>
      <c r="I260" s="619">
        <v>62.8</v>
      </c>
      <c r="J260" s="599" t="str">
        <f t="shared" si="3"/>
        <v>C</v>
      </c>
    </row>
    <row r="261" spans="1:10">
      <c r="A261" s="596">
        <v>41897</v>
      </c>
      <c r="B261" s="599">
        <v>9</v>
      </c>
      <c r="C261" s="599">
        <v>15</v>
      </c>
      <c r="D261" s="619">
        <v>78.25</v>
      </c>
      <c r="E261" s="619">
        <v>80.05</v>
      </c>
      <c r="F261" s="619">
        <v>68</v>
      </c>
      <c r="G261" s="619">
        <v>69.7</v>
      </c>
      <c r="H261" s="619">
        <v>58</v>
      </c>
      <c r="I261" s="619">
        <v>59.05</v>
      </c>
      <c r="J261" s="599" t="str">
        <f t="shared" ref="J261:J324" si="4">IF(OR(B261&lt;=4,B261&gt;=11),"H","C")</f>
        <v>C</v>
      </c>
    </row>
    <row r="262" spans="1:10">
      <c r="A262" s="596">
        <v>41898</v>
      </c>
      <c r="B262" s="599">
        <v>9</v>
      </c>
      <c r="C262" s="599">
        <v>16</v>
      </c>
      <c r="D262" s="619">
        <v>77.400000000000006</v>
      </c>
      <c r="E262" s="619">
        <v>79.599999999999994</v>
      </c>
      <c r="F262" s="619">
        <v>67.650000000000006</v>
      </c>
      <c r="G262" s="619">
        <v>70.2</v>
      </c>
      <c r="H262" s="619">
        <v>58</v>
      </c>
      <c r="I262" s="619">
        <v>61.05</v>
      </c>
      <c r="J262" s="599" t="str">
        <f t="shared" si="4"/>
        <v>C</v>
      </c>
    </row>
    <row r="263" spans="1:10">
      <c r="A263" s="596">
        <v>41899</v>
      </c>
      <c r="B263" s="599">
        <v>9</v>
      </c>
      <c r="C263" s="599">
        <v>17</v>
      </c>
      <c r="D263" s="619">
        <v>76.400000000000006</v>
      </c>
      <c r="E263" s="619">
        <v>78.650000000000006</v>
      </c>
      <c r="F263" s="619">
        <v>66.900000000000006</v>
      </c>
      <c r="G263" s="619">
        <v>69.75</v>
      </c>
      <c r="H263" s="619">
        <v>57.25</v>
      </c>
      <c r="I263" s="619">
        <v>60.7</v>
      </c>
      <c r="J263" s="599" t="str">
        <f t="shared" si="4"/>
        <v>C</v>
      </c>
    </row>
    <row r="264" spans="1:10">
      <c r="A264" s="596">
        <v>41900</v>
      </c>
      <c r="B264" s="599">
        <v>9</v>
      </c>
      <c r="C264" s="599">
        <v>18</v>
      </c>
      <c r="D264" s="619">
        <v>77.900000000000006</v>
      </c>
      <c r="E264" s="619">
        <v>80.05</v>
      </c>
      <c r="F264" s="619">
        <v>67.099999999999994</v>
      </c>
      <c r="G264" s="619">
        <v>69.05</v>
      </c>
      <c r="H264" s="619">
        <v>56.65</v>
      </c>
      <c r="I264" s="619">
        <v>58.45</v>
      </c>
      <c r="J264" s="599" t="str">
        <f t="shared" si="4"/>
        <v>C</v>
      </c>
    </row>
    <row r="265" spans="1:10">
      <c r="A265" s="596">
        <v>41901</v>
      </c>
      <c r="B265" s="599">
        <v>9</v>
      </c>
      <c r="C265" s="599">
        <v>19</v>
      </c>
      <c r="D265" s="619">
        <v>78.599999999999994</v>
      </c>
      <c r="E265" s="619">
        <v>79.8</v>
      </c>
      <c r="F265" s="619">
        <v>67.2</v>
      </c>
      <c r="G265" s="619">
        <v>68.75</v>
      </c>
      <c r="H265" s="619">
        <v>56.05</v>
      </c>
      <c r="I265" s="619">
        <v>57.55</v>
      </c>
      <c r="J265" s="599" t="str">
        <f t="shared" si="4"/>
        <v>C</v>
      </c>
    </row>
    <row r="266" spans="1:10">
      <c r="A266" s="596">
        <v>41902</v>
      </c>
      <c r="B266" s="599">
        <v>9</v>
      </c>
      <c r="C266" s="599">
        <v>20</v>
      </c>
      <c r="D266" s="619">
        <v>77.3</v>
      </c>
      <c r="E266" s="619">
        <v>79.25</v>
      </c>
      <c r="F266" s="619">
        <v>66.900000000000006</v>
      </c>
      <c r="G266" s="619">
        <v>68.95</v>
      </c>
      <c r="H266" s="619">
        <v>56.7</v>
      </c>
      <c r="I266" s="619">
        <v>58.6</v>
      </c>
      <c r="J266" s="599" t="str">
        <f t="shared" si="4"/>
        <v>C</v>
      </c>
    </row>
    <row r="267" spans="1:10">
      <c r="A267" s="596">
        <v>41903</v>
      </c>
      <c r="B267" s="599">
        <v>9</v>
      </c>
      <c r="C267" s="599">
        <v>21</v>
      </c>
      <c r="D267" s="619">
        <v>77.900000000000006</v>
      </c>
      <c r="E267" s="619">
        <v>79.2</v>
      </c>
      <c r="F267" s="619">
        <v>68.05</v>
      </c>
      <c r="G267" s="619">
        <v>69.400000000000006</v>
      </c>
      <c r="H267" s="619">
        <v>58.15</v>
      </c>
      <c r="I267" s="619">
        <v>59.3</v>
      </c>
      <c r="J267" s="599" t="str">
        <f t="shared" si="4"/>
        <v>C</v>
      </c>
    </row>
    <row r="268" spans="1:10">
      <c r="A268" s="596">
        <v>41904</v>
      </c>
      <c r="B268" s="599">
        <v>9</v>
      </c>
      <c r="C268" s="599">
        <v>22</v>
      </c>
      <c r="D268" s="619">
        <v>77.8</v>
      </c>
      <c r="E268" s="619">
        <v>79</v>
      </c>
      <c r="F268" s="619">
        <v>67.150000000000006</v>
      </c>
      <c r="G268" s="619">
        <v>68.349999999999994</v>
      </c>
      <c r="H268" s="619">
        <v>56.2</v>
      </c>
      <c r="I268" s="619">
        <v>57.35</v>
      </c>
      <c r="J268" s="599" t="str">
        <f t="shared" si="4"/>
        <v>C</v>
      </c>
    </row>
    <row r="269" spans="1:10">
      <c r="A269" s="596">
        <v>41905</v>
      </c>
      <c r="B269" s="599">
        <v>9</v>
      </c>
      <c r="C269" s="599">
        <v>23</v>
      </c>
      <c r="D269" s="619">
        <v>74.849999999999994</v>
      </c>
      <c r="E269" s="619">
        <v>76.900000000000006</v>
      </c>
      <c r="F269" s="619">
        <v>65.25</v>
      </c>
      <c r="G269" s="619">
        <v>66.599999999999994</v>
      </c>
      <c r="H269" s="619">
        <v>55.5</v>
      </c>
      <c r="I269" s="619">
        <v>56.65</v>
      </c>
      <c r="J269" s="599" t="str">
        <f t="shared" si="4"/>
        <v>C</v>
      </c>
    </row>
    <row r="270" spans="1:10">
      <c r="A270" s="596">
        <v>41906</v>
      </c>
      <c r="B270" s="599">
        <v>9</v>
      </c>
      <c r="C270" s="599">
        <v>24</v>
      </c>
      <c r="D270" s="619">
        <v>75.95</v>
      </c>
      <c r="E270" s="619">
        <v>77.099999999999994</v>
      </c>
      <c r="F270" s="619">
        <v>65.3</v>
      </c>
      <c r="G270" s="619">
        <v>66.650000000000006</v>
      </c>
      <c r="H270" s="619">
        <v>54.8</v>
      </c>
      <c r="I270" s="619">
        <v>55.95</v>
      </c>
      <c r="J270" s="599" t="str">
        <f t="shared" si="4"/>
        <v>C</v>
      </c>
    </row>
    <row r="271" spans="1:10">
      <c r="A271" s="596">
        <v>41907</v>
      </c>
      <c r="B271" s="599">
        <v>9</v>
      </c>
      <c r="C271" s="599">
        <v>25</v>
      </c>
      <c r="D271" s="619">
        <v>74.400000000000006</v>
      </c>
      <c r="E271" s="619">
        <v>76</v>
      </c>
      <c r="F271" s="619">
        <v>65.349999999999994</v>
      </c>
      <c r="G271" s="619">
        <v>66.7</v>
      </c>
      <c r="H271" s="619">
        <v>56.25</v>
      </c>
      <c r="I271" s="619">
        <v>57.5</v>
      </c>
      <c r="J271" s="599" t="str">
        <f t="shared" si="4"/>
        <v>C</v>
      </c>
    </row>
    <row r="272" spans="1:10">
      <c r="A272" s="596">
        <v>41908</v>
      </c>
      <c r="B272" s="599">
        <v>9</v>
      </c>
      <c r="C272" s="599">
        <v>26</v>
      </c>
      <c r="D272" s="619">
        <v>75.05</v>
      </c>
      <c r="E272" s="619">
        <v>75.75</v>
      </c>
      <c r="F272" s="619">
        <v>65.2</v>
      </c>
      <c r="G272" s="619">
        <v>66.400000000000006</v>
      </c>
      <c r="H272" s="619">
        <v>55.35</v>
      </c>
      <c r="I272" s="619">
        <v>57</v>
      </c>
      <c r="J272" s="599" t="str">
        <f t="shared" si="4"/>
        <v>C</v>
      </c>
    </row>
    <row r="273" spans="1:10">
      <c r="A273" s="596">
        <v>41909</v>
      </c>
      <c r="B273" s="599">
        <v>9</v>
      </c>
      <c r="C273" s="599">
        <v>27</v>
      </c>
      <c r="D273" s="619">
        <v>72.849999999999994</v>
      </c>
      <c r="E273" s="619">
        <v>75.349999999999994</v>
      </c>
      <c r="F273" s="619">
        <v>64.650000000000006</v>
      </c>
      <c r="G273" s="619">
        <v>66.3</v>
      </c>
      <c r="H273" s="619">
        <v>56.3</v>
      </c>
      <c r="I273" s="619">
        <v>56.95</v>
      </c>
      <c r="J273" s="599" t="str">
        <f t="shared" si="4"/>
        <v>C</v>
      </c>
    </row>
    <row r="274" spans="1:10">
      <c r="A274" s="596">
        <v>41910</v>
      </c>
      <c r="B274" s="599">
        <v>9</v>
      </c>
      <c r="C274" s="599">
        <v>28</v>
      </c>
      <c r="D274" s="619">
        <v>73.3</v>
      </c>
      <c r="E274" s="619">
        <v>75.5</v>
      </c>
      <c r="F274" s="619">
        <v>63.05</v>
      </c>
      <c r="G274" s="619">
        <v>64.45</v>
      </c>
      <c r="H274" s="619">
        <v>52.4</v>
      </c>
      <c r="I274" s="619">
        <v>53.7</v>
      </c>
      <c r="J274" s="599" t="str">
        <f t="shared" si="4"/>
        <v>C</v>
      </c>
    </row>
    <row r="275" spans="1:10">
      <c r="A275" s="596">
        <v>41911</v>
      </c>
      <c r="B275" s="599">
        <v>9</v>
      </c>
      <c r="C275" s="599">
        <v>29</v>
      </c>
      <c r="D275" s="619">
        <v>71.400000000000006</v>
      </c>
      <c r="E275" s="619">
        <v>73.2</v>
      </c>
      <c r="F275" s="619">
        <v>59.5</v>
      </c>
      <c r="G275" s="619">
        <v>61.4</v>
      </c>
      <c r="H275" s="619">
        <v>47.7</v>
      </c>
      <c r="I275" s="619">
        <v>49.9</v>
      </c>
      <c r="J275" s="599" t="str">
        <f t="shared" si="4"/>
        <v>C</v>
      </c>
    </row>
    <row r="276" spans="1:10">
      <c r="A276" s="596">
        <v>41912</v>
      </c>
      <c r="B276" s="599">
        <v>9</v>
      </c>
      <c r="C276" s="599">
        <v>30</v>
      </c>
      <c r="D276" s="619">
        <v>71.900000000000006</v>
      </c>
      <c r="E276" s="619">
        <v>73.849999999999994</v>
      </c>
      <c r="F276" s="619">
        <v>60.25</v>
      </c>
      <c r="G276" s="619">
        <v>61.65</v>
      </c>
      <c r="H276" s="619">
        <v>48.7</v>
      </c>
      <c r="I276" s="619">
        <v>49.8</v>
      </c>
      <c r="J276" s="599" t="str">
        <f t="shared" si="4"/>
        <v>C</v>
      </c>
    </row>
    <row r="277" spans="1:10">
      <c r="A277" s="596">
        <v>41913</v>
      </c>
      <c r="B277" s="599">
        <v>10</v>
      </c>
      <c r="C277" s="599">
        <v>1</v>
      </c>
      <c r="D277" s="619">
        <v>71.599999999999994</v>
      </c>
      <c r="E277" s="619">
        <v>73.599999999999994</v>
      </c>
      <c r="F277" s="619">
        <v>60.55</v>
      </c>
      <c r="G277" s="619">
        <v>62.35</v>
      </c>
      <c r="H277" s="619">
        <v>49.7</v>
      </c>
      <c r="I277" s="619">
        <v>51.1</v>
      </c>
      <c r="J277" s="599" t="str">
        <f t="shared" si="4"/>
        <v>C</v>
      </c>
    </row>
    <row r="278" spans="1:10">
      <c r="A278" s="596">
        <v>41914</v>
      </c>
      <c r="B278" s="599">
        <v>10</v>
      </c>
      <c r="C278" s="599">
        <v>2</v>
      </c>
      <c r="D278" s="619">
        <v>72.8</v>
      </c>
      <c r="E278" s="619">
        <v>73.900000000000006</v>
      </c>
      <c r="F278" s="619">
        <v>61.8</v>
      </c>
      <c r="G278" s="619">
        <v>62.75</v>
      </c>
      <c r="H278" s="619">
        <v>50.65</v>
      </c>
      <c r="I278" s="619">
        <v>51.5</v>
      </c>
      <c r="J278" s="599" t="str">
        <f t="shared" si="4"/>
        <v>C</v>
      </c>
    </row>
    <row r="279" spans="1:10">
      <c r="A279" s="596">
        <v>41915</v>
      </c>
      <c r="B279" s="599">
        <v>10</v>
      </c>
      <c r="C279" s="599">
        <v>3</v>
      </c>
      <c r="D279" s="619">
        <v>72</v>
      </c>
      <c r="E279" s="619">
        <v>73.349999999999994</v>
      </c>
      <c r="F279" s="619">
        <v>61.25</v>
      </c>
      <c r="G279" s="619">
        <v>62.45</v>
      </c>
      <c r="H279" s="619">
        <v>50.5</v>
      </c>
      <c r="I279" s="619">
        <v>51.75</v>
      </c>
      <c r="J279" s="599" t="str">
        <f t="shared" si="4"/>
        <v>C</v>
      </c>
    </row>
    <row r="280" spans="1:10">
      <c r="A280" s="596">
        <v>41916</v>
      </c>
      <c r="B280" s="599">
        <v>10</v>
      </c>
      <c r="C280" s="599">
        <v>4</v>
      </c>
      <c r="D280" s="619">
        <v>72.55</v>
      </c>
      <c r="E280" s="619">
        <v>73.900000000000006</v>
      </c>
      <c r="F280" s="619">
        <v>62.15</v>
      </c>
      <c r="G280" s="619">
        <v>63.2</v>
      </c>
      <c r="H280" s="619">
        <v>51.95</v>
      </c>
      <c r="I280" s="619">
        <v>52.8</v>
      </c>
      <c r="J280" s="599" t="str">
        <f t="shared" si="4"/>
        <v>C</v>
      </c>
    </row>
    <row r="281" spans="1:10">
      <c r="A281" s="596">
        <v>41917</v>
      </c>
      <c r="B281" s="599">
        <v>10</v>
      </c>
      <c r="C281" s="599">
        <v>5</v>
      </c>
      <c r="D281" s="619">
        <v>73</v>
      </c>
      <c r="E281" s="619">
        <v>74.849999999999994</v>
      </c>
      <c r="F281" s="619">
        <v>61.75</v>
      </c>
      <c r="G281" s="619">
        <v>62.8</v>
      </c>
      <c r="H281" s="619">
        <v>50.55</v>
      </c>
      <c r="I281" s="619">
        <v>50.95</v>
      </c>
      <c r="J281" s="599" t="str">
        <f t="shared" si="4"/>
        <v>C</v>
      </c>
    </row>
    <row r="282" spans="1:10">
      <c r="A282" s="596">
        <v>41918</v>
      </c>
      <c r="B282" s="599">
        <v>10</v>
      </c>
      <c r="C282" s="599">
        <v>6</v>
      </c>
      <c r="D282" s="619">
        <v>73.55</v>
      </c>
      <c r="E282" s="619">
        <v>75.5</v>
      </c>
      <c r="F282" s="619">
        <v>61.45</v>
      </c>
      <c r="G282" s="619">
        <v>62.55</v>
      </c>
      <c r="H282" s="619">
        <v>48.9</v>
      </c>
      <c r="I282" s="619">
        <v>50.2</v>
      </c>
      <c r="J282" s="599" t="str">
        <f t="shared" si="4"/>
        <v>C</v>
      </c>
    </row>
    <row r="283" spans="1:10">
      <c r="A283" s="596">
        <v>41919</v>
      </c>
      <c r="B283" s="599">
        <v>10</v>
      </c>
      <c r="C283" s="599">
        <v>7</v>
      </c>
      <c r="D283" s="619">
        <v>72.75</v>
      </c>
      <c r="E283" s="619">
        <v>75.150000000000006</v>
      </c>
      <c r="F283" s="619">
        <v>61.3</v>
      </c>
      <c r="G283" s="619">
        <v>62.8</v>
      </c>
      <c r="H283" s="619">
        <v>49.65</v>
      </c>
      <c r="I283" s="619">
        <v>50.25</v>
      </c>
      <c r="J283" s="599" t="str">
        <f t="shared" si="4"/>
        <v>C</v>
      </c>
    </row>
    <row r="284" spans="1:10">
      <c r="A284" s="596">
        <v>41920</v>
      </c>
      <c r="B284" s="599">
        <v>10</v>
      </c>
      <c r="C284" s="599">
        <v>8</v>
      </c>
      <c r="D284" s="619">
        <v>72.3</v>
      </c>
      <c r="E284" s="619">
        <v>73.55</v>
      </c>
      <c r="F284" s="619">
        <v>61.15</v>
      </c>
      <c r="G284" s="619">
        <v>62.45</v>
      </c>
      <c r="H284" s="619">
        <v>50.35</v>
      </c>
      <c r="I284" s="619">
        <v>51.25</v>
      </c>
      <c r="J284" s="599" t="str">
        <f t="shared" si="4"/>
        <v>C</v>
      </c>
    </row>
    <row r="285" spans="1:10">
      <c r="A285" s="596">
        <v>41921</v>
      </c>
      <c r="B285" s="599">
        <v>10</v>
      </c>
      <c r="C285" s="599">
        <v>9</v>
      </c>
      <c r="D285" s="619">
        <v>70.25</v>
      </c>
      <c r="E285" s="619">
        <v>71.7</v>
      </c>
      <c r="F285" s="619">
        <v>60.25</v>
      </c>
      <c r="G285" s="619">
        <v>61.55</v>
      </c>
      <c r="H285" s="619">
        <v>50.55</v>
      </c>
      <c r="I285" s="619">
        <v>51.25</v>
      </c>
      <c r="J285" s="599" t="str">
        <f t="shared" si="4"/>
        <v>C</v>
      </c>
    </row>
    <row r="286" spans="1:10">
      <c r="A286" s="596">
        <v>41922</v>
      </c>
      <c r="B286" s="599">
        <v>10</v>
      </c>
      <c r="C286" s="599">
        <v>10</v>
      </c>
      <c r="D286" s="619">
        <v>68.75</v>
      </c>
      <c r="E286" s="619">
        <v>70</v>
      </c>
      <c r="F286" s="619">
        <v>59.5</v>
      </c>
      <c r="G286" s="619">
        <v>60.5</v>
      </c>
      <c r="H286" s="619">
        <v>50</v>
      </c>
      <c r="I286" s="619">
        <v>51</v>
      </c>
      <c r="J286" s="599" t="str">
        <f t="shared" si="4"/>
        <v>C</v>
      </c>
    </row>
    <row r="287" spans="1:10">
      <c r="A287" s="596">
        <v>41923</v>
      </c>
      <c r="B287" s="599">
        <v>10</v>
      </c>
      <c r="C287" s="599">
        <v>11</v>
      </c>
      <c r="D287" s="619">
        <v>68.900000000000006</v>
      </c>
      <c r="E287" s="619">
        <v>71.5</v>
      </c>
      <c r="F287" s="619">
        <v>58.55</v>
      </c>
      <c r="G287" s="619">
        <v>60.8</v>
      </c>
      <c r="H287" s="619">
        <v>48.25</v>
      </c>
      <c r="I287" s="619">
        <v>49.85</v>
      </c>
      <c r="J287" s="599" t="str">
        <f t="shared" si="4"/>
        <v>C</v>
      </c>
    </row>
    <row r="288" spans="1:10">
      <c r="A288" s="596">
        <v>41924</v>
      </c>
      <c r="B288" s="599">
        <v>10</v>
      </c>
      <c r="C288" s="599">
        <v>12</v>
      </c>
      <c r="D288" s="619">
        <v>70.3</v>
      </c>
      <c r="E288" s="619">
        <v>71.95</v>
      </c>
      <c r="F288" s="619">
        <v>59.7</v>
      </c>
      <c r="G288" s="619">
        <v>61.1</v>
      </c>
      <c r="H288" s="619">
        <v>48.9</v>
      </c>
      <c r="I288" s="619">
        <v>50.1</v>
      </c>
      <c r="J288" s="599" t="str">
        <f t="shared" si="4"/>
        <v>C</v>
      </c>
    </row>
    <row r="289" spans="1:10">
      <c r="A289" s="596">
        <v>41925</v>
      </c>
      <c r="B289" s="599">
        <v>10</v>
      </c>
      <c r="C289" s="599">
        <v>13</v>
      </c>
      <c r="D289" s="619">
        <v>69.5</v>
      </c>
      <c r="E289" s="619">
        <v>70.8</v>
      </c>
      <c r="F289" s="619">
        <v>59.15</v>
      </c>
      <c r="G289" s="619">
        <v>60.65</v>
      </c>
      <c r="H289" s="619">
        <v>49.15</v>
      </c>
      <c r="I289" s="619">
        <v>50.2</v>
      </c>
      <c r="J289" s="599" t="str">
        <f t="shared" si="4"/>
        <v>C</v>
      </c>
    </row>
    <row r="290" spans="1:10">
      <c r="A290" s="596">
        <v>41926</v>
      </c>
      <c r="B290" s="599">
        <v>10</v>
      </c>
      <c r="C290" s="599">
        <v>14</v>
      </c>
      <c r="D290" s="619">
        <v>66.95</v>
      </c>
      <c r="E290" s="619">
        <v>69.349999999999994</v>
      </c>
      <c r="F290" s="619">
        <v>57.55</v>
      </c>
      <c r="G290" s="619">
        <v>59.7</v>
      </c>
      <c r="H290" s="619">
        <v>48.05</v>
      </c>
      <c r="I290" s="619">
        <v>49.85</v>
      </c>
      <c r="J290" s="599" t="str">
        <f t="shared" si="4"/>
        <v>C</v>
      </c>
    </row>
    <row r="291" spans="1:10">
      <c r="A291" s="596">
        <v>41927</v>
      </c>
      <c r="B291" s="599">
        <v>10</v>
      </c>
      <c r="C291" s="599">
        <v>15</v>
      </c>
      <c r="D291" s="619">
        <v>66.95</v>
      </c>
      <c r="E291" s="619">
        <v>69.2</v>
      </c>
      <c r="F291" s="619">
        <v>56.7</v>
      </c>
      <c r="G291" s="619">
        <v>58.35</v>
      </c>
      <c r="H291" s="619">
        <v>46.1</v>
      </c>
      <c r="I291" s="619">
        <v>47.25</v>
      </c>
      <c r="J291" s="599" t="str">
        <f t="shared" si="4"/>
        <v>C</v>
      </c>
    </row>
    <row r="292" spans="1:10">
      <c r="A292" s="596">
        <v>41928</v>
      </c>
      <c r="B292" s="599">
        <v>10</v>
      </c>
      <c r="C292" s="599">
        <v>16</v>
      </c>
      <c r="D292" s="619">
        <v>65.75</v>
      </c>
      <c r="E292" s="619">
        <v>67.95</v>
      </c>
      <c r="F292" s="619">
        <v>55.7</v>
      </c>
      <c r="G292" s="619">
        <v>57.8</v>
      </c>
      <c r="H292" s="619">
        <v>45.5</v>
      </c>
      <c r="I292" s="619">
        <v>47.45</v>
      </c>
      <c r="J292" s="599" t="str">
        <f t="shared" si="4"/>
        <v>C</v>
      </c>
    </row>
    <row r="293" spans="1:10">
      <c r="A293" s="596">
        <v>41929</v>
      </c>
      <c r="B293" s="599">
        <v>10</v>
      </c>
      <c r="C293" s="599">
        <v>17</v>
      </c>
      <c r="D293" s="619">
        <v>66.099999999999994</v>
      </c>
      <c r="E293" s="619">
        <v>67.7</v>
      </c>
      <c r="F293" s="619">
        <v>56.2</v>
      </c>
      <c r="G293" s="619">
        <v>57.45</v>
      </c>
      <c r="H293" s="619">
        <v>46.2</v>
      </c>
      <c r="I293" s="619">
        <v>46.75</v>
      </c>
      <c r="J293" s="599" t="str">
        <f t="shared" si="4"/>
        <v>C</v>
      </c>
    </row>
    <row r="294" spans="1:10">
      <c r="A294" s="596">
        <v>41930</v>
      </c>
      <c r="B294" s="599">
        <v>10</v>
      </c>
      <c r="C294" s="599">
        <v>18</v>
      </c>
      <c r="D294" s="619">
        <v>65.849999999999994</v>
      </c>
      <c r="E294" s="619">
        <v>66.7</v>
      </c>
      <c r="F294" s="619">
        <v>55.75</v>
      </c>
      <c r="G294" s="619">
        <v>57</v>
      </c>
      <c r="H294" s="619">
        <v>45.45</v>
      </c>
      <c r="I294" s="619">
        <v>47.15</v>
      </c>
      <c r="J294" s="599" t="str">
        <f t="shared" si="4"/>
        <v>C</v>
      </c>
    </row>
    <row r="295" spans="1:10">
      <c r="A295" s="596">
        <v>41931</v>
      </c>
      <c r="B295" s="599">
        <v>10</v>
      </c>
      <c r="C295" s="599">
        <v>19</v>
      </c>
      <c r="D295" s="619">
        <v>63.5</v>
      </c>
      <c r="E295" s="619">
        <v>64.650000000000006</v>
      </c>
      <c r="F295" s="619">
        <v>54.6</v>
      </c>
      <c r="G295" s="619">
        <v>55.35</v>
      </c>
      <c r="H295" s="619">
        <v>45.5</v>
      </c>
      <c r="I295" s="619">
        <v>46.55</v>
      </c>
      <c r="J295" s="599" t="str">
        <f t="shared" si="4"/>
        <v>C</v>
      </c>
    </row>
    <row r="296" spans="1:10">
      <c r="A296" s="596">
        <v>41932</v>
      </c>
      <c r="B296" s="599">
        <v>10</v>
      </c>
      <c r="C296" s="599">
        <v>20</v>
      </c>
      <c r="D296" s="619">
        <v>64.400000000000006</v>
      </c>
      <c r="E296" s="619">
        <v>65.7</v>
      </c>
      <c r="F296" s="619">
        <v>54.5</v>
      </c>
      <c r="G296" s="619">
        <v>55.75</v>
      </c>
      <c r="H296" s="619">
        <v>44.75</v>
      </c>
      <c r="I296" s="619">
        <v>45.3</v>
      </c>
      <c r="J296" s="599" t="str">
        <f t="shared" si="4"/>
        <v>C</v>
      </c>
    </row>
    <row r="297" spans="1:10">
      <c r="A297" s="596">
        <v>41933</v>
      </c>
      <c r="B297" s="599">
        <v>10</v>
      </c>
      <c r="C297" s="599">
        <v>21</v>
      </c>
      <c r="D297" s="619">
        <v>64.45</v>
      </c>
      <c r="E297" s="619">
        <v>65.900000000000006</v>
      </c>
      <c r="F297" s="619">
        <v>54.5</v>
      </c>
      <c r="G297" s="619">
        <v>55.55</v>
      </c>
      <c r="H297" s="619">
        <v>44.35</v>
      </c>
      <c r="I297" s="619">
        <v>44.75</v>
      </c>
      <c r="J297" s="599" t="str">
        <f t="shared" si="4"/>
        <v>C</v>
      </c>
    </row>
    <row r="298" spans="1:10">
      <c r="A298" s="596">
        <v>41934</v>
      </c>
      <c r="B298" s="599">
        <v>10</v>
      </c>
      <c r="C298" s="599">
        <v>22</v>
      </c>
      <c r="D298" s="619">
        <v>63.8</v>
      </c>
      <c r="E298" s="619">
        <v>66.45</v>
      </c>
      <c r="F298" s="619">
        <v>53.55</v>
      </c>
      <c r="G298" s="619">
        <v>55.75</v>
      </c>
      <c r="H298" s="619">
        <v>43.15</v>
      </c>
      <c r="I298" s="619">
        <v>44.95</v>
      </c>
      <c r="J298" s="599" t="str">
        <f t="shared" si="4"/>
        <v>C</v>
      </c>
    </row>
    <row r="299" spans="1:10">
      <c r="A299" s="596">
        <v>41935</v>
      </c>
      <c r="B299" s="599">
        <v>10</v>
      </c>
      <c r="C299" s="599">
        <v>23</v>
      </c>
      <c r="D299" s="619">
        <v>63.75</v>
      </c>
      <c r="E299" s="619">
        <v>65.45</v>
      </c>
      <c r="F299" s="619">
        <v>53.5</v>
      </c>
      <c r="G299" s="619">
        <v>55.6</v>
      </c>
      <c r="H299" s="619">
        <v>43.3</v>
      </c>
      <c r="I299" s="619">
        <v>45.2</v>
      </c>
      <c r="J299" s="599" t="str">
        <f t="shared" si="4"/>
        <v>C</v>
      </c>
    </row>
    <row r="300" spans="1:10">
      <c r="A300" s="596">
        <v>41936</v>
      </c>
      <c r="B300" s="599">
        <v>10</v>
      </c>
      <c r="C300" s="599">
        <v>24</v>
      </c>
      <c r="D300" s="619">
        <v>63.15</v>
      </c>
      <c r="E300" s="619">
        <v>65.849999999999994</v>
      </c>
      <c r="F300" s="619">
        <v>53.85</v>
      </c>
      <c r="G300" s="619">
        <v>56</v>
      </c>
      <c r="H300" s="619">
        <v>44.15</v>
      </c>
      <c r="I300" s="619">
        <v>45.4</v>
      </c>
      <c r="J300" s="599" t="str">
        <f t="shared" si="4"/>
        <v>C</v>
      </c>
    </row>
    <row r="301" spans="1:10">
      <c r="A301" s="596">
        <v>41937</v>
      </c>
      <c r="B301" s="599">
        <v>10</v>
      </c>
      <c r="C301" s="599">
        <v>25</v>
      </c>
      <c r="D301" s="619">
        <v>62.85</v>
      </c>
      <c r="E301" s="619">
        <v>64.55</v>
      </c>
      <c r="F301" s="619">
        <v>53.15</v>
      </c>
      <c r="G301" s="619">
        <v>54.3</v>
      </c>
      <c r="H301" s="619">
        <v>43.2</v>
      </c>
      <c r="I301" s="619">
        <v>44</v>
      </c>
      <c r="J301" s="599" t="str">
        <f t="shared" si="4"/>
        <v>C</v>
      </c>
    </row>
    <row r="302" spans="1:10">
      <c r="A302" s="596">
        <v>41938</v>
      </c>
      <c r="B302" s="599">
        <v>10</v>
      </c>
      <c r="C302" s="599">
        <v>26</v>
      </c>
      <c r="D302" s="619">
        <v>63.5</v>
      </c>
      <c r="E302" s="619">
        <v>64.849999999999994</v>
      </c>
      <c r="F302" s="619">
        <v>54.45</v>
      </c>
      <c r="G302" s="619">
        <v>55</v>
      </c>
      <c r="H302" s="619">
        <v>44.95</v>
      </c>
      <c r="I302" s="619">
        <v>45</v>
      </c>
      <c r="J302" s="599" t="str">
        <f t="shared" si="4"/>
        <v>C</v>
      </c>
    </row>
    <row r="303" spans="1:10">
      <c r="A303" s="596">
        <v>41939</v>
      </c>
      <c r="B303" s="599">
        <v>10</v>
      </c>
      <c r="C303" s="599">
        <v>27</v>
      </c>
      <c r="D303" s="619">
        <v>58.7</v>
      </c>
      <c r="E303" s="619">
        <v>60.8</v>
      </c>
      <c r="F303" s="619">
        <v>51.15</v>
      </c>
      <c r="G303" s="619">
        <v>52.85</v>
      </c>
      <c r="H303" s="619">
        <v>43.4</v>
      </c>
      <c r="I303" s="619">
        <v>44.95</v>
      </c>
      <c r="J303" s="599" t="str">
        <f t="shared" si="4"/>
        <v>C</v>
      </c>
    </row>
    <row r="304" spans="1:10">
      <c r="A304" s="596">
        <v>41940</v>
      </c>
      <c r="B304" s="599">
        <v>10</v>
      </c>
      <c r="C304" s="599">
        <v>28</v>
      </c>
      <c r="D304" s="619">
        <v>56.6</v>
      </c>
      <c r="E304" s="619">
        <v>59.6</v>
      </c>
      <c r="F304" s="619">
        <v>48.65</v>
      </c>
      <c r="G304" s="619">
        <v>50.5</v>
      </c>
      <c r="H304" s="619">
        <v>40.299999999999997</v>
      </c>
      <c r="I304" s="619">
        <v>41.45</v>
      </c>
      <c r="J304" s="599" t="str">
        <f t="shared" si="4"/>
        <v>C</v>
      </c>
    </row>
    <row r="305" spans="1:10">
      <c r="A305" s="596">
        <v>41941</v>
      </c>
      <c r="B305" s="599">
        <v>10</v>
      </c>
      <c r="C305" s="599">
        <v>29</v>
      </c>
      <c r="D305" s="619">
        <v>60.9</v>
      </c>
      <c r="E305" s="619">
        <v>63.85</v>
      </c>
      <c r="F305" s="619">
        <v>50.8</v>
      </c>
      <c r="G305" s="619">
        <v>52.65</v>
      </c>
      <c r="H305" s="619">
        <v>40.5</v>
      </c>
      <c r="I305" s="619">
        <v>41.25</v>
      </c>
      <c r="J305" s="599" t="str">
        <f t="shared" si="4"/>
        <v>C</v>
      </c>
    </row>
    <row r="306" spans="1:10">
      <c r="A306" s="596">
        <v>41942</v>
      </c>
      <c r="B306" s="599">
        <v>10</v>
      </c>
      <c r="C306" s="599">
        <v>30</v>
      </c>
      <c r="D306" s="619">
        <v>63.65</v>
      </c>
      <c r="E306" s="619">
        <v>65.900000000000006</v>
      </c>
      <c r="F306" s="619">
        <v>52.9</v>
      </c>
      <c r="G306" s="619">
        <v>54.35</v>
      </c>
      <c r="H306" s="619">
        <v>41.75</v>
      </c>
      <c r="I306" s="619">
        <v>42.65</v>
      </c>
      <c r="J306" s="599" t="str">
        <f t="shared" si="4"/>
        <v>C</v>
      </c>
    </row>
    <row r="307" spans="1:10">
      <c r="A307" s="596">
        <v>41943</v>
      </c>
      <c r="B307" s="599">
        <v>10</v>
      </c>
      <c r="C307" s="599">
        <v>31</v>
      </c>
      <c r="D307" s="619">
        <v>62</v>
      </c>
      <c r="E307" s="619">
        <v>63.65</v>
      </c>
      <c r="F307" s="619">
        <v>53.75</v>
      </c>
      <c r="G307" s="619">
        <v>54.95</v>
      </c>
      <c r="H307" s="619">
        <v>45</v>
      </c>
      <c r="I307" s="619">
        <v>45.85</v>
      </c>
      <c r="J307" s="599" t="str">
        <f t="shared" si="4"/>
        <v>C</v>
      </c>
    </row>
    <row r="308" spans="1:10">
      <c r="A308" s="596">
        <v>41944</v>
      </c>
      <c r="B308" s="599">
        <v>11</v>
      </c>
      <c r="C308" s="599">
        <v>1</v>
      </c>
      <c r="D308" s="619">
        <v>60.55</v>
      </c>
      <c r="E308" s="619">
        <v>62.85</v>
      </c>
      <c r="F308" s="619">
        <v>51.8</v>
      </c>
      <c r="G308" s="619">
        <v>53.7</v>
      </c>
      <c r="H308" s="619">
        <v>42.25</v>
      </c>
      <c r="I308" s="619">
        <v>43.65</v>
      </c>
      <c r="J308" s="599" t="str">
        <f t="shared" si="4"/>
        <v>H</v>
      </c>
    </row>
    <row r="309" spans="1:10">
      <c r="A309" s="596">
        <v>41945</v>
      </c>
      <c r="B309" s="599">
        <v>11</v>
      </c>
      <c r="C309" s="599">
        <v>2</v>
      </c>
      <c r="D309" s="619">
        <v>59.9</v>
      </c>
      <c r="E309" s="619">
        <v>62</v>
      </c>
      <c r="F309" s="619">
        <v>50</v>
      </c>
      <c r="G309" s="619">
        <v>51.35</v>
      </c>
      <c r="H309" s="619">
        <v>39.450000000000003</v>
      </c>
      <c r="I309" s="619">
        <v>40.35</v>
      </c>
      <c r="J309" s="599" t="str">
        <f t="shared" si="4"/>
        <v>H</v>
      </c>
    </row>
    <row r="310" spans="1:10">
      <c r="A310" s="596">
        <v>41946</v>
      </c>
      <c r="B310" s="599">
        <v>11</v>
      </c>
      <c r="C310" s="599">
        <v>3</v>
      </c>
      <c r="D310" s="619">
        <v>55.5</v>
      </c>
      <c r="E310" s="619">
        <v>56.95</v>
      </c>
      <c r="F310" s="619">
        <v>46.7</v>
      </c>
      <c r="G310" s="619">
        <v>48.3</v>
      </c>
      <c r="H310" s="619">
        <v>37.6</v>
      </c>
      <c r="I310" s="619">
        <v>39.950000000000003</v>
      </c>
      <c r="J310" s="599" t="str">
        <f t="shared" si="4"/>
        <v>H</v>
      </c>
    </row>
    <row r="311" spans="1:10">
      <c r="A311" s="596">
        <v>41947</v>
      </c>
      <c r="B311" s="599">
        <v>11</v>
      </c>
      <c r="C311" s="599">
        <v>4</v>
      </c>
      <c r="D311" s="619">
        <v>57.95</v>
      </c>
      <c r="E311" s="619">
        <v>59.8</v>
      </c>
      <c r="F311" s="619">
        <v>48.3</v>
      </c>
      <c r="G311" s="619">
        <v>50.2</v>
      </c>
      <c r="H311" s="619">
        <v>38.35</v>
      </c>
      <c r="I311" s="619">
        <v>40.450000000000003</v>
      </c>
      <c r="J311" s="599" t="str">
        <f t="shared" si="4"/>
        <v>H</v>
      </c>
    </row>
    <row r="312" spans="1:10">
      <c r="A312" s="596">
        <v>41948</v>
      </c>
      <c r="B312" s="599">
        <v>11</v>
      </c>
      <c r="C312" s="599">
        <v>5</v>
      </c>
      <c r="D312" s="619">
        <v>57.65</v>
      </c>
      <c r="E312" s="619">
        <v>59.4</v>
      </c>
      <c r="F312" s="619">
        <v>48.15</v>
      </c>
      <c r="G312" s="619">
        <v>50.1</v>
      </c>
      <c r="H312" s="619">
        <v>38.549999999999997</v>
      </c>
      <c r="I312" s="619">
        <v>40.65</v>
      </c>
      <c r="J312" s="599" t="str">
        <f t="shared" si="4"/>
        <v>H</v>
      </c>
    </row>
    <row r="313" spans="1:10">
      <c r="A313" s="596">
        <v>41949</v>
      </c>
      <c r="B313" s="599">
        <v>11</v>
      </c>
      <c r="C313" s="599">
        <v>6</v>
      </c>
      <c r="D313" s="619">
        <v>55.35</v>
      </c>
      <c r="E313" s="619">
        <v>57.4</v>
      </c>
      <c r="F313" s="619">
        <v>46.85</v>
      </c>
      <c r="G313" s="619">
        <v>49.05</v>
      </c>
      <c r="H313" s="619">
        <v>38.15</v>
      </c>
      <c r="I313" s="619">
        <v>40.15</v>
      </c>
      <c r="J313" s="599" t="str">
        <f t="shared" si="4"/>
        <v>H</v>
      </c>
    </row>
    <row r="314" spans="1:10">
      <c r="A314" s="596">
        <v>41950</v>
      </c>
      <c r="B314" s="599">
        <v>11</v>
      </c>
      <c r="C314" s="599">
        <v>7</v>
      </c>
      <c r="D314" s="619">
        <v>56.55</v>
      </c>
      <c r="E314" s="619">
        <v>58.75</v>
      </c>
      <c r="F314" s="619">
        <v>47.5</v>
      </c>
      <c r="G314" s="619">
        <v>49.25</v>
      </c>
      <c r="H314" s="619">
        <v>38.1</v>
      </c>
      <c r="I314" s="619">
        <v>39.200000000000003</v>
      </c>
      <c r="J314" s="599" t="str">
        <f t="shared" si="4"/>
        <v>H</v>
      </c>
    </row>
    <row r="315" spans="1:10">
      <c r="A315" s="596">
        <v>41951</v>
      </c>
      <c r="B315" s="599">
        <v>11</v>
      </c>
      <c r="C315" s="599">
        <v>8</v>
      </c>
      <c r="D315" s="619">
        <v>57.25</v>
      </c>
      <c r="E315" s="619">
        <v>60.4</v>
      </c>
      <c r="F315" s="619">
        <v>47.95</v>
      </c>
      <c r="G315" s="619">
        <v>50.15</v>
      </c>
      <c r="H315" s="619">
        <v>38.549999999999997</v>
      </c>
      <c r="I315" s="619">
        <v>40</v>
      </c>
      <c r="J315" s="599" t="str">
        <f t="shared" si="4"/>
        <v>H</v>
      </c>
    </row>
    <row r="316" spans="1:10">
      <c r="A316" s="596">
        <v>41952</v>
      </c>
      <c r="B316" s="599">
        <v>11</v>
      </c>
      <c r="C316" s="599">
        <v>9</v>
      </c>
      <c r="D316" s="619">
        <v>58.75</v>
      </c>
      <c r="E316" s="619">
        <v>60.85</v>
      </c>
      <c r="F316" s="619">
        <v>48.7</v>
      </c>
      <c r="G316" s="619">
        <v>51.1</v>
      </c>
      <c r="H316" s="619">
        <v>38.6</v>
      </c>
      <c r="I316" s="619">
        <v>40.9</v>
      </c>
      <c r="J316" s="599" t="str">
        <f t="shared" si="4"/>
        <v>H</v>
      </c>
    </row>
    <row r="317" spans="1:10">
      <c r="A317" s="596">
        <v>41953</v>
      </c>
      <c r="B317" s="599">
        <v>11</v>
      </c>
      <c r="C317" s="599">
        <v>10</v>
      </c>
      <c r="D317" s="619">
        <v>59.6</v>
      </c>
      <c r="E317" s="619">
        <v>61.8</v>
      </c>
      <c r="F317" s="619">
        <v>50.1</v>
      </c>
      <c r="G317" s="619">
        <v>51.8</v>
      </c>
      <c r="H317" s="619">
        <v>39.950000000000003</v>
      </c>
      <c r="I317" s="619">
        <v>41.9</v>
      </c>
      <c r="J317" s="599" t="str">
        <f t="shared" si="4"/>
        <v>H</v>
      </c>
    </row>
    <row r="318" spans="1:10">
      <c r="A318" s="596">
        <v>41954</v>
      </c>
      <c r="B318" s="599">
        <v>11</v>
      </c>
      <c r="C318" s="599">
        <v>11</v>
      </c>
      <c r="D318" s="619">
        <v>56</v>
      </c>
      <c r="E318" s="619">
        <v>58.55</v>
      </c>
      <c r="F318" s="619">
        <v>47.1</v>
      </c>
      <c r="G318" s="619">
        <v>49.85</v>
      </c>
      <c r="H318" s="619">
        <v>37.9</v>
      </c>
      <c r="I318" s="619">
        <v>40.65</v>
      </c>
      <c r="J318" s="599" t="str">
        <f t="shared" si="4"/>
        <v>H</v>
      </c>
    </row>
    <row r="319" spans="1:10">
      <c r="A319" s="596">
        <v>41955</v>
      </c>
      <c r="B319" s="599">
        <v>11</v>
      </c>
      <c r="C319" s="599">
        <v>12</v>
      </c>
      <c r="D319" s="619">
        <v>55.9</v>
      </c>
      <c r="E319" s="619">
        <v>58.35</v>
      </c>
      <c r="F319" s="619">
        <v>46.55</v>
      </c>
      <c r="G319" s="619">
        <v>48.55</v>
      </c>
      <c r="H319" s="619">
        <v>36.549999999999997</v>
      </c>
      <c r="I319" s="619">
        <v>37.9</v>
      </c>
      <c r="J319" s="599" t="str">
        <f t="shared" si="4"/>
        <v>H</v>
      </c>
    </row>
    <row r="320" spans="1:10">
      <c r="A320" s="596">
        <v>41956</v>
      </c>
      <c r="B320" s="599">
        <v>11</v>
      </c>
      <c r="C320" s="599">
        <v>13</v>
      </c>
      <c r="D320" s="619">
        <v>55.4</v>
      </c>
      <c r="E320" s="619">
        <v>58.05</v>
      </c>
      <c r="F320" s="619">
        <v>47.35</v>
      </c>
      <c r="G320" s="619">
        <v>49.25</v>
      </c>
      <c r="H320" s="619">
        <v>39</v>
      </c>
      <c r="I320" s="619">
        <v>40.200000000000003</v>
      </c>
      <c r="J320" s="599" t="str">
        <f t="shared" si="4"/>
        <v>H</v>
      </c>
    </row>
    <row r="321" spans="1:10">
      <c r="A321" s="596">
        <v>41957</v>
      </c>
      <c r="B321" s="599">
        <v>11</v>
      </c>
      <c r="C321" s="599">
        <v>14</v>
      </c>
      <c r="D321" s="619">
        <v>55.2</v>
      </c>
      <c r="E321" s="619">
        <v>58.3</v>
      </c>
      <c r="F321" s="619">
        <v>47.05</v>
      </c>
      <c r="G321" s="619">
        <v>49.8</v>
      </c>
      <c r="H321" s="619">
        <v>38.700000000000003</v>
      </c>
      <c r="I321" s="619">
        <v>40.950000000000003</v>
      </c>
      <c r="J321" s="599" t="str">
        <f t="shared" si="4"/>
        <v>H</v>
      </c>
    </row>
    <row r="322" spans="1:10">
      <c r="A322" s="596">
        <v>41958</v>
      </c>
      <c r="B322" s="599">
        <v>11</v>
      </c>
      <c r="C322" s="599">
        <v>15</v>
      </c>
      <c r="D322" s="619">
        <v>52.5</v>
      </c>
      <c r="E322" s="619">
        <v>54.35</v>
      </c>
      <c r="F322" s="619">
        <v>44.75</v>
      </c>
      <c r="G322" s="619">
        <v>46.2</v>
      </c>
      <c r="H322" s="619">
        <v>36.65</v>
      </c>
      <c r="I322" s="619">
        <v>37.549999999999997</v>
      </c>
      <c r="J322" s="599" t="str">
        <f t="shared" si="4"/>
        <v>H</v>
      </c>
    </row>
    <row r="323" spans="1:10">
      <c r="A323" s="596">
        <v>41959</v>
      </c>
      <c r="B323" s="599">
        <v>11</v>
      </c>
      <c r="C323" s="599">
        <v>16</v>
      </c>
      <c r="D323" s="619">
        <v>52.3</v>
      </c>
      <c r="E323" s="619">
        <v>53.5</v>
      </c>
      <c r="F323" s="619">
        <v>43.75</v>
      </c>
      <c r="G323" s="619">
        <v>45.35</v>
      </c>
      <c r="H323" s="619">
        <v>34.9</v>
      </c>
      <c r="I323" s="619">
        <v>37.049999999999997</v>
      </c>
      <c r="J323" s="599" t="str">
        <f t="shared" si="4"/>
        <v>H</v>
      </c>
    </row>
    <row r="324" spans="1:10">
      <c r="A324" s="596">
        <v>41960</v>
      </c>
      <c r="B324" s="599">
        <v>11</v>
      </c>
      <c r="C324" s="599">
        <v>17</v>
      </c>
      <c r="D324" s="619">
        <v>51.6</v>
      </c>
      <c r="E324" s="619">
        <v>53.75</v>
      </c>
      <c r="F324" s="619">
        <v>43.75</v>
      </c>
      <c r="G324" s="619">
        <v>45.6</v>
      </c>
      <c r="H324" s="619">
        <v>35.549999999999997</v>
      </c>
      <c r="I324" s="619">
        <v>37.35</v>
      </c>
      <c r="J324" s="599" t="str">
        <f t="shared" si="4"/>
        <v>H</v>
      </c>
    </row>
    <row r="325" spans="1:10">
      <c r="A325" s="596">
        <v>41961</v>
      </c>
      <c r="B325" s="599">
        <v>11</v>
      </c>
      <c r="C325" s="599">
        <v>18</v>
      </c>
      <c r="D325" s="619">
        <v>54.3</v>
      </c>
      <c r="E325" s="619">
        <v>56.2</v>
      </c>
      <c r="F325" s="619">
        <v>45.35</v>
      </c>
      <c r="G325" s="619">
        <v>46.8</v>
      </c>
      <c r="H325" s="619">
        <v>36</v>
      </c>
      <c r="I325" s="619">
        <v>37.15</v>
      </c>
      <c r="J325" s="599" t="str">
        <f t="shared" ref="J325:J368" si="5">IF(OR(B325&lt;=4,B325&gt;=11),"H","C")</f>
        <v>H</v>
      </c>
    </row>
    <row r="326" spans="1:10">
      <c r="A326" s="596">
        <v>41962</v>
      </c>
      <c r="B326" s="599">
        <v>11</v>
      </c>
      <c r="C326" s="599">
        <v>19</v>
      </c>
      <c r="D326" s="619">
        <v>55.9</v>
      </c>
      <c r="E326" s="619">
        <v>57.2</v>
      </c>
      <c r="F326" s="619">
        <v>47.45</v>
      </c>
      <c r="G326" s="619">
        <v>48.9</v>
      </c>
      <c r="H326" s="619">
        <v>38.549999999999997</v>
      </c>
      <c r="I326" s="619">
        <v>39.950000000000003</v>
      </c>
      <c r="J326" s="599" t="str">
        <f t="shared" si="5"/>
        <v>H</v>
      </c>
    </row>
    <row r="327" spans="1:10">
      <c r="A327" s="596">
        <v>41963</v>
      </c>
      <c r="B327" s="599">
        <v>11</v>
      </c>
      <c r="C327" s="599">
        <v>20</v>
      </c>
      <c r="D327" s="619">
        <v>55.4</v>
      </c>
      <c r="E327" s="619">
        <v>57.6</v>
      </c>
      <c r="F327" s="619">
        <v>46.9</v>
      </c>
      <c r="G327" s="619">
        <v>48.95</v>
      </c>
      <c r="H327" s="619">
        <v>38.6</v>
      </c>
      <c r="I327" s="619">
        <v>39.950000000000003</v>
      </c>
      <c r="J327" s="599" t="str">
        <f t="shared" si="5"/>
        <v>H</v>
      </c>
    </row>
    <row r="328" spans="1:10">
      <c r="A328" s="596">
        <v>41964</v>
      </c>
      <c r="B328" s="599">
        <v>11</v>
      </c>
      <c r="C328" s="599">
        <v>21</v>
      </c>
      <c r="D328" s="619">
        <v>55.3</v>
      </c>
      <c r="E328" s="619">
        <v>56.75</v>
      </c>
      <c r="F328" s="619">
        <v>47.2</v>
      </c>
      <c r="G328" s="619">
        <v>48.9</v>
      </c>
      <c r="H328" s="619">
        <v>38.85</v>
      </c>
      <c r="I328" s="619">
        <v>40.75</v>
      </c>
      <c r="J328" s="599" t="str">
        <f t="shared" si="5"/>
        <v>H</v>
      </c>
    </row>
    <row r="329" spans="1:10">
      <c r="A329" s="596">
        <v>41965</v>
      </c>
      <c r="B329" s="599">
        <v>11</v>
      </c>
      <c r="C329" s="599">
        <v>22</v>
      </c>
      <c r="D329" s="619">
        <v>54.2</v>
      </c>
      <c r="E329" s="619">
        <v>56.6</v>
      </c>
      <c r="F329" s="619">
        <v>46</v>
      </c>
      <c r="G329" s="619">
        <v>47.65</v>
      </c>
      <c r="H329" s="619">
        <v>37.1</v>
      </c>
      <c r="I329" s="619">
        <v>38.700000000000003</v>
      </c>
      <c r="J329" s="599" t="str">
        <f t="shared" si="5"/>
        <v>H</v>
      </c>
    </row>
    <row r="330" spans="1:10">
      <c r="A330" s="596">
        <v>41966</v>
      </c>
      <c r="B330" s="599">
        <v>11</v>
      </c>
      <c r="C330" s="599">
        <v>23</v>
      </c>
      <c r="D330" s="619">
        <v>54.3</v>
      </c>
      <c r="E330" s="619">
        <v>56.1</v>
      </c>
      <c r="F330" s="619">
        <v>44.8</v>
      </c>
      <c r="G330" s="619">
        <v>46.6</v>
      </c>
      <c r="H330" s="619">
        <v>35</v>
      </c>
      <c r="I330" s="619">
        <v>36.85</v>
      </c>
      <c r="J330" s="599" t="str">
        <f t="shared" si="5"/>
        <v>H</v>
      </c>
    </row>
    <row r="331" spans="1:10">
      <c r="A331" s="596">
        <v>41967</v>
      </c>
      <c r="B331" s="599">
        <v>11</v>
      </c>
      <c r="C331" s="599">
        <v>24</v>
      </c>
      <c r="D331" s="619">
        <v>52.8</v>
      </c>
      <c r="E331" s="619">
        <v>54.3</v>
      </c>
      <c r="F331" s="619">
        <v>43.85</v>
      </c>
      <c r="G331" s="619">
        <v>45.1</v>
      </c>
      <c r="H331" s="619">
        <v>34.35</v>
      </c>
      <c r="I331" s="619">
        <v>35.35</v>
      </c>
      <c r="J331" s="599" t="str">
        <f t="shared" si="5"/>
        <v>H</v>
      </c>
    </row>
    <row r="332" spans="1:10">
      <c r="A332" s="596">
        <v>41968</v>
      </c>
      <c r="B332" s="599">
        <v>11</v>
      </c>
      <c r="C332" s="599">
        <v>25</v>
      </c>
      <c r="D332" s="619">
        <v>52.45</v>
      </c>
      <c r="E332" s="619">
        <v>53.8</v>
      </c>
      <c r="F332" s="619">
        <v>43.6</v>
      </c>
      <c r="G332" s="619">
        <v>44.15</v>
      </c>
      <c r="H332" s="619">
        <v>34.4</v>
      </c>
      <c r="I332" s="619">
        <v>34.4</v>
      </c>
      <c r="J332" s="599" t="str">
        <f t="shared" si="5"/>
        <v>H</v>
      </c>
    </row>
    <row r="333" spans="1:10">
      <c r="A333" s="596">
        <v>41969</v>
      </c>
      <c r="B333" s="599">
        <v>11</v>
      </c>
      <c r="C333" s="599">
        <v>26</v>
      </c>
      <c r="D333" s="619">
        <v>53.4</v>
      </c>
      <c r="E333" s="619">
        <v>54.25</v>
      </c>
      <c r="F333" s="619">
        <v>44.5</v>
      </c>
      <c r="G333" s="619">
        <v>45.05</v>
      </c>
      <c r="H333" s="619">
        <v>35.049999999999997</v>
      </c>
      <c r="I333" s="619">
        <v>35.9</v>
      </c>
      <c r="J333" s="599" t="str">
        <f t="shared" si="5"/>
        <v>H</v>
      </c>
    </row>
    <row r="334" spans="1:10">
      <c r="A334" s="596">
        <v>41970</v>
      </c>
      <c r="B334" s="599">
        <v>11</v>
      </c>
      <c r="C334" s="599">
        <v>27</v>
      </c>
      <c r="D334" s="619">
        <v>50.9</v>
      </c>
      <c r="E334" s="619">
        <v>52.95</v>
      </c>
      <c r="F334" s="619">
        <v>43.5</v>
      </c>
      <c r="G334" s="619">
        <v>44.85</v>
      </c>
      <c r="H334" s="619">
        <v>35.65</v>
      </c>
      <c r="I334" s="619">
        <v>36.450000000000003</v>
      </c>
      <c r="J334" s="599" t="str">
        <f t="shared" si="5"/>
        <v>H</v>
      </c>
    </row>
    <row r="335" spans="1:10">
      <c r="A335" s="596">
        <v>41971</v>
      </c>
      <c r="B335" s="599">
        <v>11</v>
      </c>
      <c r="C335" s="599">
        <v>28</v>
      </c>
      <c r="D335" s="619">
        <v>50.65</v>
      </c>
      <c r="E335" s="619">
        <v>52.1</v>
      </c>
      <c r="F335" s="619">
        <v>42.2</v>
      </c>
      <c r="G335" s="619">
        <v>43.65</v>
      </c>
      <c r="H335" s="619">
        <v>33.450000000000003</v>
      </c>
      <c r="I335" s="619">
        <v>35.25</v>
      </c>
      <c r="J335" s="599" t="str">
        <f t="shared" si="5"/>
        <v>H</v>
      </c>
    </row>
    <row r="336" spans="1:10">
      <c r="A336" s="596">
        <v>41972</v>
      </c>
      <c r="B336" s="599">
        <v>11</v>
      </c>
      <c r="C336" s="599">
        <v>29</v>
      </c>
      <c r="D336" s="619">
        <v>50.4</v>
      </c>
      <c r="E336" s="619">
        <v>52.75</v>
      </c>
      <c r="F336" s="619">
        <v>42.65</v>
      </c>
      <c r="G336" s="619">
        <v>44.8</v>
      </c>
      <c r="H336" s="619">
        <v>34.5</v>
      </c>
      <c r="I336" s="619">
        <v>36.65</v>
      </c>
      <c r="J336" s="599" t="str">
        <f t="shared" si="5"/>
        <v>H</v>
      </c>
    </row>
    <row r="337" spans="1:10">
      <c r="A337" s="596">
        <v>41973</v>
      </c>
      <c r="B337" s="599">
        <v>11</v>
      </c>
      <c r="C337" s="599">
        <v>30</v>
      </c>
      <c r="D337" s="619">
        <v>50.95</v>
      </c>
      <c r="E337" s="619">
        <v>52.2</v>
      </c>
      <c r="F337" s="619">
        <v>42.7</v>
      </c>
      <c r="G337" s="619">
        <v>44.5</v>
      </c>
      <c r="H337" s="619">
        <v>34.25</v>
      </c>
      <c r="I337" s="619">
        <v>36.299999999999997</v>
      </c>
      <c r="J337" s="599" t="str">
        <f t="shared" si="5"/>
        <v>H</v>
      </c>
    </row>
    <row r="338" spans="1:10">
      <c r="A338" s="596">
        <v>41974</v>
      </c>
      <c r="B338" s="599">
        <v>12</v>
      </c>
      <c r="C338" s="599">
        <v>1</v>
      </c>
      <c r="D338" s="619">
        <v>47.85</v>
      </c>
      <c r="E338" s="619">
        <v>49.75</v>
      </c>
      <c r="F338" s="619">
        <v>39.15</v>
      </c>
      <c r="G338" s="619">
        <v>41</v>
      </c>
      <c r="H338" s="619">
        <v>30.2</v>
      </c>
      <c r="I338" s="619">
        <v>31.25</v>
      </c>
      <c r="J338" s="599" t="str">
        <f t="shared" si="5"/>
        <v>H</v>
      </c>
    </row>
    <row r="339" spans="1:10">
      <c r="A339" s="596">
        <v>41975</v>
      </c>
      <c r="B339" s="599">
        <v>12</v>
      </c>
      <c r="C339" s="599">
        <v>2</v>
      </c>
      <c r="D339" s="619">
        <v>49.4</v>
      </c>
      <c r="E339" s="619">
        <v>50.8</v>
      </c>
      <c r="F339" s="619">
        <v>40.549999999999997</v>
      </c>
      <c r="G339" s="619">
        <v>41.6</v>
      </c>
      <c r="H339" s="619">
        <v>31.55</v>
      </c>
      <c r="I339" s="619">
        <v>32.25</v>
      </c>
      <c r="J339" s="599" t="str">
        <f t="shared" si="5"/>
        <v>H</v>
      </c>
    </row>
    <row r="340" spans="1:10">
      <c r="A340" s="596">
        <v>41976</v>
      </c>
      <c r="B340" s="599">
        <v>12</v>
      </c>
      <c r="C340" s="599">
        <v>3</v>
      </c>
      <c r="D340" s="619">
        <v>50.8</v>
      </c>
      <c r="E340" s="619">
        <v>51.3</v>
      </c>
      <c r="F340" s="619">
        <v>43.35</v>
      </c>
      <c r="G340" s="619">
        <v>44.95</v>
      </c>
      <c r="H340" s="619">
        <v>35.549999999999997</v>
      </c>
      <c r="I340" s="619">
        <v>38.049999999999997</v>
      </c>
      <c r="J340" s="599" t="str">
        <f t="shared" si="5"/>
        <v>H</v>
      </c>
    </row>
    <row r="341" spans="1:10">
      <c r="A341" s="596">
        <v>41977</v>
      </c>
      <c r="B341" s="599">
        <v>12</v>
      </c>
      <c r="C341" s="599">
        <v>4</v>
      </c>
      <c r="D341" s="619">
        <v>48.85</v>
      </c>
      <c r="E341" s="619">
        <v>50.421052631578945</v>
      </c>
      <c r="F341" s="619">
        <v>42.05</v>
      </c>
      <c r="G341" s="619">
        <v>43.789473684210527</v>
      </c>
      <c r="H341" s="619">
        <v>35</v>
      </c>
      <c r="I341" s="619">
        <v>36.789473684210527</v>
      </c>
      <c r="J341" s="599" t="str">
        <f t="shared" si="5"/>
        <v>H</v>
      </c>
    </row>
    <row r="342" spans="1:10">
      <c r="A342" s="596">
        <v>41978</v>
      </c>
      <c r="B342" s="599">
        <v>12</v>
      </c>
      <c r="C342" s="599">
        <v>5</v>
      </c>
      <c r="D342" s="619">
        <v>45.25</v>
      </c>
      <c r="E342" s="619">
        <v>46.263157894736842</v>
      </c>
      <c r="F342" s="619">
        <v>38.6</v>
      </c>
      <c r="G342" s="619">
        <v>40.210526315789473</v>
      </c>
      <c r="H342" s="619">
        <v>31.5</v>
      </c>
      <c r="I342" s="619">
        <v>33.842105263157897</v>
      </c>
      <c r="J342" s="599" t="str">
        <f t="shared" si="5"/>
        <v>H</v>
      </c>
    </row>
    <row r="343" spans="1:10">
      <c r="A343" s="596">
        <v>41979</v>
      </c>
      <c r="B343" s="599">
        <v>12</v>
      </c>
      <c r="C343" s="599">
        <v>6</v>
      </c>
      <c r="D343" s="619">
        <v>42</v>
      </c>
      <c r="E343" s="619">
        <v>44.8</v>
      </c>
      <c r="F343" s="619">
        <v>35.75</v>
      </c>
      <c r="G343" s="619">
        <v>38.1</v>
      </c>
      <c r="H343" s="619">
        <v>29.2</v>
      </c>
      <c r="I343" s="619">
        <v>31.3</v>
      </c>
      <c r="J343" s="599" t="str">
        <f t="shared" si="5"/>
        <v>H</v>
      </c>
    </row>
    <row r="344" spans="1:10">
      <c r="A344" s="596">
        <v>41980</v>
      </c>
      <c r="B344" s="599">
        <v>12</v>
      </c>
      <c r="C344" s="599">
        <v>7</v>
      </c>
      <c r="D344" s="619">
        <v>42.85</v>
      </c>
      <c r="E344" s="619">
        <v>45.05</v>
      </c>
      <c r="F344" s="619">
        <v>36.5</v>
      </c>
      <c r="G344" s="619">
        <v>38.200000000000003</v>
      </c>
      <c r="H344" s="619">
        <v>29.4</v>
      </c>
      <c r="I344" s="619">
        <v>31.05</v>
      </c>
      <c r="J344" s="599" t="str">
        <f t="shared" si="5"/>
        <v>H</v>
      </c>
    </row>
    <row r="345" spans="1:10">
      <c r="A345" s="596">
        <v>41981</v>
      </c>
      <c r="B345" s="599">
        <v>12</v>
      </c>
      <c r="C345" s="599">
        <v>8</v>
      </c>
      <c r="D345" s="619">
        <v>42.45</v>
      </c>
      <c r="E345" s="619">
        <v>44.1</v>
      </c>
      <c r="F345" s="619">
        <v>35.65</v>
      </c>
      <c r="G345" s="619">
        <v>37.5</v>
      </c>
      <c r="H345" s="619">
        <v>28.55</v>
      </c>
      <c r="I345" s="619">
        <v>30.65</v>
      </c>
      <c r="J345" s="599" t="str">
        <f t="shared" si="5"/>
        <v>H</v>
      </c>
    </row>
    <row r="346" spans="1:10">
      <c r="A346" s="596">
        <v>41982</v>
      </c>
      <c r="B346" s="599">
        <v>12</v>
      </c>
      <c r="C346" s="599">
        <v>9</v>
      </c>
      <c r="D346" s="619">
        <v>47.25</v>
      </c>
      <c r="E346" s="619">
        <v>47.75</v>
      </c>
      <c r="F346" s="619">
        <v>38.799999999999997</v>
      </c>
      <c r="G346" s="619">
        <v>39.4</v>
      </c>
      <c r="H346" s="619">
        <v>29.95</v>
      </c>
      <c r="I346" s="619">
        <v>30.85</v>
      </c>
      <c r="J346" s="599" t="str">
        <f t="shared" si="5"/>
        <v>H</v>
      </c>
    </row>
    <row r="347" spans="1:10">
      <c r="A347" s="596">
        <v>41983</v>
      </c>
      <c r="B347" s="599">
        <v>12</v>
      </c>
      <c r="C347" s="599">
        <v>10</v>
      </c>
      <c r="D347" s="619">
        <v>46.35</v>
      </c>
      <c r="E347" s="619">
        <v>46.05</v>
      </c>
      <c r="F347" s="619">
        <v>38.15</v>
      </c>
      <c r="G347" s="619">
        <v>38.799999999999997</v>
      </c>
      <c r="H347" s="619">
        <v>29.65</v>
      </c>
      <c r="I347" s="619">
        <v>31.25</v>
      </c>
      <c r="J347" s="599" t="str">
        <f t="shared" si="5"/>
        <v>H</v>
      </c>
    </row>
    <row r="348" spans="1:10">
      <c r="A348" s="596">
        <v>41984</v>
      </c>
      <c r="B348" s="599">
        <v>12</v>
      </c>
      <c r="C348" s="599">
        <v>11</v>
      </c>
      <c r="D348" s="619">
        <v>42.25</v>
      </c>
      <c r="E348" s="619">
        <v>45.15</v>
      </c>
      <c r="F348" s="619">
        <v>36.15</v>
      </c>
      <c r="G348" s="619">
        <v>38.25</v>
      </c>
      <c r="H348" s="619">
        <v>29.85</v>
      </c>
      <c r="I348" s="619">
        <v>31.3</v>
      </c>
      <c r="J348" s="599" t="str">
        <f t="shared" si="5"/>
        <v>H</v>
      </c>
    </row>
    <row r="349" spans="1:10">
      <c r="A349" s="596">
        <v>41985</v>
      </c>
      <c r="B349" s="599">
        <v>12</v>
      </c>
      <c r="C349" s="599">
        <v>12</v>
      </c>
      <c r="D349" s="619">
        <v>44.1</v>
      </c>
      <c r="E349" s="619">
        <v>45.2</v>
      </c>
      <c r="F349" s="619">
        <v>36.85</v>
      </c>
      <c r="G349" s="619">
        <v>38.549999999999997</v>
      </c>
      <c r="H349" s="619">
        <v>29.3</v>
      </c>
      <c r="I349" s="619">
        <v>31.6</v>
      </c>
      <c r="J349" s="599" t="str">
        <f t="shared" si="5"/>
        <v>H</v>
      </c>
    </row>
    <row r="350" spans="1:10">
      <c r="A350" s="596">
        <v>41986</v>
      </c>
      <c r="B350" s="599">
        <v>12</v>
      </c>
      <c r="C350" s="599">
        <v>13</v>
      </c>
      <c r="D350" s="619">
        <v>43.4</v>
      </c>
      <c r="E350" s="619">
        <v>44.6</v>
      </c>
      <c r="F350" s="619">
        <v>37.200000000000003</v>
      </c>
      <c r="G350" s="619">
        <v>38.450000000000003</v>
      </c>
      <c r="H350" s="619">
        <v>30.75</v>
      </c>
      <c r="I350" s="619">
        <v>32.15</v>
      </c>
      <c r="J350" s="599" t="str">
        <f t="shared" si="5"/>
        <v>H</v>
      </c>
    </row>
    <row r="351" spans="1:10">
      <c r="A351" s="596">
        <v>41987</v>
      </c>
      <c r="B351" s="599">
        <v>12</v>
      </c>
      <c r="C351" s="599">
        <v>14</v>
      </c>
      <c r="D351" s="619">
        <v>46.7</v>
      </c>
      <c r="E351" s="619">
        <v>49.45</v>
      </c>
      <c r="F351" s="619">
        <v>39.450000000000003</v>
      </c>
      <c r="G351" s="619">
        <v>41.75</v>
      </c>
      <c r="H351" s="619">
        <v>31.9</v>
      </c>
      <c r="I351" s="619">
        <v>34</v>
      </c>
      <c r="J351" s="599" t="str">
        <f t="shared" si="5"/>
        <v>H</v>
      </c>
    </row>
    <row r="352" spans="1:10">
      <c r="A352" s="596">
        <v>41988</v>
      </c>
      <c r="B352" s="599">
        <v>12</v>
      </c>
      <c r="C352" s="599">
        <v>15</v>
      </c>
      <c r="D352" s="619">
        <v>48.7</v>
      </c>
      <c r="E352" s="619">
        <v>49.8</v>
      </c>
      <c r="F352" s="619">
        <v>39.4</v>
      </c>
      <c r="G352" s="619">
        <v>41.15</v>
      </c>
      <c r="H352" s="619">
        <v>29.95</v>
      </c>
      <c r="I352" s="619">
        <v>32.049999999999997</v>
      </c>
      <c r="J352" s="599" t="str">
        <f t="shared" si="5"/>
        <v>H</v>
      </c>
    </row>
    <row r="353" spans="1:10">
      <c r="A353" s="596">
        <v>41989</v>
      </c>
      <c r="B353" s="599">
        <v>12</v>
      </c>
      <c r="C353" s="599">
        <v>16</v>
      </c>
      <c r="D353" s="619">
        <v>46.6</v>
      </c>
      <c r="E353" s="619">
        <v>46.9</v>
      </c>
      <c r="F353" s="619">
        <v>39.65</v>
      </c>
      <c r="G353" s="619">
        <v>40.25</v>
      </c>
      <c r="H353" s="619">
        <v>32.4</v>
      </c>
      <c r="I353" s="619">
        <v>33.450000000000003</v>
      </c>
      <c r="J353" s="599" t="str">
        <f t="shared" si="5"/>
        <v>H</v>
      </c>
    </row>
    <row r="354" spans="1:10">
      <c r="A354" s="596">
        <v>41990</v>
      </c>
      <c r="B354" s="599">
        <v>12</v>
      </c>
      <c r="C354" s="599">
        <v>17</v>
      </c>
      <c r="D354" s="619">
        <v>45.4</v>
      </c>
      <c r="E354" s="619">
        <v>46.3</v>
      </c>
      <c r="F354" s="619">
        <v>38.799999999999997</v>
      </c>
      <c r="G354" s="619">
        <v>40.200000000000003</v>
      </c>
      <c r="H354" s="619">
        <v>31.75</v>
      </c>
      <c r="I354" s="619">
        <v>33.700000000000003</v>
      </c>
      <c r="J354" s="599" t="str">
        <f t="shared" si="5"/>
        <v>H</v>
      </c>
    </row>
    <row r="355" spans="1:10">
      <c r="A355" s="596">
        <v>41991</v>
      </c>
      <c r="B355" s="599">
        <v>12</v>
      </c>
      <c r="C355" s="599">
        <v>18</v>
      </c>
      <c r="D355" s="619">
        <v>43.85</v>
      </c>
      <c r="E355" s="619">
        <v>45.5</v>
      </c>
      <c r="F355" s="619">
        <v>37.700000000000003</v>
      </c>
      <c r="G355" s="619">
        <v>39.1</v>
      </c>
      <c r="H355" s="619">
        <v>31.35</v>
      </c>
      <c r="I355" s="619">
        <v>32.25</v>
      </c>
      <c r="J355" s="599" t="str">
        <f t="shared" si="5"/>
        <v>H</v>
      </c>
    </row>
    <row r="356" spans="1:10">
      <c r="A356" s="596">
        <v>41992</v>
      </c>
      <c r="B356" s="599">
        <v>12</v>
      </c>
      <c r="C356" s="599">
        <v>19</v>
      </c>
      <c r="D356" s="619">
        <v>44.15</v>
      </c>
      <c r="E356" s="619">
        <v>44.35</v>
      </c>
      <c r="F356" s="619">
        <v>37.049999999999997</v>
      </c>
      <c r="G356" s="619">
        <v>37.700000000000003</v>
      </c>
      <c r="H356" s="619">
        <v>29.45</v>
      </c>
      <c r="I356" s="619">
        <v>30.5</v>
      </c>
      <c r="J356" s="599" t="str">
        <f t="shared" si="5"/>
        <v>H</v>
      </c>
    </row>
    <row r="357" spans="1:10">
      <c r="A357" s="596">
        <v>41993</v>
      </c>
      <c r="B357" s="599">
        <v>12</v>
      </c>
      <c r="C357" s="599">
        <v>20</v>
      </c>
      <c r="D357" s="619">
        <v>41.45</v>
      </c>
      <c r="E357" s="619">
        <v>42.9</v>
      </c>
      <c r="F357" s="619">
        <v>33.700000000000003</v>
      </c>
      <c r="G357" s="619">
        <v>35.9</v>
      </c>
      <c r="H357" s="619">
        <v>25.8</v>
      </c>
      <c r="I357" s="619">
        <v>28.65</v>
      </c>
      <c r="J357" s="599" t="str">
        <f t="shared" si="5"/>
        <v>H</v>
      </c>
    </row>
    <row r="358" spans="1:10">
      <c r="A358" s="596">
        <v>41994</v>
      </c>
      <c r="B358" s="599">
        <v>12</v>
      </c>
      <c r="C358" s="599">
        <v>21</v>
      </c>
      <c r="D358" s="619">
        <v>43.3</v>
      </c>
      <c r="E358" s="619">
        <v>45.35</v>
      </c>
      <c r="F358" s="619">
        <v>35.5</v>
      </c>
      <c r="G358" s="619">
        <v>37.85</v>
      </c>
      <c r="H358" s="619">
        <v>27.4</v>
      </c>
      <c r="I358" s="619">
        <v>30.2</v>
      </c>
      <c r="J358" s="599" t="str">
        <f t="shared" si="5"/>
        <v>H</v>
      </c>
    </row>
    <row r="359" spans="1:10">
      <c r="A359" s="596">
        <v>41995</v>
      </c>
      <c r="B359" s="599">
        <v>12</v>
      </c>
      <c r="C359" s="599">
        <v>22</v>
      </c>
      <c r="D359" s="619">
        <v>43.6</v>
      </c>
      <c r="E359" s="619">
        <v>45.45</v>
      </c>
      <c r="F359" s="619">
        <v>36.15</v>
      </c>
      <c r="G359" s="619">
        <v>38.049999999999997</v>
      </c>
      <c r="H359" s="619">
        <v>28.2</v>
      </c>
      <c r="I359" s="619">
        <v>30.6</v>
      </c>
      <c r="J359" s="599" t="str">
        <f t="shared" si="5"/>
        <v>H</v>
      </c>
    </row>
    <row r="360" spans="1:10">
      <c r="A360" s="596">
        <v>41996</v>
      </c>
      <c r="B360" s="599">
        <v>12</v>
      </c>
      <c r="C360" s="599">
        <v>23</v>
      </c>
      <c r="D360" s="619">
        <v>42.9</v>
      </c>
      <c r="E360" s="619">
        <v>44.95</v>
      </c>
      <c r="F360" s="619">
        <v>35.9</v>
      </c>
      <c r="G360" s="619">
        <v>37.75</v>
      </c>
      <c r="H360" s="619">
        <v>28.25</v>
      </c>
      <c r="I360" s="619">
        <v>30.25</v>
      </c>
      <c r="J360" s="599" t="str">
        <f t="shared" si="5"/>
        <v>H</v>
      </c>
    </row>
    <row r="361" spans="1:10">
      <c r="A361" s="596">
        <v>41997</v>
      </c>
      <c r="B361" s="599">
        <v>12</v>
      </c>
      <c r="C361" s="599">
        <v>24</v>
      </c>
      <c r="D361" s="619">
        <v>38.9</v>
      </c>
      <c r="E361" s="619">
        <v>40.25</v>
      </c>
      <c r="F361" s="619">
        <v>32.5</v>
      </c>
      <c r="G361" s="619">
        <v>34.35</v>
      </c>
      <c r="H361" s="619">
        <v>25.95</v>
      </c>
      <c r="I361" s="619">
        <v>27.85</v>
      </c>
      <c r="J361" s="599" t="str">
        <f t="shared" si="5"/>
        <v>H</v>
      </c>
    </row>
    <row r="362" spans="1:10">
      <c r="A362" s="596">
        <v>41998</v>
      </c>
      <c r="B362" s="599">
        <v>12</v>
      </c>
      <c r="C362" s="599">
        <v>25</v>
      </c>
      <c r="D362" s="619">
        <v>37.25</v>
      </c>
      <c r="E362" s="619">
        <v>38.299999999999997</v>
      </c>
      <c r="F362" s="619">
        <v>30.4</v>
      </c>
      <c r="G362" s="619">
        <v>31.7</v>
      </c>
      <c r="H362" s="619">
        <v>23.25</v>
      </c>
      <c r="I362" s="619">
        <v>24.8</v>
      </c>
      <c r="J362" s="599" t="str">
        <f t="shared" si="5"/>
        <v>H</v>
      </c>
    </row>
    <row r="363" spans="1:10">
      <c r="A363" s="596">
        <v>41999</v>
      </c>
      <c r="B363" s="599">
        <v>12</v>
      </c>
      <c r="C363" s="599">
        <v>26</v>
      </c>
      <c r="D363" s="619">
        <v>38.049999999999997</v>
      </c>
      <c r="E363" s="619">
        <v>38.85</v>
      </c>
      <c r="F363" s="619">
        <v>30.7</v>
      </c>
      <c r="G363" s="619">
        <v>32.35</v>
      </c>
      <c r="H363" s="619">
        <v>23.15</v>
      </c>
      <c r="I363" s="619">
        <v>25.55</v>
      </c>
      <c r="J363" s="599" t="str">
        <f t="shared" si="5"/>
        <v>H</v>
      </c>
    </row>
    <row r="364" spans="1:10">
      <c r="A364" s="596">
        <v>42000</v>
      </c>
      <c r="B364" s="599">
        <v>12</v>
      </c>
      <c r="C364" s="599">
        <v>27</v>
      </c>
      <c r="D364" s="619">
        <v>39.950000000000003</v>
      </c>
      <c r="E364" s="619">
        <v>41.5</v>
      </c>
      <c r="F364" s="619">
        <v>33.5</v>
      </c>
      <c r="G364" s="619">
        <v>34.65</v>
      </c>
      <c r="H364" s="619">
        <v>26.65</v>
      </c>
      <c r="I364" s="619">
        <v>28.05</v>
      </c>
      <c r="J364" s="599" t="str">
        <f t="shared" si="5"/>
        <v>H</v>
      </c>
    </row>
    <row r="365" spans="1:10">
      <c r="A365" s="596">
        <v>42001</v>
      </c>
      <c r="B365" s="599">
        <v>12</v>
      </c>
      <c r="C365" s="599">
        <v>28</v>
      </c>
      <c r="D365" s="619">
        <v>44.8</v>
      </c>
      <c r="E365" s="619">
        <v>46.5</v>
      </c>
      <c r="F365" s="619">
        <v>36.65</v>
      </c>
      <c r="G365" s="619">
        <v>38.299999999999997</v>
      </c>
      <c r="H365" s="619">
        <v>28.2</v>
      </c>
      <c r="I365" s="619">
        <v>30</v>
      </c>
      <c r="J365" s="599" t="str">
        <f t="shared" si="5"/>
        <v>H</v>
      </c>
    </row>
    <row r="366" spans="1:10">
      <c r="A366" s="596">
        <v>42002</v>
      </c>
      <c r="B366" s="599">
        <v>12</v>
      </c>
      <c r="C366" s="599">
        <v>29</v>
      </c>
      <c r="D366" s="619">
        <v>43.85</v>
      </c>
      <c r="E366" s="619">
        <v>45.7</v>
      </c>
      <c r="F366" s="619">
        <v>36.85</v>
      </c>
      <c r="G366" s="619">
        <v>37.950000000000003</v>
      </c>
      <c r="H366" s="619">
        <v>29.4</v>
      </c>
      <c r="I366" s="619">
        <v>29.85</v>
      </c>
      <c r="J366" s="599" t="str">
        <f t="shared" si="5"/>
        <v>H</v>
      </c>
    </row>
    <row r="367" spans="1:10">
      <c r="A367" s="596">
        <v>42003</v>
      </c>
      <c r="B367" s="599">
        <v>12</v>
      </c>
      <c r="C367" s="599">
        <v>30</v>
      </c>
      <c r="D367" s="619">
        <v>45.35</v>
      </c>
      <c r="E367" s="619">
        <v>46.7</v>
      </c>
      <c r="F367" s="619">
        <v>37.549999999999997</v>
      </c>
      <c r="G367" s="619">
        <v>39.049999999999997</v>
      </c>
      <c r="H367" s="619">
        <v>29.5</v>
      </c>
      <c r="I367" s="619">
        <v>31.65</v>
      </c>
      <c r="J367" s="599" t="str">
        <f t="shared" si="5"/>
        <v>H</v>
      </c>
    </row>
    <row r="368" spans="1:10">
      <c r="A368" s="596">
        <v>42004</v>
      </c>
      <c r="B368" s="599">
        <v>12</v>
      </c>
      <c r="C368" s="599">
        <v>31</v>
      </c>
      <c r="D368" s="619">
        <v>46.7</v>
      </c>
      <c r="E368" s="619">
        <v>48</v>
      </c>
      <c r="F368" s="619">
        <v>39.6</v>
      </c>
      <c r="G368" s="619">
        <v>41.1</v>
      </c>
      <c r="H368" s="619">
        <v>32.1</v>
      </c>
      <c r="I368" s="619">
        <v>33.85</v>
      </c>
      <c r="J368" s="599" t="str">
        <f t="shared" si="5"/>
        <v>H</v>
      </c>
    </row>
    <row r="369" spans="1:10">
      <c r="A369" s="596"/>
      <c r="B369" s="597"/>
      <c r="C369" s="597"/>
      <c r="D369" s="598"/>
      <c r="E369" s="598"/>
      <c r="F369" s="598"/>
      <c r="G369" s="598"/>
      <c r="H369" s="598"/>
      <c r="I369" s="598"/>
      <c r="J369" s="599"/>
    </row>
  </sheetData>
  <mergeCells count="3">
    <mergeCell ref="D2:E2"/>
    <mergeCell ref="F2:G2"/>
    <mergeCell ref="H2:I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"/>
  <sheetViews>
    <sheetView showGridLines="0" zoomScale="90" zoomScaleNormal="90" workbookViewId="0">
      <selection activeCell="L36" sqref="L36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"/>
  <sheetViews>
    <sheetView showGridLines="0" zoomScale="90" zoomScaleNormal="90" workbookViewId="0">
      <selection activeCell="J45" sqref="J45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Year to Date</vt:lpstr>
      <vt:lpstr>2014 Budget</vt:lpstr>
      <vt:lpstr>Daily Budget Data</vt:lpstr>
      <vt:lpstr>Monthly Budget Data</vt:lpstr>
      <vt:lpstr>OSS Summary</vt:lpstr>
      <vt:lpstr>Sales Analysis</vt:lpstr>
      <vt:lpstr>Input Data</vt:lpstr>
      <vt:lpstr>Load Temp Charts</vt:lpstr>
      <vt:lpstr>Chart Data</vt:lpstr>
      <vt:lpstr>Daily Historical Avg Temp</vt:lpstr>
      <vt:lpstr>MTD Avg Temp Charts</vt:lpstr>
      <vt:lpstr>MTD Min-Max Temp Charts</vt:lpstr>
      <vt:lpstr>'2014 Budget'!Print_Area</vt:lpstr>
      <vt:lpstr>'Input Data'!Print_Area</vt:lpstr>
      <vt:lpstr>'OSS Summary'!Print_Area</vt:lpstr>
      <vt:lpstr>'Sales Analysis'!Print_Area</vt:lpstr>
      <vt:lpstr>'Year to Date'!Print_Area</vt:lpstr>
      <vt:lpstr>'Sales Analysis'!Print_Titles</vt:lpstr>
    </vt:vector>
  </TitlesOfParts>
  <Company>LG&amp;E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Spaulding</dc:creator>
  <cp:lastModifiedBy>Spaulding, Jeffrey</cp:lastModifiedBy>
  <cp:lastPrinted>2014-11-20T14:01:58Z</cp:lastPrinted>
  <dcterms:created xsi:type="dcterms:W3CDTF">2003-02-16T12:32:55Z</dcterms:created>
  <dcterms:modified xsi:type="dcterms:W3CDTF">2014-11-24T12:53:46Z</dcterms:modified>
</cp:coreProperties>
</file>