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435" windowWidth="20730" windowHeight="11760" tabRatio="689"/>
  </bookViews>
  <sheets>
    <sheet name="Summary by Co" sheetId="12" r:id="rId1"/>
    <sheet name="Outages by Unit" sheetId="10" r:id="rId2"/>
    <sheet name="Actuals 2009 - 2013" sheetId="15" r:id="rId3"/>
    <sheet name="2014FC-8and4" sheetId="17" r:id="rId4"/>
    <sheet name="KU-LGE Rating" sheetId="16" r:id="rId5"/>
    <sheet name="Orgs" sheetId="4" r:id="rId6"/>
  </sheets>
  <definedNames>
    <definedName name="_xlnm._FilterDatabase" localSheetId="3" hidden="1">'2014FC-8and4'!$A$2:$AZ$230</definedName>
    <definedName name="_xlnm._FilterDatabase" localSheetId="2" hidden="1">'Actuals 2009 - 2013'!$A$2:$S$143</definedName>
    <definedName name="_xlnm.Print_Area" localSheetId="4">'KU-LGE Rating'!$A$1:$Q$128</definedName>
    <definedName name="_xlnm.Print_Area" localSheetId="1">'Outages by Unit'!$A$1:$L$103</definedName>
    <definedName name="_xlnm.Print_Area" localSheetId="0">'Summary by Co'!$A$1:$L$40</definedName>
    <definedName name="Print_gross">'KU-LGE Rating'!#REF!</definedName>
    <definedName name="Print_net">'KU-LGE Rating'!$A$1:$N$75</definedName>
    <definedName name="_xlnm.Print_Titles" localSheetId="1">'Outages by Unit'!$1:$5</definedName>
    <definedName name="Rate_Case" localSheetId="3">'2014FC-8and4'!$A$2:$U$229</definedName>
    <definedName name="Rate_Case_1" localSheetId="2">'Actuals 2009 - 2013'!$A$2:$K$143</definedName>
  </definedNames>
  <calcPr calcId="145621"/>
</workbook>
</file>

<file path=xl/calcChain.xml><?xml version="1.0" encoding="utf-8"?>
<calcChain xmlns="http://schemas.openxmlformats.org/spreadsheetml/2006/main">
  <c r="F36" i="12" l="1"/>
  <c r="E36" i="12"/>
  <c r="D36" i="12"/>
  <c r="C36" i="12"/>
  <c r="B36" i="12"/>
  <c r="L94" i="10" l="1"/>
  <c r="K94" i="10"/>
  <c r="J94" i="10"/>
  <c r="I94" i="10"/>
  <c r="H94" i="10"/>
  <c r="G94" i="10"/>
  <c r="L60" i="10"/>
  <c r="K60" i="10"/>
  <c r="J60" i="10"/>
  <c r="I60" i="10"/>
  <c r="H60" i="10"/>
  <c r="G60" i="10"/>
  <c r="L30" i="10"/>
  <c r="K30" i="10"/>
  <c r="J30" i="10"/>
  <c r="I30" i="10"/>
  <c r="H30" i="10"/>
  <c r="G30" i="10"/>
  <c r="L29" i="10"/>
  <c r="K29" i="10"/>
  <c r="J29" i="10"/>
  <c r="I29" i="10"/>
  <c r="H29" i="10"/>
  <c r="G29" i="10"/>
  <c r="L26" i="10"/>
  <c r="K26" i="10"/>
  <c r="J26" i="10"/>
  <c r="I26" i="10"/>
  <c r="H26" i="10"/>
  <c r="G26" i="10"/>
  <c r="L21" i="10"/>
  <c r="K21" i="10"/>
  <c r="J21" i="10"/>
  <c r="I21" i="10"/>
  <c r="H21" i="10"/>
  <c r="G21" i="10"/>
  <c r="L14" i="10"/>
  <c r="K14" i="10"/>
  <c r="J14" i="10"/>
  <c r="I14" i="10"/>
  <c r="H14" i="10"/>
  <c r="G14" i="10"/>
  <c r="AP4" i="17"/>
  <c r="AP5" i="17"/>
  <c r="AP6" i="17"/>
  <c r="AP7" i="17"/>
  <c r="AP8" i="17"/>
  <c r="AP9" i="17"/>
  <c r="AP10" i="17"/>
  <c r="AP11" i="17"/>
  <c r="AP12" i="17"/>
  <c r="AP13" i="17"/>
  <c r="AP14" i="17"/>
  <c r="AP15" i="17"/>
  <c r="AP16" i="17"/>
  <c r="AP17" i="17"/>
  <c r="AP18" i="17"/>
  <c r="AP19" i="17"/>
  <c r="AP20" i="17"/>
  <c r="AP21" i="17"/>
  <c r="AP22" i="17"/>
  <c r="AP23" i="17"/>
  <c r="AP24" i="17"/>
  <c r="AP25" i="17"/>
  <c r="AP26" i="17"/>
  <c r="AP27" i="17"/>
  <c r="AP28" i="17"/>
  <c r="AP29" i="17"/>
  <c r="AP30" i="17"/>
  <c r="AP31" i="17"/>
  <c r="AP32" i="17"/>
  <c r="AP33" i="17"/>
  <c r="AP34" i="17"/>
  <c r="AP35" i="17"/>
  <c r="AP36" i="17"/>
  <c r="AP37" i="17"/>
  <c r="AP38" i="17"/>
  <c r="AP39" i="17"/>
  <c r="AP40" i="17"/>
  <c r="AP41" i="17"/>
  <c r="AP42" i="17"/>
  <c r="AP43" i="17"/>
  <c r="AP44" i="17"/>
  <c r="AP45" i="17"/>
  <c r="AP46" i="17"/>
  <c r="AP47" i="17"/>
  <c r="AP48" i="17"/>
  <c r="AP49" i="17"/>
  <c r="AP50" i="17"/>
  <c r="AP51" i="17"/>
  <c r="AP52" i="17"/>
  <c r="AP53" i="17"/>
  <c r="AP54" i="17"/>
  <c r="AP55" i="17"/>
  <c r="AP56" i="17"/>
  <c r="AP57" i="17"/>
  <c r="AP58" i="17"/>
  <c r="AP59" i="17"/>
  <c r="AP60" i="17"/>
  <c r="AP61" i="17"/>
  <c r="AP62" i="17"/>
  <c r="AP63" i="17"/>
  <c r="AP64" i="17"/>
  <c r="AP65" i="17"/>
  <c r="AP66" i="17"/>
  <c r="AP67" i="17"/>
  <c r="AP68" i="17"/>
  <c r="AP69" i="17"/>
  <c r="AP70" i="17"/>
  <c r="AP71" i="17"/>
  <c r="AP72" i="17"/>
  <c r="AP73" i="17"/>
  <c r="AP74" i="17"/>
  <c r="AP75" i="17"/>
  <c r="AP76" i="17"/>
  <c r="AP77" i="17"/>
  <c r="AP78" i="17"/>
  <c r="AP79" i="17"/>
  <c r="AP80" i="17"/>
  <c r="AP81" i="17"/>
  <c r="AP82" i="17"/>
  <c r="AP83" i="17"/>
  <c r="AP84" i="17"/>
  <c r="AP85" i="17"/>
  <c r="AP86" i="17"/>
  <c r="AP87" i="17"/>
  <c r="AP88" i="17"/>
  <c r="AP89" i="17"/>
  <c r="AP90" i="17"/>
  <c r="AP91" i="17"/>
  <c r="AP92" i="17"/>
  <c r="AP93" i="17"/>
  <c r="AP94" i="17"/>
  <c r="AP95" i="17"/>
  <c r="AP96" i="17"/>
  <c r="AP97" i="17"/>
  <c r="AP98" i="17"/>
  <c r="AP99" i="17"/>
  <c r="AP100" i="17"/>
  <c r="AP101" i="17"/>
  <c r="AP102" i="17"/>
  <c r="AP103" i="17"/>
  <c r="AP104" i="17"/>
  <c r="AP105" i="17"/>
  <c r="AP106" i="17"/>
  <c r="AP107" i="17"/>
  <c r="AP108" i="17"/>
  <c r="AP109" i="17"/>
  <c r="AP110" i="17"/>
  <c r="AP111" i="17"/>
  <c r="AP112" i="17"/>
  <c r="AP113" i="17"/>
  <c r="AP114" i="17"/>
  <c r="AP115" i="17"/>
  <c r="AP116" i="17"/>
  <c r="AP117" i="17"/>
  <c r="AP118" i="17"/>
  <c r="AP119" i="17"/>
  <c r="AP120" i="17"/>
  <c r="AP121" i="17"/>
  <c r="AP122" i="17"/>
  <c r="AP123" i="17"/>
  <c r="AP124" i="17"/>
  <c r="AP125" i="17"/>
  <c r="AP126" i="17"/>
  <c r="AP127" i="17"/>
  <c r="AP128" i="17"/>
  <c r="AP129" i="17"/>
  <c r="AP130" i="17"/>
  <c r="AP131" i="17"/>
  <c r="AP132" i="17"/>
  <c r="AP133" i="17"/>
  <c r="AP134" i="17"/>
  <c r="AP135" i="17"/>
  <c r="AP136" i="17"/>
  <c r="AP137" i="17"/>
  <c r="AP138" i="17"/>
  <c r="AP139" i="17"/>
  <c r="AP140" i="17"/>
  <c r="AP141" i="17"/>
  <c r="AP142" i="17"/>
  <c r="AP143" i="17"/>
  <c r="AP144" i="17"/>
  <c r="AP145" i="17"/>
  <c r="AP146" i="17"/>
  <c r="AP147" i="17"/>
  <c r="AP148" i="17"/>
  <c r="AP149" i="17"/>
  <c r="AP150" i="17"/>
  <c r="AP151" i="17"/>
  <c r="AP152" i="17"/>
  <c r="AP153" i="17"/>
  <c r="AP154" i="17"/>
  <c r="AP155" i="17"/>
  <c r="AP156" i="17"/>
  <c r="AP157" i="17"/>
  <c r="AP158" i="17"/>
  <c r="AP159" i="17"/>
  <c r="AP160" i="17"/>
  <c r="AP161" i="17"/>
  <c r="AP162" i="17"/>
  <c r="AP163" i="17"/>
  <c r="AP164" i="17"/>
  <c r="AP165" i="17"/>
  <c r="AP166" i="17"/>
  <c r="AP167" i="17"/>
  <c r="AP168" i="17"/>
  <c r="AP169" i="17"/>
  <c r="AP170" i="17"/>
  <c r="AP171" i="17"/>
  <c r="AP172" i="17"/>
  <c r="AP173" i="17"/>
  <c r="AP174" i="17"/>
  <c r="AP175" i="17"/>
  <c r="AP176" i="17"/>
  <c r="AP177" i="17"/>
  <c r="AP178" i="17"/>
  <c r="AP179" i="17"/>
  <c r="AP180" i="17"/>
  <c r="AP181" i="17"/>
  <c r="AP182" i="17"/>
  <c r="AP183" i="17"/>
  <c r="AP184" i="17"/>
  <c r="AP185" i="17"/>
  <c r="AP186" i="17"/>
  <c r="AP187" i="17"/>
  <c r="AP188" i="17"/>
  <c r="AP189" i="17"/>
  <c r="AP190" i="17"/>
  <c r="AP191" i="17"/>
  <c r="AP192" i="17"/>
  <c r="AP193" i="17"/>
  <c r="AP194" i="17"/>
  <c r="AP195" i="17"/>
  <c r="AP196" i="17"/>
  <c r="AP197" i="17"/>
  <c r="AP198" i="17"/>
  <c r="AP199" i="17"/>
  <c r="AP200" i="17"/>
  <c r="AP201" i="17"/>
  <c r="AP202" i="17"/>
  <c r="AP203" i="17"/>
  <c r="AP204" i="17"/>
  <c r="AP205" i="17"/>
  <c r="AP206" i="17"/>
  <c r="AP207" i="17"/>
  <c r="AP208" i="17"/>
  <c r="AP209" i="17"/>
  <c r="AP210" i="17"/>
  <c r="AP211" i="17"/>
  <c r="AP212" i="17"/>
  <c r="AP213" i="17"/>
  <c r="AP214" i="17"/>
  <c r="AP215" i="17"/>
  <c r="AP216" i="17"/>
  <c r="AP217" i="17"/>
  <c r="AP218" i="17"/>
  <c r="AP219" i="17"/>
  <c r="AP220" i="17"/>
  <c r="AP221" i="17"/>
  <c r="AP222" i="17"/>
  <c r="AP223" i="17"/>
  <c r="AP224" i="17"/>
  <c r="AP225" i="17"/>
  <c r="AP226" i="17"/>
  <c r="AP227" i="17"/>
  <c r="AP228" i="17"/>
  <c r="AP229" i="17"/>
  <c r="AP230" i="17"/>
  <c r="AP3" i="17"/>
  <c r="AO4" i="17"/>
  <c r="AO5" i="17"/>
  <c r="AO6" i="17"/>
  <c r="AO7" i="17"/>
  <c r="AO8" i="17"/>
  <c r="AO9" i="17"/>
  <c r="AO10" i="17"/>
  <c r="AO11" i="17"/>
  <c r="AO12" i="17"/>
  <c r="AO13" i="17"/>
  <c r="AO14" i="17"/>
  <c r="AO15" i="17"/>
  <c r="AO16" i="17"/>
  <c r="AO17" i="17"/>
  <c r="AO18" i="17"/>
  <c r="AO19" i="17"/>
  <c r="AO20" i="17"/>
  <c r="AO21" i="17"/>
  <c r="AO22" i="17"/>
  <c r="AO23" i="17"/>
  <c r="AO24" i="17"/>
  <c r="AO25" i="17"/>
  <c r="AO26" i="17"/>
  <c r="AO27" i="17"/>
  <c r="AO28" i="17"/>
  <c r="AO29" i="17"/>
  <c r="AO30" i="17"/>
  <c r="AO31" i="17"/>
  <c r="AO32" i="17"/>
  <c r="AO33" i="17"/>
  <c r="AO34" i="17"/>
  <c r="AO35" i="17"/>
  <c r="AO36" i="17"/>
  <c r="AO37" i="17"/>
  <c r="AO38" i="17"/>
  <c r="AO39" i="17"/>
  <c r="AO40" i="17"/>
  <c r="AO41" i="17"/>
  <c r="AO42" i="17"/>
  <c r="AO43" i="17"/>
  <c r="AO44" i="17"/>
  <c r="AO45" i="17"/>
  <c r="AO46" i="17"/>
  <c r="AO47" i="17"/>
  <c r="AO48" i="17"/>
  <c r="AO49" i="17"/>
  <c r="AO50" i="17"/>
  <c r="AO51" i="17"/>
  <c r="AO52" i="17"/>
  <c r="AO53" i="17"/>
  <c r="AO54" i="17"/>
  <c r="AO55" i="17"/>
  <c r="AO56" i="17"/>
  <c r="AO57" i="17"/>
  <c r="AO58" i="17"/>
  <c r="AO59" i="17"/>
  <c r="AO60" i="17"/>
  <c r="AO61" i="17"/>
  <c r="AO62" i="17"/>
  <c r="AO63" i="17"/>
  <c r="AO64" i="17"/>
  <c r="AO65" i="17"/>
  <c r="AO66" i="17"/>
  <c r="AO67" i="17"/>
  <c r="AO68" i="17"/>
  <c r="AO69" i="17"/>
  <c r="AO70" i="17"/>
  <c r="AO71" i="17"/>
  <c r="AO72" i="17"/>
  <c r="AO73" i="17"/>
  <c r="AO74" i="17"/>
  <c r="AO75" i="17"/>
  <c r="AO76" i="17"/>
  <c r="AO77" i="17"/>
  <c r="AO78" i="17"/>
  <c r="AO79" i="17"/>
  <c r="AO80" i="17"/>
  <c r="AO81" i="17"/>
  <c r="AO82" i="17"/>
  <c r="AO83" i="17"/>
  <c r="AO84" i="17"/>
  <c r="AO85" i="17"/>
  <c r="AO86" i="17"/>
  <c r="AO87" i="17"/>
  <c r="AO88" i="17"/>
  <c r="AO89" i="17"/>
  <c r="AO90" i="17"/>
  <c r="AO91" i="17"/>
  <c r="AO92" i="17"/>
  <c r="AO93" i="17"/>
  <c r="AO94" i="17"/>
  <c r="AO95" i="17"/>
  <c r="AO96" i="17"/>
  <c r="AO97" i="17"/>
  <c r="AO98" i="17"/>
  <c r="AO99" i="17"/>
  <c r="AO100" i="17"/>
  <c r="AO101" i="17"/>
  <c r="AO102" i="17"/>
  <c r="AO103" i="17"/>
  <c r="AO104" i="17"/>
  <c r="AO105" i="17"/>
  <c r="AO106" i="17"/>
  <c r="AO107" i="17"/>
  <c r="AO108" i="17"/>
  <c r="AO109" i="17"/>
  <c r="AO110" i="17"/>
  <c r="AO111" i="17"/>
  <c r="AO112" i="17"/>
  <c r="AO113" i="17"/>
  <c r="AO114" i="17"/>
  <c r="AO115" i="17"/>
  <c r="AO116" i="17"/>
  <c r="AO117" i="17"/>
  <c r="AO118" i="17"/>
  <c r="AO119" i="17"/>
  <c r="AO120" i="17"/>
  <c r="AO121" i="17"/>
  <c r="AO122" i="17"/>
  <c r="AO123" i="17"/>
  <c r="AO124" i="17"/>
  <c r="AO125" i="17"/>
  <c r="AO126" i="17"/>
  <c r="AO127" i="17"/>
  <c r="AO128" i="17"/>
  <c r="AO129" i="17"/>
  <c r="AO130" i="17"/>
  <c r="AO131" i="17"/>
  <c r="AO132" i="17"/>
  <c r="AO133" i="17"/>
  <c r="AO134" i="17"/>
  <c r="AO135" i="17"/>
  <c r="AO136" i="17"/>
  <c r="AO137" i="17"/>
  <c r="AO138" i="17"/>
  <c r="AO139" i="17"/>
  <c r="AO140" i="17"/>
  <c r="AO141" i="17"/>
  <c r="AO142" i="17"/>
  <c r="AO143" i="17"/>
  <c r="AO144" i="17"/>
  <c r="AO145" i="17"/>
  <c r="AO146" i="17"/>
  <c r="AO147" i="17"/>
  <c r="L96" i="10" s="1"/>
  <c r="AO148" i="17"/>
  <c r="AO149" i="17"/>
  <c r="AO150" i="17"/>
  <c r="AO151" i="17"/>
  <c r="AO152" i="17"/>
  <c r="AO153" i="17"/>
  <c r="AO154" i="17"/>
  <c r="AO155" i="17"/>
  <c r="AO156" i="17"/>
  <c r="AO157" i="17"/>
  <c r="AO158" i="17"/>
  <c r="AO159" i="17"/>
  <c r="AO160" i="17"/>
  <c r="AO161" i="17"/>
  <c r="AO162" i="17"/>
  <c r="AO163" i="17"/>
  <c r="AO164" i="17"/>
  <c r="AO165" i="17"/>
  <c r="AO166" i="17"/>
  <c r="AO167" i="17"/>
  <c r="AO168" i="17"/>
  <c r="AO169" i="17"/>
  <c r="AO170" i="17"/>
  <c r="AO171" i="17"/>
  <c r="AO172" i="17"/>
  <c r="AO173" i="17"/>
  <c r="AO174" i="17"/>
  <c r="AO175" i="17"/>
  <c r="AO176" i="17"/>
  <c r="AO177" i="17"/>
  <c r="AO178" i="17"/>
  <c r="AO179" i="17"/>
  <c r="AO180" i="17"/>
  <c r="AO181" i="17"/>
  <c r="AO182" i="17"/>
  <c r="AO183" i="17"/>
  <c r="AO184" i="17"/>
  <c r="AO185" i="17"/>
  <c r="AO186" i="17"/>
  <c r="AO187" i="17"/>
  <c r="AO188" i="17"/>
  <c r="AO189" i="17"/>
  <c r="AO190" i="17"/>
  <c r="AO191" i="17"/>
  <c r="AO192" i="17"/>
  <c r="AO193" i="17"/>
  <c r="AO194" i="17"/>
  <c r="AO195" i="17"/>
  <c r="AO196" i="17"/>
  <c r="AO197" i="17"/>
  <c r="AO198" i="17"/>
  <c r="AO199" i="17"/>
  <c r="AO200" i="17"/>
  <c r="AO201" i="17"/>
  <c r="AO202" i="17"/>
  <c r="AO203" i="17"/>
  <c r="AO204" i="17"/>
  <c r="AO205" i="17"/>
  <c r="AO206" i="17"/>
  <c r="AO207" i="17"/>
  <c r="AO208" i="17"/>
  <c r="AO209" i="17"/>
  <c r="AO210" i="17"/>
  <c r="AO211" i="17"/>
  <c r="AO212" i="17"/>
  <c r="AO213" i="17"/>
  <c r="AO214" i="17"/>
  <c r="AO215" i="17"/>
  <c r="AO216" i="17"/>
  <c r="AO217" i="17"/>
  <c r="AO218" i="17"/>
  <c r="AO219" i="17"/>
  <c r="AO220" i="17"/>
  <c r="AO221" i="17"/>
  <c r="AO222" i="17"/>
  <c r="AO223" i="17"/>
  <c r="AO224" i="17"/>
  <c r="AO225" i="17"/>
  <c r="AO226" i="17"/>
  <c r="AO227" i="17"/>
  <c r="AO228" i="17"/>
  <c r="AO229" i="17"/>
  <c r="AO230" i="17"/>
  <c r="AO3" i="17"/>
  <c r="AN4" i="17"/>
  <c r="AN5" i="17"/>
  <c r="AN6" i="17"/>
  <c r="AN7" i="17"/>
  <c r="AN8" i="17"/>
  <c r="AN9" i="17"/>
  <c r="AN10" i="17"/>
  <c r="AN11" i="17"/>
  <c r="AN12" i="17"/>
  <c r="AN13" i="17"/>
  <c r="AN14" i="17"/>
  <c r="AN15" i="17"/>
  <c r="AN16" i="17"/>
  <c r="AN17" i="17"/>
  <c r="AN18" i="17"/>
  <c r="AN19" i="17"/>
  <c r="AN20" i="17"/>
  <c r="AN21" i="17"/>
  <c r="AN22" i="17"/>
  <c r="AN23" i="17"/>
  <c r="AN24" i="17"/>
  <c r="AN25" i="17"/>
  <c r="AN26" i="17"/>
  <c r="AN27" i="17"/>
  <c r="AN28" i="17"/>
  <c r="AN29" i="17"/>
  <c r="AN30" i="17"/>
  <c r="AN31" i="17"/>
  <c r="AN32" i="17"/>
  <c r="AN33" i="17"/>
  <c r="AN34" i="17"/>
  <c r="AN35" i="17"/>
  <c r="AN36" i="17"/>
  <c r="AN37" i="17"/>
  <c r="AN38" i="17"/>
  <c r="AN39" i="17"/>
  <c r="AN40" i="17"/>
  <c r="AN41" i="17"/>
  <c r="AN42" i="17"/>
  <c r="AN43" i="17"/>
  <c r="AN44" i="17"/>
  <c r="AN45" i="17"/>
  <c r="AN46" i="17"/>
  <c r="AN47" i="17"/>
  <c r="AN48" i="17"/>
  <c r="AN49" i="17"/>
  <c r="AN50" i="17"/>
  <c r="AN51" i="17"/>
  <c r="AN52" i="17"/>
  <c r="AN53" i="17"/>
  <c r="AN54" i="17"/>
  <c r="AN55" i="17"/>
  <c r="AN56" i="17"/>
  <c r="AN57" i="17"/>
  <c r="AN58" i="17"/>
  <c r="AN59" i="17"/>
  <c r="AN60" i="17"/>
  <c r="AN61" i="17"/>
  <c r="AN62" i="17"/>
  <c r="AN63" i="17"/>
  <c r="AN64" i="17"/>
  <c r="AN65" i="17"/>
  <c r="AN66" i="17"/>
  <c r="AN67" i="17"/>
  <c r="AN68" i="17"/>
  <c r="AN69" i="17"/>
  <c r="AN70" i="17"/>
  <c r="AN71" i="17"/>
  <c r="AN72" i="17"/>
  <c r="AN73" i="17"/>
  <c r="AN74" i="17"/>
  <c r="AN75" i="17"/>
  <c r="AN76" i="17"/>
  <c r="AN77" i="17"/>
  <c r="AN78" i="17"/>
  <c r="AN79" i="17"/>
  <c r="AN80" i="17"/>
  <c r="AN81" i="17"/>
  <c r="AN82" i="17"/>
  <c r="AN83" i="17"/>
  <c r="AN84" i="17"/>
  <c r="AN85" i="17"/>
  <c r="AN86" i="17"/>
  <c r="AN87" i="17"/>
  <c r="AN88" i="17"/>
  <c r="AN89" i="17"/>
  <c r="AN90" i="17"/>
  <c r="AN91" i="17"/>
  <c r="AN92" i="17"/>
  <c r="AN93" i="17"/>
  <c r="AN94" i="17"/>
  <c r="AN95" i="17"/>
  <c r="AN96" i="17"/>
  <c r="AN97" i="17"/>
  <c r="AN98" i="17"/>
  <c r="AN99" i="17"/>
  <c r="AN100" i="17"/>
  <c r="AN101" i="17"/>
  <c r="AN102" i="17"/>
  <c r="AN103" i="17"/>
  <c r="AN104" i="17"/>
  <c r="AN105" i="17"/>
  <c r="AN106" i="17"/>
  <c r="AN107" i="17"/>
  <c r="AN108" i="17"/>
  <c r="AN109" i="17"/>
  <c r="AN110" i="17"/>
  <c r="AN111" i="17"/>
  <c r="AN112" i="17"/>
  <c r="AN113" i="17"/>
  <c r="AN114" i="17"/>
  <c r="AN115" i="17"/>
  <c r="AN116" i="17"/>
  <c r="AN117" i="17"/>
  <c r="AN118" i="17"/>
  <c r="AN119" i="17"/>
  <c r="AN120" i="17"/>
  <c r="AN121" i="17"/>
  <c r="AN122" i="17"/>
  <c r="AN123" i="17"/>
  <c r="AN124" i="17"/>
  <c r="AN125" i="17"/>
  <c r="AN126" i="17"/>
  <c r="AN127" i="17"/>
  <c r="AN128" i="17"/>
  <c r="L52" i="10" s="1"/>
  <c r="AN129" i="17"/>
  <c r="AN130" i="17"/>
  <c r="AN131" i="17"/>
  <c r="AN132" i="17"/>
  <c r="AN133" i="17"/>
  <c r="AN134" i="17"/>
  <c r="AN135" i="17"/>
  <c r="AN136" i="17"/>
  <c r="AN137" i="17"/>
  <c r="AN138" i="17"/>
  <c r="AN139" i="17"/>
  <c r="AN140" i="17"/>
  <c r="AN141" i="17"/>
  <c r="AN142" i="17"/>
  <c r="AN143" i="17"/>
  <c r="AN144" i="17"/>
  <c r="AN145" i="17"/>
  <c r="AN146" i="17"/>
  <c r="AN147" i="17"/>
  <c r="L47" i="10" s="1"/>
  <c r="AN148" i="17"/>
  <c r="AN149" i="17"/>
  <c r="AN150" i="17"/>
  <c r="AN151" i="17"/>
  <c r="AN152" i="17"/>
  <c r="AN153" i="17"/>
  <c r="AN154" i="17"/>
  <c r="AN155" i="17"/>
  <c r="AN156" i="17"/>
  <c r="AN157" i="17"/>
  <c r="AN158" i="17"/>
  <c r="AN159" i="17"/>
  <c r="AN160" i="17"/>
  <c r="AN161" i="17"/>
  <c r="AN162" i="17"/>
  <c r="AN163" i="17"/>
  <c r="AN164" i="17"/>
  <c r="AN165" i="17"/>
  <c r="AN166" i="17"/>
  <c r="AN167" i="17"/>
  <c r="AN168" i="17"/>
  <c r="AN169" i="17"/>
  <c r="AN170" i="17"/>
  <c r="AN171" i="17"/>
  <c r="AN172" i="17"/>
  <c r="AN173" i="17"/>
  <c r="AN174" i="17"/>
  <c r="AN175" i="17"/>
  <c r="AN176" i="17"/>
  <c r="AN177" i="17"/>
  <c r="AN178" i="17"/>
  <c r="AN179" i="17"/>
  <c r="AN180" i="17"/>
  <c r="AN181" i="17"/>
  <c r="AN182" i="17"/>
  <c r="AN183" i="17"/>
  <c r="AN184" i="17"/>
  <c r="AN185" i="17"/>
  <c r="AN186" i="17"/>
  <c r="AN187" i="17"/>
  <c r="AN188" i="17"/>
  <c r="AN189" i="17"/>
  <c r="AN190" i="17"/>
  <c r="AN191" i="17"/>
  <c r="AN192" i="17"/>
  <c r="AN193" i="17"/>
  <c r="AN194" i="17"/>
  <c r="AN195" i="17"/>
  <c r="AN196" i="17"/>
  <c r="AN197" i="17"/>
  <c r="AN198" i="17"/>
  <c r="AN199" i="17"/>
  <c r="AN200" i="17"/>
  <c r="AN201" i="17"/>
  <c r="AN202" i="17"/>
  <c r="AN203" i="17"/>
  <c r="AN204" i="17"/>
  <c r="AN205" i="17"/>
  <c r="AN206" i="17"/>
  <c r="AN207" i="17"/>
  <c r="AN208" i="17"/>
  <c r="AN209" i="17"/>
  <c r="AN210" i="17"/>
  <c r="AN211" i="17"/>
  <c r="AN212" i="17"/>
  <c r="AN213" i="17"/>
  <c r="AN214" i="17"/>
  <c r="AN215" i="17"/>
  <c r="AN216" i="17"/>
  <c r="AN217" i="17"/>
  <c r="AN218" i="17"/>
  <c r="AN219" i="17"/>
  <c r="AN220" i="17"/>
  <c r="AN221" i="17"/>
  <c r="AN222" i="17"/>
  <c r="AN223" i="17"/>
  <c r="AN224" i="17"/>
  <c r="AN225" i="17"/>
  <c r="AN226" i="17"/>
  <c r="AN227" i="17"/>
  <c r="AN228" i="17"/>
  <c r="AN229" i="17"/>
  <c r="L55" i="10" s="1"/>
  <c r="AN230" i="17"/>
  <c r="AN3" i="17"/>
  <c r="AM4" i="17"/>
  <c r="AM5" i="17"/>
  <c r="AM6" i="17"/>
  <c r="AM7" i="17"/>
  <c r="AM8" i="17"/>
  <c r="AM9" i="17"/>
  <c r="AM10" i="17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3" i="17"/>
  <c r="AM24" i="17"/>
  <c r="AM25" i="17"/>
  <c r="AM26" i="17"/>
  <c r="AM27" i="17"/>
  <c r="AM28" i="17"/>
  <c r="AM29" i="17"/>
  <c r="AM30" i="17"/>
  <c r="AM31" i="17"/>
  <c r="AM32" i="17"/>
  <c r="AM33" i="17"/>
  <c r="AM34" i="17"/>
  <c r="AM35" i="17"/>
  <c r="AM36" i="17"/>
  <c r="AM37" i="17"/>
  <c r="AM38" i="17"/>
  <c r="AM39" i="17"/>
  <c r="AM40" i="17"/>
  <c r="AM41" i="17"/>
  <c r="AM42" i="17"/>
  <c r="AM43" i="17"/>
  <c r="AM44" i="17"/>
  <c r="AM45" i="17"/>
  <c r="AM46" i="17"/>
  <c r="AM47" i="17"/>
  <c r="AM48" i="17"/>
  <c r="AM49" i="17"/>
  <c r="AM50" i="17"/>
  <c r="AM51" i="17"/>
  <c r="AM52" i="17"/>
  <c r="AM53" i="17"/>
  <c r="AM54" i="17"/>
  <c r="AM55" i="17"/>
  <c r="AM56" i="17"/>
  <c r="AM57" i="17"/>
  <c r="AM58" i="17"/>
  <c r="AM59" i="17"/>
  <c r="AM60" i="17"/>
  <c r="AM61" i="17"/>
  <c r="AM62" i="17"/>
  <c r="AM63" i="17"/>
  <c r="AM64" i="17"/>
  <c r="AM65" i="17"/>
  <c r="AM66" i="17"/>
  <c r="AM67" i="17"/>
  <c r="AM68" i="17"/>
  <c r="AM69" i="17"/>
  <c r="AM70" i="17"/>
  <c r="AM71" i="17"/>
  <c r="AM72" i="17"/>
  <c r="AM73" i="17"/>
  <c r="AM74" i="17"/>
  <c r="AM75" i="17"/>
  <c r="AM76" i="17"/>
  <c r="AM77" i="17"/>
  <c r="AM78" i="17"/>
  <c r="AM79" i="17"/>
  <c r="AM80" i="17"/>
  <c r="AM81" i="17"/>
  <c r="AM82" i="17"/>
  <c r="AM83" i="17"/>
  <c r="AM84" i="17"/>
  <c r="AM85" i="17"/>
  <c r="AM86" i="17"/>
  <c r="AM87" i="17"/>
  <c r="AM88" i="17"/>
  <c r="AM89" i="17"/>
  <c r="AM90" i="17"/>
  <c r="AM91" i="17"/>
  <c r="AM92" i="17"/>
  <c r="AM93" i="17"/>
  <c r="AM94" i="17"/>
  <c r="AM95" i="17"/>
  <c r="AM96" i="17"/>
  <c r="AM97" i="17"/>
  <c r="AM98" i="17"/>
  <c r="AM99" i="17"/>
  <c r="AM100" i="17"/>
  <c r="AM101" i="17"/>
  <c r="AM102" i="17"/>
  <c r="AM103" i="17"/>
  <c r="AM104" i="17"/>
  <c r="AM105" i="17"/>
  <c r="AM106" i="17"/>
  <c r="AM107" i="17"/>
  <c r="AM108" i="17"/>
  <c r="AM109" i="17"/>
  <c r="AM110" i="17"/>
  <c r="AM111" i="17"/>
  <c r="AM112" i="17"/>
  <c r="AM113" i="17"/>
  <c r="AM114" i="17"/>
  <c r="AM115" i="17"/>
  <c r="AM116" i="17"/>
  <c r="AM117" i="17"/>
  <c r="AM118" i="17"/>
  <c r="AM119" i="17"/>
  <c r="AM120" i="17"/>
  <c r="AM121" i="17"/>
  <c r="AM122" i="17"/>
  <c r="AM123" i="17"/>
  <c r="AM124" i="17"/>
  <c r="AM125" i="17"/>
  <c r="AM126" i="17"/>
  <c r="AM127" i="17"/>
  <c r="AM128" i="17"/>
  <c r="AM129" i="17"/>
  <c r="AM130" i="17"/>
  <c r="AM131" i="17"/>
  <c r="AM132" i="17"/>
  <c r="AM133" i="17"/>
  <c r="AM134" i="17"/>
  <c r="AM135" i="17"/>
  <c r="AM136" i="17"/>
  <c r="AM137" i="17"/>
  <c r="AM138" i="17"/>
  <c r="AM139" i="17"/>
  <c r="AM140" i="17"/>
  <c r="AM141" i="17"/>
  <c r="AM142" i="17"/>
  <c r="AM143" i="17"/>
  <c r="AM144" i="17"/>
  <c r="AM145" i="17"/>
  <c r="AM146" i="17"/>
  <c r="AM147" i="17"/>
  <c r="AM148" i="17"/>
  <c r="AM149" i="17"/>
  <c r="AM150" i="17"/>
  <c r="AM151" i="17"/>
  <c r="AM152" i="17"/>
  <c r="AM153" i="17"/>
  <c r="AM154" i="17"/>
  <c r="AM155" i="17"/>
  <c r="AM156" i="17"/>
  <c r="AM157" i="17"/>
  <c r="AM158" i="17"/>
  <c r="AM159" i="17"/>
  <c r="AM160" i="17"/>
  <c r="AM161" i="17"/>
  <c r="AM162" i="17"/>
  <c r="AM163" i="17"/>
  <c r="AM164" i="17"/>
  <c r="AM165" i="17"/>
  <c r="AM166" i="17"/>
  <c r="AM167" i="17"/>
  <c r="AM168" i="17"/>
  <c r="AM169" i="17"/>
  <c r="AM170" i="17"/>
  <c r="AM171" i="17"/>
  <c r="AM172" i="17"/>
  <c r="AM173" i="17"/>
  <c r="AM174" i="17"/>
  <c r="AM175" i="17"/>
  <c r="AM176" i="17"/>
  <c r="AM177" i="17"/>
  <c r="AM178" i="17"/>
  <c r="AM179" i="17"/>
  <c r="AM180" i="17"/>
  <c r="AM181" i="17"/>
  <c r="AM182" i="17"/>
  <c r="AM183" i="17"/>
  <c r="AM184" i="17"/>
  <c r="AM185" i="17"/>
  <c r="AM186" i="17"/>
  <c r="AM187" i="17"/>
  <c r="AM188" i="17"/>
  <c r="AM189" i="17"/>
  <c r="AM190" i="17"/>
  <c r="AM191" i="17"/>
  <c r="AM192" i="17"/>
  <c r="AM193" i="17"/>
  <c r="AM194" i="17"/>
  <c r="AM195" i="17"/>
  <c r="AM196" i="17"/>
  <c r="AM197" i="17"/>
  <c r="AM198" i="17"/>
  <c r="AM199" i="17"/>
  <c r="AM200" i="17"/>
  <c r="AM201" i="17"/>
  <c r="AM202" i="17"/>
  <c r="AM203" i="17"/>
  <c r="AM204" i="17"/>
  <c r="AM205" i="17"/>
  <c r="AM206" i="17"/>
  <c r="AM207" i="17"/>
  <c r="AM208" i="17"/>
  <c r="AM209" i="17"/>
  <c r="AM210" i="17"/>
  <c r="AM211" i="17"/>
  <c r="AM212" i="17"/>
  <c r="AM213" i="17"/>
  <c r="AM214" i="17"/>
  <c r="AM215" i="17"/>
  <c r="AM216" i="17"/>
  <c r="AM217" i="17"/>
  <c r="AM218" i="17"/>
  <c r="AM219" i="17"/>
  <c r="AM220" i="17"/>
  <c r="AM221" i="17"/>
  <c r="AM222" i="17"/>
  <c r="AM223" i="17"/>
  <c r="AM224" i="17"/>
  <c r="AM225" i="17"/>
  <c r="AM226" i="17"/>
  <c r="AM227" i="17"/>
  <c r="AM228" i="17"/>
  <c r="AM229" i="17"/>
  <c r="AM230" i="17"/>
  <c r="AM3" i="17"/>
  <c r="AL4" i="17"/>
  <c r="AL5" i="17"/>
  <c r="AL6" i="17"/>
  <c r="AL7" i="17"/>
  <c r="AL8" i="17"/>
  <c r="AL9" i="17"/>
  <c r="AL10" i="17"/>
  <c r="AL11" i="17"/>
  <c r="AL12" i="17"/>
  <c r="AL13" i="17"/>
  <c r="AL14" i="17"/>
  <c r="AL15" i="17"/>
  <c r="AL16" i="17"/>
  <c r="AL17" i="17"/>
  <c r="AL18" i="17"/>
  <c r="AL19" i="17"/>
  <c r="AL20" i="17"/>
  <c r="AL21" i="17"/>
  <c r="AL22" i="17"/>
  <c r="AL23" i="17"/>
  <c r="AL24" i="17"/>
  <c r="AL25" i="17"/>
  <c r="AL26" i="17"/>
  <c r="AL27" i="17"/>
  <c r="AL28" i="17"/>
  <c r="AL29" i="17"/>
  <c r="AL30" i="17"/>
  <c r="AL31" i="17"/>
  <c r="AL32" i="17"/>
  <c r="AL33" i="17"/>
  <c r="AL34" i="17"/>
  <c r="AL35" i="17"/>
  <c r="AL36" i="17"/>
  <c r="AL37" i="17"/>
  <c r="AL38" i="17"/>
  <c r="AL39" i="17"/>
  <c r="AL40" i="17"/>
  <c r="AL41" i="17"/>
  <c r="AL42" i="17"/>
  <c r="AL43" i="17"/>
  <c r="AL44" i="17"/>
  <c r="AL45" i="17"/>
  <c r="AL46" i="17"/>
  <c r="AL47" i="17"/>
  <c r="AL48" i="17"/>
  <c r="AL49" i="17"/>
  <c r="AL50" i="17"/>
  <c r="AL51" i="17"/>
  <c r="AL52" i="17"/>
  <c r="AL53" i="17"/>
  <c r="AL54" i="17"/>
  <c r="AL55" i="17"/>
  <c r="AL56" i="17"/>
  <c r="AL57" i="17"/>
  <c r="AL58" i="17"/>
  <c r="AL59" i="17"/>
  <c r="AL60" i="17"/>
  <c r="AL61" i="17"/>
  <c r="AL62" i="17"/>
  <c r="AL63" i="17"/>
  <c r="AL64" i="17"/>
  <c r="AL65" i="17"/>
  <c r="AL66" i="17"/>
  <c r="AL67" i="17"/>
  <c r="AL68" i="17"/>
  <c r="AL69" i="17"/>
  <c r="AL70" i="17"/>
  <c r="AL71" i="17"/>
  <c r="AL72" i="17"/>
  <c r="AL73" i="17"/>
  <c r="AL74" i="17"/>
  <c r="AL75" i="17"/>
  <c r="AL76" i="17"/>
  <c r="AL77" i="17"/>
  <c r="AL78" i="17"/>
  <c r="AL79" i="17"/>
  <c r="AL80" i="17"/>
  <c r="AL81" i="17"/>
  <c r="AL82" i="17"/>
  <c r="AL83" i="17"/>
  <c r="AL84" i="17"/>
  <c r="AL85" i="17"/>
  <c r="AL86" i="17"/>
  <c r="AL87" i="17"/>
  <c r="AL88" i="17"/>
  <c r="AL89" i="17"/>
  <c r="AL90" i="17"/>
  <c r="AL91" i="17"/>
  <c r="AL92" i="17"/>
  <c r="AL93" i="17"/>
  <c r="AL94" i="17"/>
  <c r="AL95" i="17"/>
  <c r="AL96" i="17"/>
  <c r="AL97" i="17"/>
  <c r="AL98" i="17"/>
  <c r="AL99" i="17"/>
  <c r="AL100" i="17"/>
  <c r="AL101" i="17"/>
  <c r="AL102" i="17"/>
  <c r="AL103" i="17"/>
  <c r="AL104" i="17"/>
  <c r="AL105" i="17"/>
  <c r="AL106" i="17"/>
  <c r="AL107" i="17"/>
  <c r="AL108" i="17"/>
  <c r="AL109" i="17"/>
  <c r="AL110" i="17"/>
  <c r="AL111" i="17"/>
  <c r="AL112" i="17"/>
  <c r="AL113" i="17"/>
  <c r="AL114" i="17"/>
  <c r="AL115" i="17"/>
  <c r="AL116" i="17"/>
  <c r="AL117" i="17"/>
  <c r="AL118" i="17"/>
  <c r="AL119" i="17"/>
  <c r="AL120" i="17"/>
  <c r="AL121" i="17"/>
  <c r="AL122" i="17"/>
  <c r="AL123" i="17"/>
  <c r="AL124" i="17"/>
  <c r="AL125" i="17"/>
  <c r="AL126" i="17"/>
  <c r="AL127" i="17"/>
  <c r="AL128" i="17"/>
  <c r="AL129" i="17"/>
  <c r="AL130" i="17"/>
  <c r="AL131" i="17"/>
  <c r="AL132" i="17"/>
  <c r="AL133" i="17"/>
  <c r="AL134" i="17"/>
  <c r="AL135" i="17"/>
  <c r="AL136" i="17"/>
  <c r="AL137" i="17"/>
  <c r="AL138" i="17"/>
  <c r="AL139" i="17"/>
  <c r="AL140" i="17"/>
  <c r="AL141" i="17"/>
  <c r="AL142" i="17"/>
  <c r="AL143" i="17"/>
  <c r="AL144" i="17"/>
  <c r="AL145" i="17"/>
  <c r="AL146" i="17"/>
  <c r="AL147" i="17"/>
  <c r="K96" i="10" s="1"/>
  <c r="AL148" i="17"/>
  <c r="AL149" i="17"/>
  <c r="AL150" i="17"/>
  <c r="AL151" i="17"/>
  <c r="AL152" i="17"/>
  <c r="AL153" i="17"/>
  <c r="AL154" i="17"/>
  <c r="AL155" i="17"/>
  <c r="AL156" i="17"/>
  <c r="AL157" i="17"/>
  <c r="AL158" i="17"/>
  <c r="AL159" i="17"/>
  <c r="AL160" i="17"/>
  <c r="AL161" i="17"/>
  <c r="AL162" i="17"/>
  <c r="AL163" i="17"/>
  <c r="AL164" i="17"/>
  <c r="AL165" i="17"/>
  <c r="AL166" i="17"/>
  <c r="AL167" i="17"/>
  <c r="AL168" i="17"/>
  <c r="AL169" i="17"/>
  <c r="AL170" i="17"/>
  <c r="AL171" i="17"/>
  <c r="AL172" i="17"/>
  <c r="AL173" i="17"/>
  <c r="AL174" i="17"/>
  <c r="AL175" i="17"/>
  <c r="AL176" i="17"/>
  <c r="AL177" i="17"/>
  <c r="AL178" i="17"/>
  <c r="AL179" i="17"/>
  <c r="AL180" i="17"/>
  <c r="AL181" i="17"/>
  <c r="AL182" i="17"/>
  <c r="AL183" i="17"/>
  <c r="AL184" i="17"/>
  <c r="AL185" i="17"/>
  <c r="AL186" i="17"/>
  <c r="AL187" i="17"/>
  <c r="AL188" i="17"/>
  <c r="AL189" i="17"/>
  <c r="AL190" i="17"/>
  <c r="AL191" i="17"/>
  <c r="AL192" i="17"/>
  <c r="AL193" i="17"/>
  <c r="AL194" i="17"/>
  <c r="AL195" i="17"/>
  <c r="AL196" i="17"/>
  <c r="AL197" i="17"/>
  <c r="AL198" i="17"/>
  <c r="AL199" i="17"/>
  <c r="AL200" i="17"/>
  <c r="AL201" i="17"/>
  <c r="AL202" i="17"/>
  <c r="AL203" i="17"/>
  <c r="AL204" i="17"/>
  <c r="AL205" i="17"/>
  <c r="AL206" i="17"/>
  <c r="AL207" i="17"/>
  <c r="AL208" i="17"/>
  <c r="AL209" i="17"/>
  <c r="AL210" i="17"/>
  <c r="AL211" i="17"/>
  <c r="AL212" i="17"/>
  <c r="AL213" i="17"/>
  <c r="AL214" i="17"/>
  <c r="AL215" i="17"/>
  <c r="AL216" i="17"/>
  <c r="AL217" i="17"/>
  <c r="AL218" i="17"/>
  <c r="AL219" i="17"/>
  <c r="AL220" i="17"/>
  <c r="AL221" i="17"/>
  <c r="AL222" i="17"/>
  <c r="AL223" i="17"/>
  <c r="AL224" i="17"/>
  <c r="AL225" i="17"/>
  <c r="AL226" i="17"/>
  <c r="AL227" i="17"/>
  <c r="AL228" i="17"/>
  <c r="AL229" i="17"/>
  <c r="AL230" i="17"/>
  <c r="AL3" i="17"/>
  <c r="AK4" i="17"/>
  <c r="AK5" i="17"/>
  <c r="AK6" i="17"/>
  <c r="AK7" i="17"/>
  <c r="AK8" i="17"/>
  <c r="AK9" i="17"/>
  <c r="AK10" i="17"/>
  <c r="AK11" i="17"/>
  <c r="AK12" i="17"/>
  <c r="AK13" i="17"/>
  <c r="AK14" i="17"/>
  <c r="AK15" i="17"/>
  <c r="AK16" i="17"/>
  <c r="AK17" i="17"/>
  <c r="AK18" i="17"/>
  <c r="AK19" i="17"/>
  <c r="AK20" i="17"/>
  <c r="AK21" i="17"/>
  <c r="AK22" i="17"/>
  <c r="AK23" i="17"/>
  <c r="AK24" i="17"/>
  <c r="AK25" i="17"/>
  <c r="AK26" i="17"/>
  <c r="AK27" i="17"/>
  <c r="AK28" i="17"/>
  <c r="AK29" i="17"/>
  <c r="AK30" i="17"/>
  <c r="AK31" i="17"/>
  <c r="AK32" i="17"/>
  <c r="AK33" i="17"/>
  <c r="AK34" i="17"/>
  <c r="AK35" i="17"/>
  <c r="AK36" i="17"/>
  <c r="AK37" i="17"/>
  <c r="AK38" i="17"/>
  <c r="AK39" i="17"/>
  <c r="AK40" i="17"/>
  <c r="AK41" i="17"/>
  <c r="AK42" i="17"/>
  <c r="AK43" i="17"/>
  <c r="AK44" i="17"/>
  <c r="AK45" i="17"/>
  <c r="AK46" i="17"/>
  <c r="AK47" i="17"/>
  <c r="AK48" i="17"/>
  <c r="AK49" i="17"/>
  <c r="AK50" i="17"/>
  <c r="AK51" i="17"/>
  <c r="AK52" i="17"/>
  <c r="AK53" i="17"/>
  <c r="AK54" i="17"/>
  <c r="AK55" i="17"/>
  <c r="AK56" i="17"/>
  <c r="AK57" i="17"/>
  <c r="AK58" i="17"/>
  <c r="AK59" i="17"/>
  <c r="AK60" i="17"/>
  <c r="AK61" i="17"/>
  <c r="AK62" i="17"/>
  <c r="AK63" i="17"/>
  <c r="AK64" i="17"/>
  <c r="AK65" i="17"/>
  <c r="AK66" i="17"/>
  <c r="AK67" i="17"/>
  <c r="AK68" i="17"/>
  <c r="AK69" i="17"/>
  <c r="AK70" i="17"/>
  <c r="AK71" i="17"/>
  <c r="AK72" i="17"/>
  <c r="AK73" i="17"/>
  <c r="AK74" i="17"/>
  <c r="AK75" i="17"/>
  <c r="AK76" i="17"/>
  <c r="AK77" i="17"/>
  <c r="AK78" i="17"/>
  <c r="AK79" i="17"/>
  <c r="AK80" i="17"/>
  <c r="AK81" i="17"/>
  <c r="AK82" i="17"/>
  <c r="AK83" i="17"/>
  <c r="AK84" i="17"/>
  <c r="AK85" i="17"/>
  <c r="AK86" i="17"/>
  <c r="AK87" i="17"/>
  <c r="AK88" i="17"/>
  <c r="AK89" i="17"/>
  <c r="AK90" i="17"/>
  <c r="AK91" i="17"/>
  <c r="AK92" i="17"/>
  <c r="AK93" i="17"/>
  <c r="AK94" i="17"/>
  <c r="AK95" i="17"/>
  <c r="AK96" i="17"/>
  <c r="AK97" i="17"/>
  <c r="AK98" i="17"/>
  <c r="AK99" i="17"/>
  <c r="AK100" i="17"/>
  <c r="AK101" i="17"/>
  <c r="AK102" i="17"/>
  <c r="AK103" i="17"/>
  <c r="AK104" i="17"/>
  <c r="AK105" i="17"/>
  <c r="AK106" i="17"/>
  <c r="AK107" i="17"/>
  <c r="AK108" i="17"/>
  <c r="AK109" i="17"/>
  <c r="AK110" i="17"/>
  <c r="AK111" i="17"/>
  <c r="AK112" i="17"/>
  <c r="AK113" i="17"/>
  <c r="AK114" i="17"/>
  <c r="AK115" i="17"/>
  <c r="AK116" i="17"/>
  <c r="AK117" i="17"/>
  <c r="AK118" i="17"/>
  <c r="AK119" i="17"/>
  <c r="AK120" i="17"/>
  <c r="AK121" i="17"/>
  <c r="AK122" i="17"/>
  <c r="AK123" i="17"/>
  <c r="AK124" i="17"/>
  <c r="AK125" i="17"/>
  <c r="AK126" i="17"/>
  <c r="AK127" i="17"/>
  <c r="AK128" i="17"/>
  <c r="K52" i="10" s="1"/>
  <c r="AK129" i="17"/>
  <c r="AK130" i="17"/>
  <c r="AK131" i="17"/>
  <c r="AK132" i="17"/>
  <c r="AK133" i="17"/>
  <c r="AK134" i="17"/>
  <c r="AK135" i="17"/>
  <c r="AK136" i="17"/>
  <c r="AK137" i="17"/>
  <c r="AK138" i="17"/>
  <c r="AK139" i="17"/>
  <c r="AK140" i="17"/>
  <c r="AK141" i="17"/>
  <c r="AK142" i="17"/>
  <c r="AK143" i="17"/>
  <c r="AK144" i="17"/>
  <c r="AK145" i="17"/>
  <c r="AK146" i="17"/>
  <c r="AK147" i="17"/>
  <c r="K47" i="10" s="1"/>
  <c r="AK148" i="17"/>
  <c r="AK149" i="17"/>
  <c r="AK150" i="17"/>
  <c r="AK151" i="17"/>
  <c r="AK152" i="17"/>
  <c r="AK153" i="17"/>
  <c r="AK154" i="17"/>
  <c r="AK155" i="17"/>
  <c r="AK156" i="17"/>
  <c r="AK157" i="17"/>
  <c r="AK158" i="17"/>
  <c r="AK159" i="17"/>
  <c r="AK160" i="17"/>
  <c r="AK161" i="17"/>
  <c r="AK162" i="17"/>
  <c r="AK163" i="17"/>
  <c r="AK164" i="17"/>
  <c r="AK165" i="17"/>
  <c r="AK166" i="17"/>
  <c r="AK167" i="17"/>
  <c r="AK168" i="17"/>
  <c r="AK169" i="17"/>
  <c r="AK170" i="17"/>
  <c r="AK171" i="17"/>
  <c r="AK172" i="17"/>
  <c r="AK173" i="17"/>
  <c r="AK174" i="17"/>
  <c r="AK175" i="17"/>
  <c r="AK176" i="17"/>
  <c r="AK177" i="17"/>
  <c r="AK178" i="17"/>
  <c r="AK179" i="17"/>
  <c r="AK180" i="17"/>
  <c r="AK181" i="17"/>
  <c r="AK182" i="17"/>
  <c r="AK183" i="17"/>
  <c r="AK184" i="17"/>
  <c r="AK185" i="17"/>
  <c r="AK186" i="17"/>
  <c r="AK187" i="17"/>
  <c r="AK188" i="17"/>
  <c r="AK189" i="17"/>
  <c r="AK190" i="17"/>
  <c r="AK191" i="17"/>
  <c r="AK192" i="17"/>
  <c r="AK193" i="17"/>
  <c r="AK194" i="17"/>
  <c r="AK195" i="17"/>
  <c r="AK196" i="17"/>
  <c r="AK197" i="17"/>
  <c r="AK198" i="17"/>
  <c r="AK199" i="17"/>
  <c r="AK200" i="17"/>
  <c r="AK201" i="17"/>
  <c r="AK202" i="17"/>
  <c r="AK203" i="17"/>
  <c r="AK204" i="17"/>
  <c r="AK205" i="17"/>
  <c r="AK206" i="17"/>
  <c r="AK207" i="17"/>
  <c r="AK208" i="17"/>
  <c r="AK209" i="17"/>
  <c r="AK210" i="17"/>
  <c r="AK211" i="17"/>
  <c r="AK212" i="17"/>
  <c r="AK213" i="17"/>
  <c r="AK214" i="17"/>
  <c r="AK215" i="17"/>
  <c r="AK216" i="17"/>
  <c r="AK217" i="17"/>
  <c r="AK218" i="17"/>
  <c r="AK219" i="17"/>
  <c r="AK220" i="17"/>
  <c r="AK221" i="17"/>
  <c r="AK222" i="17"/>
  <c r="AK223" i="17"/>
  <c r="AK224" i="17"/>
  <c r="AK225" i="17"/>
  <c r="AK226" i="17"/>
  <c r="AK227" i="17"/>
  <c r="AK228" i="17"/>
  <c r="AK229" i="17"/>
  <c r="K55" i="10" s="1"/>
  <c r="AK230" i="17"/>
  <c r="AK3" i="17"/>
  <c r="AJ4" i="17"/>
  <c r="AJ5" i="17"/>
  <c r="AJ6" i="17"/>
  <c r="AJ7" i="17"/>
  <c r="AJ8" i="17"/>
  <c r="AJ9" i="17"/>
  <c r="AJ10" i="17"/>
  <c r="AJ11" i="17"/>
  <c r="AJ12" i="17"/>
  <c r="AJ13" i="17"/>
  <c r="AJ14" i="17"/>
  <c r="AJ15" i="17"/>
  <c r="AJ16" i="17"/>
  <c r="AJ17" i="17"/>
  <c r="AJ18" i="17"/>
  <c r="AJ19" i="17"/>
  <c r="AJ20" i="17"/>
  <c r="AJ21" i="17"/>
  <c r="AJ22" i="17"/>
  <c r="AJ23" i="17"/>
  <c r="AJ24" i="17"/>
  <c r="AJ25" i="17"/>
  <c r="AJ26" i="17"/>
  <c r="AJ27" i="17"/>
  <c r="AJ28" i="17"/>
  <c r="AJ29" i="17"/>
  <c r="AJ30" i="17"/>
  <c r="AJ31" i="17"/>
  <c r="AJ32" i="17"/>
  <c r="AJ33" i="17"/>
  <c r="AJ34" i="17"/>
  <c r="AJ35" i="17"/>
  <c r="AJ36" i="17"/>
  <c r="AJ37" i="17"/>
  <c r="AJ38" i="17"/>
  <c r="AJ39" i="17"/>
  <c r="AJ40" i="17"/>
  <c r="AJ41" i="17"/>
  <c r="AJ42" i="17"/>
  <c r="AJ43" i="17"/>
  <c r="AJ44" i="17"/>
  <c r="AJ45" i="17"/>
  <c r="AJ46" i="17"/>
  <c r="AJ47" i="17"/>
  <c r="AJ48" i="17"/>
  <c r="AJ49" i="17"/>
  <c r="AJ50" i="17"/>
  <c r="AJ51" i="17"/>
  <c r="AJ52" i="17"/>
  <c r="AJ53" i="17"/>
  <c r="AJ54" i="17"/>
  <c r="AJ55" i="17"/>
  <c r="AJ56" i="17"/>
  <c r="AJ57" i="17"/>
  <c r="AJ58" i="17"/>
  <c r="AJ59" i="17"/>
  <c r="AJ60" i="17"/>
  <c r="AJ61" i="17"/>
  <c r="AJ62" i="17"/>
  <c r="AJ63" i="17"/>
  <c r="AJ64" i="17"/>
  <c r="AJ65" i="17"/>
  <c r="AJ66" i="17"/>
  <c r="AJ67" i="17"/>
  <c r="AJ68" i="17"/>
  <c r="AJ69" i="17"/>
  <c r="AJ70" i="17"/>
  <c r="AJ71" i="17"/>
  <c r="AJ72" i="17"/>
  <c r="AJ73" i="17"/>
  <c r="AJ74" i="17"/>
  <c r="AJ75" i="17"/>
  <c r="AJ76" i="17"/>
  <c r="AJ77" i="17"/>
  <c r="AJ78" i="17"/>
  <c r="AJ79" i="17"/>
  <c r="AJ80" i="17"/>
  <c r="AJ81" i="17"/>
  <c r="AJ82" i="17"/>
  <c r="AJ83" i="17"/>
  <c r="AJ84" i="17"/>
  <c r="AJ85" i="17"/>
  <c r="AJ86" i="17"/>
  <c r="AJ87" i="17"/>
  <c r="AJ88" i="17"/>
  <c r="AJ89" i="17"/>
  <c r="AJ90" i="17"/>
  <c r="AJ91" i="17"/>
  <c r="AJ92" i="17"/>
  <c r="AJ93" i="17"/>
  <c r="AJ94" i="17"/>
  <c r="AJ95" i="17"/>
  <c r="AJ96" i="17"/>
  <c r="AJ97" i="17"/>
  <c r="AJ98" i="17"/>
  <c r="AJ99" i="17"/>
  <c r="AJ100" i="17"/>
  <c r="AJ101" i="17"/>
  <c r="AJ102" i="17"/>
  <c r="AJ103" i="17"/>
  <c r="AJ104" i="17"/>
  <c r="AJ105" i="17"/>
  <c r="AJ106" i="17"/>
  <c r="AJ107" i="17"/>
  <c r="AJ108" i="17"/>
  <c r="AJ109" i="17"/>
  <c r="AJ110" i="17"/>
  <c r="AJ111" i="17"/>
  <c r="AJ112" i="17"/>
  <c r="AJ113" i="17"/>
  <c r="AJ114" i="17"/>
  <c r="AJ115" i="17"/>
  <c r="AJ116" i="17"/>
  <c r="AJ117" i="17"/>
  <c r="AJ118" i="17"/>
  <c r="AJ119" i="17"/>
  <c r="AJ120" i="17"/>
  <c r="AJ121" i="17"/>
  <c r="AJ122" i="17"/>
  <c r="AJ123" i="17"/>
  <c r="AJ124" i="17"/>
  <c r="AJ125" i="17"/>
  <c r="AJ126" i="17"/>
  <c r="AJ127" i="17"/>
  <c r="AJ128" i="17"/>
  <c r="AJ129" i="17"/>
  <c r="AJ130" i="17"/>
  <c r="AJ131" i="17"/>
  <c r="AJ132" i="17"/>
  <c r="AJ133" i="17"/>
  <c r="AJ134" i="17"/>
  <c r="AJ135" i="17"/>
  <c r="AJ136" i="17"/>
  <c r="AJ137" i="17"/>
  <c r="AJ138" i="17"/>
  <c r="AJ139" i="17"/>
  <c r="AJ140" i="17"/>
  <c r="AJ141" i="17"/>
  <c r="AJ142" i="17"/>
  <c r="AJ143" i="17"/>
  <c r="AJ144" i="17"/>
  <c r="AJ145" i="17"/>
  <c r="AJ146" i="17"/>
  <c r="AJ147" i="17"/>
  <c r="AJ148" i="17"/>
  <c r="AJ149" i="17"/>
  <c r="AJ150" i="17"/>
  <c r="AJ151" i="17"/>
  <c r="AJ152" i="17"/>
  <c r="AJ153" i="17"/>
  <c r="AJ154" i="17"/>
  <c r="AJ155" i="17"/>
  <c r="AJ156" i="17"/>
  <c r="AJ157" i="17"/>
  <c r="AJ158" i="17"/>
  <c r="AJ159" i="17"/>
  <c r="AJ160" i="17"/>
  <c r="AJ161" i="17"/>
  <c r="AJ162" i="17"/>
  <c r="AJ163" i="17"/>
  <c r="AJ164" i="17"/>
  <c r="AJ165" i="17"/>
  <c r="AJ166" i="17"/>
  <c r="AJ167" i="17"/>
  <c r="AJ168" i="17"/>
  <c r="AJ169" i="17"/>
  <c r="AJ170" i="17"/>
  <c r="AJ171" i="17"/>
  <c r="AJ172" i="17"/>
  <c r="AJ173" i="17"/>
  <c r="AJ174" i="17"/>
  <c r="AJ175" i="17"/>
  <c r="AJ176" i="17"/>
  <c r="AJ177" i="17"/>
  <c r="AJ178" i="17"/>
  <c r="AJ179" i="17"/>
  <c r="AJ180" i="17"/>
  <c r="AJ181" i="17"/>
  <c r="AJ182" i="17"/>
  <c r="AJ183" i="17"/>
  <c r="AJ184" i="17"/>
  <c r="AJ185" i="17"/>
  <c r="AJ186" i="17"/>
  <c r="AJ187" i="17"/>
  <c r="AJ188" i="17"/>
  <c r="AJ189" i="17"/>
  <c r="AJ190" i="17"/>
  <c r="AJ191" i="17"/>
  <c r="AJ192" i="17"/>
  <c r="AJ193" i="17"/>
  <c r="AJ194" i="17"/>
  <c r="AJ195" i="17"/>
  <c r="AJ196" i="17"/>
  <c r="AJ197" i="17"/>
  <c r="AJ198" i="17"/>
  <c r="AJ199" i="17"/>
  <c r="AJ200" i="17"/>
  <c r="AJ201" i="17"/>
  <c r="AJ202" i="17"/>
  <c r="AJ203" i="17"/>
  <c r="AJ204" i="17"/>
  <c r="AJ205" i="17"/>
  <c r="AJ206" i="17"/>
  <c r="AJ207" i="17"/>
  <c r="AJ208" i="17"/>
  <c r="AJ209" i="17"/>
  <c r="AJ210" i="17"/>
  <c r="AJ211" i="17"/>
  <c r="AJ212" i="17"/>
  <c r="AJ213" i="17"/>
  <c r="AJ214" i="17"/>
  <c r="AJ215" i="17"/>
  <c r="AJ216" i="17"/>
  <c r="AJ217" i="17"/>
  <c r="AJ218" i="17"/>
  <c r="AJ219" i="17"/>
  <c r="AJ220" i="17"/>
  <c r="AJ221" i="17"/>
  <c r="AJ222" i="17"/>
  <c r="AJ223" i="17"/>
  <c r="AJ224" i="17"/>
  <c r="AJ225" i="17"/>
  <c r="AJ226" i="17"/>
  <c r="AJ227" i="17"/>
  <c r="AJ228" i="17"/>
  <c r="AJ229" i="17"/>
  <c r="AJ230" i="17"/>
  <c r="AJ3" i="17"/>
  <c r="AI4" i="17"/>
  <c r="AI5" i="17"/>
  <c r="AI6" i="17"/>
  <c r="AI7" i="17"/>
  <c r="AI8" i="17"/>
  <c r="AI9" i="17"/>
  <c r="AI10" i="17"/>
  <c r="AI11" i="17"/>
  <c r="AI12" i="17"/>
  <c r="AI13" i="17"/>
  <c r="AI14" i="17"/>
  <c r="AI15" i="17"/>
  <c r="AI16" i="17"/>
  <c r="AI17" i="17"/>
  <c r="AI18" i="17"/>
  <c r="AI19" i="17"/>
  <c r="AI20" i="17"/>
  <c r="AI21" i="17"/>
  <c r="AI22" i="17"/>
  <c r="AI23" i="17"/>
  <c r="AI24" i="17"/>
  <c r="AI25" i="17"/>
  <c r="AI26" i="17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43" i="17"/>
  <c r="AI44" i="17"/>
  <c r="AI45" i="17"/>
  <c r="AI46" i="17"/>
  <c r="AI47" i="17"/>
  <c r="AI48" i="17"/>
  <c r="AI49" i="17"/>
  <c r="AI50" i="17"/>
  <c r="AI51" i="17"/>
  <c r="AI52" i="17"/>
  <c r="AI53" i="17"/>
  <c r="AI54" i="17"/>
  <c r="AI55" i="17"/>
  <c r="AI56" i="17"/>
  <c r="AI57" i="17"/>
  <c r="AI58" i="17"/>
  <c r="AI59" i="17"/>
  <c r="AI60" i="17"/>
  <c r="AI61" i="17"/>
  <c r="AI62" i="17"/>
  <c r="AI63" i="17"/>
  <c r="AI64" i="17"/>
  <c r="AI65" i="17"/>
  <c r="AI66" i="17"/>
  <c r="AI67" i="17"/>
  <c r="AI68" i="17"/>
  <c r="AI69" i="17"/>
  <c r="AI70" i="17"/>
  <c r="AI71" i="17"/>
  <c r="AI72" i="17"/>
  <c r="AI73" i="17"/>
  <c r="AI74" i="17"/>
  <c r="AI75" i="17"/>
  <c r="AI76" i="17"/>
  <c r="AI77" i="17"/>
  <c r="AI78" i="17"/>
  <c r="AI79" i="17"/>
  <c r="AI80" i="17"/>
  <c r="AI81" i="17"/>
  <c r="AI82" i="17"/>
  <c r="AI83" i="17"/>
  <c r="AI84" i="17"/>
  <c r="AI85" i="17"/>
  <c r="AI86" i="17"/>
  <c r="AI87" i="17"/>
  <c r="AI88" i="17"/>
  <c r="AI89" i="17"/>
  <c r="AI90" i="17"/>
  <c r="AI91" i="17"/>
  <c r="AI92" i="17"/>
  <c r="AI93" i="17"/>
  <c r="AI94" i="17"/>
  <c r="AI95" i="17"/>
  <c r="AI96" i="17"/>
  <c r="AI97" i="17"/>
  <c r="AI98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113" i="17"/>
  <c r="AI114" i="17"/>
  <c r="AI115" i="17"/>
  <c r="AI116" i="17"/>
  <c r="AI117" i="17"/>
  <c r="AI118" i="17"/>
  <c r="AI119" i="17"/>
  <c r="AI120" i="17"/>
  <c r="AI121" i="17"/>
  <c r="AI122" i="17"/>
  <c r="AI123" i="17"/>
  <c r="AI124" i="17"/>
  <c r="AI125" i="17"/>
  <c r="AI126" i="17"/>
  <c r="AI127" i="17"/>
  <c r="AI128" i="17"/>
  <c r="AI129" i="17"/>
  <c r="AI130" i="17"/>
  <c r="AI131" i="17"/>
  <c r="AI132" i="17"/>
  <c r="AI133" i="17"/>
  <c r="AI134" i="17"/>
  <c r="AI135" i="17"/>
  <c r="AI136" i="17"/>
  <c r="AI137" i="17"/>
  <c r="AI138" i="17"/>
  <c r="AI139" i="17"/>
  <c r="AI140" i="17"/>
  <c r="AI141" i="17"/>
  <c r="AI142" i="17"/>
  <c r="AI143" i="17"/>
  <c r="AI144" i="17"/>
  <c r="AI145" i="17"/>
  <c r="AI146" i="17"/>
  <c r="AI147" i="17"/>
  <c r="J96" i="10" s="1"/>
  <c r="AI148" i="17"/>
  <c r="AI149" i="17"/>
  <c r="AI150" i="17"/>
  <c r="AI151" i="17"/>
  <c r="AI152" i="17"/>
  <c r="AI153" i="17"/>
  <c r="AI154" i="17"/>
  <c r="AI155" i="17"/>
  <c r="AI156" i="17"/>
  <c r="AI157" i="17"/>
  <c r="AI158" i="17"/>
  <c r="AI159" i="17"/>
  <c r="AI160" i="17"/>
  <c r="AI161" i="17"/>
  <c r="AI162" i="17"/>
  <c r="AI163" i="17"/>
  <c r="AI164" i="17"/>
  <c r="AI165" i="17"/>
  <c r="AI166" i="17"/>
  <c r="AI167" i="17"/>
  <c r="AI168" i="17"/>
  <c r="AI169" i="17"/>
  <c r="AI170" i="17"/>
  <c r="AI171" i="17"/>
  <c r="AI172" i="17"/>
  <c r="AI173" i="17"/>
  <c r="AI174" i="17"/>
  <c r="AI175" i="17"/>
  <c r="AI176" i="17"/>
  <c r="AI177" i="17"/>
  <c r="AI178" i="17"/>
  <c r="AI179" i="17"/>
  <c r="AI180" i="17"/>
  <c r="AI181" i="17"/>
  <c r="AI182" i="17"/>
  <c r="AI183" i="17"/>
  <c r="AI184" i="17"/>
  <c r="AI185" i="17"/>
  <c r="AI186" i="17"/>
  <c r="AI187" i="17"/>
  <c r="AI188" i="17"/>
  <c r="AI189" i="17"/>
  <c r="AI190" i="17"/>
  <c r="AI191" i="17"/>
  <c r="AI192" i="17"/>
  <c r="AI193" i="17"/>
  <c r="AI194" i="17"/>
  <c r="AI195" i="17"/>
  <c r="AI196" i="17"/>
  <c r="AI197" i="17"/>
  <c r="AI198" i="17"/>
  <c r="AI199" i="17"/>
  <c r="AI200" i="17"/>
  <c r="AI201" i="17"/>
  <c r="AI202" i="17"/>
  <c r="AI203" i="17"/>
  <c r="AI204" i="17"/>
  <c r="AI205" i="17"/>
  <c r="AI206" i="17"/>
  <c r="AI207" i="17"/>
  <c r="AI208" i="17"/>
  <c r="AI209" i="17"/>
  <c r="AI210" i="17"/>
  <c r="AI211" i="17"/>
  <c r="AI212" i="17"/>
  <c r="AI213" i="17"/>
  <c r="AI214" i="17"/>
  <c r="AI215" i="17"/>
  <c r="AI216" i="17"/>
  <c r="AI217" i="17"/>
  <c r="AI218" i="17"/>
  <c r="AI219" i="17"/>
  <c r="AI220" i="17"/>
  <c r="AI221" i="17"/>
  <c r="AI222" i="17"/>
  <c r="AI223" i="17"/>
  <c r="AI224" i="17"/>
  <c r="AI225" i="17"/>
  <c r="AI226" i="17"/>
  <c r="AI227" i="17"/>
  <c r="AI228" i="17"/>
  <c r="AI229" i="17"/>
  <c r="AI230" i="17"/>
  <c r="AI3" i="17"/>
  <c r="AH4" i="17"/>
  <c r="AH5" i="17"/>
  <c r="AH6" i="17"/>
  <c r="AH7" i="17"/>
  <c r="AH8" i="17"/>
  <c r="AH9" i="17"/>
  <c r="AH10" i="17"/>
  <c r="AH11" i="17"/>
  <c r="AH12" i="17"/>
  <c r="AH13" i="17"/>
  <c r="AH14" i="17"/>
  <c r="AH15" i="17"/>
  <c r="AH16" i="17"/>
  <c r="AH17" i="17"/>
  <c r="AH18" i="17"/>
  <c r="AH19" i="17"/>
  <c r="AH20" i="17"/>
  <c r="AH21" i="17"/>
  <c r="AH22" i="17"/>
  <c r="AH23" i="17"/>
  <c r="AH24" i="17"/>
  <c r="AH25" i="17"/>
  <c r="AH26" i="17"/>
  <c r="AH27" i="17"/>
  <c r="AH28" i="17"/>
  <c r="AH29" i="17"/>
  <c r="AH30" i="17"/>
  <c r="AH31" i="17"/>
  <c r="AH32" i="17"/>
  <c r="AH33" i="17"/>
  <c r="AH34" i="17"/>
  <c r="AH35" i="17"/>
  <c r="AH36" i="17"/>
  <c r="AH37" i="17"/>
  <c r="AH38" i="17"/>
  <c r="AH39" i="17"/>
  <c r="AH40" i="17"/>
  <c r="AH41" i="17"/>
  <c r="AH42" i="17"/>
  <c r="AH43" i="17"/>
  <c r="AH44" i="17"/>
  <c r="AH45" i="17"/>
  <c r="AH46" i="17"/>
  <c r="AH47" i="17"/>
  <c r="AH48" i="17"/>
  <c r="AH49" i="17"/>
  <c r="AH50" i="17"/>
  <c r="AH51" i="17"/>
  <c r="AH52" i="17"/>
  <c r="AH53" i="17"/>
  <c r="AH54" i="17"/>
  <c r="AH55" i="17"/>
  <c r="AH56" i="17"/>
  <c r="AH57" i="17"/>
  <c r="AH58" i="17"/>
  <c r="AH59" i="17"/>
  <c r="AH60" i="17"/>
  <c r="AH61" i="17"/>
  <c r="AH62" i="17"/>
  <c r="AH63" i="17"/>
  <c r="AH64" i="17"/>
  <c r="AH65" i="17"/>
  <c r="AH66" i="17"/>
  <c r="AH67" i="17"/>
  <c r="AH68" i="17"/>
  <c r="AH69" i="17"/>
  <c r="AH70" i="17"/>
  <c r="AH71" i="17"/>
  <c r="AH72" i="17"/>
  <c r="AH73" i="17"/>
  <c r="AH74" i="17"/>
  <c r="AH75" i="17"/>
  <c r="AH76" i="17"/>
  <c r="AH77" i="17"/>
  <c r="AH78" i="17"/>
  <c r="AH79" i="17"/>
  <c r="AH80" i="17"/>
  <c r="AH81" i="17"/>
  <c r="AH82" i="17"/>
  <c r="AH83" i="17"/>
  <c r="AH84" i="17"/>
  <c r="AH85" i="17"/>
  <c r="AH86" i="17"/>
  <c r="AH87" i="17"/>
  <c r="AH88" i="17"/>
  <c r="AH89" i="17"/>
  <c r="AH90" i="17"/>
  <c r="AH91" i="17"/>
  <c r="AH92" i="17"/>
  <c r="AH93" i="17"/>
  <c r="AH94" i="17"/>
  <c r="AH95" i="17"/>
  <c r="AH96" i="17"/>
  <c r="AH97" i="17"/>
  <c r="AH98" i="17"/>
  <c r="AH99" i="17"/>
  <c r="AH100" i="17"/>
  <c r="AH101" i="17"/>
  <c r="AH102" i="17"/>
  <c r="AH103" i="17"/>
  <c r="AH104" i="17"/>
  <c r="AH105" i="17"/>
  <c r="AH106" i="17"/>
  <c r="AH107" i="17"/>
  <c r="AH108" i="17"/>
  <c r="AH109" i="17"/>
  <c r="AH110" i="17"/>
  <c r="AH111" i="17"/>
  <c r="AH112" i="17"/>
  <c r="AH113" i="17"/>
  <c r="AH114" i="17"/>
  <c r="AH115" i="17"/>
  <c r="AH116" i="17"/>
  <c r="AH117" i="17"/>
  <c r="AH118" i="17"/>
  <c r="AH119" i="17"/>
  <c r="AH120" i="17"/>
  <c r="AH121" i="17"/>
  <c r="AH122" i="17"/>
  <c r="AH123" i="17"/>
  <c r="AH124" i="17"/>
  <c r="AH125" i="17"/>
  <c r="AH126" i="17"/>
  <c r="AH127" i="17"/>
  <c r="AH128" i="17"/>
  <c r="J52" i="10" s="1"/>
  <c r="AH129" i="17"/>
  <c r="AH130" i="17"/>
  <c r="AH131" i="17"/>
  <c r="AH132" i="17"/>
  <c r="AH133" i="17"/>
  <c r="AH134" i="17"/>
  <c r="AH135" i="17"/>
  <c r="AH136" i="17"/>
  <c r="AH137" i="17"/>
  <c r="AH138" i="17"/>
  <c r="AH139" i="17"/>
  <c r="AH140" i="17"/>
  <c r="AH141" i="17"/>
  <c r="AH142" i="17"/>
  <c r="AH143" i="17"/>
  <c r="AH144" i="17"/>
  <c r="AH145" i="17"/>
  <c r="AH146" i="17"/>
  <c r="AH147" i="17"/>
  <c r="J47" i="10" s="1"/>
  <c r="AH148" i="17"/>
  <c r="AH149" i="17"/>
  <c r="AH150" i="17"/>
  <c r="AH151" i="17"/>
  <c r="AH152" i="17"/>
  <c r="AH153" i="17"/>
  <c r="AH154" i="17"/>
  <c r="AH155" i="17"/>
  <c r="AH156" i="17"/>
  <c r="AH157" i="17"/>
  <c r="AH158" i="17"/>
  <c r="AH159" i="17"/>
  <c r="AH160" i="17"/>
  <c r="AH161" i="17"/>
  <c r="AH162" i="17"/>
  <c r="AH163" i="17"/>
  <c r="AH164" i="17"/>
  <c r="AH165" i="17"/>
  <c r="AH166" i="17"/>
  <c r="AH167" i="17"/>
  <c r="AH168" i="17"/>
  <c r="AH169" i="17"/>
  <c r="AH170" i="17"/>
  <c r="AH171" i="17"/>
  <c r="AH172" i="17"/>
  <c r="AH173" i="17"/>
  <c r="AH174" i="17"/>
  <c r="AH175" i="17"/>
  <c r="AH176" i="17"/>
  <c r="AH177" i="17"/>
  <c r="AH178" i="17"/>
  <c r="AH179" i="17"/>
  <c r="AH180" i="17"/>
  <c r="AH181" i="17"/>
  <c r="AH182" i="17"/>
  <c r="AH183" i="17"/>
  <c r="AH184" i="17"/>
  <c r="AH185" i="17"/>
  <c r="AH186" i="17"/>
  <c r="AH187" i="17"/>
  <c r="AH188" i="17"/>
  <c r="AH189" i="17"/>
  <c r="AH190" i="17"/>
  <c r="AH191" i="17"/>
  <c r="AH192" i="17"/>
  <c r="AH193" i="17"/>
  <c r="AH194" i="17"/>
  <c r="AH195" i="17"/>
  <c r="AH196" i="17"/>
  <c r="AH197" i="17"/>
  <c r="AH198" i="17"/>
  <c r="AH199" i="17"/>
  <c r="AH200" i="17"/>
  <c r="AH201" i="17"/>
  <c r="AH202" i="17"/>
  <c r="AH203" i="17"/>
  <c r="AH204" i="17"/>
  <c r="AH205" i="17"/>
  <c r="AH206" i="17"/>
  <c r="AH207" i="17"/>
  <c r="AH208" i="17"/>
  <c r="AH209" i="17"/>
  <c r="AH210" i="17"/>
  <c r="AH211" i="17"/>
  <c r="AH212" i="17"/>
  <c r="AH213" i="17"/>
  <c r="AH214" i="17"/>
  <c r="AH215" i="17"/>
  <c r="AH216" i="17"/>
  <c r="AH217" i="17"/>
  <c r="AH218" i="17"/>
  <c r="AH219" i="17"/>
  <c r="AH220" i="17"/>
  <c r="AH221" i="17"/>
  <c r="AH222" i="17"/>
  <c r="AH223" i="17"/>
  <c r="AH224" i="17"/>
  <c r="AH225" i="17"/>
  <c r="AH226" i="17"/>
  <c r="AH227" i="17"/>
  <c r="AH228" i="17"/>
  <c r="AH229" i="17"/>
  <c r="J55" i="10" s="1"/>
  <c r="AH230" i="17"/>
  <c r="AH3" i="17"/>
  <c r="AG4" i="17"/>
  <c r="AG5" i="17"/>
  <c r="AG6" i="17"/>
  <c r="AG7" i="17"/>
  <c r="AG8" i="17"/>
  <c r="AG9" i="17"/>
  <c r="AG10" i="17"/>
  <c r="AG11" i="17"/>
  <c r="AG12" i="17"/>
  <c r="AG13" i="17"/>
  <c r="AG14" i="17"/>
  <c r="AG15" i="17"/>
  <c r="AG16" i="17"/>
  <c r="AG17" i="17"/>
  <c r="AG18" i="17"/>
  <c r="AG19" i="17"/>
  <c r="AG20" i="17"/>
  <c r="AG21" i="17"/>
  <c r="AG22" i="17"/>
  <c r="AG23" i="17"/>
  <c r="AG24" i="17"/>
  <c r="AG25" i="17"/>
  <c r="AG26" i="17"/>
  <c r="AG27" i="17"/>
  <c r="AG28" i="17"/>
  <c r="AG29" i="17"/>
  <c r="AG30" i="17"/>
  <c r="AG31" i="17"/>
  <c r="AG32" i="17"/>
  <c r="AG33" i="17"/>
  <c r="AG34" i="17"/>
  <c r="AG35" i="17"/>
  <c r="AG36" i="17"/>
  <c r="AG37" i="17"/>
  <c r="AG38" i="17"/>
  <c r="AG39" i="17"/>
  <c r="AG40" i="17"/>
  <c r="AG41" i="17"/>
  <c r="AG42" i="17"/>
  <c r="AG43" i="17"/>
  <c r="AG44" i="17"/>
  <c r="AG45" i="17"/>
  <c r="AG46" i="17"/>
  <c r="AG47" i="17"/>
  <c r="AG48" i="17"/>
  <c r="AG49" i="17"/>
  <c r="AG50" i="17"/>
  <c r="AG51" i="17"/>
  <c r="AG52" i="17"/>
  <c r="AG53" i="17"/>
  <c r="AG54" i="17"/>
  <c r="AG55" i="17"/>
  <c r="AG56" i="17"/>
  <c r="AG57" i="17"/>
  <c r="AG58" i="17"/>
  <c r="AG59" i="17"/>
  <c r="AG60" i="17"/>
  <c r="AG61" i="17"/>
  <c r="AG62" i="17"/>
  <c r="AG63" i="17"/>
  <c r="AG64" i="17"/>
  <c r="AG65" i="17"/>
  <c r="AG66" i="17"/>
  <c r="AG67" i="17"/>
  <c r="AG68" i="17"/>
  <c r="AG69" i="17"/>
  <c r="AG70" i="17"/>
  <c r="AG71" i="17"/>
  <c r="AG72" i="17"/>
  <c r="AG73" i="17"/>
  <c r="AG74" i="17"/>
  <c r="AG75" i="17"/>
  <c r="AG76" i="17"/>
  <c r="AG77" i="17"/>
  <c r="AG78" i="17"/>
  <c r="AG79" i="17"/>
  <c r="AG80" i="17"/>
  <c r="AG81" i="17"/>
  <c r="AG82" i="17"/>
  <c r="AG83" i="17"/>
  <c r="AG84" i="17"/>
  <c r="AG85" i="17"/>
  <c r="AG86" i="17"/>
  <c r="AG87" i="17"/>
  <c r="AG88" i="17"/>
  <c r="AG89" i="17"/>
  <c r="AG90" i="17"/>
  <c r="AG91" i="17"/>
  <c r="AG92" i="17"/>
  <c r="AG93" i="17"/>
  <c r="AG94" i="17"/>
  <c r="AG95" i="17"/>
  <c r="AG96" i="17"/>
  <c r="AG97" i="17"/>
  <c r="AG98" i="17"/>
  <c r="AG99" i="17"/>
  <c r="AG100" i="17"/>
  <c r="AG101" i="17"/>
  <c r="AG102" i="17"/>
  <c r="AG103" i="17"/>
  <c r="AG104" i="17"/>
  <c r="AG105" i="17"/>
  <c r="AG106" i="17"/>
  <c r="AG107" i="17"/>
  <c r="AG108" i="17"/>
  <c r="AG109" i="17"/>
  <c r="AG110" i="17"/>
  <c r="AG111" i="17"/>
  <c r="AG112" i="17"/>
  <c r="AG113" i="17"/>
  <c r="AG114" i="17"/>
  <c r="AG115" i="17"/>
  <c r="AG116" i="17"/>
  <c r="AG117" i="17"/>
  <c r="AG118" i="17"/>
  <c r="AG119" i="17"/>
  <c r="AG120" i="17"/>
  <c r="AG121" i="17"/>
  <c r="AG122" i="17"/>
  <c r="AG123" i="17"/>
  <c r="AG124" i="17"/>
  <c r="AG125" i="17"/>
  <c r="AG126" i="17"/>
  <c r="AG127" i="17"/>
  <c r="AG128" i="17"/>
  <c r="AG129" i="17"/>
  <c r="AG130" i="17"/>
  <c r="AG131" i="17"/>
  <c r="AG132" i="17"/>
  <c r="AG133" i="17"/>
  <c r="AG134" i="17"/>
  <c r="AG135" i="17"/>
  <c r="AG136" i="17"/>
  <c r="AG137" i="17"/>
  <c r="AG138" i="17"/>
  <c r="AG139" i="17"/>
  <c r="AG140" i="17"/>
  <c r="AG141" i="17"/>
  <c r="AG142" i="17"/>
  <c r="AG143" i="17"/>
  <c r="AG144" i="17"/>
  <c r="AG145" i="17"/>
  <c r="AG146" i="17"/>
  <c r="AG147" i="17"/>
  <c r="AG148" i="17"/>
  <c r="AG149" i="17"/>
  <c r="AG150" i="17"/>
  <c r="AG151" i="17"/>
  <c r="AG152" i="17"/>
  <c r="AG153" i="17"/>
  <c r="AG154" i="17"/>
  <c r="AG155" i="17"/>
  <c r="AG156" i="17"/>
  <c r="AG157" i="17"/>
  <c r="AG158" i="17"/>
  <c r="AG159" i="17"/>
  <c r="AG160" i="17"/>
  <c r="AG161" i="17"/>
  <c r="AG162" i="17"/>
  <c r="AG163" i="17"/>
  <c r="AG164" i="17"/>
  <c r="AG165" i="17"/>
  <c r="AG166" i="17"/>
  <c r="AG167" i="17"/>
  <c r="AG168" i="17"/>
  <c r="AG169" i="17"/>
  <c r="AG170" i="17"/>
  <c r="AG171" i="17"/>
  <c r="AG172" i="17"/>
  <c r="AG173" i="17"/>
  <c r="AG174" i="17"/>
  <c r="AG175" i="17"/>
  <c r="AG176" i="17"/>
  <c r="AG177" i="17"/>
  <c r="AG178" i="17"/>
  <c r="AG179" i="17"/>
  <c r="AG180" i="17"/>
  <c r="AG181" i="17"/>
  <c r="AG182" i="17"/>
  <c r="AG183" i="17"/>
  <c r="AG184" i="17"/>
  <c r="AG185" i="17"/>
  <c r="AG186" i="17"/>
  <c r="AG187" i="17"/>
  <c r="AG188" i="17"/>
  <c r="AG189" i="17"/>
  <c r="AG190" i="17"/>
  <c r="AG191" i="17"/>
  <c r="AG192" i="17"/>
  <c r="AG193" i="17"/>
  <c r="AG194" i="17"/>
  <c r="AG195" i="17"/>
  <c r="AG196" i="17"/>
  <c r="AG197" i="17"/>
  <c r="AG198" i="17"/>
  <c r="AG199" i="17"/>
  <c r="AG200" i="17"/>
  <c r="AG201" i="17"/>
  <c r="AG202" i="17"/>
  <c r="AG203" i="17"/>
  <c r="AG204" i="17"/>
  <c r="AG205" i="17"/>
  <c r="AG206" i="17"/>
  <c r="AG207" i="17"/>
  <c r="AG208" i="17"/>
  <c r="AG209" i="17"/>
  <c r="AG210" i="17"/>
  <c r="AG211" i="17"/>
  <c r="AG212" i="17"/>
  <c r="AG213" i="17"/>
  <c r="AG214" i="17"/>
  <c r="AG215" i="17"/>
  <c r="AG216" i="17"/>
  <c r="AG217" i="17"/>
  <c r="AG218" i="17"/>
  <c r="AG219" i="17"/>
  <c r="AG220" i="17"/>
  <c r="AG221" i="17"/>
  <c r="AG222" i="17"/>
  <c r="AG223" i="17"/>
  <c r="AG224" i="17"/>
  <c r="AG225" i="17"/>
  <c r="AG226" i="17"/>
  <c r="AG227" i="17"/>
  <c r="AG228" i="17"/>
  <c r="AG229" i="17"/>
  <c r="AG230" i="17"/>
  <c r="AG3" i="17"/>
  <c r="AF4" i="17"/>
  <c r="AF5" i="17"/>
  <c r="AF6" i="17"/>
  <c r="AF7" i="17"/>
  <c r="AF8" i="17"/>
  <c r="AF9" i="17"/>
  <c r="AF10" i="17"/>
  <c r="AF11" i="17"/>
  <c r="AF12" i="17"/>
  <c r="AF13" i="17"/>
  <c r="AF14" i="17"/>
  <c r="AF15" i="17"/>
  <c r="AF16" i="17"/>
  <c r="AF17" i="17"/>
  <c r="AF18" i="17"/>
  <c r="AF19" i="17"/>
  <c r="AF20" i="17"/>
  <c r="AF21" i="17"/>
  <c r="AF22" i="17"/>
  <c r="AF23" i="17"/>
  <c r="AF24" i="17"/>
  <c r="AF25" i="17"/>
  <c r="AF26" i="17"/>
  <c r="AF27" i="17"/>
  <c r="AF28" i="17"/>
  <c r="AF29" i="17"/>
  <c r="AF30" i="17"/>
  <c r="AF31" i="17"/>
  <c r="AF32" i="17"/>
  <c r="AF33" i="17"/>
  <c r="AF34" i="17"/>
  <c r="AF35" i="17"/>
  <c r="AF36" i="17"/>
  <c r="AF37" i="17"/>
  <c r="AF38" i="17"/>
  <c r="AF39" i="17"/>
  <c r="AF40" i="17"/>
  <c r="AF41" i="17"/>
  <c r="AF42" i="17"/>
  <c r="AF43" i="17"/>
  <c r="AF44" i="17"/>
  <c r="AF45" i="17"/>
  <c r="AF46" i="17"/>
  <c r="AF47" i="17"/>
  <c r="AF48" i="17"/>
  <c r="AF49" i="17"/>
  <c r="AF50" i="17"/>
  <c r="AF51" i="17"/>
  <c r="AF52" i="17"/>
  <c r="AF53" i="17"/>
  <c r="AF54" i="17"/>
  <c r="AF55" i="17"/>
  <c r="AF56" i="17"/>
  <c r="AF57" i="17"/>
  <c r="AF58" i="17"/>
  <c r="AF59" i="17"/>
  <c r="AF60" i="17"/>
  <c r="AF61" i="17"/>
  <c r="AF62" i="17"/>
  <c r="AF63" i="17"/>
  <c r="AF64" i="17"/>
  <c r="AF65" i="17"/>
  <c r="AF66" i="17"/>
  <c r="AF67" i="17"/>
  <c r="AF68" i="17"/>
  <c r="AF69" i="17"/>
  <c r="AF70" i="17"/>
  <c r="AF71" i="17"/>
  <c r="AF72" i="17"/>
  <c r="AF73" i="17"/>
  <c r="AF74" i="17"/>
  <c r="AF75" i="17"/>
  <c r="AF76" i="17"/>
  <c r="AF77" i="17"/>
  <c r="AF78" i="17"/>
  <c r="AF79" i="17"/>
  <c r="AF80" i="17"/>
  <c r="AF81" i="17"/>
  <c r="AF82" i="17"/>
  <c r="AF83" i="17"/>
  <c r="AF84" i="17"/>
  <c r="AF85" i="17"/>
  <c r="AF86" i="17"/>
  <c r="AF87" i="17"/>
  <c r="AF88" i="17"/>
  <c r="AF89" i="17"/>
  <c r="AF90" i="17"/>
  <c r="AF91" i="17"/>
  <c r="AF92" i="17"/>
  <c r="AF93" i="17"/>
  <c r="AF94" i="17"/>
  <c r="AF95" i="17"/>
  <c r="AF96" i="17"/>
  <c r="AF97" i="17"/>
  <c r="AF98" i="17"/>
  <c r="AF99" i="17"/>
  <c r="AF100" i="17"/>
  <c r="AF101" i="17"/>
  <c r="AF102" i="17"/>
  <c r="AF103" i="17"/>
  <c r="AF104" i="17"/>
  <c r="AF105" i="17"/>
  <c r="AF106" i="17"/>
  <c r="AF107" i="17"/>
  <c r="AF108" i="17"/>
  <c r="AF109" i="17"/>
  <c r="AF110" i="17"/>
  <c r="AF111" i="17"/>
  <c r="AF112" i="17"/>
  <c r="AF113" i="17"/>
  <c r="AF114" i="17"/>
  <c r="AF115" i="17"/>
  <c r="AF116" i="17"/>
  <c r="AF117" i="17"/>
  <c r="AF118" i="17"/>
  <c r="AF119" i="17"/>
  <c r="AF120" i="17"/>
  <c r="AF121" i="17"/>
  <c r="AF122" i="17"/>
  <c r="AF123" i="17"/>
  <c r="AF124" i="17"/>
  <c r="AF125" i="17"/>
  <c r="AF126" i="17"/>
  <c r="AF127" i="17"/>
  <c r="AF128" i="17"/>
  <c r="AF129" i="17"/>
  <c r="AF130" i="17"/>
  <c r="AF131" i="17"/>
  <c r="AF132" i="17"/>
  <c r="AF133" i="17"/>
  <c r="AF134" i="17"/>
  <c r="AF135" i="17"/>
  <c r="AF136" i="17"/>
  <c r="AF137" i="17"/>
  <c r="AF138" i="17"/>
  <c r="AF139" i="17"/>
  <c r="AF140" i="17"/>
  <c r="AF141" i="17"/>
  <c r="AF142" i="17"/>
  <c r="AF143" i="17"/>
  <c r="AF144" i="17"/>
  <c r="AF145" i="17"/>
  <c r="AF146" i="17"/>
  <c r="AF147" i="17"/>
  <c r="G96" i="10" s="1"/>
  <c r="AF148" i="17"/>
  <c r="AF149" i="17"/>
  <c r="AF150" i="17"/>
  <c r="AF151" i="17"/>
  <c r="AF152" i="17"/>
  <c r="AF153" i="17"/>
  <c r="AF154" i="17"/>
  <c r="AF155" i="17"/>
  <c r="AF156" i="17"/>
  <c r="AF157" i="17"/>
  <c r="AF158" i="17"/>
  <c r="AF159" i="17"/>
  <c r="AF160" i="17"/>
  <c r="AF161" i="17"/>
  <c r="AF162" i="17"/>
  <c r="AF163" i="17"/>
  <c r="AF164" i="17"/>
  <c r="AF165" i="17"/>
  <c r="AF166" i="17"/>
  <c r="AF167" i="17"/>
  <c r="AF168" i="17"/>
  <c r="AF169" i="17"/>
  <c r="AF170" i="17"/>
  <c r="AF171" i="17"/>
  <c r="AF172" i="17"/>
  <c r="AF173" i="17"/>
  <c r="AF174" i="17"/>
  <c r="AF175" i="17"/>
  <c r="AF176" i="17"/>
  <c r="AF177" i="17"/>
  <c r="AF178" i="17"/>
  <c r="AF179" i="17"/>
  <c r="AF180" i="17"/>
  <c r="AF181" i="17"/>
  <c r="AF182" i="17"/>
  <c r="AF183" i="17"/>
  <c r="AF184" i="17"/>
  <c r="AF185" i="17"/>
  <c r="AF186" i="17"/>
  <c r="AF187" i="17"/>
  <c r="AF188" i="17"/>
  <c r="AF189" i="17"/>
  <c r="AF190" i="17"/>
  <c r="AF191" i="17"/>
  <c r="AF192" i="17"/>
  <c r="AF193" i="17"/>
  <c r="AF194" i="17"/>
  <c r="AF195" i="17"/>
  <c r="AF196" i="17"/>
  <c r="AF197" i="17"/>
  <c r="AF198" i="17"/>
  <c r="AF199" i="17"/>
  <c r="AF200" i="17"/>
  <c r="AF201" i="17"/>
  <c r="AF202" i="17"/>
  <c r="AF203" i="17"/>
  <c r="AF204" i="17"/>
  <c r="AF205" i="17"/>
  <c r="AF206" i="17"/>
  <c r="AF207" i="17"/>
  <c r="AF208" i="17"/>
  <c r="AF209" i="17"/>
  <c r="AF210" i="17"/>
  <c r="AF211" i="17"/>
  <c r="AF212" i="17"/>
  <c r="AF213" i="17"/>
  <c r="AF214" i="17"/>
  <c r="AF215" i="17"/>
  <c r="AF216" i="17"/>
  <c r="AF217" i="17"/>
  <c r="AF218" i="17"/>
  <c r="AF219" i="17"/>
  <c r="AF220" i="17"/>
  <c r="AF221" i="17"/>
  <c r="AF222" i="17"/>
  <c r="AF223" i="17"/>
  <c r="AF224" i="17"/>
  <c r="AF225" i="17"/>
  <c r="AF226" i="17"/>
  <c r="AF227" i="17"/>
  <c r="AF228" i="17"/>
  <c r="AF229" i="17"/>
  <c r="AF230" i="17"/>
  <c r="AF3" i="17"/>
  <c r="AE4" i="17"/>
  <c r="AE5" i="17"/>
  <c r="AE6" i="17"/>
  <c r="AE7" i="17"/>
  <c r="AE8" i="17"/>
  <c r="AE9" i="17"/>
  <c r="AE10" i="17"/>
  <c r="AE11" i="17"/>
  <c r="AE12" i="17"/>
  <c r="AE13" i="17"/>
  <c r="AE14" i="17"/>
  <c r="AE15" i="17"/>
  <c r="AE16" i="17"/>
  <c r="AE17" i="17"/>
  <c r="AE18" i="17"/>
  <c r="AE19" i="17"/>
  <c r="AE20" i="17"/>
  <c r="AE21" i="17"/>
  <c r="AE22" i="17"/>
  <c r="AE23" i="17"/>
  <c r="AE24" i="17"/>
  <c r="AE25" i="17"/>
  <c r="AE26" i="17"/>
  <c r="AE27" i="17"/>
  <c r="AE28" i="17"/>
  <c r="AE29" i="17"/>
  <c r="AE30" i="17"/>
  <c r="AE31" i="17"/>
  <c r="AE32" i="17"/>
  <c r="AE33" i="17"/>
  <c r="AE34" i="17"/>
  <c r="AE35" i="17"/>
  <c r="AE36" i="17"/>
  <c r="AE37" i="17"/>
  <c r="AE38" i="17"/>
  <c r="AE39" i="17"/>
  <c r="AE40" i="17"/>
  <c r="AE41" i="17"/>
  <c r="AE42" i="17"/>
  <c r="AE43" i="17"/>
  <c r="AE44" i="17"/>
  <c r="AE45" i="17"/>
  <c r="AE46" i="17"/>
  <c r="AE47" i="17"/>
  <c r="AE48" i="17"/>
  <c r="AE49" i="17"/>
  <c r="AE50" i="17"/>
  <c r="AE51" i="17"/>
  <c r="AE52" i="17"/>
  <c r="AE53" i="17"/>
  <c r="AE54" i="17"/>
  <c r="AE55" i="17"/>
  <c r="AE56" i="17"/>
  <c r="AE57" i="17"/>
  <c r="AE58" i="17"/>
  <c r="AE59" i="17"/>
  <c r="AE60" i="17"/>
  <c r="AE61" i="17"/>
  <c r="AE62" i="17"/>
  <c r="AE63" i="17"/>
  <c r="AE64" i="17"/>
  <c r="AE65" i="17"/>
  <c r="AE66" i="17"/>
  <c r="AE67" i="17"/>
  <c r="AE68" i="17"/>
  <c r="AE69" i="17"/>
  <c r="AE70" i="17"/>
  <c r="AE71" i="17"/>
  <c r="AE72" i="17"/>
  <c r="AE73" i="17"/>
  <c r="AE74" i="17"/>
  <c r="AE75" i="17"/>
  <c r="AE76" i="17"/>
  <c r="AE77" i="17"/>
  <c r="AE78" i="17"/>
  <c r="AE79" i="17"/>
  <c r="AE80" i="17"/>
  <c r="AE81" i="17"/>
  <c r="AE82" i="17"/>
  <c r="AE83" i="17"/>
  <c r="AE84" i="17"/>
  <c r="AE85" i="17"/>
  <c r="AE86" i="17"/>
  <c r="AE87" i="17"/>
  <c r="AE88" i="17"/>
  <c r="AE89" i="17"/>
  <c r="AE90" i="17"/>
  <c r="AE91" i="17"/>
  <c r="AE92" i="17"/>
  <c r="AE93" i="17"/>
  <c r="AE94" i="17"/>
  <c r="AE95" i="17"/>
  <c r="AE96" i="17"/>
  <c r="AE97" i="17"/>
  <c r="AE98" i="17"/>
  <c r="AE99" i="17"/>
  <c r="AE100" i="17"/>
  <c r="AE101" i="17"/>
  <c r="AE102" i="17"/>
  <c r="AE103" i="17"/>
  <c r="AE104" i="17"/>
  <c r="AE105" i="17"/>
  <c r="AE106" i="17"/>
  <c r="AE107" i="17"/>
  <c r="AE108" i="17"/>
  <c r="AE109" i="17"/>
  <c r="AE110" i="17"/>
  <c r="AE111" i="17"/>
  <c r="AE112" i="17"/>
  <c r="AE113" i="17"/>
  <c r="AE114" i="17"/>
  <c r="AE115" i="17"/>
  <c r="AE116" i="17"/>
  <c r="AE117" i="17"/>
  <c r="AE118" i="17"/>
  <c r="AE119" i="17"/>
  <c r="AE120" i="17"/>
  <c r="AE121" i="17"/>
  <c r="AE122" i="17"/>
  <c r="AE123" i="17"/>
  <c r="AE124" i="17"/>
  <c r="AE125" i="17"/>
  <c r="AE126" i="17"/>
  <c r="AE127" i="17"/>
  <c r="AE128" i="17"/>
  <c r="G52" i="10" s="1"/>
  <c r="AE129" i="17"/>
  <c r="AE130" i="17"/>
  <c r="AE131" i="17"/>
  <c r="AE132" i="17"/>
  <c r="AE133" i="17"/>
  <c r="AE134" i="17"/>
  <c r="AE135" i="17"/>
  <c r="AE136" i="17"/>
  <c r="AE137" i="17"/>
  <c r="AE138" i="17"/>
  <c r="AE139" i="17"/>
  <c r="AE140" i="17"/>
  <c r="AE141" i="17"/>
  <c r="AE142" i="17"/>
  <c r="AE143" i="17"/>
  <c r="AE144" i="17"/>
  <c r="AE145" i="17"/>
  <c r="AE146" i="17"/>
  <c r="AE147" i="17"/>
  <c r="G47" i="10" s="1"/>
  <c r="AE148" i="17"/>
  <c r="AE149" i="17"/>
  <c r="AE150" i="17"/>
  <c r="AE151" i="17"/>
  <c r="AE152" i="17"/>
  <c r="AE153" i="17"/>
  <c r="AE154" i="17"/>
  <c r="AE155" i="17"/>
  <c r="AE156" i="17"/>
  <c r="AE157" i="17"/>
  <c r="AE158" i="17"/>
  <c r="AE159" i="17"/>
  <c r="AE160" i="17"/>
  <c r="AE161" i="17"/>
  <c r="AE162" i="17"/>
  <c r="AE163" i="17"/>
  <c r="AE164" i="17"/>
  <c r="AE165" i="17"/>
  <c r="AE166" i="17"/>
  <c r="AE167" i="17"/>
  <c r="AE168" i="17"/>
  <c r="AE169" i="17"/>
  <c r="AE170" i="17"/>
  <c r="AE171" i="17"/>
  <c r="AE172" i="17"/>
  <c r="AE173" i="17"/>
  <c r="AE174" i="17"/>
  <c r="AE175" i="17"/>
  <c r="AE176" i="17"/>
  <c r="AE177" i="17"/>
  <c r="AE178" i="17"/>
  <c r="AE179" i="17"/>
  <c r="AE180" i="17"/>
  <c r="AE181" i="17"/>
  <c r="AE182" i="17"/>
  <c r="AE183" i="17"/>
  <c r="AE184" i="17"/>
  <c r="AE185" i="17"/>
  <c r="AE186" i="17"/>
  <c r="AE187" i="17"/>
  <c r="AE188" i="17"/>
  <c r="AE189" i="17"/>
  <c r="AE190" i="17"/>
  <c r="AE191" i="17"/>
  <c r="AE192" i="17"/>
  <c r="AE193" i="17"/>
  <c r="AE194" i="17"/>
  <c r="AE195" i="17"/>
  <c r="AE196" i="17"/>
  <c r="AE197" i="17"/>
  <c r="AE198" i="17"/>
  <c r="AE199" i="17"/>
  <c r="AE200" i="17"/>
  <c r="AE201" i="17"/>
  <c r="AE202" i="17"/>
  <c r="AE203" i="17"/>
  <c r="AE204" i="17"/>
  <c r="AE205" i="17"/>
  <c r="AE206" i="17"/>
  <c r="AE207" i="17"/>
  <c r="AE208" i="17"/>
  <c r="AE209" i="17"/>
  <c r="AE210" i="17"/>
  <c r="AE211" i="17"/>
  <c r="AE212" i="17"/>
  <c r="AE213" i="17"/>
  <c r="AE214" i="17"/>
  <c r="AE215" i="17"/>
  <c r="AE216" i="17"/>
  <c r="AE217" i="17"/>
  <c r="AE218" i="17"/>
  <c r="AE219" i="17"/>
  <c r="AE220" i="17"/>
  <c r="AE221" i="17"/>
  <c r="AE222" i="17"/>
  <c r="AE223" i="17"/>
  <c r="AE224" i="17"/>
  <c r="AE225" i="17"/>
  <c r="AE226" i="17"/>
  <c r="AE227" i="17"/>
  <c r="AE228" i="17"/>
  <c r="AE229" i="17"/>
  <c r="G55" i="10" s="1"/>
  <c r="AE230" i="17"/>
  <c r="AE3" i="17"/>
  <c r="X4" i="17"/>
  <c r="AB4" i="17" s="1"/>
  <c r="X5" i="17"/>
  <c r="X6" i="17"/>
  <c r="X7" i="17"/>
  <c r="X8" i="17"/>
  <c r="AB8" i="17" s="1"/>
  <c r="X9" i="17"/>
  <c r="AB9" i="17" s="1"/>
  <c r="X10" i="17"/>
  <c r="X11" i="17"/>
  <c r="AB11" i="17" s="1"/>
  <c r="X12" i="17"/>
  <c r="AB12" i="17" s="1"/>
  <c r="X13" i="17"/>
  <c r="X14" i="17"/>
  <c r="X15" i="17"/>
  <c r="AC15" i="17" s="1"/>
  <c r="X16" i="17"/>
  <c r="AB16" i="17" s="1"/>
  <c r="X17" i="17"/>
  <c r="AC17" i="17" s="1"/>
  <c r="X18" i="17"/>
  <c r="X19" i="17"/>
  <c r="AC19" i="17" s="1"/>
  <c r="X20" i="17"/>
  <c r="AB20" i="17" s="1"/>
  <c r="X21" i="17"/>
  <c r="X22" i="17"/>
  <c r="AB22" i="17" s="1"/>
  <c r="X23" i="17"/>
  <c r="X24" i="17"/>
  <c r="AB24" i="17" s="1"/>
  <c r="X25" i="17"/>
  <c r="X26" i="17"/>
  <c r="X27" i="17"/>
  <c r="AB27" i="17" s="1"/>
  <c r="X28" i="17"/>
  <c r="AB28" i="17" s="1"/>
  <c r="X29" i="17"/>
  <c r="AB29" i="17" s="1"/>
  <c r="X30" i="17"/>
  <c r="X31" i="17"/>
  <c r="AC31" i="17" s="1"/>
  <c r="X32" i="17"/>
  <c r="AB32" i="17" s="1"/>
  <c r="X33" i="17"/>
  <c r="AC33" i="17" s="1"/>
  <c r="X34" i="17"/>
  <c r="AB34" i="17" s="1"/>
  <c r="X35" i="17"/>
  <c r="AB35" i="17" s="1"/>
  <c r="X36" i="17"/>
  <c r="AB36" i="17" s="1"/>
  <c r="X37" i="17"/>
  <c r="X38" i="17"/>
  <c r="AB38" i="17" s="1"/>
  <c r="X39" i="17"/>
  <c r="AB39" i="17" s="1"/>
  <c r="X40" i="17"/>
  <c r="AB40" i="17" s="1"/>
  <c r="X41" i="17"/>
  <c r="X42" i="17"/>
  <c r="AB42" i="17" s="1"/>
  <c r="X43" i="17"/>
  <c r="AB43" i="17" s="1"/>
  <c r="X44" i="17"/>
  <c r="AB44" i="17" s="1"/>
  <c r="X45" i="17"/>
  <c r="X46" i="17"/>
  <c r="X47" i="17"/>
  <c r="AB47" i="17" s="1"/>
  <c r="X48" i="17"/>
  <c r="AB48" i="17" s="1"/>
  <c r="X49" i="17"/>
  <c r="X50" i="17"/>
  <c r="X51" i="17"/>
  <c r="AB51" i="17" s="1"/>
  <c r="X52" i="17"/>
  <c r="AB52" i="17" s="1"/>
  <c r="X53" i="17"/>
  <c r="AC53" i="17" s="1"/>
  <c r="X54" i="17"/>
  <c r="X55" i="17"/>
  <c r="AB55" i="17" s="1"/>
  <c r="X56" i="17"/>
  <c r="AB56" i="17" s="1"/>
  <c r="X57" i="17"/>
  <c r="AC57" i="17" s="1"/>
  <c r="X58" i="17"/>
  <c r="X59" i="17"/>
  <c r="AB59" i="17" s="1"/>
  <c r="X60" i="17"/>
  <c r="AB60" i="17" s="1"/>
  <c r="X61" i="17"/>
  <c r="AC61" i="17" s="1"/>
  <c r="X62" i="17"/>
  <c r="AB62" i="17" s="1"/>
  <c r="X63" i="17"/>
  <c r="AB63" i="17" s="1"/>
  <c r="X64" i="17"/>
  <c r="AB64" i="17" s="1"/>
  <c r="X65" i="17"/>
  <c r="AC65" i="17" s="1"/>
  <c r="X66" i="17"/>
  <c r="AB66" i="17" s="1"/>
  <c r="X67" i="17"/>
  <c r="AB67" i="17" s="1"/>
  <c r="X68" i="17"/>
  <c r="AB68" i="17" s="1"/>
  <c r="X69" i="17"/>
  <c r="X70" i="17"/>
  <c r="AB70" i="17" s="1"/>
  <c r="X71" i="17"/>
  <c r="AB71" i="17" s="1"/>
  <c r="X72" i="17"/>
  <c r="AB72" i="17" s="1"/>
  <c r="X73" i="17"/>
  <c r="X74" i="17"/>
  <c r="AB74" i="17" s="1"/>
  <c r="X75" i="17"/>
  <c r="AB75" i="17" s="1"/>
  <c r="X76" i="17"/>
  <c r="AB76" i="17" s="1"/>
  <c r="X77" i="17"/>
  <c r="X78" i="17"/>
  <c r="X79" i="17"/>
  <c r="AB79" i="17" s="1"/>
  <c r="X80" i="17"/>
  <c r="AB80" i="17" s="1"/>
  <c r="X81" i="17"/>
  <c r="X82" i="17"/>
  <c r="X83" i="17"/>
  <c r="AB83" i="17" s="1"/>
  <c r="X84" i="17"/>
  <c r="AB84" i="17" s="1"/>
  <c r="X85" i="17"/>
  <c r="AC85" i="17" s="1"/>
  <c r="X86" i="17"/>
  <c r="X87" i="17"/>
  <c r="AB87" i="17" s="1"/>
  <c r="X88" i="17"/>
  <c r="AB88" i="17" s="1"/>
  <c r="X89" i="17"/>
  <c r="AC89" i="17" s="1"/>
  <c r="X90" i="17"/>
  <c r="X91" i="17"/>
  <c r="AB91" i="17" s="1"/>
  <c r="X92" i="17"/>
  <c r="AB92" i="17" s="1"/>
  <c r="X93" i="17"/>
  <c r="AC93" i="17" s="1"/>
  <c r="X94" i="17"/>
  <c r="AB94" i="17" s="1"/>
  <c r="X95" i="17"/>
  <c r="AB95" i="17" s="1"/>
  <c r="X96" i="17"/>
  <c r="AB96" i="17" s="1"/>
  <c r="X97" i="17"/>
  <c r="AC97" i="17" s="1"/>
  <c r="X98" i="17"/>
  <c r="AB98" i="17" s="1"/>
  <c r="X99" i="17"/>
  <c r="AB99" i="17" s="1"/>
  <c r="X100" i="17"/>
  <c r="AB100" i="17" s="1"/>
  <c r="X101" i="17"/>
  <c r="X102" i="17"/>
  <c r="AB102" i="17" s="1"/>
  <c r="X103" i="17"/>
  <c r="AB103" i="17" s="1"/>
  <c r="X104" i="17"/>
  <c r="AB104" i="17" s="1"/>
  <c r="X105" i="17"/>
  <c r="X106" i="17"/>
  <c r="AB106" i="17" s="1"/>
  <c r="X107" i="17"/>
  <c r="AB107" i="17" s="1"/>
  <c r="X108" i="17"/>
  <c r="AB108" i="17" s="1"/>
  <c r="X109" i="17"/>
  <c r="X110" i="17"/>
  <c r="X111" i="17"/>
  <c r="AB111" i="17" s="1"/>
  <c r="X112" i="17"/>
  <c r="AB112" i="17" s="1"/>
  <c r="X113" i="17"/>
  <c r="X114" i="17"/>
  <c r="X115" i="17"/>
  <c r="AB115" i="17" s="1"/>
  <c r="X116" i="17"/>
  <c r="AB116" i="17" s="1"/>
  <c r="X117" i="17"/>
  <c r="AC117" i="17" s="1"/>
  <c r="X118" i="17"/>
  <c r="X119" i="17"/>
  <c r="AB119" i="17" s="1"/>
  <c r="X120" i="17"/>
  <c r="AB120" i="17" s="1"/>
  <c r="X121" i="17"/>
  <c r="AC121" i="17" s="1"/>
  <c r="X122" i="17"/>
  <c r="X123" i="17"/>
  <c r="AB123" i="17" s="1"/>
  <c r="X124" i="17"/>
  <c r="AB124" i="17" s="1"/>
  <c r="X125" i="17"/>
  <c r="AC125" i="17" s="1"/>
  <c r="X126" i="17"/>
  <c r="AB126" i="17" s="1"/>
  <c r="X127" i="17"/>
  <c r="AB127" i="17" s="1"/>
  <c r="X128" i="17"/>
  <c r="AB128" i="17" s="1"/>
  <c r="I52" i="10" s="1"/>
  <c r="X129" i="17"/>
  <c r="AC129" i="17" s="1"/>
  <c r="X130" i="17"/>
  <c r="AB130" i="17" s="1"/>
  <c r="X131" i="17"/>
  <c r="AB131" i="17" s="1"/>
  <c r="X132" i="17"/>
  <c r="AB132" i="17" s="1"/>
  <c r="X133" i="17"/>
  <c r="X134" i="17"/>
  <c r="AB134" i="17" s="1"/>
  <c r="X135" i="17"/>
  <c r="AB135" i="17" s="1"/>
  <c r="X136" i="17"/>
  <c r="AB136" i="17" s="1"/>
  <c r="X137" i="17"/>
  <c r="X138" i="17"/>
  <c r="AB138" i="17" s="1"/>
  <c r="X139" i="17"/>
  <c r="AB139" i="17" s="1"/>
  <c r="X140" i="17"/>
  <c r="AB140" i="17" s="1"/>
  <c r="X141" i="17"/>
  <c r="X142" i="17"/>
  <c r="X143" i="17"/>
  <c r="AB143" i="17" s="1"/>
  <c r="X144" i="17"/>
  <c r="AB144" i="17" s="1"/>
  <c r="X145" i="17"/>
  <c r="X146" i="17"/>
  <c r="X147" i="17"/>
  <c r="AB147" i="17" s="1"/>
  <c r="I47" i="10" s="1"/>
  <c r="X148" i="17"/>
  <c r="AB148" i="17" s="1"/>
  <c r="X149" i="17"/>
  <c r="AC149" i="17" s="1"/>
  <c r="X150" i="17"/>
  <c r="X151" i="17"/>
  <c r="AB151" i="17" s="1"/>
  <c r="X152" i="17"/>
  <c r="AB152" i="17" s="1"/>
  <c r="X153" i="17"/>
  <c r="AC153" i="17" s="1"/>
  <c r="X154" i="17"/>
  <c r="X155" i="17"/>
  <c r="AB155" i="17" s="1"/>
  <c r="X156" i="17"/>
  <c r="AB156" i="17" s="1"/>
  <c r="X157" i="17"/>
  <c r="AC157" i="17" s="1"/>
  <c r="X158" i="17"/>
  <c r="AB158" i="17" s="1"/>
  <c r="X159" i="17"/>
  <c r="AB159" i="17" s="1"/>
  <c r="X160" i="17"/>
  <c r="AB160" i="17" s="1"/>
  <c r="X161" i="17"/>
  <c r="AC161" i="17" s="1"/>
  <c r="X162" i="17"/>
  <c r="AB162" i="17" s="1"/>
  <c r="X163" i="17"/>
  <c r="AB163" i="17" s="1"/>
  <c r="X164" i="17"/>
  <c r="AB164" i="17" s="1"/>
  <c r="X165" i="17"/>
  <c r="X166" i="17"/>
  <c r="AB166" i="17" s="1"/>
  <c r="X167" i="17"/>
  <c r="AB167" i="17" s="1"/>
  <c r="X168" i="17"/>
  <c r="AB168" i="17" s="1"/>
  <c r="X169" i="17"/>
  <c r="X170" i="17"/>
  <c r="AB170" i="17" s="1"/>
  <c r="X171" i="17"/>
  <c r="AB171" i="17" s="1"/>
  <c r="X172" i="17"/>
  <c r="AB172" i="17" s="1"/>
  <c r="X173" i="17"/>
  <c r="X174" i="17"/>
  <c r="AB174" i="17" s="1"/>
  <c r="X175" i="17"/>
  <c r="AB175" i="17" s="1"/>
  <c r="X176" i="17"/>
  <c r="AB176" i="17" s="1"/>
  <c r="X177" i="17"/>
  <c r="X178" i="17"/>
  <c r="AB178" i="17" s="1"/>
  <c r="X179" i="17"/>
  <c r="AB179" i="17" s="1"/>
  <c r="X180" i="17"/>
  <c r="AB180" i="17" s="1"/>
  <c r="X181" i="17"/>
  <c r="AC181" i="17" s="1"/>
  <c r="X182" i="17"/>
  <c r="X183" i="17"/>
  <c r="AB183" i="17" s="1"/>
  <c r="X184" i="17"/>
  <c r="AB184" i="17" s="1"/>
  <c r="X185" i="17"/>
  <c r="AC185" i="17" s="1"/>
  <c r="X186" i="17"/>
  <c r="X187" i="17"/>
  <c r="AB187" i="17" s="1"/>
  <c r="X188" i="17"/>
  <c r="AB188" i="17" s="1"/>
  <c r="X189" i="17"/>
  <c r="AC189" i="17" s="1"/>
  <c r="X190" i="17"/>
  <c r="AB190" i="17" s="1"/>
  <c r="X191" i="17"/>
  <c r="AB191" i="17" s="1"/>
  <c r="X192" i="17"/>
  <c r="AB192" i="17" s="1"/>
  <c r="X193" i="17"/>
  <c r="AC193" i="17" s="1"/>
  <c r="X194" i="17"/>
  <c r="AB194" i="17" s="1"/>
  <c r="X195" i="17"/>
  <c r="AB195" i="17" s="1"/>
  <c r="X196" i="17"/>
  <c r="AB196" i="17" s="1"/>
  <c r="X197" i="17"/>
  <c r="AC197" i="17" s="1"/>
  <c r="X198" i="17"/>
  <c r="AB198" i="17" s="1"/>
  <c r="X199" i="17"/>
  <c r="AB199" i="17" s="1"/>
  <c r="X200" i="17"/>
  <c r="AB200" i="17" s="1"/>
  <c r="X201" i="17"/>
  <c r="AC201" i="17" s="1"/>
  <c r="X202" i="17"/>
  <c r="AB202" i="17" s="1"/>
  <c r="X203" i="17"/>
  <c r="AB203" i="17" s="1"/>
  <c r="X204" i="17"/>
  <c r="AB204" i="17" s="1"/>
  <c r="X205" i="17"/>
  <c r="X206" i="17"/>
  <c r="AB206" i="17" s="1"/>
  <c r="X207" i="17"/>
  <c r="AB207" i="17" s="1"/>
  <c r="X208" i="17"/>
  <c r="AB208" i="17" s="1"/>
  <c r="X209" i="17"/>
  <c r="X210" i="17"/>
  <c r="AB210" i="17" s="1"/>
  <c r="X211" i="17"/>
  <c r="AB211" i="17" s="1"/>
  <c r="X212" i="17"/>
  <c r="AB212" i="17" s="1"/>
  <c r="X213" i="17"/>
  <c r="AB213" i="17" s="1"/>
  <c r="X214" i="17"/>
  <c r="AB214" i="17" s="1"/>
  <c r="X215" i="17"/>
  <c r="AB215" i="17" s="1"/>
  <c r="X216" i="17"/>
  <c r="AB216" i="17" s="1"/>
  <c r="X217" i="17"/>
  <c r="AC217" i="17" s="1"/>
  <c r="X218" i="17"/>
  <c r="AB218" i="17" s="1"/>
  <c r="X219" i="17"/>
  <c r="AC219" i="17" s="1"/>
  <c r="X220" i="17"/>
  <c r="AB220" i="17" s="1"/>
  <c r="X221" i="17"/>
  <c r="AC221" i="17" s="1"/>
  <c r="X222" i="17"/>
  <c r="AB222" i="17" s="1"/>
  <c r="X223" i="17"/>
  <c r="AB223" i="17" s="1"/>
  <c r="X224" i="17"/>
  <c r="AB224" i="17" s="1"/>
  <c r="X225" i="17"/>
  <c r="AC225" i="17" s="1"/>
  <c r="X226" i="17"/>
  <c r="AB226" i="17" s="1"/>
  <c r="X227" i="17"/>
  <c r="AB227" i="17" s="1"/>
  <c r="X228" i="17"/>
  <c r="AB228" i="17" s="1"/>
  <c r="X229" i="17"/>
  <c r="AB229" i="17" s="1"/>
  <c r="I55" i="10" s="1"/>
  <c r="X230" i="17"/>
  <c r="X3" i="17"/>
  <c r="AC3" i="17" s="1"/>
  <c r="W4" i="17"/>
  <c r="Y4" i="17" s="1"/>
  <c r="W5" i="17"/>
  <c r="Z5" i="17" s="1"/>
  <c r="W6" i="17"/>
  <c r="W7" i="17"/>
  <c r="Y7" i="17" s="1"/>
  <c r="W8" i="17"/>
  <c r="Y8" i="17" s="1"/>
  <c r="W9" i="17"/>
  <c r="Z9" i="17" s="1"/>
  <c r="W10" i="17"/>
  <c r="Y10" i="17" s="1"/>
  <c r="W11" i="17"/>
  <c r="Y11" i="17" s="1"/>
  <c r="W12" i="17"/>
  <c r="Y12" i="17" s="1"/>
  <c r="W13" i="17"/>
  <c r="W14" i="17"/>
  <c r="Y14" i="17" s="1"/>
  <c r="W15" i="17"/>
  <c r="Y15" i="17" s="1"/>
  <c r="W16" i="17"/>
  <c r="Y16" i="17" s="1"/>
  <c r="W17" i="17"/>
  <c r="Y17" i="17" s="1"/>
  <c r="W18" i="17"/>
  <c r="Y18" i="17" s="1"/>
  <c r="W19" i="17"/>
  <c r="Y19" i="17" s="1"/>
  <c r="W20" i="17"/>
  <c r="Y20" i="17" s="1"/>
  <c r="W21" i="17"/>
  <c r="Z21" i="17" s="1"/>
  <c r="W22" i="17"/>
  <c r="Y22" i="17" s="1"/>
  <c r="W23" i="17"/>
  <c r="Z23" i="17" s="1"/>
  <c r="W24" i="17"/>
  <c r="Y24" i="17" s="1"/>
  <c r="W25" i="17"/>
  <c r="Z25" i="17" s="1"/>
  <c r="W26" i="17"/>
  <c r="Y26" i="17" s="1"/>
  <c r="W27" i="17"/>
  <c r="Y27" i="17" s="1"/>
  <c r="W28" i="17"/>
  <c r="Y28" i="17" s="1"/>
  <c r="W29" i="17"/>
  <c r="Z29" i="17" s="1"/>
  <c r="W30" i="17"/>
  <c r="Y30" i="17" s="1"/>
  <c r="W31" i="17"/>
  <c r="Y31" i="17" s="1"/>
  <c r="W32" i="17"/>
  <c r="Y32" i="17" s="1"/>
  <c r="W33" i="17"/>
  <c r="Y33" i="17" s="1"/>
  <c r="W34" i="17"/>
  <c r="W35" i="17"/>
  <c r="Y35" i="17" s="1"/>
  <c r="W36" i="17"/>
  <c r="Y36" i="17" s="1"/>
  <c r="W37" i="17"/>
  <c r="Z37" i="17" s="1"/>
  <c r="W38" i="17"/>
  <c r="W39" i="17"/>
  <c r="Y39" i="17" s="1"/>
  <c r="W40" i="17"/>
  <c r="Y40" i="17" s="1"/>
  <c r="W41" i="17"/>
  <c r="Z41" i="17" s="1"/>
  <c r="W42" i="17"/>
  <c r="Y42" i="17" s="1"/>
  <c r="W43" i="17"/>
  <c r="Y43" i="17" s="1"/>
  <c r="W44" i="17"/>
  <c r="Y44" i="17" s="1"/>
  <c r="W45" i="17"/>
  <c r="W46" i="17"/>
  <c r="Y46" i="17" s="1"/>
  <c r="W47" i="17"/>
  <c r="Y47" i="17" s="1"/>
  <c r="W48" i="17"/>
  <c r="Y48" i="17" s="1"/>
  <c r="W49" i="17"/>
  <c r="Y49" i="17" s="1"/>
  <c r="W50" i="17"/>
  <c r="Y50" i="17" s="1"/>
  <c r="W51" i="17"/>
  <c r="Y51" i="17" s="1"/>
  <c r="W52" i="17"/>
  <c r="Y52" i="17" s="1"/>
  <c r="W53" i="17"/>
  <c r="Z53" i="17" s="1"/>
  <c r="W54" i="17"/>
  <c r="Y54" i="17" s="1"/>
  <c r="W55" i="17"/>
  <c r="Z55" i="17" s="1"/>
  <c r="W56" i="17"/>
  <c r="Y56" i="17" s="1"/>
  <c r="W57" i="17"/>
  <c r="Y57" i="17" s="1"/>
  <c r="W58" i="17"/>
  <c r="W59" i="17"/>
  <c r="Y59" i="17" s="1"/>
  <c r="W60" i="17"/>
  <c r="Y60" i="17" s="1"/>
  <c r="W61" i="17"/>
  <c r="Y61" i="17" s="1"/>
  <c r="W62" i="17"/>
  <c r="Y62" i="17" s="1"/>
  <c r="W63" i="17"/>
  <c r="Z63" i="17" s="1"/>
  <c r="W64" i="17"/>
  <c r="Y64" i="17" s="1"/>
  <c r="W65" i="17"/>
  <c r="Z65" i="17" s="1"/>
  <c r="W66" i="17"/>
  <c r="W67" i="17"/>
  <c r="Y67" i="17" s="1"/>
  <c r="W68" i="17"/>
  <c r="Y68" i="17" s="1"/>
  <c r="W69" i="17"/>
  <c r="Y69" i="17" s="1"/>
  <c r="W70" i="17"/>
  <c r="Y70" i="17" s="1"/>
  <c r="W71" i="17"/>
  <c r="Z71" i="17" s="1"/>
  <c r="W72" i="17"/>
  <c r="Y72" i="17" s="1"/>
  <c r="W73" i="17"/>
  <c r="Y73" i="17" s="1"/>
  <c r="W74" i="17"/>
  <c r="W75" i="17"/>
  <c r="Y75" i="17" s="1"/>
  <c r="W76" i="17"/>
  <c r="Y76" i="17" s="1"/>
  <c r="W77" i="17"/>
  <c r="Y77" i="17" s="1"/>
  <c r="W78" i="17"/>
  <c r="Y78" i="17" s="1"/>
  <c r="W79" i="17"/>
  <c r="Z79" i="17" s="1"/>
  <c r="W80" i="17"/>
  <c r="Y80" i="17" s="1"/>
  <c r="W81" i="17"/>
  <c r="Z81" i="17" s="1"/>
  <c r="W82" i="17"/>
  <c r="W83" i="17"/>
  <c r="Y83" i="17" s="1"/>
  <c r="W84" i="17"/>
  <c r="Y84" i="17" s="1"/>
  <c r="W85" i="17"/>
  <c r="Y85" i="17" s="1"/>
  <c r="W86" i="17"/>
  <c r="Y86" i="17" s="1"/>
  <c r="W87" i="17"/>
  <c r="Z87" i="17" s="1"/>
  <c r="W88" i="17"/>
  <c r="Y88" i="17" s="1"/>
  <c r="W89" i="17"/>
  <c r="Y89" i="17" s="1"/>
  <c r="W90" i="17"/>
  <c r="W91" i="17"/>
  <c r="Z91" i="17" s="1"/>
  <c r="W92" i="17"/>
  <c r="Y92" i="17" s="1"/>
  <c r="W93" i="17"/>
  <c r="Y93" i="17" s="1"/>
  <c r="W94" i="17"/>
  <c r="Y94" i="17" s="1"/>
  <c r="W95" i="17"/>
  <c r="Z95" i="17" s="1"/>
  <c r="W96" i="17"/>
  <c r="Y96" i="17" s="1"/>
  <c r="W97" i="17"/>
  <c r="Z97" i="17" s="1"/>
  <c r="W98" i="17"/>
  <c r="W99" i="17"/>
  <c r="Y99" i="17" s="1"/>
  <c r="W100" i="17"/>
  <c r="Y100" i="17" s="1"/>
  <c r="W101" i="17"/>
  <c r="Y101" i="17" s="1"/>
  <c r="W102" i="17"/>
  <c r="Y102" i="17" s="1"/>
  <c r="W103" i="17"/>
  <c r="Z103" i="17" s="1"/>
  <c r="W104" i="17"/>
  <c r="Y104" i="17" s="1"/>
  <c r="W105" i="17"/>
  <c r="Y105" i="17" s="1"/>
  <c r="W106" i="17"/>
  <c r="W107" i="17"/>
  <c r="Y107" i="17" s="1"/>
  <c r="W108" i="17"/>
  <c r="Y108" i="17" s="1"/>
  <c r="W109" i="17"/>
  <c r="Y109" i="17" s="1"/>
  <c r="W110" i="17"/>
  <c r="Y110" i="17" s="1"/>
  <c r="W111" i="17"/>
  <c r="Z111" i="17" s="1"/>
  <c r="W112" i="17"/>
  <c r="Y112" i="17" s="1"/>
  <c r="W113" i="17"/>
  <c r="Z113" i="17" s="1"/>
  <c r="W114" i="17"/>
  <c r="W115" i="17"/>
  <c r="Z115" i="17" s="1"/>
  <c r="W116" i="17"/>
  <c r="Y116" i="17" s="1"/>
  <c r="W117" i="17"/>
  <c r="Y117" i="17" s="1"/>
  <c r="W118" i="17"/>
  <c r="Y118" i="17" s="1"/>
  <c r="W119" i="17"/>
  <c r="Z119" i="17" s="1"/>
  <c r="W120" i="17"/>
  <c r="Y120" i="17" s="1"/>
  <c r="W121" i="17"/>
  <c r="Y121" i="17" s="1"/>
  <c r="W122" i="17"/>
  <c r="W123" i="17"/>
  <c r="Y123" i="17" s="1"/>
  <c r="W124" i="17"/>
  <c r="Y124" i="17" s="1"/>
  <c r="W125" i="17"/>
  <c r="Y125" i="17" s="1"/>
  <c r="W126" i="17"/>
  <c r="Y126" i="17" s="1"/>
  <c r="W127" i="17"/>
  <c r="Z127" i="17" s="1"/>
  <c r="W128" i="17"/>
  <c r="Y128" i="17" s="1"/>
  <c r="H52" i="10" s="1"/>
  <c r="W129" i="17"/>
  <c r="Z129" i="17" s="1"/>
  <c r="W130" i="17"/>
  <c r="W131" i="17"/>
  <c r="Y131" i="17" s="1"/>
  <c r="W132" i="17"/>
  <c r="Y132" i="17" s="1"/>
  <c r="W133" i="17"/>
  <c r="Y133" i="17" s="1"/>
  <c r="W134" i="17"/>
  <c r="Y134" i="17" s="1"/>
  <c r="W135" i="17"/>
  <c r="Z135" i="17" s="1"/>
  <c r="W136" i="17"/>
  <c r="Y136" i="17" s="1"/>
  <c r="W137" i="17"/>
  <c r="Y137" i="17" s="1"/>
  <c r="W138" i="17"/>
  <c r="W139" i="17"/>
  <c r="Y139" i="17" s="1"/>
  <c r="W140" i="17"/>
  <c r="Y140" i="17" s="1"/>
  <c r="W141" i="17"/>
  <c r="Y141" i="17" s="1"/>
  <c r="W142" i="17"/>
  <c r="Y142" i="17" s="1"/>
  <c r="W143" i="17"/>
  <c r="Z143" i="17" s="1"/>
  <c r="W144" i="17"/>
  <c r="Y144" i="17" s="1"/>
  <c r="W145" i="17"/>
  <c r="Z145" i="17" s="1"/>
  <c r="W146" i="17"/>
  <c r="W147" i="17"/>
  <c r="Y147" i="17" s="1"/>
  <c r="H47" i="10" s="1"/>
  <c r="W148" i="17"/>
  <c r="Y148" i="17" s="1"/>
  <c r="W149" i="17"/>
  <c r="Y149" i="17" s="1"/>
  <c r="W150" i="17"/>
  <c r="Y150" i="17" s="1"/>
  <c r="W151" i="17"/>
  <c r="Z151" i="17" s="1"/>
  <c r="W152" i="17"/>
  <c r="Y152" i="17" s="1"/>
  <c r="W153" i="17"/>
  <c r="Y153" i="17" s="1"/>
  <c r="W154" i="17"/>
  <c r="W155" i="17"/>
  <c r="Z155" i="17" s="1"/>
  <c r="W156" i="17"/>
  <c r="Y156" i="17" s="1"/>
  <c r="W157" i="17"/>
  <c r="Y157" i="17" s="1"/>
  <c r="W158" i="17"/>
  <c r="Y158" i="17" s="1"/>
  <c r="W159" i="17"/>
  <c r="Z159" i="17" s="1"/>
  <c r="W160" i="17"/>
  <c r="Y160" i="17" s="1"/>
  <c r="W161" i="17"/>
  <c r="Z161" i="17" s="1"/>
  <c r="W162" i="17"/>
  <c r="W163" i="17"/>
  <c r="Y163" i="17" s="1"/>
  <c r="W164" i="17"/>
  <c r="Y164" i="17" s="1"/>
  <c r="W165" i="17"/>
  <c r="Y165" i="17" s="1"/>
  <c r="W166" i="17"/>
  <c r="Y166" i="17" s="1"/>
  <c r="W167" i="17"/>
  <c r="Z167" i="17" s="1"/>
  <c r="W168" i="17"/>
  <c r="Y168" i="17" s="1"/>
  <c r="W169" i="17"/>
  <c r="Y169" i="17" s="1"/>
  <c r="W170" i="17"/>
  <c r="W171" i="17"/>
  <c r="Y171" i="17" s="1"/>
  <c r="W172" i="17"/>
  <c r="Y172" i="17" s="1"/>
  <c r="W173" i="17"/>
  <c r="Y173" i="17" s="1"/>
  <c r="W174" i="17"/>
  <c r="Y174" i="17" s="1"/>
  <c r="W175" i="17"/>
  <c r="Z175" i="17" s="1"/>
  <c r="W176" i="17"/>
  <c r="Y176" i="17" s="1"/>
  <c r="W177" i="17"/>
  <c r="Z177" i="17" s="1"/>
  <c r="W178" i="17"/>
  <c r="W179" i="17"/>
  <c r="Z179" i="17" s="1"/>
  <c r="W180" i="17"/>
  <c r="Y180" i="17" s="1"/>
  <c r="W181" i="17"/>
  <c r="Y181" i="17" s="1"/>
  <c r="W182" i="17"/>
  <c r="Y182" i="17" s="1"/>
  <c r="W183" i="17"/>
  <c r="Z183" i="17" s="1"/>
  <c r="W184" i="17"/>
  <c r="Y184" i="17" s="1"/>
  <c r="W185" i="17"/>
  <c r="Y185" i="17" s="1"/>
  <c r="W186" i="17"/>
  <c r="W187" i="17"/>
  <c r="Y187" i="17" s="1"/>
  <c r="W188" i="17"/>
  <c r="Y188" i="17" s="1"/>
  <c r="W189" i="17"/>
  <c r="Y189" i="17" s="1"/>
  <c r="W190" i="17"/>
  <c r="Y190" i="17" s="1"/>
  <c r="W191" i="17"/>
  <c r="Z191" i="17" s="1"/>
  <c r="W192" i="17"/>
  <c r="Y192" i="17" s="1"/>
  <c r="W193" i="17"/>
  <c r="Z193" i="17" s="1"/>
  <c r="W194" i="17"/>
  <c r="W195" i="17"/>
  <c r="Y195" i="17" s="1"/>
  <c r="W196" i="17"/>
  <c r="Y196" i="17" s="1"/>
  <c r="W197" i="17"/>
  <c r="Y197" i="17" s="1"/>
  <c r="W198" i="17"/>
  <c r="Y198" i="17" s="1"/>
  <c r="W199" i="17"/>
  <c r="Z199" i="17" s="1"/>
  <c r="W200" i="17"/>
  <c r="Y200" i="17" s="1"/>
  <c r="W201" i="17"/>
  <c r="Y201" i="17" s="1"/>
  <c r="W202" i="17"/>
  <c r="W203" i="17"/>
  <c r="Y203" i="17" s="1"/>
  <c r="W204" i="17"/>
  <c r="Y204" i="17" s="1"/>
  <c r="W205" i="17"/>
  <c r="Y205" i="17" s="1"/>
  <c r="W206" i="17"/>
  <c r="Y206" i="17" s="1"/>
  <c r="W207" i="17"/>
  <c r="Z207" i="17" s="1"/>
  <c r="W208" i="17"/>
  <c r="Y208" i="17" s="1"/>
  <c r="W209" i="17"/>
  <c r="Z209" i="17" s="1"/>
  <c r="W210" i="17"/>
  <c r="W211" i="17"/>
  <c r="Y211" i="17" s="1"/>
  <c r="W212" i="17"/>
  <c r="Y212" i="17" s="1"/>
  <c r="W213" i="17"/>
  <c r="Y213" i="17" s="1"/>
  <c r="W214" i="17"/>
  <c r="Y214" i="17" s="1"/>
  <c r="W215" i="17"/>
  <c r="Z215" i="17" s="1"/>
  <c r="W216" i="17"/>
  <c r="Y216" i="17" s="1"/>
  <c r="W217" i="17"/>
  <c r="Y217" i="17" s="1"/>
  <c r="W218" i="17"/>
  <c r="W219" i="17"/>
  <c r="Z219" i="17" s="1"/>
  <c r="W220" i="17"/>
  <c r="Y220" i="17" s="1"/>
  <c r="W221" i="17"/>
  <c r="Y221" i="17" s="1"/>
  <c r="W222" i="17"/>
  <c r="Y222" i="17" s="1"/>
  <c r="W223" i="17"/>
  <c r="Z223" i="17" s="1"/>
  <c r="W224" i="17"/>
  <c r="Y224" i="17" s="1"/>
  <c r="W225" i="17"/>
  <c r="Z225" i="17" s="1"/>
  <c r="W226" i="17"/>
  <c r="W227" i="17"/>
  <c r="Y227" i="17" s="1"/>
  <c r="W228" i="17"/>
  <c r="Y228" i="17" s="1"/>
  <c r="W229" i="17"/>
  <c r="Y229" i="17" s="1"/>
  <c r="H55" i="10" s="1"/>
  <c r="W230" i="17"/>
  <c r="Y230" i="17" s="1"/>
  <c r="W3" i="17"/>
  <c r="Y3" i="17" s="1"/>
  <c r="V4" i="17"/>
  <c r="V5" i="17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64" i="17"/>
  <c r="V65" i="17"/>
  <c r="V66" i="17"/>
  <c r="V67" i="17"/>
  <c r="V68" i="17"/>
  <c r="V69" i="17"/>
  <c r="V70" i="17"/>
  <c r="V71" i="17"/>
  <c r="V72" i="17"/>
  <c r="V73" i="17"/>
  <c r="V74" i="17"/>
  <c r="V75" i="17"/>
  <c r="V76" i="17"/>
  <c r="V77" i="17"/>
  <c r="V78" i="17"/>
  <c r="V79" i="17"/>
  <c r="V80" i="17"/>
  <c r="V81" i="17"/>
  <c r="V82" i="17"/>
  <c r="V83" i="17"/>
  <c r="V84" i="17"/>
  <c r="V85" i="17"/>
  <c r="V86" i="17"/>
  <c r="V87" i="17"/>
  <c r="V88" i="17"/>
  <c r="V89" i="17"/>
  <c r="V90" i="17"/>
  <c r="V91" i="17"/>
  <c r="V92" i="17"/>
  <c r="V93" i="17"/>
  <c r="V94" i="17"/>
  <c r="V95" i="17"/>
  <c r="V96" i="17"/>
  <c r="V97" i="17"/>
  <c r="V98" i="17"/>
  <c r="V99" i="17"/>
  <c r="V100" i="17"/>
  <c r="V101" i="17"/>
  <c r="V102" i="17"/>
  <c r="V103" i="17"/>
  <c r="V104" i="17"/>
  <c r="V105" i="17"/>
  <c r="V106" i="17"/>
  <c r="V107" i="17"/>
  <c r="V108" i="17"/>
  <c r="V109" i="17"/>
  <c r="V110" i="17"/>
  <c r="V111" i="17"/>
  <c r="V112" i="17"/>
  <c r="V113" i="17"/>
  <c r="V114" i="17"/>
  <c r="V115" i="17"/>
  <c r="V116" i="17"/>
  <c r="V117" i="17"/>
  <c r="V118" i="17"/>
  <c r="V119" i="17"/>
  <c r="V120" i="17"/>
  <c r="V121" i="17"/>
  <c r="V122" i="17"/>
  <c r="V123" i="17"/>
  <c r="V124" i="17"/>
  <c r="V125" i="17"/>
  <c r="V126" i="17"/>
  <c r="V127" i="17"/>
  <c r="V128" i="17"/>
  <c r="V129" i="17"/>
  <c r="V130" i="17"/>
  <c r="V131" i="17"/>
  <c r="V132" i="17"/>
  <c r="V133" i="17"/>
  <c r="V134" i="17"/>
  <c r="V135" i="17"/>
  <c r="V136" i="17"/>
  <c r="V137" i="17"/>
  <c r="V138" i="17"/>
  <c r="V139" i="17"/>
  <c r="V140" i="17"/>
  <c r="V141" i="17"/>
  <c r="V142" i="17"/>
  <c r="V143" i="17"/>
  <c r="V144" i="17"/>
  <c r="V145" i="17"/>
  <c r="V146" i="17"/>
  <c r="V147" i="17"/>
  <c r="V148" i="17"/>
  <c r="V149" i="17"/>
  <c r="V150" i="17"/>
  <c r="V151" i="17"/>
  <c r="V152" i="17"/>
  <c r="V153" i="17"/>
  <c r="V154" i="17"/>
  <c r="V155" i="17"/>
  <c r="V156" i="17"/>
  <c r="V157" i="17"/>
  <c r="V158" i="17"/>
  <c r="V159" i="17"/>
  <c r="V160" i="17"/>
  <c r="V161" i="17"/>
  <c r="V162" i="17"/>
  <c r="V163" i="17"/>
  <c r="V164" i="17"/>
  <c r="V165" i="17"/>
  <c r="V166" i="17"/>
  <c r="V167" i="17"/>
  <c r="V168" i="17"/>
  <c r="V169" i="17"/>
  <c r="V170" i="17"/>
  <c r="V171" i="17"/>
  <c r="V172" i="17"/>
  <c r="V173" i="17"/>
  <c r="V174" i="17"/>
  <c r="V175" i="17"/>
  <c r="V176" i="17"/>
  <c r="V177" i="17"/>
  <c r="V178" i="17"/>
  <c r="V179" i="17"/>
  <c r="V180" i="17"/>
  <c r="V181" i="17"/>
  <c r="V182" i="17"/>
  <c r="V183" i="17"/>
  <c r="V184" i="17"/>
  <c r="V185" i="17"/>
  <c r="V186" i="17"/>
  <c r="V187" i="17"/>
  <c r="V188" i="17"/>
  <c r="V189" i="17"/>
  <c r="V190" i="17"/>
  <c r="V191" i="17"/>
  <c r="V192" i="17"/>
  <c r="V193" i="17"/>
  <c r="V194" i="17"/>
  <c r="V195" i="17"/>
  <c r="V196" i="17"/>
  <c r="V197" i="17"/>
  <c r="V198" i="17"/>
  <c r="V199" i="17"/>
  <c r="V200" i="17"/>
  <c r="V201" i="17"/>
  <c r="V202" i="17"/>
  <c r="V203" i="17"/>
  <c r="V204" i="17"/>
  <c r="V205" i="17"/>
  <c r="V206" i="17"/>
  <c r="V207" i="17"/>
  <c r="V208" i="17"/>
  <c r="V209" i="17"/>
  <c r="V210" i="17"/>
  <c r="V211" i="17"/>
  <c r="V212" i="17"/>
  <c r="V213" i="17"/>
  <c r="V214" i="17"/>
  <c r="V215" i="17"/>
  <c r="V216" i="17"/>
  <c r="V217" i="17"/>
  <c r="V218" i="17"/>
  <c r="V219" i="17"/>
  <c r="V220" i="17"/>
  <c r="V221" i="17"/>
  <c r="V222" i="17"/>
  <c r="V223" i="17"/>
  <c r="V224" i="17"/>
  <c r="V225" i="17"/>
  <c r="V226" i="17"/>
  <c r="V227" i="17"/>
  <c r="V228" i="17"/>
  <c r="V229" i="17"/>
  <c r="V230" i="17"/>
  <c r="V3" i="17"/>
  <c r="H29" i="12" l="1"/>
  <c r="H30" i="12"/>
  <c r="H35" i="12"/>
  <c r="H39" i="12"/>
  <c r="H28" i="12"/>
  <c r="G50" i="10"/>
  <c r="G35" i="10"/>
  <c r="G83" i="10"/>
  <c r="J50" i="10"/>
  <c r="J35" i="10"/>
  <c r="J83" i="10"/>
  <c r="K50" i="10"/>
  <c r="Z96" i="17"/>
  <c r="Z228" i="17"/>
  <c r="AC152" i="17"/>
  <c r="Z208" i="17"/>
  <c r="AC28" i="17"/>
  <c r="Z160" i="17"/>
  <c r="Z224" i="17"/>
  <c r="Z203" i="17"/>
  <c r="Z156" i="17"/>
  <c r="Z120" i="17"/>
  <c r="Z92" i="17"/>
  <c r="Z56" i="17"/>
  <c r="AC216" i="17"/>
  <c r="AC120" i="17"/>
  <c r="AC4" i="17"/>
  <c r="K42" i="10"/>
  <c r="Y135" i="17"/>
  <c r="Z220" i="17"/>
  <c r="Z184" i="17"/>
  <c r="Z152" i="17"/>
  <c r="Y115" i="17"/>
  <c r="Z88" i="17"/>
  <c r="Z36" i="17"/>
  <c r="AC200" i="17"/>
  <c r="AC88" i="17"/>
  <c r="Z75" i="17"/>
  <c r="Z19" i="17"/>
  <c r="Z216" i="17"/>
  <c r="Z164" i="17"/>
  <c r="Z144" i="17"/>
  <c r="Z100" i="17"/>
  <c r="Z80" i="17"/>
  <c r="Z28" i="17"/>
  <c r="AC184" i="17"/>
  <c r="AC56" i="17"/>
  <c r="G53" i="10"/>
  <c r="G51" i="10"/>
  <c r="G49" i="10"/>
  <c r="G19" i="10"/>
  <c r="G40" i="10"/>
  <c r="G98" i="10"/>
  <c r="G78" i="10"/>
  <c r="J49" i="10"/>
  <c r="J48" i="10"/>
  <c r="J41" i="10"/>
  <c r="J39" i="10"/>
  <c r="J37" i="10"/>
  <c r="J98" i="10"/>
  <c r="J97" i="10"/>
  <c r="J88" i="10"/>
  <c r="J86" i="10"/>
  <c r="J78" i="10"/>
  <c r="K53" i="10"/>
  <c r="K51" i="10"/>
  <c r="K49" i="10"/>
  <c r="L51" i="10"/>
  <c r="Y199" i="17"/>
  <c r="Y179" i="17"/>
  <c r="Z139" i="17"/>
  <c r="Y71" i="17"/>
  <c r="Z47" i="17"/>
  <c r="Z11" i="17"/>
  <c r="AC171" i="17"/>
  <c r="AC139" i="17"/>
  <c r="AC107" i="17"/>
  <c r="AC75" i="17"/>
  <c r="AC43" i="17"/>
  <c r="Z227" i="17"/>
  <c r="Y219" i="17"/>
  <c r="Z204" i="17"/>
  <c r="Z188" i="17"/>
  <c r="Z176" i="17"/>
  <c r="Y159" i="17"/>
  <c r="H50" i="10" s="1"/>
  <c r="Z148" i="17"/>
  <c r="Z136" i="17"/>
  <c r="Z116" i="17"/>
  <c r="Z99" i="17"/>
  <c r="Y91" i="17"/>
  <c r="Z76" i="17"/>
  <c r="Z60" i="17"/>
  <c r="Z44" i="17"/>
  <c r="Z20" i="17"/>
  <c r="Z4" i="17"/>
  <c r="AC192" i="17"/>
  <c r="AC160" i="17"/>
  <c r="AC128" i="17"/>
  <c r="AC96" i="17"/>
  <c r="AC64" i="17"/>
  <c r="AC32" i="17"/>
  <c r="K40" i="10"/>
  <c r="K38" i="10"/>
  <c r="K35" i="10"/>
  <c r="K98" i="10"/>
  <c r="K89" i="10"/>
  <c r="K87" i="10"/>
  <c r="K85" i="10"/>
  <c r="K83" i="10"/>
  <c r="K78" i="10"/>
  <c r="K76" i="10"/>
  <c r="L53" i="10"/>
  <c r="L50" i="10"/>
  <c r="L49" i="10"/>
  <c r="L40" i="10"/>
  <c r="L38" i="10"/>
  <c r="L35" i="10"/>
  <c r="L98" i="10"/>
  <c r="L89" i="10"/>
  <c r="L87" i="10"/>
  <c r="L85" i="10"/>
  <c r="L83" i="10"/>
  <c r="L78" i="10"/>
  <c r="G87" i="10"/>
  <c r="K13" i="10"/>
  <c r="Y223" i="17"/>
  <c r="H53" i="10" s="1"/>
  <c r="Z212" i="17"/>
  <c r="Z200" i="17"/>
  <c r="Z180" i="17"/>
  <c r="Z163" i="17"/>
  <c r="Y155" i="17"/>
  <c r="Z140" i="17"/>
  <c r="Z124" i="17"/>
  <c r="Z112" i="17"/>
  <c r="Y95" i="17"/>
  <c r="Z84" i="17"/>
  <c r="Z72" i="17"/>
  <c r="Z52" i="17"/>
  <c r="Z35" i="17"/>
  <c r="Z12" i="17"/>
  <c r="AC208" i="17"/>
  <c r="AC176" i="17"/>
  <c r="AC144" i="17"/>
  <c r="AC112" i="17"/>
  <c r="AC80" i="17"/>
  <c r="AC48" i="17"/>
  <c r="AC24" i="17"/>
  <c r="Y193" i="17"/>
  <c r="Z173" i="17"/>
  <c r="Z169" i="17"/>
  <c r="Z109" i="17"/>
  <c r="Z105" i="17"/>
  <c r="Y41" i="17"/>
  <c r="AB181" i="17"/>
  <c r="K68" i="10"/>
  <c r="Z221" i="17"/>
  <c r="Z217" i="17"/>
  <c r="Z211" i="17"/>
  <c r="Y207" i="17"/>
  <c r="Z196" i="17"/>
  <c r="Z192" i="17"/>
  <c r="Z187" i="17"/>
  <c r="Y183" i="17"/>
  <c r="Y177" i="17"/>
  <c r="Z172" i="17"/>
  <c r="Z168" i="17"/>
  <c r="Z157" i="17"/>
  <c r="Z153" i="17"/>
  <c r="Z147" i="17"/>
  <c r="H96" i="10" s="1"/>
  <c r="Y143" i="17"/>
  <c r="Z132" i="17"/>
  <c r="Z128" i="17"/>
  <c r="Z123" i="17"/>
  <c r="Y119" i="17"/>
  <c r="Y113" i="17"/>
  <c r="Z108" i="17"/>
  <c r="Z104" i="17"/>
  <c r="Z93" i="17"/>
  <c r="Z89" i="17"/>
  <c r="Z83" i="17"/>
  <c r="Y79" i="17"/>
  <c r="Z68" i="17"/>
  <c r="Z64" i="17"/>
  <c r="Z59" i="17"/>
  <c r="Y55" i="17"/>
  <c r="Z39" i="17"/>
  <c r="Z33" i="17"/>
  <c r="Y25" i="17"/>
  <c r="Z15" i="17"/>
  <c r="Y9" i="17"/>
  <c r="AB3" i="17"/>
  <c r="AC224" i="17"/>
  <c r="AC215" i="17"/>
  <c r="AC207" i="17"/>
  <c r="AC199" i="17"/>
  <c r="AC187" i="17"/>
  <c r="AC179" i="17"/>
  <c r="AC168" i="17"/>
  <c r="AC155" i="17"/>
  <c r="AC147" i="17"/>
  <c r="I96" i="10" s="1"/>
  <c r="AC136" i="17"/>
  <c r="AC123" i="17"/>
  <c r="AC115" i="17"/>
  <c r="AC104" i="17"/>
  <c r="AC91" i="17"/>
  <c r="AC83" i="17"/>
  <c r="AC72" i="17"/>
  <c r="AC59" i="17"/>
  <c r="AC51" i="17"/>
  <c r="AC40" i="17"/>
  <c r="AC29" i="17"/>
  <c r="AC20" i="17"/>
  <c r="AC8" i="17"/>
  <c r="Y129" i="17"/>
  <c r="Y65" i="17"/>
  <c r="AB225" i="17"/>
  <c r="I54" i="10" s="1"/>
  <c r="AB149" i="17"/>
  <c r="AB117" i="17"/>
  <c r="AB85" i="17"/>
  <c r="AB53" i="17"/>
  <c r="AC9" i="17"/>
  <c r="K36" i="12"/>
  <c r="G36" i="12"/>
  <c r="L36" i="12"/>
  <c r="J36" i="12"/>
  <c r="Z3" i="17"/>
  <c r="Y225" i="17"/>
  <c r="Z205" i="17"/>
  <c r="Z201" i="17"/>
  <c r="Z195" i="17"/>
  <c r="Y191" i="17"/>
  <c r="Z171" i="17"/>
  <c r="Y167" i="17"/>
  <c r="Y161" i="17"/>
  <c r="Z141" i="17"/>
  <c r="Z137" i="17"/>
  <c r="Z131" i="17"/>
  <c r="Y127" i="17"/>
  <c r="H18" i="10" s="1"/>
  <c r="Z107" i="17"/>
  <c r="Y103" i="17"/>
  <c r="H38" i="10" s="1"/>
  <c r="Y97" i="17"/>
  <c r="Z77" i="17"/>
  <c r="Z73" i="17"/>
  <c r="Z67" i="17"/>
  <c r="Y63" i="17"/>
  <c r="Z31" i="17"/>
  <c r="Y23" i="17"/>
  <c r="Z7" i="17"/>
  <c r="AC229" i="17"/>
  <c r="AB221" i="17"/>
  <c r="I53" i="10" s="1"/>
  <c r="AC211" i="17"/>
  <c r="AC203" i="17"/>
  <c r="AB197" i="17"/>
  <c r="AC167" i="17"/>
  <c r="AC135" i="17"/>
  <c r="AC103" i="17"/>
  <c r="AC71" i="17"/>
  <c r="AC39" i="17"/>
  <c r="AB17" i="17"/>
  <c r="K41" i="10"/>
  <c r="K39" i="10"/>
  <c r="K37" i="10"/>
  <c r="K97" i="10"/>
  <c r="K88" i="10"/>
  <c r="K86" i="10"/>
  <c r="L12" i="10"/>
  <c r="L10" i="10"/>
  <c r="L48" i="10"/>
  <c r="L41" i="10"/>
  <c r="L39" i="10"/>
  <c r="L37" i="10"/>
  <c r="L97" i="10"/>
  <c r="L88" i="10"/>
  <c r="L86" i="10"/>
  <c r="H35" i="10"/>
  <c r="I50" i="10"/>
  <c r="Y215" i="17"/>
  <c r="Y209" i="17"/>
  <c r="Z189" i="17"/>
  <c r="Z185" i="17"/>
  <c r="Y175" i="17"/>
  <c r="Y151" i="17"/>
  <c r="H48" i="10" s="1"/>
  <c r="Y145" i="17"/>
  <c r="Z125" i="17"/>
  <c r="Z121" i="17"/>
  <c r="Y111" i="17"/>
  <c r="H40" i="10" s="1"/>
  <c r="Y87" i="17"/>
  <c r="Y81" i="17"/>
  <c r="Z61" i="17"/>
  <c r="Z57" i="17"/>
  <c r="Z51" i="17"/>
  <c r="Z43" i="17"/>
  <c r="Y29" i="17"/>
  <c r="AC227" i="17"/>
  <c r="AB219" i="17"/>
  <c r="AB201" i="17"/>
  <c r="AB193" i="17"/>
  <c r="AC183" i="17"/>
  <c r="AC175" i="17"/>
  <c r="AB161" i="17"/>
  <c r="I51" i="10" s="1"/>
  <c r="AC151" i="17"/>
  <c r="AC143" i="17"/>
  <c r="AB129" i="17"/>
  <c r="AC119" i="17"/>
  <c r="AC111" i="17"/>
  <c r="AB97" i="17"/>
  <c r="I37" i="10" s="1"/>
  <c r="AC87" i="17"/>
  <c r="AC79" i="17"/>
  <c r="AB65" i="17"/>
  <c r="AC55" i="17"/>
  <c r="AC47" i="17"/>
  <c r="AB33" i="17"/>
  <c r="AC27" i="17"/>
  <c r="AB15" i="17"/>
  <c r="G24" i="10"/>
  <c r="G77" i="10"/>
  <c r="J24" i="10"/>
  <c r="J77" i="10"/>
  <c r="K24" i="10"/>
  <c r="K7" i="10"/>
  <c r="K8" i="10" s="1"/>
  <c r="K77" i="10"/>
  <c r="L24" i="10"/>
  <c r="L76" i="10"/>
  <c r="L77" i="10"/>
  <c r="Y34" i="17"/>
  <c r="Z34" i="17"/>
  <c r="Y194" i="17"/>
  <c r="Z194" i="17"/>
  <c r="Y178" i="17"/>
  <c r="Z178" i="17"/>
  <c r="Y122" i="17"/>
  <c r="Z122" i="17"/>
  <c r="Y90" i="17"/>
  <c r="Z90" i="17"/>
  <c r="Y6" i="17"/>
  <c r="Z6" i="17"/>
  <c r="AB186" i="17"/>
  <c r="AC186" i="17"/>
  <c r="AB182" i="17"/>
  <c r="AC182" i="17"/>
  <c r="AB58" i="17"/>
  <c r="AC58" i="17"/>
  <c r="Z102" i="17"/>
  <c r="AC190" i="17"/>
  <c r="AC178" i="17"/>
  <c r="AC166" i="17"/>
  <c r="AC158" i="17"/>
  <c r="AC102" i="17"/>
  <c r="AC94" i="17"/>
  <c r="AC22" i="17"/>
  <c r="G25" i="10"/>
  <c r="G13" i="10"/>
  <c r="G72" i="10"/>
  <c r="G69" i="10"/>
  <c r="G66" i="10"/>
  <c r="J25" i="10"/>
  <c r="J13" i="10"/>
  <c r="J12" i="10"/>
  <c r="J10" i="10"/>
  <c r="Z45" i="17"/>
  <c r="Y45" i="17"/>
  <c r="Z13" i="17"/>
  <c r="Y13" i="17"/>
  <c r="AC209" i="17"/>
  <c r="AB209" i="17"/>
  <c r="AC205" i="17"/>
  <c r="AB205" i="17"/>
  <c r="AC177" i="17"/>
  <c r="AB177" i="17"/>
  <c r="AC173" i="17"/>
  <c r="AB173" i="17"/>
  <c r="AC169" i="17"/>
  <c r="AB169" i="17"/>
  <c r="AC165" i="17"/>
  <c r="AB165" i="17"/>
  <c r="AC145" i="17"/>
  <c r="AB145" i="17"/>
  <c r="AC141" i="17"/>
  <c r="AB141" i="17"/>
  <c r="AC137" i="17"/>
  <c r="AB137" i="17"/>
  <c r="AC133" i="17"/>
  <c r="AB133" i="17"/>
  <c r="AC113" i="17"/>
  <c r="AB113" i="17"/>
  <c r="AC109" i="17"/>
  <c r="AB109" i="17"/>
  <c r="AC105" i="17"/>
  <c r="AB105" i="17"/>
  <c r="I39" i="10" s="1"/>
  <c r="AC101" i="17"/>
  <c r="AB101" i="17"/>
  <c r="I38" i="10" s="1"/>
  <c r="AC81" i="17"/>
  <c r="AB81" i="17"/>
  <c r="AC77" i="17"/>
  <c r="AB77" i="17"/>
  <c r="AC73" i="17"/>
  <c r="AB73" i="17"/>
  <c r="AC69" i="17"/>
  <c r="AB69" i="17"/>
  <c r="I45" i="10" s="1"/>
  <c r="AC49" i="17"/>
  <c r="AB49" i="17"/>
  <c r="AC45" i="17"/>
  <c r="AB45" i="17"/>
  <c r="AC41" i="17"/>
  <c r="AB41" i="17"/>
  <c r="AC37" i="17"/>
  <c r="AB37" i="17"/>
  <c r="AB25" i="17"/>
  <c r="AC25" i="17"/>
  <c r="AB21" i="17"/>
  <c r="AC21" i="17"/>
  <c r="AB13" i="17"/>
  <c r="AC13" i="17"/>
  <c r="AB5" i="17"/>
  <c r="AC5" i="17"/>
  <c r="Z229" i="17"/>
  <c r="Z222" i="17"/>
  <c r="Z197" i="17"/>
  <c r="Z190" i="17"/>
  <c r="Z165" i="17"/>
  <c r="Z158" i="17"/>
  <c r="Z133" i="17"/>
  <c r="Z126" i="17"/>
  <c r="Z101" i="17"/>
  <c r="Z94" i="17"/>
  <c r="Z69" i="17"/>
  <c r="Z62" i="17"/>
  <c r="Z42" i="17"/>
  <c r="Y37" i="17"/>
  <c r="Z10" i="17"/>
  <c r="Y5" i="17"/>
  <c r="I24" i="10"/>
  <c r="AC206" i="17"/>
  <c r="AC194" i="17"/>
  <c r="AB189" i="17"/>
  <c r="AC170" i="17"/>
  <c r="AC162" i="17"/>
  <c r="AB157" i="17"/>
  <c r="AB121" i="17"/>
  <c r="AC106" i="17"/>
  <c r="AC98" i="17"/>
  <c r="AB93" i="17"/>
  <c r="AB57" i="17"/>
  <c r="AC42" i="17"/>
  <c r="AC34" i="17"/>
  <c r="Y226" i="17"/>
  <c r="Z226" i="17"/>
  <c r="Y218" i="17"/>
  <c r="Z218" i="17"/>
  <c r="Y146" i="17"/>
  <c r="Z146" i="17"/>
  <c r="Y130" i="17"/>
  <c r="Z130" i="17"/>
  <c r="Y106" i="17"/>
  <c r="H39" i="10" s="1"/>
  <c r="Z106" i="17"/>
  <c r="Y98" i="17"/>
  <c r="Z98" i="17"/>
  <c r="Y74" i="17"/>
  <c r="Z74" i="17"/>
  <c r="Y66" i="17"/>
  <c r="Z66" i="17"/>
  <c r="Y38" i="17"/>
  <c r="Z38" i="17"/>
  <c r="AB230" i="17"/>
  <c r="AC230" i="17"/>
  <c r="AB154" i="17"/>
  <c r="I49" i="10" s="1"/>
  <c r="AC154" i="17"/>
  <c r="AB146" i="17"/>
  <c r="AC146" i="17"/>
  <c r="AB122" i="17"/>
  <c r="AC122" i="17"/>
  <c r="AB114" i="17"/>
  <c r="I41" i="10" s="1"/>
  <c r="AC114" i="17"/>
  <c r="AB86" i="17"/>
  <c r="AC86" i="17"/>
  <c r="AB82" i="17"/>
  <c r="AC82" i="17"/>
  <c r="AB54" i="17"/>
  <c r="AC54" i="17"/>
  <c r="AB46" i="17"/>
  <c r="AC46" i="17"/>
  <c r="AB26" i="17"/>
  <c r="AC26" i="17"/>
  <c r="AB18" i="17"/>
  <c r="AC18" i="17"/>
  <c r="AB14" i="17"/>
  <c r="AC14" i="17"/>
  <c r="AB10" i="17"/>
  <c r="AC10" i="17"/>
  <c r="AB6" i="17"/>
  <c r="AC6" i="17"/>
  <c r="Z230" i="17"/>
  <c r="Z198" i="17"/>
  <c r="Z134" i="17"/>
  <c r="H45" i="10"/>
  <c r="AC38" i="17"/>
  <c r="Y210" i="17"/>
  <c r="Z210" i="17"/>
  <c r="Y202" i="17"/>
  <c r="Z202" i="17"/>
  <c r="Y186" i="17"/>
  <c r="Z186" i="17"/>
  <c r="Y170" i="17"/>
  <c r="Z170" i="17"/>
  <c r="Y162" i="17"/>
  <c r="H51" i="10" s="1"/>
  <c r="Z162" i="17"/>
  <c r="Y154" i="17"/>
  <c r="H49" i="10" s="1"/>
  <c r="Z154" i="17"/>
  <c r="Y138" i="17"/>
  <c r="Z138" i="17"/>
  <c r="Y114" i="17"/>
  <c r="Z114" i="17"/>
  <c r="Y82" i="17"/>
  <c r="Z82" i="17"/>
  <c r="Y58" i="17"/>
  <c r="Z58" i="17"/>
  <c r="AB150" i="17"/>
  <c r="AC150" i="17"/>
  <c r="AB142" i="17"/>
  <c r="AC142" i="17"/>
  <c r="AB118" i="17"/>
  <c r="AC118" i="17"/>
  <c r="AB110" i="17"/>
  <c r="AC110" i="17"/>
  <c r="AB90" i="17"/>
  <c r="AC90" i="17"/>
  <c r="AB78" i="17"/>
  <c r="AC78" i="17"/>
  <c r="AB50" i="17"/>
  <c r="AC50" i="17"/>
  <c r="AB30" i="17"/>
  <c r="AC30" i="17"/>
  <c r="Z166" i="17"/>
  <c r="Z70" i="17"/>
  <c r="Z214" i="17"/>
  <c r="H24" i="10"/>
  <c r="Z182" i="17"/>
  <c r="Z150" i="17"/>
  <c r="Z118" i="17"/>
  <c r="Z86" i="17"/>
  <c r="Z54" i="17"/>
  <c r="Z50" i="17"/>
  <c r="Z46" i="17"/>
  <c r="Z26" i="17"/>
  <c r="Z22" i="17"/>
  <c r="Z18" i="17"/>
  <c r="Z14" i="17"/>
  <c r="AC222" i="17"/>
  <c r="AC218" i="17"/>
  <c r="AC214" i="17"/>
  <c r="AC210" i="17"/>
  <c r="AC134" i="17"/>
  <c r="AC126" i="17"/>
  <c r="AC70" i="17"/>
  <c r="AC62" i="17"/>
  <c r="Z213" i="17"/>
  <c r="Z206" i="17"/>
  <c r="Z181" i="17"/>
  <c r="Z174" i="17"/>
  <c r="Z149" i="17"/>
  <c r="Z142" i="17"/>
  <c r="Z117" i="17"/>
  <c r="Z110" i="17"/>
  <c r="Z85" i="17"/>
  <c r="Z78" i="17"/>
  <c r="Y53" i="17"/>
  <c r="Z49" i="17"/>
  <c r="Z30" i="17"/>
  <c r="Y21" i="17"/>
  <c r="Z17" i="17"/>
  <c r="AC226" i="17"/>
  <c r="AB217" i="17"/>
  <c r="AC213" i="17"/>
  <c r="AC202" i="17"/>
  <c r="AC198" i="17"/>
  <c r="AB185" i="17"/>
  <c r="AC174" i="17"/>
  <c r="AB153" i="17"/>
  <c r="AC138" i="17"/>
  <c r="AC130" i="17"/>
  <c r="AB125" i="17"/>
  <c r="I18" i="10" s="1"/>
  <c r="AB89" i="17"/>
  <c r="AC74" i="17"/>
  <c r="AC66" i="17"/>
  <c r="AB61" i="17"/>
  <c r="G11" i="10"/>
  <c r="G93" i="10"/>
  <c r="J20" i="10"/>
  <c r="J69" i="10"/>
  <c r="J67" i="10"/>
  <c r="K25" i="10"/>
  <c r="K19" i="10"/>
  <c r="K17" i="10"/>
  <c r="AC23" i="17"/>
  <c r="AB23" i="17"/>
  <c r="AC7" i="17"/>
  <c r="AB7" i="17"/>
  <c r="Z27" i="17"/>
  <c r="AC223" i="17"/>
  <c r="AC195" i="17"/>
  <c r="AC191" i="17"/>
  <c r="AC163" i="17"/>
  <c r="AC159" i="17"/>
  <c r="AC131" i="17"/>
  <c r="AC127" i="17"/>
  <c r="AC99" i="17"/>
  <c r="AC95" i="17"/>
  <c r="AC67" i="17"/>
  <c r="AC63" i="17"/>
  <c r="AC35" i="17"/>
  <c r="AB31" i="17"/>
  <c r="AB19" i="17"/>
  <c r="AC11" i="17"/>
  <c r="G12" i="10"/>
  <c r="G10" i="10"/>
  <c r="G48" i="10"/>
  <c r="G41" i="10"/>
  <c r="G39" i="10"/>
  <c r="G37" i="10"/>
  <c r="G97" i="10"/>
  <c r="G88" i="10"/>
  <c r="G86" i="10"/>
  <c r="J17" i="10"/>
  <c r="J40" i="10"/>
  <c r="J38" i="10"/>
  <c r="J89" i="10"/>
  <c r="J87" i="10"/>
  <c r="J85" i="10"/>
  <c r="K12" i="10"/>
  <c r="K10" i="10"/>
  <c r="K48" i="10"/>
  <c r="K69" i="10"/>
  <c r="K66" i="10"/>
  <c r="L25" i="10"/>
  <c r="L13" i="10"/>
  <c r="L19" i="10"/>
  <c r="L17" i="10"/>
  <c r="L69" i="10"/>
  <c r="L68" i="10"/>
  <c r="L66" i="10"/>
  <c r="Z48" i="17"/>
  <c r="Z40" i="17"/>
  <c r="Z32" i="17"/>
  <c r="Z24" i="17"/>
  <c r="Z16" i="17"/>
  <c r="Z8" i="17"/>
  <c r="AC228" i="17"/>
  <c r="AC220" i="17"/>
  <c r="AC212" i="17"/>
  <c r="AC204" i="17"/>
  <c r="AC196" i="17"/>
  <c r="AC188" i="17"/>
  <c r="AC180" i="17"/>
  <c r="AC172" i="17"/>
  <c r="AC164" i="17"/>
  <c r="AC156" i="17"/>
  <c r="AC148" i="17"/>
  <c r="AC140" i="17"/>
  <c r="AC132" i="17"/>
  <c r="AC124" i="17"/>
  <c r="AC116" i="17"/>
  <c r="AC108" i="17"/>
  <c r="AC100" i="17"/>
  <c r="AC92" i="17"/>
  <c r="AC84" i="17"/>
  <c r="AC76" i="17"/>
  <c r="AC68" i="17"/>
  <c r="AC60" i="17"/>
  <c r="AC52" i="17"/>
  <c r="AC44" i="17"/>
  <c r="AC36" i="17"/>
  <c r="AC16" i="17"/>
  <c r="AC12" i="17"/>
  <c r="G17" i="10"/>
  <c r="G38" i="10"/>
  <c r="G89" i="10"/>
  <c r="G85" i="10"/>
  <c r="G68" i="10"/>
  <c r="G18" i="10"/>
  <c r="G7" i="10"/>
  <c r="G42" i="10"/>
  <c r="G45" i="10"/>
  <c r="G76" i="10"/>
  <c r="G73" i="10"/>
  <c r="G90" i="10"/>
  <c r="J11" i="10"/>
  <c r="J18" i="10"/>
  <c r="J7" i="10"/>
  <c r="J8" i="10" s="1"/>
  <c r="J42" i="10"/>
  <c r="J45" i="10"/>
  <c r="J76" i="10"/>
  <c r="J73" i="10"/>
  <c r="J90" i="10"/>
  <c r="J72" i="10"/>
  <c r="J93" i="10"/>
  <c r="K11" i="10"/>
  <c r="K18" i="10"/>
  <c r="K45" i="10"/>
  <c r="K72" i="10"/>
  <c r="K93" i="10"/>
  <c r="G54" i="10"/>
  <c r="G20" i="10"/>
  <c r="G67" i="10"/>
  <c r="J54" i="10"/>
  <c r="J53" i="10"/>
  <c r="J51" i="10"/>
  <c r="J19" i="10"/>
  <c r="J68" i="10"/>
  <c r="J66" i="10"/>
  <c r="K54" i="10"/>
  <c r="K20" i="10"/>
  <c r="K67" i="10"/>
  <c r="L54" i="10"/>
  <c r="L20" i="10"/>
  <c r="L67" i="10"/>
  <c r="K73" i="10"/>
  <c r="K90" i="10"/>
  <c r="L11" i="10"/>
  <c r="L18" i="10"/>
  <c r="L7" i="10"/>
  <c r="L42" i="10"/>
  <c r="L45" i="10"/>
  <c r="L73" i="10"/>
  <c r="L90" i="10"/>
  <c r="L72" i="10"/>
  <c r="L93" i="10"/>
  <c r="F60" i="10"/>
  <c r="E60" i="10"/>
  <c r="D60" i="10"/>
  <c r="C60" i="10"/>
  <c r="B60" i="10"/>
  <c r="F55" i="10"/>
  <c r="E55" i="10"/>
  <c r="D55" i="10"/>
  <c r="C55" i="10"/>
  <c r="B55" i="10"/>
  <c r="F54" i="10"/>
  <c r="E54" i="10"/>
  <c r="D54" i="10"/>
  <c r="C54" i="10"/>
  <c r="B54" i="10"/>
  <c r="F53" i="10"/>
  <c r="E53" i="10"/>
  <c r="D53" i="10"/>
  <c r="C53" i="10"/>
  <c r="B53" i="10"/>
  <c r="F52" i="10"/>
  <c r="E52" i="10"/>
  <c r="D52" i="10"/>
  <c r="C52" i="10"/>
  <c r="B52" i="10"/>
  <c r="F51" i="10"/>
  <c r="E51" i="10"/>
  <c r="D51" i="10"/>
  <c r="C51" i="10"/>
  <c r="B51" i="10"/>
  <c r="F50" i="10"/>
  <c r="E50" i="10"/>
  <c r="D50" i="10"/>
  <c r="C50" i="10"/>
  <c r="B50" i="10"/>
  <c r="F49" i="10"/>
  <c r="E49" i="10"/>
  <c r="D49" i="10"/>
  <c r="C49" i="10"/>
  <c r="B49" i="10"/>
  <c r="F48" i="10"/>
  <c r="E48" i="10"/>
  <c r="D48" i="10"/>
  <c r="C48" i="10"/>
  <c r="B48" i="10"/>
  <c r="F47" i="10"/>
  <c r="E47" i="10"/>
  <c r="D47" i="10"/>
  <c r="C47" i="10"/>
  <c r="B47" i="10"/>
  <c r="F45" i="10"/>
  <c r="E45" i="10"/>
  <c r="D45" i="10"/>
  <c r="C45" i="10"/>
  <c r="B45" i="10"/>
  <c r="F42" i="10"/>
  <c r="E42" i="10"/>
  <c r="D42" i="10"/>
  <c r="C42" i="10"/>
  <c r="B42" i="10"/>
  <c r="F41" i="10"/>
  <c r="E41" i="10"/>
  <c r="D41" i="10"/>
  <c r="C41" i="10"/>
  <c r="B41" i="10"/>
  <c r="F40" i="10"/>
  <c r="E40" i="10"/>
  <c r="D40" i="10"/>
  <c r="C40" i="10"/>
  <c r="B40" i="10"/>
  <c r="F39" i="10"/>
  <c r="E39" i="10"/>
  <c r="D39" i="10"/>
  <c r="C39" i="10"/>
  <c r="B39" i="10"/>
  <c r="F38" i="10"/>
  <c r="E38" i="10"/>
  <c r="D38" i="10"/>
  <c r="C38" i="10"/>
  <c r="B38" i="10"/>
  <c r="F37" i="10"/>
  <c r="E37" i="10"/>
  <c r="D37" i="10"/>
  <c r="C37" i="10"/>
  <c r="B37" i="10"/>
  <c r="F35" i="10"/>
  <c r="E35" i="10"/>
  <c r="D35" i="10"/>
  <c r="C35" i="10"/>
  <c r="B35" i="10"/>
  <c r="F30" i="10"/>
  <c r="E30" i="10"/>
  <c r="D30" i="10"/>
  <c r="C30" i="10"/>
  <c r="B30" i="10"/>
  <c r="F29" i="10"/>
  <c r="E29" i="10"/>
  <c r="D29" i="10"/>
  <c r="C29" i="10"/>
  <c r="B29" i="10"/>
  <c r="F26" i="10"/>
  <c r="E26" i="10"/>
  <c r="D26" i="10"/>
  <c r="C26" i="10"/>
  <c r="B26" i="10"/>
  <c r="F25" i="10"/>
  <c r="E25" i="10"/>
  <c r="D25" i="10"/>
  <c r="C25" i="10"/>
  <c r="B25" i="10"/>
  <c r="F24" i="10"/>
  <c r="E24" i="10"/>
  <c r="D24" i="10"/>
  <c r="C24" i="10"/>
  <c r="B24" i="10"/>
  <c r="F21" i="10"/>
  <c r="E21" i="10"/>
  <c r="D21" i="10"/>
  <c r="C21" i="10"/>
  <c r="B21" i="10"/>
  <c r="F20" i="10"/>
  <c r="E20" i="10"/>
  <c r="D20" i="10"/>
  <c r="C20" i="10"/>
  <c r="B20" i="10"/>
  <c r="F19" i="10"/>
  <c r="E19" i="10"/>
  <c r="D19" i="10"/>
  <c r="C19" i="10"/>
  <c r="B19" i="10"/>
  <c r="F18" i="10"/>
  <c r="E18" i="10"/>
  <c r="D18" i="10"/>
  <c r="C18" i="10"/>
  <c r="B18" i="10"/>
  <c r="F17" i="10"/>
  <c r="E17" i="10"/>
  <c r="D17" i="10"/>
  <c r="C17" i="10"/>
  <c r="B17" i="10"/>
  <c r="F14" i="10"/>
  <c r="E14" i="10"/>
  <c r="D14" i="10"/>
  <c r="C14" i="10"/>
  <c r="B14" i="10"/>
  <c r="F13" i="10"/>
  <c r="E13" i="10"/>
  <c r="D13" i="10"/>
  <c r="C13" i="10"/>
  <c r="B13" i="10"/>
  <c r="F12" i="10"/>
  <c r="E12" i="10"/>
  <c r="D12" i="10"/>
  <c r="C12" i="10"/>
  <c r="B12" i="10"/>
  <c r="F11" i="10"/>
  <c r="E11" i="10"/>
  <c r="D11" i="10"/>
  <c r="C11" i="10"/>
  <c r="B11" i="10"/>
  <c r="F10" i="10"/>
  <c r="E10" i="10"/>
  <c r="D10" i="10"/>
  <c r="C10" i="10"/>
  <c r="B10" i="10"/>
  <c r="F7" i="10"/>
  <c r="F8" i="10" s="1"/>
  <c r="E7" i="10"/>
  <c r="D7" i="10"/>
  <c r="D8" i="10" s="1"/>
  <c r="C7" i="10"/>
  <c r="C8" i="10" s="1"/>
  <c r="B7" i="10"/>
  <c r="B8" i="10" s="1"/>
  <c r="F98" i="10"/>
  <c r="E98" i="10"/>
  <c r="D98" i="10"/>
  <c r="C98" i="10"/>
  <c r="B98" i="10"/>
  <c r="F97" i="10"/>
  <c r="E97" i="10"/>
  <c r="D97" i="10"/>
  <c r="C97" i="10"/>
  <c r="B97" i="10"/>
  <c r="F96" i="10"/>
  <c r="E96" i="10"/>
  <c r="D96" i="10"/>
  <c r="C96" i="10"/>
  <c r="B96" i="10"/>
  <c r="F94" i="10"/>
  <c r="E94" i="10"/>
  <c r="D94" i="10"/>
  <c r="C94" i="10"/>
  <c r="B94" i="10"/>
  <c r="F93" i="10"/>
  <c r="E93" i="10"/>
  <c r="D93" i="10"/>
  <c r="C93" i="10"/>
  <c r="B93" i="10"/>
  <c r="F90" i="10"/>
  <c r="E90" i="10"/>
  <c r="D90" i="10"/>
  <c r="C90" i="10"/>
  <c r="B90" i="10"/>
  <c r="F89" i="10"/>
  <c r="E89" i="10"/>
  <c r="D89" i="10"/>
  <c r="C89" i="10"/>
  <c r="B89" i="10"/>
  <c r="F88" i="10"/>
  <c r="E88" i="10"/>
  <c r="D88" i="10"/>
  <c r="C88" i="10"/>
  <c r="B88" i="10"/>
  <c r="F87" i="10"/>
  <c r="E87" i="10"/>
  <c r="D87" i="10"/>
  <c r="C87" i="10"/>
  <c r="B87" i="10"/>
  <c r="F86" i="10"/>
  <c r="E86" i="10"/>
  <c r="D86" i="10"/>
  <c r="C86" i="10"/>
  <c r="B86" i="10"/>
  <c r="F85" i="10"/>
  <c r="E85" i="10"/>
  <c r="D85" i="10"/>
  <c r="C85" i="10"/>
  <c r="B85" i="10"/>
  <c r="F83" i="10"/>
  <c r="E83" i="10"/>
  <c r="D83" i="10"/>
  <c r="C83" i="10"/>
  <c r="B83" i="10"/>
  <c r="F78" i="10"/>
  <c r="E78" i="10"/>
  <c r="D78" i="10"/>
  <c r="C78" i="10"/>
  <c r="B78" i="10"/>
  <c r="F77" i="10"/>
  <c r="E77" i="10"/>
  <c r="D77" i="10"/>
  <c r="C77" i="10"/>
  <c r="B77" i="10"/>
  <c r="F76" i="10"/>
  <c r="E76" i="10"/>
  <c r="D76" i="10"/>
  <c r="C76" i="10"/>
  <c r="B76" i="10"/>
  <c r="F73" i="10"/>
  <c r="E73" i="10"/>
  <c r="D73" i="10"/>
  <c r="C73" i="10"/>
  <c r="B73" i="10"/>
  <c r="F72" i="10"/>
  <c r="E72" i="10"/>
  <c r="D72" i="10"/>
  <c r="C72" i="10"/>
  <c r="B72" i="10"/>
  <c r="F69" i="10"/>
  <c r="E69" i="10"/>
  <c r="D69" i="10"/>
  <c r="C69" i="10"/>
  <c r="B69" i="10"/>
  <c r="F68" i="10"/>
  <c r="E68" i="10"/>
  <c r="D68" i="10"/>
  <c r="C68" i="10"/>
  <c r="B68" i="10"/>
  <c r="F67" i="10"/>
  <c r="E67" i="10"/>
  <c r="D67" i="10"/>
  <c r="C67" i="10"/>
  <c r="B67" i="10"/>
  <c r="F66" i="10"/>
  <c r="E66" i="10"/>
  <c r="D66" i="10"/>
  <c r="C66" i="10"/>
  <c r="B66" i="10"/>
  <c r="F21" i="12"/>
  <c r="E21" i="12"/>
  <c r="D21" i="12"/>
  <c r="C21" i="12"/>
  <c r="B21" i="12"/>
  <c r="H36" i="12" l="1"/>
  <c r="H77" i="10"/>
  <c r="H33" i="12"/>
  <c r="H37" i="12"/>
  <c r="H31" i="12"/>
  <c r="H34" i="12"/>
  <c r="H32" i="12"/>
  <c r="H38" i="12"/>
  <c r="I40" i="10"/>
  <c r="I10" i="10"/>
  <c r="I36" i="12"/>
  <c r="H85" i="10"/>
  <c r="H25" i="10"/>
  <c r="H86" i="10"/>
  <c r="I48" i="10"/>
  <c r="I25" i="10"/>
  <c r="I77" i="10"/>
  <c r="H54" i="10"/>
  <c r="H76" i="10"/>
  <c r="I13" i="10"/>
  <c r="H10" i="10"/>
  <c r="I17" i="10"/>
  <c r="H19" i="10"/>
  <c r="H93" i="10"/>
  <c r="H90" i="10"/>
  <c r="H12" i="10"/>
  <c r="H20" i="10"/>
  <c r="H17" i="10"/>
  <c r="I85" i="10"/>
  <c r="I90" i="10"/>
  <c r="I97" i="10"/>
  <c r="I66" i="10"/>
  <c r="H13" i="10"/>
  <c r="I35" i="10"/>
  <c r="H78" i="10"/>
  <c r="I76" i="10"/>
  <c r="I19" i="10"/>
  <c r="H7" i="10"/>
  <c r="H88" i="10"/>
  <c r="H89" i="10"/>
  <c r="I7" i="10"/>
  <c r="H41" i="10"/>
  <c r="H11" i="10"/>
  <c r="H42" i="10"/>
  <c r="H37" i="10"/>
  <c r="I73" i="10"/>
  <c r="H87" i="10"/>
  <c r="H67" i="10"/>
  <c r="H72" i="10"/>
  <c r="I12" i="10"/>
  <c r="I72" i="10"/>
  <c r="I87" i="10"/>
  <c r="I89" i="10"/>
  <c r="I42" i="10"/>
  <c r="I11" i="10"/>
  <c r="H68" i="10"/>
  <c r="H73" i="10"/>
  <c r="H97" i="10"/>
  <c r="I67" i="10"/>
  <c r="H98" i="10"/>
  <c r="H69" i="10"/>
  <c r="I83" i="10"/>
  <c r="I69" i="10"/>
  <c r="I98" i="10"/>
  <c r="H66" i="10"/>
  <c r="I68" i="10"/>
  <c r="I86" i="10"/>
  <c r="I93" i="10"/>
  <c r="I88" i="10"/>
  <c r="H83" i="10"/>
  <c r="I78" i="10"/>
  <c r="I20" i="10"/>
  <c r="H31" i="10"/>
  <c r="D15" i="10"/>
  <c r="L15" i="10"/>
  <c r="E15" i="10"/>
  <c r="E22" i="10"/>
  <c r="F22" i="10"/>
  <c r="B27" i="10"/>
  <c r="F27" i="10"/>
  <c r="J27" i="10"/>
  <c r="G27" i="10"/>
  <c r="E31" i="10"/>
  <c r="I31" i="10"/>
  <c r="B31" i="10"/>
  <c r="F31" i="10"/>
  <c r="J31" i="10"/>
  <c r="D43" i="10"/>
  <c r="L43" i="10"/>
  <c r="J43" i="10"/>
  <c r="D56" i="10"/>
  <c r="L56" i="10"/>
  <c r="E56" i="10"/>
  <c r="E27" i="10"/>
  <c r="D31" i="10"/>
  <c r="L31" i="10"/>
  <c r="B15" i="10"/>
  <c r="G15" i="10"/>
  <c r="G22" i="10"/>
  <c r="L22" i="10"/>
  <c r="D27" i="10"/>
  <c r="B43" i="10"/>
  <c r="F43" i="10"/>
  <c r="C43" i="10"/>
  <c r="C58" i="10" s="1"/>
  <c r="G43" i="10"/>
  <c r="K43" i="10"/>
  <c r="B56" i="10"/>
  <c r="J56" i="10"/>
  <c r="C56" i="10"/>
  <c r="G56" i="10"/>
  <c r="K56" i="10"/>
  <c r="C31" i="10"/>
  <c r="G31" i="10"/>
  <c r="K31" i="10"/>
  <c r="C27" i="10"/>
  <c r="K27" i="10"/>
  <c r="E43" i="10"/>
  <c r="F56" i="10"/>
  <c r="L27" i="10"/>
  <c r="J15" i="10"/>
  <c r="D22" i="10"/>
  <c r="G70" i="10"/>
  <c r="J74" i="10"/>
  <c r="G74" i="10"/>
  <c r="J79" i="10"/>
  <c r="L91" i="10"/>
  <c r="J91" i="10"/>
  <c r="K91" i="10"/>
  <c r="L99" i="10"/>
  <c r="G8" i="10"/>
  <c r="L8" i="10"/>
  <c r="E8" i="10"/>
  <c r="F15" i="10"/>
  <c r="C15" i="10"/>
  <c r="K15" i="10"/>
  <c r="B22" i="10"/>
  <c r="J22" i="10"/>
  <c r="C22" i="10"/>
  <c r="K22" i="10"/>
  <c r="J99" i="10"/>
  <c r="K99" i="10"/>
  <c r="G79" i="10"/>
  <c r="L79" i="10"/>
  <c r="J70" i="10"/>
  <c r="G91" i="10"/>
  <c r="G99" i="10"/>
  <c r="L74" i="10"/>
  <c r="L70" i="10"/>
  <c r="K74" i="10"/>
  <c r="K79" i="10"/>
  <c r="F99" i="10"/>
  <c r="K70" i="10"/>
  <c r="AA217" i="17"/>
  <c r="AA229" i="17"/>
  <c r="AA218" i="17"/>
  <c r="AA193" i="17"/>
  <c r="AD207" i="17"/>
  <c r="AA161" i="17"/>
  <c r="AA146" i="17"/>
  <c r="AD226" i="17"/>
  <c r="AA170" i="17"/>
  <c r="AD126" i="17"/>
  <c r="AA177" i="17"/>
  <c r="I29" i="12"/>
  <c r="AD224" i="17"/>
  <c r="AD208" i="17"/>
  <c r="AA186" i="17"/>
  <c r="AA158" i="17"/>
  <c r="G8" i="12"/>
  <c r="AA119" i="17"/>
  <c r="AD137" i="17"/>
  <c r="J8" i="12"/>
  <c r="K8" i="12"/>
  <c r="L8" i="12"/>
  <c r="L9" i="12"/>
  <c r="K13" i="12"/>
  <c r="K21" i="12"/>
  <c r="K17" i="12"/>
  <c r="L13" i="12"/>
  <c r="L21" i="12"/>
  <c r="L17" i="12"/>
  <c r="H13" i="12"/>
  <c r="I13" i="12"/>
  <c r="G28" i="12"/>
  <c r="K28" i="12"/>
  <c r="J39" i="12"/>
  <c r="L38" i="12"/>
  <c r="J37" i="12"/>
  <c r="L35" i="12"/>
  <c r="J34" i="12"/>
  <c r="L33" i="12"/>
  <c r="J32" i="12"/>
  <c r="L31" i="12"/>
  <c r="J30" i="12"/>
  <c r="L29" i="12"/>
  <c r="AD230" i="17"/>
  <c r="AD223" i="17"/>
  <c r="AD218" i="17"/>
  <c r="AD211" i="17"/>
  <c r="AA194" i="17"/>
  <c r="AA178" i="17"/>
  <c r="AA162" i="17"/>
  <c r="AA154" i="17"/>
  <c r="AD132" i="17"/>
  <c r="AA123" i="17"/>
  <c r="J9" i="12"/>
  <c r="K9" i="12"/>
  <c r="K24" i="12"/>
  <c r="K20" i="12"/>
  <c r="K16" i="12"/>
  <c r="L24" i="12"/>
  <c r="L20" i="12"/>
  <c r="L16" i="12"/>
  <c r="H24" i="12"/>
  <c r="H20" i="12"/>
  <c r="I24" i="12"/>
  <c r="I20" i="12"/>
  <c r="L28" i="12"/>
  <c r="I39" i="12"/>
  <c r="K38" i="12"/>
  <c r="G38" i="12"/>
  <c r="K35" i="12"/>
  <c r="G35" i="12"/>
  <c r="K33" i="12"/>
  <c r="G33" i="12"/>
  <c r="K31" i="12"/>
  <c r="G31" i="12"/>
  <c r="I30" i="12"/>
  <c r="K29" i="12"/>
  <c r="G29" i="12"/>
  <c r="G9" i="12"/>
  <c r="G21" i="12"/>
  <c r="K23" i="12"/>
  <c r="K19" i="12"/>
  <c r="K15" i="12"/>
  <c r="L23" i="12"/>
  <c r="L19" i="12"/>
  <c r="L15" i="12"/>
  <c r="H15" i="12"/>
  <c r="I15" i="12"/>
  <c r="I28" i="12"/>
  <c r="L39" i="12"/>
  <c r="J38" i="12"/>
  <c r="L37" i="12"/>
  <c r="J35" i="12"/>
  <c r="L34" i="12"/>
  <c r="J33" i="12"/>
  <c r="L32" i="12"/>
  <c r="J31" i="12"/>
  <c r="L30" i="12"/>
  <c r="J29" i="12"/>
  <c r="AD228" i="17"/>
  <c r="AD220" i="17"/>
  <c r="AA219" i="17"/>
  <c r="AA201" i="17"/>
  <c r="AA185" i="17"/>
  <c r="AA169" i="17"/>
  <c r="J24" i="12"/>
  <c r="AD225" i="17"/>
  <c r="AD150" i="17"/>
  <c r="AD141" i="17"/>
  <c r="J21" i="12"/>
  <c r="K22" i="12"/>
  <c r="K18" i="12"/>
  <c r="K14" i="12"/>
  <c r="L22" i="12"/>
  <c r="L18" i="12"/>
  <c r="L14" i="12"/>
  <c r="H14" i="12"/>
  <c r="I14" i="12"/>
  <c r="J28" i="12"/>
  <c r="K39" i="12"/>
  <c r="G39" i="12"/>
  <c r="K37" i="12"/>
  <c r="G37" i="12"/>
  <c r="I35" i="12"/>
  <c r="K34" i="12"/>
  <c r="G34" i="12"/>
  <c r="K32" i="12"/>
  <c r="G32" i="12"/>
  <c r="K30" i="12"/>
  <c r="G30" i="12"/>
  <c r="G17" i="12"/>
  <c r="J20" i="12"/>
  <c r="AA227" i="17"/>
  <c r="AD210" i="17"/>
  <c r="G13" i="12"/>
  <c r="G20" i="12"/>
  <c r="G16" i="12"/>
  <c r="J15" i="12"/>
  <c r="J19" i="12"/>
  <c r="AA228" i="17"/>
  <c r="AA226" i="17"/>
  <c r="AA225" i="17"/>
  <c r="AA224" i="17"/>
  <c r="AA223" i="17"/>
  <c r="AA215" i="17"/>
  <c r="AD214" i="17"/>
  <c r="AA213" i="17"/>
  <c r="AA212" i="17"/>
  <c r="AA211" i="17"/>
  <c r="AA205" i="17"/>
  <c r="AA197" i="17"/>
  <c r="AA189" i="17"/>
  <c r="AA181" i="17"/>
  <c r="AA173" i="17"/>
  <c r="AA165" i="17"/>
  <c r="AA156" i="17"/>
  <c r="AD147" i="17"/>
  <c r="AD133" i="17"/>
  <c r="AD130" i="17"/>
  <c r="AA120" i="17"/>
  <c r="AA117" i="17"/>
  <c r="G24" i="12"/>
  <c r="G19" i="12"/>
  <c r="G15" i="12"/>
  <c r="J14" i="12"/>
  <c r="J18" i="12"/>
  <c r="J23" i="12"/>
  <c r="G22" i="12"/>
  <c r="J16" i="12"/>
  <c r="AA214" i="17"/>
  <c r="AA210" i="17"/>
  <c r="AA206" i="17"/>
  <c r="AA190" i="17"/>
  <c r="AA182" i="17"/>
  <c r="AA174" i="17"/>
  <c r="AA166" i="17"/>
  <c r="AA157" i="17"/>
  <c r="AA152" i="17"/>
  <c r="AD140" i="17"/>
  <c r="AD134" i="17"/>
  <c r="AA130" i="17"/>
  <c r="AD122" i="17"/>
  <c r="AD121" i="17"/>
  <c r="G23" i="12"/>
  <c r="G18" i="12"/>
  <c r="G14" i="12"/>
  <c r="J13" i="12"/>
  <c r="J17" i="12"/>
  <c r="J22" i="12"/>
  <c r="AD222" i="17"/>
  <c r="AD153" i="17"/>
  <c r="AA222" i="17"/>
  <c r="AD221" i="17"/>
  <c r="AA220" i="17"/>
  <c r="AD219" i="17"/>
  <c r="AD216" i="17"/>
  <c r="AA208" i="17"/>
  <c r="AD139" i="17"/>
  <c r="AD209" i="17"/>
  <c r="AA207" i="17"/>
  <c r="AA203" i="17"/>
  <c r="AA199" i="17"/>
  <c r="AA195" i="17"/>
  <c r="AA191" i="17"/>
  <c r="AA187" i="17"/>
  <c r="AA183" i="17"/>
  <c r="AA179" i="17"/>
  <c r="AA175" i="17"/>
  <c r="AA171" i="17"/>
  <c r="AA167" i="17"/>
  <c r="AA163" i="17"/>
  <c r="AA159" i="17"/>
  <c r="AD154" i="17"/>
  <c r="AA144" i="17"/>
  <c r="AA140" i="17"/>
  <c r="AA124" i="17"/>
  <c r="AA121" i="17"/>
  <c r="AA116" i="17"/>
  <c r="AD229" i="17"/>
  <c r="AD227" i="17"/>
  <c r="AA216" i="17"/>
  <c r="AD213" i="17"/>
  <c r="AA209" i="17"/>
  <c r="AA204" i="17"/>
  <c r="AA200" i="17"/>
  <c r="AA196" i="17"/>
  <c r="AA192" i="17"/>
  <c r="AA188" i="17"/>
  <c r="AA184" i="17"/>
  <c r="AA180" i="17"/>
  <c r="AA176" i="17"/>
  <c r="AA172" i="17"/>
  <c r="AA168" i="17"/>
  <c r="AA164" i="17"/>
  <c r="AA160" i="17"/>
  <c r="AD157" i="17"/>
  <c r="AD146" i="17"/>
  <c r="AD145" i="17"/>
  <c r="AD142" i="17"/>
  <c r="AA136" i="17"/>
  <c r="AA132" i="17"/>
  <c r="AA128" i="17"/>
  <c r="AD125" i="17"/>
  <c r="AA118" i="17"/>
  <c r="AD114" i="17"/>
  <c r="AD128" i="17"/>
  <c r="AA126" i="17"/>
  <c r="AA125" i="17"/>
  <c r="AD118" i="17"/>
  <c r="AA115" i="17"/>
  <c r="AA114" i="17"/>
  <c r="AA112" i="17"/>
  <c r="H21" i="12"/>
  <c r="AD206" i="17"/>
  <c r="AD204" i="17"/>
  <c r="AD202" i="17"/>
  <c r="AD200" i="17"/>
  <c r="AD198" i="17"/>
  <c r="AD196" i="17"/>
  <c r="AD194" i="17"/>
  <c r="AD192" i="17"/>
  <c r="AD190" i="17"/>
  <c r="AD188" i="17"/>
  <c r="AD186" i="17"/>
  <c r="AD184" i="17"/>
  <c r="AD182" i="17"/>
  <c r="AD180" i="17"/>
  <c r="AD178" i="17"/>
  <c r="AD174" i="17"/>
  <c r="AD172" i="17"/>
  <c r="AD170" i="17"/>
  <c r="AD168" i="17"/>
  <c r="AD166" i="17"/>
  <c r="AD164" i="17"/>
  <c r="AD160" i="17"/>
  <c r="AA138" i="17"/>
  <c r="AA221" i="17"/>
  <c r="AD205" i="17"/>
  <c r="AA202" i="17"/>
  <c r="AD201" i="17"/>
  <c r="AD199" i="17"/>
  <c r="AA198" i="17"/>
  <c r="AD197" i="17"/>
  <c r="AD195" i="17"/>
  <c r="AD193" i="17"/>
  <c r="AD191" i="17"/>
  <c r="AD187" i="17"/>
  <c r="AD185" i="17"/>
  <c r="AD183" i="17"/>
  <c r="AD181" i="17"/>
  <c r="AD179" i="17"/>
  <c r="AD177" i="17"/>
  <c r="AD175" i="17"/>
  <c r="AD173" i="17"/>
  <c r="AD171" i="17"/>
  <c r="AD169" i="17"/>
  <c r="AD167" i="17"/>
  <c r="AD163" i="17"/>
  <c r="AD161" i="17"/>
  <c r="AD123" i="17"/>
  <c r="AA122" i="17"/>
  <c r="AD119" i="17"/>
  <c r="AD115" i="17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F28" i="12"/>
  <c r="E28" i="12"/>
  <c r="D28" i="12"/>
  <c r="C28" i="12"/>
  <c r="B28" i="12"/>
  <c r="B14" i="12"/>
  <c r="C14" i="12"/>
  <c r="D14" i="12"/>
  <c r="E14" i="12"/>
  <c r="F14" i="12"/>
  <c r="B15" i="12"/>
  <c r="C15" i="12"/>
  <c r="D15" i="12"/>
  <c r="E15" i="12"/>
  <c r="F15" i="12"/>
  <c r="B16" i="12"/>
  <c r="C16" i="12"/>
  <c r="D16" i="12"/>
  <c r="E16" i="12"/>
  <c r="F16" i="12"/>
  <c r="B17" i="12"/>
  <c r="C17" i="12"/>
  <c r="D17" i="12"/>
  <c r="E17" i="12"/>
  <c r="F17" i="12"/>
  <c r="B18" i="12"/>
  <c r="C18" i="12"/>
  <c r="D18" i="12"/>
  <c r="E18" i="12"/>
  <c r="F18" i="12"/>
  <c r="B19" i="12"/>
  <c r="C19" i="12"/>
  <c r="D19" i="12"/>
  <c r="E19" i="12"/>
  <c r="F19" i="12"/>
  <c r="B20" i="12"/>
  <c r="C20" i="12"/>
  <c r="D20" i="12"/>
  <c r="E20" i="12"/>
  <c r="F20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F13" i="12"/>
  <c r="E13" i="12"/>
  <c r="D13" i="12"/>
  <c r="C13" i="12"/>
  <c r="B13" i="12"/>
  <c r="M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M103" i="15"/>
  <c r="M104" i="15"/>
  <c r="M105" i="15"/>
  <c r="M106" i="15"/>
  <c r="M107" i="15"/>
  <c r="M108" i="15"/>
  <c r="M109" i="15"/>
  <c r="M110" i="15"/>
  <c r="M111" i="15"/>
  <c r="M112" i="15"/>
  <c r="M113" i="15"/>
  <c r="M114" i="15"/>
  <c r="M115" i="15"/>
  <c r="M116" i="15"/>
  <c r="M117" i="15"/>
  <c r="M118" i="15"/>
  <c r="M119" i="15"/>
  <c r="M120" i="15"/>
  <c r="M121" i="15"/>
  <c r="M122" i="15"/>
  <c r="M123" i="15"/>
  <c r="M124" i="15"/>
  <c r="M125" i="15"/>
  <c r="M126" i="15"/>
  <c r="M127" i="15"/>
  <c r="M128" i="15"/>
  <c r="M129" i="15"/>
  <c r="M130" i="15"/>
  <c r="M131" i="15"/>
  <c r="M132" i="15"/>
  <c r="M133" i="15"/>
  <c r="M134" i="15"/>
  <c r="M135" i="15"/>
  <c r="M136" i="15"/>
  <c r="M137" i="15"/>
  <c r="M138" i="15"/>
  <c r="M139" i="15"/>
  <c r="M140" i="15"/>
  <c r="M141" i="15"/>
  <c r="M142" i="15"/>
  <c r="M143" i="15"/>
  <c r="M3" i="15"/>
  <c r="L47" i="15"/>
  <c r="N47" i="15"/>
  <c r="O47" i="15"/>
  <c r="Q47" i="15"/>
  <c r="R47" i="15"/>
  <c r="S47" i="15" s="1"/>
  <c r="T47" i="15"/>
  <c r="U47" i="15"/>
  <c r="W47" i="15"/>
  <c r="X47" i="15"/>
  <c r="Z47" i="15"/>
  <c r="AA47" i="15"/>
  <c r="L48" i="15"/>
  <c r="N48" i="15"/>
  <c r="O48" i="15"/>
  <c r="Q48" i="15"/>
  <c r="R48" i="15"/>
  <c r="T48" i="15"/>
  <c r="U48" i="15"/>
  <c r="W48" i="15"/>
  <c r="X48" i="15"/>
  <c r="Z48" i="15"/>
  <c r="AA48" i="15"/>
  <c r="L49" i="15"/>
  <c r="N49" i="15"/>
  <c r="O49" i="15"/>
  <c r="Q49" i="15"/>
  <c r="R49" i="15"/>
  <c r="T49" i="15"/>
  <c r="U49" i="15"/>
  <c r="W49" i="15"/>
  <c r="X49" i="15"/>
  <c r="Z49" i="15"/>
  <c r="AA49" i="15"/>
  <c r="L50" i="15"/>
  <c r="N50" i="15"/>
  <c r="O50" i="15"/>
  <c r="Q50" i="15"/>
  <c r="R50" i="15"/>
  <c r="T50" i="15"/>
  <c r="U50" i="15"/>
  <c r="W50" i="15"/>
  <c r="X50" i="15"/>
  <c r="Z50" i="15"/>
  <c r="AA50" i="15"/>
  <c r="L51" i="15"/>
  <c r="N51" i="15"/>
  <c r="O51" i="15"/>
  <c r="Q51" i="15"/>
  <c r="R51" i="15"/>
  <c r="T51" i="15"/>
  <c r="U51" i="15"/>
  <c r="W51" i="15"/>
  <c r="X51" i="15"/>
  <c r="Z51" i="15"/>
  <c r="AA51" i="15"/>
  <c r="L52" i="15"/>
  <c r="N52" i="15"/>
  <c r="O52" i="15"/>
  <c r="Q52" i="15"/>
  <c r="S52" i="15" s="1"/>
  <c r="R52" i="15"/>
  <c r="T52" i="15"/>
  <c r="U52" i="15"/>
  <c r="W52" i="15"/>
  <c r="X52" i="15"/>
  <c r="Z52" i="15"/>
  <c r="AA52" i="15"/>
  <c r="L53" i="15"/>
  <c r="N53" i="15"/>
  <c r="O53" i="15"/>
  <c r="Q53" i="15"/>
  <c r="R53" i="15"/>
  <c r="T53" i="15"/>
  <c r="U53" i="15"/>
  <c r="W53" i="15"/>
  <c r="X53" i="15"/>
  <c r="Z53" i="15"/>
  <c r="AA53" i="15"/>
  <c r="L54" i="15"/>
  <c r="N54" i="15"/>
  <c r="O54" i="15"/>
  <c r="Q54" i="15"/>
  <c r="R54" i="15"/>
  <c r="T54" i="15"/>
  <c r="U54" i="15"/>
  <c r="W54" i="15"/>
  <c r="X54" i="15"/>
  <c r="Z54" i="15"/>
  <c r="AA54" i="15"/>
  <c r="L55" i="15"/>
  <c r="N55" i="15"/>
  <c r="O55" i="15"/>
  <c r="Q55" i="15"/>
  <c r="R55" i="15"/>
  <c r="S55" i="15" s="1"/>
  <c r="T55" i="15"/>
  <c r="U55" i="15"/>
  <c r="W55" i="15"/>
  <c r="X55" i="15"/>
  <c r="Z55" i="15"/>
  <c r="AA55" i="15"/>
  <c r="L56" i="15"/>
  <c r="N56" i="15"/>
  <c r="O56" i="15"/>
  <c r="Q56" i="15"/>
  <c r="R56" i="15"/>
  <c r="T56" i="15"/>
  <c r="U56" i="15"/>
  <c r="W56" i="15"/>
  <c r="X56" i="15"/>
  <c r="Z56" i="15"/>
  <c r="AA56" i="15"/>
  <c r="L57" i="15"/>
  <c r="N57" i="15"/>
  <c r="O57" i="15"/>
  <c r="Q57" i="15"/>
  <c r="R57" i="15"/>
  <c r="T57" i="15"/>
  <c r="U57" i="15"/>
  <c r="W57" i="15"/>
  <c r="X57" i="15"/>
  <c r="Z57" i="15"/>
  <c r="AA57" i="15"/>
  <c r="L58" i="15"/>
  <c r="N58" i="15"/>
  <c r="O58" i="15"/>
  <c r="Q58" i="15"/>
  <c r="R58" i="15"/>
  <c r="T58" i="15"/>
  <c r="U58" i="15"/>
  <c r="W58" i="15"/>
  <c r="X58" i="15"/>
  <c r="Z58" i="15"/>
  <c r="AA58" i="15"/>
  <c r="L59" i="15"/>
  <c r="N59" i="15"/>
  <c r="O59" i="15"/>
  <c r="Q59" i="15"/>
  <c r="R59" i="15"/>
  <c r="T59" i="15"/>
  <c r="U59" i="15"/>
  <c r="W59" i="15"/>
  <c r="X59" i="15"/>
  <c r="Z59" i="15"/>
  <c r="AA59" i="15"/>
  <c r="L60" i="15"/>
  <c r="N60" i="15"/>
  <c r="O60" i="15"/>
  <c r="Q60" i="15"/>
  <c r="S60" i="15" s="1"/>
  <c r="R60" i="15"/>
  <c r="T60" i="15"/>
  <c r="U60" i="15"/>
  <c r="W60" i="15"/>
  <c r="X60" i="15"/>
  <c r="Z60" i="15"/>
  <c r="AA60" i="15"/>
  <c r="L61" i="15"/>
  <c r="N61" i="15"/>
  <c r="O61" i="15"/>
  <c r="Q61" i="15"/>
  <c r="R61" i="15"/>
  <c r="T61" i="15"/>
  <c r="U61" i="15"/>
  <c r="W61" i="15"/>
  <c r="X61" i="15"/>
  <c r="Z61" i="15"/>
  <c r="AA61" i="15"/>
  <c r="L62" i="15"/>
  <c r="N62" i="15"/>
  <c r="O62" i="15"/>
  <c r="Q62" i="15"/>
  <c r="R62" i="15"/>
  <c r="T62" i="15"/>
  <c r="U62" i="15"/>
  <c r="W62" i="15"/>
  <c r="X62" i="15"/>
  <c r="Z62" i="15"/>
  <c r="AA62" i="15"/>
  <c r="L63" i="15"/>
  <c r="N63" i="15"/>
  <c r="O63" i="15"/>
  <c r="Q63" i="15"/>
  <c r="R63" i="15"/>
  <c r="S63" i="15" s="1"/>
  <c r="T63" i="15"/>
  <c r="U63" i="15"/>
  <c r="W63" i="15"/>
  <c r="X63" i="15"/>
  <c r="Z63" i="15"/>
  <c r="AA63" i="15"/>
  <c r="L64" i="15"/>
  <c r="N64" i="15"/>
  <c r="O64" i="15"/>
  <c r="Q64" i="15"/>
  <c r="R64" i="15"/>
  <c r="T64" i="15"/>
  <c r="U64" i="15"/>
  <c r="W64" i="15"/>
  <c r="X64" i="15"/>
  <c r="Z64" i="15"/>
  <c r="AA64" i="15"/>
  <c r="L65" i="15"/>
  <c r="N65" i="15"/>
  <c r="O65" i="15"/>
  <c r="Q65" i="15"/>
  <c r="R65" i="15"/>
  <c r="T65" i="15"/>
  <c r="U65" i="15"/>
  <c r="W65" i="15"/>
  <c r="X65" i="15"/>
  <c r="Z65" i="15"/>
  <c r="AA65" i="15"/>
  <c r="L66" i="15"/>
  <c r="N66" i="15"/>
  <c r="O66" i="15"/>
  <c r="Q66" i="15"/>
  <c r="R66" i="15"/>
  <c r="T66" i="15"/>
  <c r="U66" i="15"/>
  <c r="W66" i="15"/>
  <c r="X66" i="15"/>
  <c r="Z66" i="15"/>
  <c r="AA66" i="15"/>
  <c r="L67" i="15"/>
  <c r="N67" i="15"/>
  <c r="O67" i="15"/>
  <c r="Q67" i="15"/>
  <c r="R67" i="15"/>
  <c r="T67" i="15"/>
  <c r="U67" i="15"/>
  <c r="W67" i="15"/>
  <c r="X67" i="15"/>
  <c r="Z67" i="15"/>
  <c r="AA67" i="15"/>
  <c r="L68" i="15"/>
  <c r="N68" i="15"/>
  <c r="O68" i="15"/>
  <c r="Q68" i="15"/>
  <c r="S68" i="15" s="1"/>
  <c r="R68" i="15"/>
  <c r="T68" i="15"/>
  <c r="U68" i="15"/>
  <c r="W68" i="15"/>
  <c r="X68" i="15"/>
  <c r="Z68" i="15"/>
  <c r="AA68" i="15"/>
  <c r="L69" i="15"/>
  <c r="N69" i="15"/>
  <c r="O69" i="15"/>
  <c r="Q69" i="15"/>
  <c r="R69" i="15"/>
  <c r="T69" i="15"/>
  <c r="U69" i="15"/>
  <c r="W69" i="15"/>
  <c r="X69" i="15"/>
  <c r="Z69" i="15"/>
  <c r="AA69" i="15"/>
  <c r="L70" i="15"/>
  <c r="N70" i="15"/>
  <c r="O70" i="15"/>
  <c r="Q70" i="15"/>
  <c r="R70" i="15"/>
  <c r="T70" i="15"/>
  <c r="U70" i="15"/>
  <c r="W70" i="15"/>
  <c r="X70" i="15"/>
  <c r="Z70" i="15"/>
  <c r="AB70" i="15" s="1"/>
  <c r="AA70" i="15"/>
  <c r="L71" i="15"/>
  <c r="N71" i="15"/>
  <c r="O71" i="15"/>
  <c r="Q71" i="15"/>
  <c r="R71" i="15"/>
  <c r="S71" i="15" s="1"/>
  <c r="T71" i="15"/>
  <c r="U71" i="15"/>
  <c r="W71" i="15"/>
  <c r="X71" i="15"/>
  <c r="Z71" i="15"/>
  <c r="AA71" i="15"/>
  <c r="L72" i="15"/>
  <c r="N72" i="15"/>
  <c r="O72" i="15"/>
  <c r="Q72" i="15"/>
  <c r="R72" i="15"/>
  <c r="T72" i="15"/>
  <c r="U72" i="15"/>
  <c r="W72" i="15"/>
  <c r="X72" i="15"/>
  <c r="Z72" i="15"/>
  <c r="AA72" i="15"/>
  <c r="L73" i="15"/>
  <c r="N73" i="15"/>
  <c r="O73" i="15"/>
  <c r="Q73" i="15"/>
  <c r="R73" i="15"/>
  <c r="T73" i="15"/>
  <c r="U73" i="15"/>
  <c r="W73" i="15"/>
  <c r="X73" i="15"/>
  <c r="Z73" i="15"/>
  <c r="AA73" i="15"/>
  <c r="L74" i="15"/>
  <c r="N74" i="15"/>
  <c r="O74" i="15"/>
  <c r="Q74" i="15"/>
  <c r="R74" i="15"/>
  <c r="T74" i="15"/>
  <c r="U74" i="15"/>
  <c r="W74" i="15"/>
  <c r="X74" i="15"/>
  <c r="Z74" i="15"/>
  <c r="AA74" i="15"/>
  <c r="L75" i="15"/>
  <c r="N75" i="15"/>
  <c r="O75" i="15"/>
  <c r="Q75" i="15"/>
  <c r="R75" i="15"/>
  <c r="T75" i="15"/>
  <c r="U75" i="15"/>
  <c r="W75" i="15"/>
  <c r="X75" i="15"/>
  <c r="Z75" i="15"/>
  <c r="AA75" i="15"/>
  <c r="L76" i="15"/>
  <c r="N76" i="15"/>
  <c r="O76" i="15"/>
  <c r="Q76" i="15"/>
  <c r="S76" i="15" s="1"/>
  <c r="R76" i="15"/>
  <c r="T76" i="15"/>
  <c r="U76" i="15"/>
  <c r="W76" i="15"/>
  <c r="X76" i="15"/>
  <c r="Z76" i="15"/>
  <c r="AA76" i="15"/>
  <c r="L77" i="15"/>
  <c r="N77" i="15"/>
  <c r="O77" i="15"/>
  <c r="Q77" i="15"/>
  <c r="R77" i="15"/>
  <c r="T77" i="15"/>
  <c r="U77" i="15"/>
  <c r="W77" i="15"/>
  <c r="X77" i="15"/>
  <c r="Z77" i="15"/>
  <c r="AA77" i="15"/>
  <c r="L78" i="15"/>
  <c r="N78" i="15"/>
  <c r="O78" i="15"/>
  <c r="Q78" i="15"/>
  <c r="R78" i="15"/>
  <c r="T78" i="15"/>
  <c r="U78" i="15"/>
  <c r="W78" i="15"/>
  <c r="X78" i="15"/>
  <c r="Z78" i="15"/>
  <c r="AA78" i="15"/>
  <c r="L79" i="15"/>
  <c r="N79" i="15"/>
  <c r="O79" i="15"/>
  <c r="Q79" i="15"/>
  <c r="R79" i="15"/>
  <c r="S79" i="15" s="1"/>
  <c r="T79" i="15"/>
  <c r="U79" i="15"/>
  <c r="W79" i="15"/>
  <c r="X79" i="15"/>
  <c r="Z79" i="15"/>
  <c r="AA79" i="15"/>
  <c r="L80" i="15"/>
  <c r="N80" i="15"/>
  <c r="O80" i="15"/>
  <c r="Q80" i="15"/>
  <c r="R80" i="15"/>
  <c r="T80" i="15"/>
  <c r="U80" i="15"/>
  <c r="W80" i="15"/>
  <c r="X80" i="15"/>
  <c r="Z80" i="15"/>
  <c r="AA80" i="15"/>
  <c r="L81" i="15"/>
  <c r="N81" i="15"/>
  <c r="O81" i="15"/>
  <c r="Q81" i="15"/>
  <c r="R81" i="15"/>
  <c r="T81" i="15"/>
  <c r="U81" i="15"/>
  <c r="W81" i="15"/>
  <c r="X81" i="15"/>
  <c r="Z81" i="15"/>
  <c r="AA81" i="15"/>
  <c r="L82" i="15"/>
  <c r="N82" i="15"/>
  <c r="O82" i="15"/>
  <c r="Q82" i="15"/>
  <c r="R82" i="15"/>
  <c r="T82" i="15"/>
  <c r="U82" i="15"/>
  <c r="W82" i="15"/>
  <c r="X82" i="15"/>
  <c r="Z82" i="15"/>
  <c r="AA82" i="15"/>
  <c r="L83" i="15"/>
  <c r="N83" i="15"/>
  <c r="O83" i="15"/>
  <c r="Q83" i="15"/>
  <c r="R83" i="15"/>
  <c r="T83" i="15"/>
  <c r="U83" i="15"/>
  <c r="W83" i="15"/>
  <c r="X83" i="15"/>
  <c r="Z83" i="15"/>
  <c r="AA83" i="15"/>
  <c r="L84" i="15"/>
  <c r="N84" i="15"/>
  <c r="O84" i="15"/>
  <c r="Q84" i="15"/>
  <c r="S84" i="15" s="1"/>
  <c r="R84" i="15"/>
  <c r="T84" i="15"/>
  <c r="U84" i="15"/>
  <c r="W84" i="15"/>
  <c r="X84" i="15"/>
  <c r="Z84" i="15"/>
  <c r="AA84" i="15"/>
  <c r="L85" i="15"/>
  <c r="N85" i="15"/>
  <c r="O85" i="15"/>
  <c r="Q85" i="15"/>
  <c r="R85" i="15"/>
  <c r="T85" i="15"/>
  <c r="U85" i="15"/>
  <c r="W85" i="15"/>
  <c r="X85" i="15"/>
  <c r="Z85" i="15"/>
  <c r="AA85" i="15"/>
  <c r="L86" i="15"/>
  <c r="N86" i="15"/>
  <c r="O86" i="15"/>
  <c r="Q86" i="15"/>
  <c r="R86" i="15"/>
  <c r="T86" i="15"/>
  <c r="U86" i="15"/>
  <c r="W86" i="15"/>
  <c r="X86" i="15"/>
  <c r="Z86" i="15"/>
  <c r="AA86" i="15"/>
  <c r="L87" i="15"/>
  <c r="N87" i="15"/>
  <c r="O87" i="15"/>
  <c r="Q87" i="15"/>
  <c r="R87" i="15"/>
  <c r="S87" i="15" s="1"/>
  <c r="T87" i="15"/>
  <c r="U87" i="15"/>
  <c r="W87" i="15"/>
  <c r="X87" i="15"/>
  <c r="Z87" i="15"/>
  <c r="AA87" i="15"/>
  <c r="L88" i="15"/>
  <c r="N88" i="15"/>
  <c r="O88" i="15"/>
  <c r="Q88" i="15"/>
  <c r="R88" i="15"/>
  <c r="T88" i="15"/>
  <c r="U88" i="15"/>
  <c r="W88" i="15"/>
  <c r="X88" i="15"/>
  <c r="Z88" i="15"/>
  <c r="AA88" i="15"/>
  <c r="L89" i="15"/>
  <c r="N89" i="15"/>
  <c r="O89" i="15"/>
  <c r="Q89" i="15"/>
  <c r="R89" i="15"/>
  <c r="T89" i="15"/>
  <c r="U89" i="15"/>
  <c r="W89" i="15"/>
  <c r="X89" i="15"/>
  <c r="Z89" i="15"/>
  <c r="AA89" i="15"/>
  <c r="L90" i="15"/>
  <c r="N90" i="15"/>
  <c r="O90" i="15"/>
  <c r="Q90" i="15"/>
  <c r="R90" i="15"/>
  <c r="T90" i="15"/>
  <c r="U90" i="15"/>
  <c r="W90" i="15"/>
  <c r="X90" i="15"/>
  <c r="Z90" i="15"/>
  <c r="AA90" i="15"/>
  <c r="L91" i="15"/>
  <c r="N91" i="15"/>
  <c r="O91" i="15"/>
  <c r="Q91" i="15"/>
  <c r="R91" i="15"/>
  <c r="T91" i="15"/>
  <c r="U91" i="15"/>
  <c r="W91" i="15"/>
  <c r="X91" i="15"/>
  <c r="Z91" i="15"/>
  <c r="AA91" i="15"/>
  <c r="L92" i="15"/>
  <c r="N92" i="15"/>
  <c r="O92" i="15"/>
  <c r="Q92" i="15"/>
  <c r="S92" i="15" s="1"/>
  <c r="R92" i="15"/>
  <c r="T92" i="15"/>
  <c r="U92" i="15"/>
  <c r="W92" i="15"/>
  <c r="X92" i="15"/>
  <c r="Z92" i="15"/>
  <c r="AA92" i="15"/>
  <c r="L93" i="15"/>
  <c r="N93" i="15"/>
  <c r="O93" i="15"/>
  <c r="Q93" i="15"/>
  <c r="R93" i="15"/>
  <c r="T93" i="15"/>
  <c r="U93" i="15"/>
  <c r="W93" i="15"/>
  <c r="X93" i="15"/>
  <c r="Z93" i="15"/>
  <c r="AA93" i="15"/>
  <c r="L94" i="15"/>
  <c r="N94" i="15"/>
  <c r="O94" i="15"/>
  <c r="Q94" i="15"/>
  <c r="R94" i="15"/>
  <c r="T94" i="15"/>
  <c r="V94" i="15" s="1"/>
  <c r="U94" i="15"/>
  <c r="W94" i="15"/>
  <c r="X94" i="15"/>
  <c r="Z94" i="15"/>
  <c r="AB94" i="15" s="1"/>
  <c r="AA94" i="15"/>
  <c r="L95" i="15"/>
  <c r="N95" i="15"/>
  <c r="O95" i="15"/>
  <c r="Q95" i="15"/>
  <c r="R95" i="15"/>
  <c r="T95" i="15"/>
  <c r="U95" i="15"/>
  <c r="W95" i="15"/>
  <c r="X95" i="15"/>
  <c r="Z95" i="15"/>
  <c r="AA95" i="15"/>
  <c r="L96" i="15"/>
  <c r="N96" i="15"/>
  <c r="O96" i="15"/>
  <c r="Q96" i="15"/>
  <c r="R96" i="15"/>
  <c r="T96" i="15"/>
  <c r="U96" i="15"/>
  <c r="W96" i="15"/>
  <c r="X96" i="15"/>
  <c r="Z96" i="15"/>
  <c r="AA96" i="15"/>
  <c r="L97" i="15"/>
  <c r="N97" i="15"/>
  <c r="O97" i="15"/>
  <c r="Q97" i="15"/>
  <c r="R97" i="15"/>
  <c r="T97" i="15"/>
  <c r="U97" i="15"/>
  <c r="W97" i="15"/>
  <c r="X97" i="15"/>
  <c r="Z97" i="15"/>
  <c r="AA97" i="15"/>
  <c r="L98" i="15"/>
  <c r="N98" i="15"/>
  <c r="O98" i="15"/>
  <c r="Q98" i="15"/>
  <c r="R98" i="15"/>
  <c r="T98" i="15"/>
  <c r="U98" i="15"/>
  <c r="W98" i="15"/>
  <c r="X98" i="15"/>
  <c r="Z98" i="15"/>
  <c r="AA98" i="15"/>
  <c r="L99" i="15"/>
  <c r="N99" i="15"/>
  <c r="O99" i="15"/>
  <c r="Q99" i="15"/>
  <c r="R99" i="15"/>
  <c r="T99" i="15"/>
  <c r="U99" i="15"/>
  <c r="W99" i="15"/>
  <c r="X99" i="15"/>
  <c r="Z99" i="15"/>
  <c r="AA99" i="15"/>
  <c r="L100" i="15"/>
  <c r="N100" i="15"/>
  <c r="O100" i="15"/>
  <c r="Q100" i="15"/>
  <c r="S100" i="15" s="1"/>
  <c r="R100" i="15"/>
  <c r="T100" i="15"/>
  <c r="U100" i="15"/>
  <c r="W100" i="15"/>
  <c r="X100" i="15"/>
  <c r="Z100" i="15"/>
  <c r="AA100" i="15"/>
  <c r="L101" i="15"/>
  <c r="N101" i="15"/>
  <c r="O101" i="15"/>
  <c r="Q101" i="15"/>
  <c r="R101" i="15"/>
  <c r="T101" i="15"/>
  <c r="U101" i="15"/>
  <c r="W101" i="15"/>
  <c r="X101" i="15"/>
  <c r="Z101" i="15"/>
  <c r="AA101" i="15"/>
  <c r="L102" i="15"/>
  <c r="N102" i="15"/>
  <c r="O102" i="15"/>
  <c r="Q102" i="15"/>
  <c r="R102" i="15"/>
  <c r="T102" i="15"/>
  <c r="U102" i="15"/>
  <c r="W102" i="15"/>
  <c r="X102" i="15"/>
  <c r="Z102" i="15"/>
  <c r="AA102" i="15"/>
  <c r="L103" i="15"/>
  <c r="N103" i="15"/>
  <c r="O103" i="15"/>
  <c r="Q103" i="15"/>
  <c r="R103" i="15"/>
  <c r="T103" i="15"/>
  <c r="U103" i="15"/>
  <c r="W103" i="15"/>
  <c r="X103" i="15"/>
  <c r="Z103" i="15"/>
  <c r="AA103" i="15"/>
  <c r="L104" i="15"/>
  <c r="N104" i="15"/>
  <c r="O104" i="15"/>
  <c r="Q104" i="15"/>
  <c r="R104" i="15"/>
  <c r="T104" i="15"/>
  <c r="U104" i="15"/>
  <c r="W104" i="15"/>
  <c r="Y104" i="15" s="1"/>
  <c r="X104" i="15"/>
  <c r="Z104" i="15"/>
  <c r="AA104" i="15"/>
  <c r="L105" i="15"/>
  <c r="N105" i="15"/>
  <c r="O105" i="15"/>
  <c r="Q105" i="15"/>
  <c r="R105" i="15"/>
  <c r="T105" i="15"/>
  <c r="U105" i="15"/>
  <c r="W105" i="15"/>
  <c r="X105" i="15"/>
  <c r="Z105" i="15"/>
  <c r="AA105" i="15"/>
  <c r="L106" i="15"/>
  <c r="N106" i="15"/>
  <c r="O106" i="15"/>
  <c r="Q106" i="15"/>
  <c r="R106" i="15"/>
  <c r="T106" i="15"/>
  <c r="U106" i="15"/>
  <c r="W106" i="15"/>
  <c r="X106" i="15"/>
  <c r="Z106" i="15"/>
  <c r="AA106" i="15"/>
  <c r="L107" i="15"/>
  <c r="N107" i="15"/>
  <c r="O107" i="15"/>
  <c r="Q107" i="15"/>
  <c r="R107" i="15"/>
  <c r="T107" i="15"/>
  <c r="U107" i="15"/>
  <c r="W107" i="15"/>
  <c r="X107" i="15"/>
  <c r="Z107" i="15"/>
  <c r="AA107" i="15"/>
  <c r="L108" i="15"/>
  <c r="N108" i="15"/>
  <c r="O108" i="15"/>
  <c r="Q108" i="15"/>
  <c r="S108" i="15" s="1"/>
  <c r="R108" i="15"/>
  <c r="T108" i="15"/>
  <c r="U108" i="15"/>
  <c r="W108" i="15"/>
  <c r="X108" i="15"/>
  <c r="Z108" i="15"/>
  <c r="AA108" i="15"/>
  <c r="L109" i="15"/>
  <c r="N109" i="15"/>
  <c r="O109" i="15"/>
  <c r="Q109" i="15"/>
  <c r="R109" i="15"/>
  <c r="T109" i="15"/>
  <c r="U109" i="15"/>
  <c r="W109" i="15"/>
  <c r="X109" i="15"/>
  <c r="Z109" i="15"/>
  <c r="AA109" i="15"/>
  <c r="L110" i="15"/>
  <c r="N110" i="15"/>
  <c r="O110" i="15"/>
  <c r="Q110" i="15"/>
  <c r="R110" i="15"/>
  <c r="T110" i="15"/>
  <c r="U110" i="15"/>
  <c r="W110" i="15"/>
  <c r="X110" i="15"/>
  <c r="Z110" i="15"/>
  <c r="AA110" i="15"/>
  <c r="L111" i="15"/>
  <c r="N111" i="15"/>
  <c r="O111" i="15"/>
  <c r="Q111" i="15"/>
  <c r="R111" i="15"/>
  <c r="T111" i="15"/>
  <c r="U111" i="15"/>
  <c r="W111" i="15"/>
  <c r="X111" i="15"/>
  <c r="Z111" i="15"/>
  <c r="AA111" i="15"/>
  <c r="L112" i="15"/>
  <c r="N112" i="15"/>
  <c r="O112" i="15"/>
  <c r="Q112" i="15"/>
  <c r="R112" i="15"/>
  <c r="T112" i="15"/>
  <c r="U112" i="15"/>
  <c r="W112" i="15"/>
  <c r="X112" i="15"/>
  <c r="Z112" i="15"/>
  <c r="AA112" i="15"/>
  <c r="L113" i="15"/>
  <c r="N113" i="15"/>
  <c r="O113" i="15"/>
  <c r="Q113" i="15"/>
  <c r="R113" i="15"/>
  <c r="T113" i="15"/>
  <c r="U113" i="15"/>
  <c r="W113" i="15"/>
  <c r="X113" i="15"/>
  <c r="Z113" i="15"/>
  <c r="AA113" i="15"/>
  <c r="L114" i="15"/>
  <c r="N114" i="15"/>
  <c r="O114" i="15"/>
  <c r="Q114" i="15"/>
  <c r="R114" i="15"/>
  <c r="T114" i="15"/>
  <c r="U114" i="15"/>
  <c r="W114" i="15"/>
  <c r="X114" i="15"/>
  <c r="Z114" i="15"/>
  <c r="AA114" i="15"/>
  <c r="L115" i="15"/>
  <c r="N115" i="15"/>
  <c r="O115" i="15"/>
  <c r="Q115" i="15"/>
  <c r="R115" i="15"/>
  <c r="T115" i="15"/>
  <c r="U115" i="15"/>
  <c r="W115" i="15"/>
  <c r="X115" i="15"/>
  <c r="Z115" i="15"/>
  <c r="AA115" i="15"/>
  <c r="L116" i="15"/>
  <c r="N116" i="15"/>
  <c r="O116" i="15"/>
  <c r="Q116" i="15"/>
  <c r="S116" i="15" s="1"/>
  <c r="R116" i="15"/>
  <c r="T116" i="15"/>
  <c r="U116" i="15"/>
  <c r="W116" i="15"/>
  <c r="X116" i="15"/>
  <c r="Z116" i="15"/>
  <c r="AA116" i="15"/>
  <c r="L117" i="15"/>
  <c r="N117" i="15"/>
  <c r="O117" i="15"/>
  <c r="Q117" i="15"/>
  <c r="R117" i="15"/>
  <c r="T117" i="15"/>
  <c r="U117" i="15"/>
  <c r="W117" i="15"/>
  <c r="X117" i="15"/>
  <c r="Z117" i="15"/>
  <c r="AB117" i="15" s="1"/>
  <c r="AA117" i="15"/>
  <c r="L118" i="15"/>
  <c r="N118" i="15"/>
  <c r="P118" i="15" s="1"/>
  <c r="O118" i="15"/>
  <c r="Q118" i="15"/>
  <c r="R118" i="15"/>
  <c r="T118" i="15"/>
  <c r="U118" i="15"/>
  <c r="W118" i="15"/>
  <c r="X118" i="15"/>
  <c r="Z118" i="15"/>
  <c r="AA118" i="15"/>
  <c r="L119" i="15"/>
  <c r="N119" i="15"/>
  <c r="O119" i="15"/>
  <c r="Q119" i="15"/>
  <c r="R119" i="15"/>
  <c r="T119" i="15"/>
  <c r="V119" i="15" s="1"/>
  <c r="U119" i="15"/>
  <c r="W119" i="15"/>
  <c r="X119" i="15"/>
  <c r="Z119" i="15"/>
  <c r="AA119" i="15"/>
  <c r="L120" i="15"/>
  <c r="N120" i="15"/>
  <c r="O120" i="15"/>
  <c r="Q120" i="15"/>
  <c r="R120" i="15"/>
  <c r="T120" i="15"/>
  <c r="U120" i="15"/>
  <c r="W120" i="15"/>
  <c r="X120" i="15"/>
  <c r="Z120" i="15"/>
  <c r="AA120" i="15"/>
  <c r="L121" i="15"/>
  <c r="N121" i="15"/>
  <c r="O121" i="15"/>
  <c r="Q121" i="15"/>
  <c r="R121" i="15"/>
  <c r="T121" i="15"/>
  <c r="U121" i="15"/>
  <c r="W121" i="15"/>
  <c r="X121" i="15"/>
  <c r="Z121" i="15"/>
  <c r="AA121" i="15"/>
  <c r="L122" i="15"/>
  <c r="N122" i="15"/>
  <c r="O122" i="15"/>
  <c r="Q122" i="15"/>
  <c r="R122" i="15"/>
  <c r="T122" i="15"/>
  <c r="U122" i="15"/>
  <c r="W122" i="15"/>
  <c r="X122" i="15"/>
  <c r="Z122" i="15"/>
  <c r="AA122" i="15"/>
  <c r="L123" i="15"/>
  <c r="N123" i="15"/>
  <c r="O123" i="15"/>
  <c r="Q123" i="15"/>
  <c r="R123" i="15"/>
  <c r="T123" i="15"/>
  <c r="U123" i="15"/>
  <c r="W123" i="15"/>
  <c r="X123" i="15"/>
  <c r="Z123" i="15"/>
  <c r="AA123" i="15"/>
  <c r="L124" i="15"/>
  <c r="N124" i="15"/>
  <c r="O124" i="15"/>
  <c r="Q124" i="15"/>
  <c r="R124" i="15"/>
  <c r="T124" i="15"/>
  <c r="U124" i="15"/>
  <c r="W124" i="15"/>
  <c r="X124" i="15"/>
  <c r="Z124" i="15"/>
  <c r="AA124" i="15"/>
  <c r="L125" i="15"/>
  <c r="N125" i="15"/>
  <c r="O125" i="15"/>
  <c r="Q125" i="15"/>
  <c r="R125" i="15"/>
  <c r="T125" i="15"/>
  <c r="U125" i="15"/>
  <c r="W125" i="15"/>
  <c r="X125" i="15"/>
  <c r="Z125" i="15"/>
  <c r="AA125" i="15"/>
  <c r="L126" i="15"/>
  <c r="N126" i="15"/>
  <c r="O126" i="15"/>
  <c r="Q126" i="15"/>
  <c r="R126" i="15"/>
  <c r="T126" i="15"/>
  <c r="U126" i="15"/>
  <c r="W126" i="15"/>
  <c r="X126" i="15"/>
  <c r="Z126" i="15"/>
  <c r="AA126" i="15"/>
  <c r="L127" i="15"/>
  <c r="N127" i="15"/>
  <c r="O127" i="15"/>
  <c r="Q127" i="15"/>
  <c r="R127" i="15"/>
  <c r="T127" i="15"/>
  <c r="U127" i="15"/>
  <c r="W127" i="15"/>
  <c r="X127" i="15"/>
  <c r="Z127" i="15"/>
  <c r="AA127" i="15"/>
  <c r="L128" i="15"/>
  <c r="N128" i="15"/>
  <c r="O128" i="15"/>
  <c r="Q128" i="15"/>
  <c r="R128" i="15"/>
  <c r="T128" i="15"/>
  <c r="U128" i="15"/>
  <c r="W128" i="15"/>
  <c r="X128" i="15"/>
  <c r="Z128" i="15"/>
  <c r="AA128" i="15"/>
  <c r="L129" i="15"/>
  <c r="N129" i="15"/>
  <c r="O129" i="15"/>
  <c r="Q129" i="15"/>
  <c r="R129" i="15"/>
  <c r="T129" i="15"/>
  <c r="U129" i="15"/>
  <c r="W129" i="15"/>
  <c r="X129" i="15"/>
  <c r="Z129" i="15"/>
  <c r="AA129" i="15"/>
  <c r="L130" i="15"/>
  <c r="N130" i="15"/>
  <c r="O130" i="15"/>
  <c r="Q130" i="15"/>
  <c r="R130" i="15"/>
  <c r="S130" i="15" s="1"/>
  <c r="T130" i="15"/>
  <c r="U130" i="15"/>
  <c r="W130" i="15"/>
  <c r="X130" i="15"/>
  <c r="Z130" i="15"/>
  <c r="AA130" i="15"/>
  <c r="L131" i="15"/>
  <c r="N131" i="15"/>
  <c r="O131" i="15"/>
  <c r="Q131" i="15"/>
  <c r="R131" i="15"/>
  <c r="T131" i="15"/>
  <c r="U131" i="15"/>
  <c r="W131" i="15"/>
  <c r="X131" i="15"/>
  <c r="Z131" i="15"/>
  <c r="AA131" i="15"/>
  <c r="L132" i="15"/>
  <c r="N132" i="15"/>
  <c r="O132" i="15"/>
  <c r="Q132" i="15"/>
  <c r="R132" i="15"/>
  <c r="T132" i="15"/>
  <c r="U132" i="15"/>
  <c r="W132" i="15"/>
  <c r="X132" i="15"/>
  <c r="Z132" i="15"/>
  <c r="AA132" i="15"/>
  <c r="L133" i="15"/>
  <c r="N133" i="15"/>
  <c r="O133" i="15"/>
  <c r="Q133" i="15"/>
  <c r="R133" i="15"/>
  <c r="T133" i="15"/>
  <c r="U133" i="15"/>
  <c r="W133" i="15"/>
  <c r="X133" i="15"/>
  <c r="Z133" i="15"/>
  <c r="AA133" i="15"/>
  <c r="L134" i="15"/>
  <c r="N134" i="15"/>
  <c r="O134" i="15"/>
  <c r="Q134" i="15"/>
  <c r="R134" i="15"/>
  <c r="T134" i="15"/>
  <c r="U134" i="15"/>
  <c r="W134" i="15"/>
  <c r="X134" i="15"/>
  <c r="Z134" i="15"/>
  <c r="AA134" i="15"/>
  <c r="L135" i="15"/>
  <c r="N135" i="15"/>
  <c r="O135" i="15"/>
  <c r="Q135" i="15"/>
  <c r="R135" i="15"/>
  <c r="T135" i="15"/>
  <c r="U135" i="15"/>
  <c r="W135" i="15"/>
  <c r="X135" i="15"/>
  <c r="Z135" i="15"/>
  <c r="AA135" i="15"/>
  <c r="L136" i="15"/>
  <c r="N136" i="15"/>
  <c r="O136" i="15"/>
  <c r="Q136" i="15"/>
  <c r="R136" i="15"/>
  <c r="T136" i="15"/>
  <c r="U136" i="15"/>
  <c r="W136" i="15"/>
  <c r="X136" i="15"/>
  <c r="Z136" i="15"/>
  <c r="AA136" i="15"/>
  <c r="L137" i="15"/>
  <c r="N137" i="15"/>
  <c r="O137" i="15"/>
  <c r="Q137" i="15"/>
  <c r="R137" i="15"/>
  <c r="T137" i="15"/>
  <c r="U137" i="15"/>
  <c r="W137" i="15"/>
  <c r="X137" i="15"/>
  <c r="Z137" i="15"/>
  <c r="AA137" i="15"/>
  <c r="L138" i="15"/>
  <c r="N138" i="15"/>
  <c r="O138" i="15"/>
  <c r="Q138" i="15"/>
  <c r="R138" i="15"/>
  <c r="T138" i="15"/>
  <c r="U138" i="15"/>
  <c r="W138" i="15"/>
  <c r="X138" i="15"/>
  <c r="Z138" i="15"/>
  <c r="AA138" i="15"/>
  <c r="L139" i="15"/>
  <c r="N139" i="15"/>
  <c r="O139" i="15"/>
  <c r="Q139" i="15"/>
  <c r="R139" i="15"/>
  <c r="T139" i="15"/>
  <c r="U139" i="15"/>
  <c r="W139" i="15"/>
  <c r="X139" i="15"/>
  <c r="Z139" i="15"/>
  <c r="AA139" i="15"/>
  <c r="L140" i="15"/>
  <c r="N140" i="15"/>
  <c r="O140" i="15"/>
  <c r="Q140" i="15"/>
  <c r="R140" i="15"/>
  <c r="T140" i="15"/>
  <c r="U140" i="15"/>
  <c r="W140" i="15"/>
  <c r="X140" i="15"/>
  <c r="Z140" i="15"/>
  <c r="AA140" i="15"/>
  <c r="L141" i="15"/>
  <c r="N141" i="15"/>
  <c r="O141" i="15"/>
  <c r="Q141" i="15"/>
  <c r="R141" i="15"/>
  <c r="T141" i="15"/>
  <c r="U141" i="15"/>
  <c r="W141" i="15"/>
  <c r="X141" i="15"/>
  <c r="Z141" i="15"/>
  <c r="AA141" i="15"/>
  <c r="L142" i="15"/>
  <c r="N142" i="15"/>
  <c r="O142" i="15"/>
  <c r="Q142" i="15"/>
  <c r="R142" i="15"/>
  <c r="T142" i="15"/>
  <c r="U142" i="15"/>
  <c r="W142" i="15"/>
  <c r="X142" i="15"/>
  <c r="Z142" i="15"/>
  <c r="AA142" i="15"/>
  <c r="L143" i="15"/>
  <c r="N143" i="15"/>
  <c r="O143" i="15"/>
  <c r="Q143" i="15"/>
  <c r="R143" i="15"/>
  <c r="T143" i="15"/>
  <c r="U143" i="15"/>
  <c r="W143" i="15"/>
  <c r="X143" i="15"/>
  <c r="Z143" i="15"/>
  <c r="AA143" i="15"/>
  <c r="G10" i="12" l="1"/>
  <c r="C40" i="12"/>
  <c r="I27" i="10"/>
  <c r="L101" i="10"/>
  <c r="AD212" i="17"/>
  <c r="I99" i="10"/>
  <c r="H22" i="10"/>
  <c r="AA155" i="17"/>
  <c r="AD162" i="17"/>
  <c r="AD155" i="17"/>
  <c r="AD138" i="17"/>
  <c r="AD159" i="17"/>
  <c r="AD189" i="17"/>
  <c r="AD113" i="17"/>
  <c r="AA148" i="17"/>
  <c r="AD117" i="17"/>
  <c r="AD165" i="17"/>
  <c r="AD203" i="17"/>
  <c r="AD149" i="17"/>
  <c r="H15" i="10"/>
  <c r="AD176" i="17"/>
  <c r="AA113" i="17"/>
  <c r="AD129" i="17"/>
  <c r="AD148" i="17"/>
  <c r="AA230" i="17"/>
  <c r="J33" i="10"/>
  <c r="E58" i="10"/>
  <c r="G81" i="10"/>
  <c r="B33" i="10"/>
  <c r="D58" i="10"/>
  <c r="J81" i="10"/>
  <c r="G58" i="10"/>
  <c r="J58" i="10"/>
  <c r="K81" i="10"/>
  <c r="L81" i="10"/>
  <c r="F33" i="10"/>
  <c r="K58" i="10"/>
  <c r="B58" i="10"/>
  <c r="L58" i="10"/>
  <c r="C33" i="10"/>
  <c r="E33" i="10"/>
  <c r="E62" i="10" s="1"/>
  <c r="G33" i="10"/>
  <c r="F58" i="10"/>
  <c r="D33" i="10"/>
  <c r="D62" i="10" s="1"/>
  <c r="L33" i="10"/>
  <c r="K33" i="10"/>
  <c r="J101" i="10"/>
  <c r="G101" i="10"/>
  <c r="K101" i="10"/>
  <c r="K10" i="12"/>
  <c r="L10" i="12"/>
  <c r="J10" i="12"/>
  <c r="AD158" i="17"/>
  <c r="G40" i="12"/>
  <c r="K40" i="12"/>
  <c r="I21" i="12"/>
  <c r="L40" i="12"/>
  <c r="J40" i="12"/>
  <c r="G25" i="12"/>
  <c r="K25" i="12"/>
  <c r="L25" i="12"/>
  <c r="J25" i="12"/>
  <c r="AA134" i="17"/>
  <c r="AD217" i="17"/>
  <c r="AD131" i="17"/>
  <c r="AD135" i="17"/>
  <c r="AD152" i="17"/>
  <c r="AD156" i="17"/>
  <c r="AA142" i="17"/>
  <c r="AD143" i="17"/>
  <c r="AA127" i="17"/>
  <c r="AA150" i="17"/>
  <c r="AD215" i="17"/>
  <c r="AA143" i="17"/>
  <c r="AA141" i="17"/>
  <c r="AA147" i="17"/>
  <c r="AA145" i="17"/>
  <c r="AD144" i="17"/>
  <c r="AD151" i="17"/>
  <c r="AA153" i="17"/>
  <c r="AD127" i="17"/>
  <c r="AD136" i="17"/>
  <c r="AA139" i="17"/>
  <c r="AA137" i="17"/>
  <c r="AA135" i="17"/>
  <c r="AA151" i="17"/>
  <c r="AA133" i="17"/>
  <c r="AA149" i="17"/>
  <c r="AA131" i="17"/>
  <c r="AD120" i="17"/>
  <c r="AA129" i="17"/>
  <c r="AD116" i="17"/>
  <c r="AD112" i="17"/>
  <c r="AD124" i="17"/>
  <c r="F25" i="12"/>
  <c r="F40" i="12"/>
  <c r="E40" i="12"/>
  <c r="B40" i="12"/>
  <c r="D40" i="12"/>
  <c r="D25" i="12"/>
  <c r="B25" i="12"/>
  <c r="C25" i="12"/>
  <c r="E25" i="12"/>
  <c r="AB90" i="15"/>
  <c r="V134" i="15"/>
  <c r="P130" i="15"/>
  <c r="S114" i="15"/>
  <c r="AB112" i="15"/>
  <c r="S105" i="15"/>
  <c r="S98" i="15"/>
  <c r="S94" i="15"/>
  <c r="S85" i="15"/>
  <c r="S82" i="15"/>
  <c r="S77" i="15"/>
  <c r="S74" i="15"/>
  <c r="S69" i="15"/>
  <c r="S66" i="15"/>
  <c r="S61" i="15"/>
  <c r="S58" i="15"/>
  <c r="S53" i="15"/>
  <c r="P51" i="15"/>
  <c r="S50" i="15"/>
  <c r="V47" i="15"/>
  <c r="S141" i="15"/>
  <c r="V139" i="15"/>
  <c r="S137" i="15"/>
  <c r="V135" i="15"/>
  <c r="Y90" i="15"/>
  <c r="V48" i="15"/>
  <c r="S80" i="15"/>
  <c r="S72" i="15"/>
  <c r="S64" i="15"/>
  <c r="S56" i="15"/>
  <c r="V49" i="15"/>
  <c r="S48" i="15"/>
  <c r="AB129" i="15"/>
  <c r="AB121" i="15"/>
  <c r="P121" i="15"/>
  <c r="P91" i="15"/>
  <c r="AB86" i="15"/>
  <c r="S81" i="15"/>
  <c r="S73" i="15"/>
  <c r="S65" i="15"/>
  <c r="AB62" i="15"/>
  <c r="S57" i="15"/>
  <c r="AB54" i="15"/>
  <c r="AB50" i="15"/>
  <c r="S49" i="15"/>
  <c r="S138" i="15"/>
  <c r="V115" i="15"/>
  <c r="S97" i="15"/>
  <c r="S93" i="15"/>
  <c r="AB89" i="15"/>
  <c r="AB84" i="15"/>
  <c r="AB76" i="15"/>
  <c r="AB68" i="15"/>
  <c r="AB60" i="15"/>
  <c r="AB52" i="15"/>
  <c r="Y134" i="15"/>
  <c r="Y133" i="15"/>
  <c r="V131" i="15"/>
  <c r="S106" i="15"/>
  <c r="V138" i="15"/>
  <c r="P138" i="15"/>
  <c r="AB124" i="15"/>
  <c r="V124" i="15"/>
  <c r="S107" i="15"/>
  <c r="V93" i="15"/>
  <c r="S91" i="15"/>
  <c r="AB78" i="15"/>
  <c r="V141" i="15"/>
  <c r="AB140" i="15"/>
  <c r="S101" i="15"/>
  <c r="V142" i="15"/>
  <c r="P142" i="15"/>
  <c r="S132" i="15"/>
  <c r="V127" i="15"/>
  <c r="S126" i="15"/>
  <c r="V123" i="15"/>
  <c r="S122" i="15"/>
  <c r="P113" i="15"/>
  <c r="AB106" i="15"/>
  <c r="V106" i="15"/>
  <c r="V105" i="15"/>
  <c r="AB104" i="15"/>
  <c r="S102" i="15"/>
  <c r="AB101" i="15"/>
  <c r="S95" i="15"/>
  <c r="V92" i="15"/>
  <c r="S83" i="15"/>
  <c r="S75" i="15"/>
  <c r="S67" i="15"/>
  <c r="S59" i="15"/>
  <c r="S51" i="15"/>
  <c r="V140" i="15"/>
  <c r="Y138" i="15"/>
  <c r="P126" i="15"/>
  <c r="P122" i="15"/>
  <c r="S120" i="15"/>
  <c r="S113" i="15"/>
  <c r="S142" i="15"/>
  <c r="S134" i="15"/>
  <c r="P114" i="15"/>
  <c r="S96" i="15"/>
  <c r="V143" i="15"/>
  <c r="S133" i="15"/>
  <c r="AB128" i="15"/>
  <c r="P105" i="15"/>
  <c r="Y137" i="15"/>
  <c r="S136" i="15"/>
  <c r="S135" i="15"/>
  <c r="AB125" i="15"/>
  <c r="P125" i="15"/>
  <c r="S112" i="15"/>
  <c r="AB110" i="15"/>
  <c r="V110" i="15"/>
  <c r="P110" i="15"/>
  <c r="AB100" i="15"/>
  <c r="S90" i="15"/>
  <c r="AB88" i="15"/>
  <c r="AB83" i="15"/>
  <c r="P83" i="15"/>
  <c r="AB75" i="15"/>
  <c r="P75" i="15"/>
  <c r="AB67" i="15"/>
  <c r="P67" i="15"/>
  <c r="AB59" i="15"/>
  <c r="P59" i="15"/>
  <c r="AB51" i="15"/>
  <c r="P47" i="15"/>
  <c r="Y143" i="15"/>
  <c r="Y142" i="15"/>
  <c r="Y141" i="15"/>
  <c r="S140" i="15"/>
  <c r="S139" i="15"/>
  <c r="V133" i="15"/>
  <c r="AB132" i="15"/>
  <c r="V132" i="15"/>
  <c r="P129" i="15"/>
  <c r="S124" i="15"/>
  <c r="S121" i="15"/>
  <c r="AB116" i="15"/>
  <c r="V116" i="15"/>
  <c r="V112" i="15"/>
  <c r="V111" i="15"/>
  <c r="P111" i="15"/>
  <c r="S110" i="15"/>
  <c r="S109" i="15"/>
  <c r="AB108" i="15"/>
  <c r="AB107" i="15"/>
  <c r="S103" i="15"/>
  <c r="S99" i="15"/>
  <c r="AB98" i="15"/>
  <c r="AB97" i="15"/>
  <c r="AB96" i="15"/>
  <c r="AB95" i="15"/>
  <c r="P92" i="15"/>
  <c r="V91" i="15"/>
  <c r="S88" i="15"/>
  <c r="S86" i="15"/>
  <c r="AB85" i="15"/>
  <c r="S78" i="15"/>
  <c r="AB77" i="15"/>
  <c r="S70" i="15"/>
  <c r="AB69" i="15"/>
  <c r="S62" i="15"/>
  <c r="AB61" i="15"/>
  <c r="S54" i="15"/>
  <c r="AB53" i="15"/>
  <c r="V137" i="15"/>
  <c r="AB136" i="15"/>
  <c r="V136" i="15"/>
  <c r="P134" i="15"/>
  <c r="S128" i="15"/>
  <c r="AB120" i="15"/>
  <c r="S118" i="15"/>
  <c r="P117" i="15"/>
  <c r="S111" i="15"/>
  <c r="P109" i="15"/>
  <c r="P106" i="15"/>
  <c r="AB103" i="15"/>
  <c r="AB99" i="15"/>
  <c r="P99" i="15"/>
  <c r="P94" i="15"/>
  <c r="P93" i="15"/>
  <c r="S89" i="15"/>
  <c r="AB87" i="15"/>
  <c r="P86" i="15"/>
  <c r="AB82" i="15"/>
  <c r="AB81" i="15"/>
  <c r="AB80" i="15"/>
  <c r="AB79" i="15"/>
  <c r="P78" i="15"/>
  <c r="AB74" i="15"/>
  <c r="AB73" i="15"/>
  <c r="AB72" i="15"/>
  <c r="AB71" i="15"/>
  <c r="P70" i="15"/>
  <c r="AB66" i="15"/>
  <c r="AB65" i="15"/>
  <c r="AB64" i="15"/>
  <c r="AB63" i="15"/>
  <c r="P62" i="15"/>
  <c r="AB58" i="15"/>
  <c r="AB57" i="15"/>
  <c r="AB56" i="15"/>
  <c r="AB55" i="15"/>
  <c r="V128" i="15"/>
  <c r="S117" i="15"/>
  <c r="S143" i="15"/>
  <c r="S125" i="15"/>
  <c r="V120" i="15"/>
  <c r="S104" i="15"/>
  <c r="S129" i="15"/>
  <c r="Y139" i="15"/>
  <c r="Y135" i="15"/>
  <c r="Y131" i="15"/>
  <c r="S131" i="15"/>
  <c r="Y127" i="15"/>
  <c r="S127" i="15"/>
  <c r="Y123" i="15"/>
  <c r="S123" i="15"/>
  <c r="Y119" i="15"/>
  <c r="S119" i="15"/>
  <c r="Y115" i="15"/>
  <c r="S115" i="15"/>
  <c r="AB105" i="15"/>
  <c r="P103" i="15"/>
  <c r="AB93" i="15"/>
  <c r="AB92" i="15"/>
  <c r="AB91" i="15"/>
  <c r="P87" i="15"/>
  <c r="P79" i="15"/>
  <c r="P71" i="15"/>
  <c r="P63" i="15"/>
  <c r="P55" i="15"/>
  <c r="AB130" i="15"/>
  <c r="V130" i="15"/>
  <c r="AB126" i="15"/>
  <c r="V126" i="15"/>
  <c r="AB122" i="15"/>
  <c r="V122" i="15"/>
  <c r="AB118" i="15"/>
  <c r="V118" i="15"/>
  <c r="AB114" i="15"/>
  <c r="V114" i="15"/>
  <c r="AB113" i="15"/>
  <c r="V113" i="15"/>
  <c r="Y112" i="15"/>
  <c r="P107" i="15"/>
  <c r="P95" i="15"/>
  <c r="Y140" i="15"/>
  <c r="Y136" i="15"/>
  <c r="Y132" i="15"/>
  <c r="P131" i="15"/>
  <c r="V129" i="15"/>
  <c r="Y128" i="15"/>
  <c r="P127" i="15"/>
  <c r="V125" i="15"/>
  <c r="Y124" i="15"/>
  <c r="P123" i="15"/>
  <c r="V121" i="15"/>
  <c r="Y120" i="15"/>
  <c r="P119" i="15"/>
  <c r="V117" i="15"/>
  <c r="Y116" i="15"/>
  <c r="P115" i="15"/>
  <c r="Y111" i="15"/>
  <c r="AB109" i="15"/>
  <c r="V109" i="15"/>
  <c r="Y108" i="15"/>
  <c r="AB102" i="15"/>
  <c r="V102" i="15"/>
  <c r="P102" i="15"/>
  <c r="V101" i="15"/>
  <c r="P101" i="15"/>
  <c r="V100" i="15"/>
  <c r="P100" i="15"/>
  <c r="V99" i="15"/>
  <c r="Y98" i="15"/>
  <c r="V86" i="15"/>
  <c r="V85" i="15"/>
  <c r="P85" i="15"/>
  <c r="V84" i="15"/>
  <c r="P84" i="15"/>
  <c r="V83" i="15"/>
  <c r="Y82" i="15"/>
  <c r="Y80" i="15"/>
  <c r="V78" i="15"/>
  <c r="V77" i="15"/>
  <c r="P77" i="15"/>
  <c r="V76" i="15"/>
  <c r="P76" i="15"/>
  <c r="V75" i="15"/>
  <c r="Y74" i="15"/>
  <c r="Y72" i="15"/>
  <c r="V70" i="15"/>
  <c r="V69" i="15"/>
  <c r="P69" i="15"/>
  <c r="V68" i="15"/>
  <c r="P68" i="15"/>
  <c r="V67" i="15"/>
  <c r="Y66" i="15"/>
  <c r="Y64" i="15"/>
  <c r="V62" i="15"/>
  <c r="V61" i="15"/>
  <c r="P61" i="15"/>
  <c r="V60" i="15"/>
  <c r="P60" i="15"/>
  <c r="V59" i="15"/>
  <c r="Y58" i="15"/>
  <c r="Y56" i="15"/>
  <c r="V54" i="15"/>
  <c r="P54" i="15"/>
  <c r="V53" i="15"/>
  <c r="P53" i="15"/>
  <c r="V52" i="15"/>
  <c r="P52" i="15"/>
  <c r="V51" i="15"/>
  <c r="Y50" i="15"/>
  <c r="Y48" i="15"/>
  <c r="AB49" i="15"/>
  <c r="AB48" i="15"/>
  <c r="AB47" i="15"/>
  <c r="V108" i="15"/>
  <c r="P108" i="15"/>
  <c r="V107" i="15"/>
  <c r="Y106" i="15"/>
  <c r="V104" i="15"/>
  <c r="P104" i="15"/>
  <c r="V103" i="15"/>
  <c r="Y102" i="15"/>
  <c r="V98" i="15"/>
  <c r="P98" i="15"/>
  <c r="V97" i="15"/>
  <c r="P97" i="15"/>
  <c r="V96" i="15"/>
  <c r="P96" i="15"/>
  <c r="V95" i="15"/>
  <c r="Y94" i="15"/>
  <c r="V90" i="15"/>
  <c r="P90" i="15"/>
  <c r="V89" i="15"/>
  <c r="P89" i="15"/>
  <c r="V88" i="15"/>
  <c r="P88" i="15"/>
  <c r="V87" i="15"/>
  <c r="Y86" i="15"/>
  <c r="V82" i="15"/>
  <c r="P82" i="15"/>
  <c r="V81" i="15"/>
  <c r="P81" i="15"/>
  <c r="V80" i="15"/>
  <c r="P80" i="15"/>
  <c r="V79" i="15"/>
  <c r="Y78" i="15"/>
  <c r="Y76" i="15"/>
  <c r="V74" i="15"/>
  <c r="P74" i="15"/>
  <c r="V73" i="15"/>
  <c r="P73" i="15"/>
  <c r="V72" i="15"/>
  <c r="P72" i="15"/>
  <c r="V71" i="15"/>
  <c r="Y70" i="15"/>
  <c r="Y68" i="15"/>
  <c r="V66" i="15"/>
  <c r="P66" i="15"/>
  <c r="V65" i="15"/>
  <c r="P65" i="15"/>
  <c r="V64" i="15"/>
  <c r="P64" i="15"/>
  <c r="V63" i="15"/>
  <c r="Y62" i="15"/>
  <c r="Y60" i="15"/>
  <c r="V58" i="15"/>
  <c r="P58" i="15"/>
  <c r="V57" i="15"/>
  <c r="P57" i="15"/>
  <c r="V56" i="15"/>
  <c r="P56" i="15"/>
  <c r="V55" i="15"/>
  <c r="Y54" i="15"/>
  <c r="Y52" i="15"/>
  <c r="V50" i="15"/>
  <c r="P50" i="15"/>
  <c r="P49" i="15"/>
  <c r="P48" i="15"/>
  <c r="AB139" i="15"/>
  <c r="P137" i="15"/>
  <c r="AB135" i="15"/>
  <c r="P133" i="15"/>
  <c r="AB123" i="15"/>
  <c r="AB142" i="15"/>
  <c r="P140" i="15"/>
  <c r="AB138" i="15"/>
  <c r="P136" i="15"/>
  <c r="AB134" i="15"/>
  <c r="P132" i="15"/>
  <c r="P128" i="15"/>
  <c r="P124" i="15"/>
  <c r="P120" i="15"/>
  <c r="P116" i="15"/>
  <c r="P112" i="15"/>
  <c r="AB143" i="15"/>
  <c r="P141" i="15"/>
  <c r="AB131" i="15"/>
  <c r="AB127" i="15"/>
  <c r="AB119" i="15"/>
  <c r="AB115" i="15"/>
  <c r="AB111" i="15"/>
  <c r="P143" i="15"/>
  <c r="AB141" i="15"/>
  <c r="P139" i="15"/>
  <c r="AB137" i="15"/>
  <c r="P135" i="15"/>
  <c r="AB133" i="15"/>
  <c r="Y129" i="15"/>
  <c r="Y125" i="15"/>
  <c r="Y121" i="15"/>
  <c r="Y117" i="15"/>
  <c r="Y113" i="15"/>
  <c r="Y109" i="15"/>
  <c r="Y130" i="15"/>
  <c r="Y126" i="15"/>
  <c r="Y122" i="15"/>
  <c r="Y118" i="15"/>
  <c r="Y114" i="15"/>
  <c r="Y110" i="15"/>
  <c r="Y107" i="15"/>
  <c r="Y105" i="15"/>
  <c r="Y100" i="15"/>
  <c r="Y96" i="15"/>
  <c r="Y92" i="15"/>
  <c r="Y88" i="15"/>
  <c r="Y84" i="15"/>
  <c r="Y103" i="15"/>
  <c r="Y101" i="15"/>
  <c r="Y99" i="15"/>
  <c r="Y97" i="15"/>
  <c r="Y95" i="15"/>
  <c r="Y93" i="15"/>
  <c r="Y91" i="15"/>
  <c r="Y89" i="15"/>
  <c r="Y87" i="15"/>
  <c r="Y85" i="15"/>
  <c r="Y83" i="15"/>
  <c r="Y81" i="15"/>
  <c r="Y79" i="15"/>
  <c r="Y77" i="15"/>
  <c r="Y75" i="15"/>
  <c r="Y73" i="15"/>
  <c r="Y71" i="15"/>
  <c r="Y69" i="15"/>
  <c r="Y67" i="15"/>
  <c r="Y65" i="15"/>
  <c r="Y63" i="15"/>
  <c r="Y61" i="15"/>
  <c r="Y59" i="15"/>
  <c r="Y57" i="15"/>
  <c r="Y55" i="15"/>
  <c r="Y53" i="15"/>
  <c r="Y51" i="15"/>
  <c r="Y49" i="15"/>
  <c r="Y47" i="15"/>
  <c r="H16" i="12"/>
  <c r="E23" i="16"/>
  <c r="D23" i="16"/>
  <c r="Z4" i="15"/>
  <c r="AA4" i="15"/>
  <c r="Z5" i="15"/>
  <c r="AA5" i="15"/>
  <c r="Z6" i="15"/>
  <c r="AA6" i="15"/>
  <c r="Z7" i="15"/>
  <c r="AA7" i="15"/>
  <c r="Z8" i="15"/>
  <c r="AA8" i="15"/>
  <c r="Z9" i="15"/>
  <c r="AA9" i="15"/>
  <c r="Z10" i="15"/>
  <c r="AA10" i="15"/>
  <c r="Z11" i="15"/>
  <c r="AA11" i="15"/>
  <c r="Z12" i="15"/>
  <c r="AA12" i="15"/>
  <c r="Z13" i="15"/>
  <c r="AA13" i="15"/>
  <c r="Z14" i="15"/>
  <c r="AA14" i="15"/>
  <c r="Z15" i="15"/>
  <c r="AA15" i="15"/>
  <c r="Z16" i="15"/>
  <c r="AA16" i="15"/>
  <c r="Z17" i="15"/>
  <c r="AA17" i="15"/>
  <c r="Z18" i="15"/>
  <c r="AA18" i="15"/>
  <c r="Z19" i="15"/>
  <c r="AA19" i="15"/>
  <c r="Z20" i="15"/>
  <c r="AA20" i="15"/>
  <c r="Z21" i="15"/>
  <c r="AA21" i="15"/>
  <c r="Z22" i="15"/>
  <c r="AA22" i="15"/>
  <c r="Z23" i="15"/>
  <c r="AA23" i="15"/>
  <c r="Z24" i="15"/>
  <c r="AA24" i="15"/>
  <c r="Z25" i="15"/>
  <c r="AA25" i="15"/>
  <c r="Z26" i="15"/>
  <c r="AA26" i="15"/>
  <c r="Z27" i="15"/>
  <c r="AA27" i="15"/>
  <c r="Z28" i="15"/>
  <c r="AA28" i="15"/>
  <c r="Z29" i="15"/>
  <c r="AA29" i="15"/>
  <c r="Z30" i="15"/>
  <c r="AA30" i="15"/>
  <c r="Z31" i="15"/>
  <c r="AA31" i="15"/>
  <c r="Z32" i="15"/>
  <c r="AA32" i="15"/>
  <c r="Z33" i="15"/>
  <c r="AA33" i="15"/>
  <c r="Z34" i="15"/>
  <c r="AA34" i="15"/>
  <c r="Z35" i="15"/>
  <c r="AA35" i="15"/>
  <c r="Z36" i="15"/>
  <c r="AA36" i="15"/>
  <c r="Z37" i="15"/>
  <c r="AA37" i="15"/>
  <c r="Z38" i="15"/>
  <c r="AA38" i="15"/>
  <c r="Z39" i="15"/>
  <c r="AA39" i="15"/>
  <c r="Z40" i="15"/>
  <c r="AA40" i="15"/>
  <c r="Z41" i="15"/>
  <c r="AA41" i="15"/>
  <c r="Z42" i="15"/>
  <c r="AA42" i="15"/>
  <c r="Z43" i="15"/>
  <c r="AA43" i="15"/>
  <c r="Z44" i="15"/>
  <c r="AA44" i="15"/>
  <c r="Z45" i="15"/>
  <c r="AA45" i="15"/>
  <c r="Z46" i="15"/>
  <c r="AA46" i="15"/>
  <c r="AA3" i="15"/>
  <c r="Z3" i="15"/>
  <c r="W4" i="15"/>
  <c r="X4" i="15"/>
  <c r="W5" i="15"/>
  <c r="X5" i="15"/>
  <c r="W6" i="15"/>
  <c r="X6" i="15"/>
  <c r="W7" i="15"/>
  <c r="X7" i="15"/>
  <c r="W8" i="15"/>
  <c r="X8" i="15"/>
  <c r="W9" i="15"/>
  <c r="X9" i="15"/>
  <c r="W10" i="15"/>
  <c r="X10" i="15"/>
  <c r="W11" i="15"/>
  <c r="X11" i="15"/>
  <c r="W12" i="15"/>
  <c r="X12" i="15"/>
  <c r="W13" i="15"/>
  <c r="X13" i="15"/>
  <c r="W14" i="15"/>
  <c r="X14" i="15"/>
  <c r="W15" i="15"/>
  <c r="X15" i="15"/>
  <c r="W16" i="15"/>
  <c r="X16" i="15"/>
  <c r="W17" i="15"/>
  <c r="X17" i="15"/>
  <c r="W18" i="15"/>
  <c r="X18" i="15"/>
  <c r="W19" i="15"/>
  <c r="X19" i="15"/>
  <c r="W20" i="15"/>
  <c r="X20" i="15"/>
  <c r="W21" i="15"/>
  <c r="X21" i="15"/>
  <c r="W22" i="15"/>
  <c r="X22" i="15"/>
  <c r="W23" i="15"/>
  <c r="X23" i="15"/>
  <c r="W24" i="15"/>
  <c r="X24" i="15"/>
  <c r="W25" i="15"/>
  <c r="X25" i="15"/>
  <c r="W26" i="15"/>
  <c r="X26" i="15"/>
  <c r="W27" i="15"/>
  <c r="X27" i="15"/>
  <c r="W28" i="15"/>
  <c r="X28" i="15"/>
  <c r="W29" i="15"/>
  <c r="X29" i="15"/>
  <c r="W30" i="15"/>
  <c r="X30" i="15"/>
  <c r="W31" i="15"/>
  <c r="X31" i="15"/>
  <c r="W32" i="15"/>
  <c r="X32" i="15"/>
  <c r="W33" i="15"/>
  <c r="X33" i="15"/>
  <c r="W34" i="15"/>
  <c r="X34" i="15"/>
  <c r="W35" i="15"/>
  <c r="X35" i="15"/>
  <c r="W36" i="15"/>
  <c r="X36" i="15"/>
  <c r="W37" i="15"/>
  <c r="X37" i="15"/>
  <c r="W38" i="15"/>
  <c r="X38" i="15"/>
  <c r="W39" i="15"/>
  <c r="X39" i="15"/>
  <c r="W40" i="15"/>
  <c r="X40" i="15"/>
  <c r="W41" i="15"/>
  <c r="X41" i="15"/>
  <c r="W42" i="15"/>
  <c r="X42" i="15"/>
  <c r="W43" i="15"/>
  <c r="X43" i="15"/>
  <c r="W44" i="15"/>
  <c r="X44" i="15"/>
  <c r="W45" i="15"/>
  <c r="X45" i="15"/>
  <c r="W46" i="15"/>
  <c r="X46" i="15"/>
  <c r="X3" i="15"/>
  <c r="W3" i="15"/>
  <c r="T4" i="15"/>
  <c r="U4" i="15"/>
  <c r="T5" i="15"/>
  <c r="U5" i="15"/>
  <c r="T6" i="15"/>
  <c r="U6" i="15"/>
  <c r="T7" i="15"/>
  <c r="U7" i="15"/>
  <c r="T8" i="15"/>
  <c r="U8" i="15"/>
  <c r="T9" i="15"/>
  <c r="U9" i="15"/>
  <c r="T10" i="15"/>
  <c r="U10" i="15"/>
  <c r="T11" i="15"/>
  <c r="U11" i="15"/>
  <c r="T12" i="15"/>
  <c r="U12" i="15"/>
  <c r="T13" i="15"/>
  <c r="U13" i="15"/>
  <c r="T14" i="15"/>
  <c r="U14" i="15"/>
  <c r="T15" i="15"/>
  <c r="U15" i="15"/>
  <c r="T16" i="15"/>
  <c r="U16" i="15"/>
  <c r="T17" i="15"/>
  <c r="U17" i="15"/>
  <c r="T18" i="15"/>
  <c r="U18" i="15"/>
  <c r="T19" i="15"/>
  <c r="U19" i="15"/>
  <c r="T20" i="15"/>
  <c r="U20" i="15"/>
  <c r="T21" i="15"/>
  <c r="U21" i="15"/>
  <c r="T22" i="15"/>
  <c r="U22" i="15"/>
  <c r="T23" i="15"/>
  <c r="U23" i="15"/>
  <c r="T24" i="15"/>
  <c r="U24" i="15"/>
  <c r="T25" i="15"/>
  <c r="U25" i="15"/>
  <c r="T26" i="15"/>
  <c r="U26" i="15"/>
  <c r="T27" i="15"/>
  <c r="U27" i="15"/>
  <c r="T28" i="15"/>
  <c r="U28" i="15"/>
  <c r="T29" i="15"/>
  <c r="U29" i="15"/>
  <c r="T30" i="15"/>
  <c r="U30" i="15"/>
  <c r="T31" i="15"/>
  <c r="U31" i="15"/>
  <c r="T32" i="15"/>
  <c r="U32" i="15"/>
  <c r="T33" i="15"/>
  <c r="U33" i="15"/>
  <c r="T34" i="15"/>
  <c r="U34" i="15"/>
  <c r="T35" i="15"/>
  <c r="U35" i="15"/>
  <c r="T36" i="15"/>
  <c r="U36" i="15"/>
  <c r="T37" i="15"/>
  <c r="U37" i="15"/>
  <c r="T38" i="15"/>
  <c r="U38" i="15"/>
  <c r="T39" i="15"/>
  <c r="U39" i="15"/>
  <c r="T40" i="15"/>
  <c r="U40" i="15"/>
  <c r="T41" i="15"/>
  <c r="U41" i="15"/>
  <c r="T42" i="15"/>
  <c r="U42" i="15"/>
  <c r="T43" i="15"/>
  <c r="U43" i="15"/>
  <c r="T44" i="15"/>
  <c r="U44" i="15"/>
  <c r="T45" i="15"/>
  <c r="U45" i="15"/>
  <c r="T46" i="15"/>
  <c r="U46" i="15"/>
  <c r="U3" i="15"/>
  <c r="T3" i="15"/>
  <c r="Q4" i="15"/>
  <c r="R4" i="15"/>
  <c r="Q5" i="15"/>
  <c r="R5" i="15"/>
  <c r="Q6" i="15"/>
  <c r="R6" i="15"/>
  <c r="Q7" i="15"/>
  <c r="R7" i="15"/>
  <c r="Q8" i="15"/>
  <c r="R8" i="15"/>
  <c r="Q9" i="15"/>
  <c r="R9" i="15"/>
  <c r="Q10" i="15"/>
  <c r="R10" i="15"/>
  <c r="Q11" i="15"/>
  <c r="R11" i="15"/>
  <c r="Q12" i="15"/>
  <c r="R12" i="15"/>
  <c r="Q13" i="15"/>
  <c r="R13" i="15"/>
  <c r="Q14" i="15"/>
  <c r="R14" i="15"/>
  <c r="Q15" i="15"/>
  <c r="R15" i="15"/>
  <c r="Q16" i="15"/>
  <c r="R16" i="15"/>
  <c r="Q17" i="15"/>
  <c r="R17" i="15"/>
  <c r="Q18" i="15"/>
  <c r="R18" i="15"/>
  <c r="Q19" i="15"/>
  <c r="R19" i="15"/>
  <c r="Q20" i="15"/>
  <c r="R20" i="15"/>
  <c r="Q21" i="15"/>
  <c r="R21" i="15"/>
  <c r="Q22" i="15"/>
  <c r="R22" i="15"/>
  <c r="Q23" i="15"/>
  <c r="R23" i="15"/>
  <c r="Q24" i="15"/>
  <c r="R24" i="15"/>
  <c r="Q25" i="15"/>
  <c r="R25" i="15"/>
  <c r="Q26" i="15"/>
  <c r="R26" i="15"/>
  <c r="Q27" i="15"/>
  <c r="R27" i="15"/>
  <c r="Q28" i="15"/>
  <c r="R28" i="15"/>
  <c r="Q29" i="15"/>
  <c r="R29" i="15"/>
  <c r="Q30" i="15"/>
  <c r="R30" i="15"/>
  <c r="Q31" i="15"/>
  <c r="R31" i="15"/>
  <c r="Q32" i="15"/>
  <c r="R32" i="15"/>
  <c r="Q33" i="15"/>
  <c r="R33" i="15"/>
  <c r="Q34" i="15"/>
  <c r="R34" i="15"/>
  <c r="Q35" i="15"/>
  <c r="R35" i="15"/>
  <c r="Q36" i="15"/>
  <c r="R36" i="15"/>
  <c r="Q37" i="15"/>
  <c r="R37" i="15"/>
  <c r="Q38" i="15"/>
  <c r="R38" i="15"/>
  <c r="Q39" i="15"/>
  <c r="R39" i="15"/>
  <c r="Q40" i="15"/>
  <c r="R40" i="15"/>
  <c r="Q41" i="15"/>
  <c r="R41" i="15"/>
  <c r="Q42" i="15"/>
  <c r="R42" i="15"/>
  <c r="Q43" i="15"/>
  <c r="R43" i="15"/>
  <c r="Q44" i="15"/>
  <c r="R44" i="15"/>
  <c r="Q45" i="15"/>
  <c r="R45" i="15"/>
  <c r="Q46" i="15"/>
  <c r="R46" i="15"/>
  <c r="R3" i="15"/>
  <c r="Q3" i="15"/>
  <c r="O3" i="15"/>
  <c r="N3" i="15"/>
  <c r="N4" i="15"/>
  <c r="O4" i="15"/>
  <c r="N5" i="15"/>
  <c r="O5" i="15"/>
  <c r="N6" i="15"/>
  <c r="O6" i="15"/>
  <c r="N7" i="15"/>
  <c r="O7" i="15"/>
  <c r="N8" i="15"/>
  <c r="O8" i="15"/>
  <c r="N9" i="15"/>
  <c r="O9" i="15"/>
  <c r="N10" i="15"/>
  <c r="O10" i="15"/>
  <c r="N11" i="15"/>
  <c r="O11" i="15"/>
  <c r="N12" i="15"/>
  <c r="O12" i="15"/>
  <c r="N13" i="15"/>
  <c r="O13" i="15"/>
  <c r="N14" i="15"/>
  <c r="O14" i="15"/>
  <c r="N15" i="15"/>
  <c r="O15" i="15"/>
  <c r="N16" i="15"/>
  <c r="O16" i="15"/>
  <c r="N17" i="15"/>
  <c r="O17" i="15"/>
  <c r="N18" i="15"/>
  <c r="O18" i="15"/>
  <c r="N19" i="15"/>
  <c r="O19" i="15"/>
  <c r="N20" i="15"/>
  <c r="O20" i="15"/>
  <c r="N21" i="15"/>
  <c r="O21" i="15"/>
  <c r="N22" i="15"/>
  <c r="O22" i="15"/>
  <c r="N23" i="15"/>
  <c r="O23" i="15"/>
  <c r="N24" i="15"/>
  <c r="O24" i="15"/>
  <c r="N25" i="15"/>
  <c r="O25" i="15"/>
  <c r="N26" i="15"/>
  <c r="O26" i="15"/>
  <c r="N27" i="15"/>
  <c r="O27" i="15"/>
  <c r="N28" i="15"/>
  <c r="O28" i="15"/>
  <c r="N29" i="15"/>
  <c r="O29" i="15"/>
  <c r="N30" i="15"/>
  <c r="O30" i="15"/>
  <c r="N31" i="15"/>
  <c r="O31" i="15"/>
  <c r="N32" i="15"/>
  <c r="O32" i="15"/>
  <c r="N33" i="15"/>
  <c r="O33" i="15"/>
  <c r="N34" i="15"/>
  <c r="O34" i="15"/>
  <c r="N35" i="15"/>
  <c r="O35" i="15"/>
  <c r="N36" i="15"/>
  <c r="O36" i="15"/>
  <c r="N37" i="15"/>
  <c r="O37" i="15"/>
  <c r="N38" i="15"/>
  <c r="O38" i="15"/>
  <c r="N39" i="15"/>
  <c r="O39" i="15"/>
  <c r="N40" i="15"/>
  <c r="O40" i="15"/>
  <c r="N41" i="15"/>
  <c r="O41" i="15"/>
  <c r="N42" i="15"/>
  <c r="O42" i="15"/>
  <c r="N43" i="15"/>
  <c r="O43" i="15"/>
  <c r="N44" i="15"/>
  <c r="O44" i="15"/>
  <c r="N45" i="15"/>
  <c r="O45" i="15"/>
  <c r="N46" i="15"/>
  <c r="O46" i="15"/>
  <c r="L103" i="10" l="1"/>
  <c r="J62" i="10"/>
  <c r="B62" i="10"/>
  <c r="F62" i="10"/>
  <c r="K103" i="10"/>
  <c r="J103" i="10"/>
  <c r="I56" i="10"/>
  <c r="H99" i="10"/>
  <c r="G103" i="10"/>
  <c r="I15" i="10"/>
  <c r="H56" i="10"/>
  <c r="I22" i="10"/>
  <c r="H27" i="10"/>
  <c r="K62" i="10"/>
  <c r="G62" i="10"/>
  <c r="L62" i="10"/>
  <c r="C62" i="10"/>
  <c r="AA93" i="17"/>
  <c r="AA77" i="17"/>
  <c r="H19" i="12"/>
  <c r="AD27" i="17"/>
  <c r="AD19" i="17"/>
  <c r="AD11" i="17"/>
  <c r="AA81" i="17"/>
  <c r="AD23" i="17"/>
  <c r="AA61" i="17"/>
  <c r="AD5" i="17"/>
  <c r="AA87" i="17"/>
  <c r="AA67" i="17"/>
  <c r="AA111" i="17"/>
  <c r="AA107" i="17"/>
  <c r="AA83" i="17"/>
  <c r="I34" i="12"/>
  <c r="AA110" i="17"/>
  <c r="AA106" i="17"/>
  <c r="AA103" i="17"/>
  <c r="AA99" i="17"/>
  <c r="AA96" i="17"/>
  <c r="AA89" i="17"/>
  <c r="AA79" i="17"/>
  <c r="AA57" i="17"/>
  <c r="AA59" i="17"/>
  <c r="AD111" i="17"/>
  <c r="AD103" i="17"/>
  <c r="AD95" i="17"/>
  <c r="AD87" i="17"/>
  <c r="AA102" i="17"/>
  <c r="AA98" i="17"/>
  <c r="AA95" i="17"/>
  <c r="AA91" i="17"/>
  <c r="AA88" i="17"/>
  <c r="AA85" i="17"/>
  <c r="AA78" i="17"/>
  <c r="AA75" i="17"/>
  <c r="AA69" i="17"/>
  <c r="AA62" i="17"/>
  <c r="AD107" i="17"/>
  <c r="AD99" i="17"/>
  <c r="AD91" i="17"/>
  <c r="F74" i="10"/>
  <c r="E91" i="10"/>
  <c r="F79" i="10"/>
  <c r="C8" i="12"/>
  <c r="D8" i="12"/>
  <c r="E8" i="12"/>
  <c r="E9" i="12"/>
  <c r="C9" i="12"/>
  <c r="D9" i="12"/>
  <c r="D10" i="12" s="1"/>
  <c r="F9" i="12"/>
  <c r="F8" i="12"/>
  <c r="F91" i="10"/>
  <c r="E99" i="10"/>
  <c r="E79" i="10"/>
  <c r="F70" i="10"/>
  <c r="E70" i="10"/>
  <c r="E74" i="10"/>
  <c r="P30" i="15"/>
  <c r="P12" i="15"/>
  <c r="P34" i="15"/>
  <c r="P24" i="15"/>
  <c r="P8" i="15"/>
  <c r="P4" i="15"/>
  <c r="P20" i="15"/>
  <c r="P16" i="15"/>
  <c r="P44" i="15"/>
  <c r="P40" i="15"/>
  <c r="P38" i="15"/>
  <c r="P32" i="15"/>
  <c r="P26" i="15"/>
  <c r="P22" i="15"/>
  <c r="P18" i="15"/>
  <c r="P14" i="15"/>
  <c r="P10" i="15"/>
  <c r="P6" i="15"/>
  <c r="S3" i="15"/>
  <c r="P45" i="15"/>
  <c r="P41" i="15"/>
  <c r="P37" i="15"/>
  <c r="P33" i="15"/>
  <c r="P29" i="15"/>
  <c r="P25" i="15"/>
  <c r="P21" i="15"/>
  <c r="P17" i="15"/>
  <c r="P13" i="15"/>
  <c r="P9" i="15"/>
  <c r="P36" i="15"/>
  <c r="P28" i="15"/>
  <c r="P42" i="15"/>
  <c r="P43" i="15"/>
  <c r="P39" i="15"/>
  <c r="P35" i="15"/>
  <c r="P31" i="15"/>
  <c r="P27" i="15"/>
  <c r="P23" i="15"/>
  <c r="P19" i="15"/>
  <c r="P15" i="15"/>
  <c r="P11" i="15"/>
  <c r="P7" i="15"/>
  <c r="P5" i="15"/>
  <c r="P46" i="15"/>
  <c r="AA109" i="17" l="1"/>
  <c r="I74" i="10"/>
  <c r="I31" i="12"/>
  <c r="AA105" i="17"/>
  <c r="AA97" i="17"/>
  <c r="AA55" i="17"/>
  <c r="I8" i="10"/>
  <c r="I33" i="10" s="1"/>
  <c r="AD7" i="17"/>
  <c r="AA101" i="17"/>
  <c r="H8" i="10"/>
  <c r="H33" i="10" s="1"/>
  <c r="H79" i="10"/>
  <c r="E81" i="10"/>
  <c r="F81" i="10"/>
  <c r="I37" i="12"/>
  <c r="AD15" i="17"/>
  <c r="I38" i="12"/>
  <c r="I22" i="12"/>
  <c r="I16" i="12"/>
  <c r="I17" i="12"/>
  <c r="I33" i="12"/>
  <c r="H23" i="12"/>
  <c r="I32" i="12"/>
  <c r="I18" i="12"/>
  <c r="I19" i="12"/>
  <c r="H18" i="12"/>
  <c r="I23" i="12"/>
  <c r="H17" i="12"/>
  <c r="H22" i="12"/>
  <c r="AA86" i="17"/>
  <c r="AD17" i="17"/>
  <c r="AD71" i="17"/>
  <c r="AD89" i="17"/>
  <c r="AA82" i="17"/>
  <c r="AD45" i="17"/>
  <c r="AD101" i="17"/>
  <c r="AD31" i="17"/>
  <c r="AD63" i="17"/>
  <c r="AD13" i="17"/>
  <c r="AD21" i="17"/>
  <c r="AD33" i="17"/>
  <c r="AD49" i="17"/>
  <c r="AD61" i="17"/>
  <c r="AD77" i="17"/>
  <c r="AD97" i="17"/>
  <c r="AD105" i="17"/>
  <c r="AD47" i="17"/>
  <c r="AD39" i="17"/>
  <c r="AD55" i="17"/>
  <c r="AD59" i="17"/>
  <c r="AD67" i="17"/>
  <c r="AD79" i="17"/>
  <c r="AD9" i="17"/>
  <c r="AD29" i="17"/>
  <c r="AD37" i="17"/>
  <c r="AD53" i="17"/>
  <c r="AD57" i="17"/>
  <c r="AD65" i="17"/>
  <c r="AD81" i="17"/>
  <c r="AD85" i="17"/>
  <c r="AA100" i="17"/>
  <c r="AA108" i="17"/>
  <c r="AD41" i="17"/>
  <c r="AD73" i="17"/>
  <c r="AA60" i="17"/>
  <c r="AA58" i="17"/>
  <c r="AD108" i="17"/>
  <c r="AA76" i="17"/>
  <c r="AA92" i="17"/>
  <c r="AA65" i="17"/>
  <c r="AA73" i="17"/>
  <c r="AA94" i="17"/>
  <c r="AD25" i="17"/>
  <c r="AD69" i="17"/>
  <c r="AD93" i="17"/>
  <c r="AD109" i="17"/>
  <c r="AA64" i="17"/>
  <c r="AA104" i="17"/>
  <c r="H8" i="12"/>
  <c r="AA70" i="17"/>
  <c r="AD6" i="17"/>
  <c r="AD14" i="17"/>
  <c r="AD22" i="17"/>
  <c r="AD30" i="17"/>
  <c r="AD38" i="17"/>
  <c r="AD46" i="17"/>
  <c r="AD54" i="17"/>
  <c r="AD62" i="17"/>
  <c r="AD70" i="17"/>
  <c r="AD78" i="17"/>
  <c r="AD86" i="17"/>
  <c r="AD94" i="17"/>
  <c r="AD102" i="17"/>
  <c r="AD110" i="17"/>
  <c r="AA71" i="17"/>
  <c r="AD35" i="17"/>
  <c r="AD43" i="17"/>
  <c r="AA84" i="17"/>
  <c r="H9" i="12"/>
  <c r="AD75" i="17"/>
  <c r="AA56" i="17"/>
  <c r="AA68" i="17"/>
  <c r="AA74" i="17"/>
  <c r="AA63" i="17"/>
  <c r="AD51" i="17"/>
  <c r="AD83" i="17"/>
  <c r="AA90" i="17"/>
  <c r="AA72" i="17"/>
  <c r="AA80" i="17"/>
  <c r="AD12" i="17"/>
  <c r="AD28" i="17"/>
  <c r="AD44" i="17"/>
  <c r="AD60" i="17"/>
  <c r="AD76" i="17"/>
  <c r="AD92" i="17"/>
  <c r="I8" i="12"/>
  <c r="AD3" i="17"/>
  <c r="AD10" i="17"/>
  <c r="AD18" i="17"/>
  <c r="AD26" i="17"/>
  <c r="AD34" i="17"/>
  <c r="AD42" i="17"/>
  <c r="AD50" i="17"/>
  <c r="AD58" i="17"/>
  <c r="AD66" i="17"/>
  <c r="AD74" i="17"/>
  <c r="AD82" i="17"/>
  <c r="AD90" i="17"/>
  <c r="AD98" i="17"/>
  <c r="AD106" i="17"/>
  <c r="AD4" i="17"/>
  <c r="AD20" i="17"/>
  <c r="AD36" i="17"/>
  <c r="AD52" i="17"/>
  <c r="AD68" i="17"/>
  <c r="AD84" i="17"/>
  <c r="AD100" i="17"/>
  <c r="AA54" i="17"/>
  <c r="AD8" i="17"/>
  <c r="AD16" i="17"/>
  <c r="AD24" i="17"/>
  <c r="AD32" i="17"/>
  <c r="AD40" i="17"/>
  <c r="AD48" i="17"/>
  <c r="AD56" i="17"/>
  <c r="AD64" i="17"/>
  <c r="AD72" i="17"/>
  <c r="AD80" i="17"/>
  <c r="AD88" i="17"/>
  <c r="AD96" i="17"/>
  <c r="AD104" i="17"/>
  <c r="I9" i="12"/>
  <c r="AA66" i="17"/>
  <c r="E101" i="10"/>
  <c r="F10" i="12"/>
  <c r="E10" i="12"/>
  <c r="C10" i="12"/>
  <c r="F101" i="10"/>
  <c r="AA49" i="17"/>
  <c r="AA53" i="17"/>
  <c r="AA41" i="17"/>
  <c r="AA37" i="17"/>
  <c r="AA29" i="17"/>
  <c r="AA25" i="17"/>
  <c r="AA21" i="17"/>
  <c r="AA17" i="17"/>
  <c r="AA13" i="17"/>
  <c r="AA9" i="17"/>
  <c r="AA47" i="17"/>
  <c r="AA43" i="17"/>
  <c r="AA31" i="17"/>
  <c r="AA11" i="17"/>
  <c r="AA48" i="17"/>
  <c r="AA28" i="17"/>
  <c r="AA5" i="17"/>
  <c r="AA50" i="17"/>
  <c r="AA38" i="17"/>
  <c r="AA18" i="17"/>
  <c r="AA45" i="17"/>
  <c r="AA33" i="17"/>
  <c r="AA27" i="17"/>
  <c r="AA15" i="17"/>
  <c r="AA32" i="17"/>
  <c r="AA12" i="17"/>
  <c r="AA6" i="17"/>
  <c r="AA34" i="17"/>
  <c r="AA22" i="17"/>
  <c r="AA16" i="17"/>
  <c r="AA20" i="17"/>
  <c r="AA36" i="17"/>
  <c r="AA8" i="17"/>
  <c r="AA10" i="17"/>
  <c r="AA19" i="17"/>
  <c r="AA24" i="17"/>
  <c r="AA26" i="17"/>
  <c r="AA35" i="17"/>
  <c r="AA40" i="17"/>
  <c r="AA42" i="17"/>
  <c r="AA44" i="17"/>
  <c r="AA51" i="17"/>
  <c r="AA4" i="17"/>
  <c r="AA52" i="17"/>
  <c r="AA7" i="17"/>
  <c r="AA14" i="17"/>
  <c r="AA23" i="17"/>
  <c r="AA30" i="17"/>
  <c r="AA39" i="17"/>
  <c r="AA46" i="17"/>
  <c r="AA3" i="17"/>
  <c r="Y35" i="15"/>
  <c r="Y16" i="15"/>
  <c r="Y40" i="15"/>
  <c r="Y39" i="15"/>
  <c r="Y29" i="15"/>
  <c r="Y42" i="15"/>
  <c r="Y26" i="15"/>
  <c r="Y46" i="15"/>
  <c r="Y30" i="15"/>
  <c r="F103" i="10" l="1"/>
  <c r="E103" i="10"/>
  <c r="H70" i="10"/>
  <c r="I43" i="10"/>
  <c r="I58" i="10" s="1"/>
  <c r="I62" i="10" s="1"/>
  <c r="H74" i="10"/>
  <c r="H91" i="10"/>
  <c r="H101" i="10" s="1"/>
  <c r="H43" i="10"/>
  <c r="H58" i="10" s="1"/>
  <c r="H62" i="10" s="1"/>
  <c r="I91" i="10"/>
  <c r="I101" i="10" s="1"/>
  <c r="I70" i="10"/>
  <c r="I79" i="10"/>
  <c r="I40" i="12"/>
  <c r="H25" i="12"/>
  <c r="H40" i="12"/>
  <c r="I25" i="12"/>
  <c r="I10" i="12"/>
  <c r="H10" i="12"/>
  <c r="Y31" i="15"/>
  <c r="Y9" i="15"/>
  <c r="AB41" i="15"/>
  <c r="AB36" i="15"/>
  <c r="AB25" i="15"/>
  <c r="Y21" i="15"/>
  <c r="Y15" i="15"/>
  <c r="Y4" i="15"/>
  <c r="Y23" i="15"/>
  <c r="AB23" i="15"/>
  <c r="AB12" i="15"/>
  <c r="AB32" i="15"/>
  <c r="AB45" i="15"/>
  <c r="AB18" i="15"/>
  <c r="AB34" i="15"/>
  <c r="Y18" i="15"/>
  <c r="Y8" i="15"/>
  <c r="AB3" i="15"/>
  <c r="AB15" i="15"/>
  <c r="AB31" i="15"/>
  <c r="AB4" i="15"/>
  <c r="AB20" i="15"/>
  <c r="AB40" i="15"/>
  <c r="AB10" i="15"/>
  <c r="AB26" i="15"/>
  <c r="AB42" i="15"/>
  <c r="Y44" i="15"/>
  <c r="Y25" i="15"/>
  <c r="Y36" i="15"/>
  <c r="Y7" i="15"/>
  <c r="Y27" i="15"/>
  <c r="Y17" i="15"/>
  <c r="Y19" i="15"/>
  <c r="AB43" i="15"/>
  <c r="AB38" i="15"/>
  <c r="Y22" i="15"/>
  <c r="AB17" i="15"/>
  <c r="AB44" i="15"/>
  <c r="AB9" i="15"/>
  <c r="AB11" i="15"/>
  <c r="AB39" i="15"/>
  <c r="AB8" i="15"/>
  <c r="AB24" i="15"/>
  <c r="AB37" i="15"/>
  <c r="Y38" i="15"/>
  <c r="Y33" i="15"/>
  <c r="AB7" i="15"/>
  <c r="AB19" i="15"/>
  <c r="AB35" i="15"/>
  <c r="AB13" i="15"/>
  <c r="AB29" i="15"/>
  <c r="AB14" i="15"/>
  <c r="AB30" i="15"/>
  <c r="AB46" i="15"/>
  <c r="Y43" i="15"/>
  <c r="Y12" i="15"/>
  <c r="AB28" i="15"/>
  <c r="AB33" i="15"/>
  <c r="AB27" i="15"/>
  <c r="AB16" i="15"/>
  <c r="AB5" i="15"/>
  <c r="AB21" i="15"/>
  <c r="AB6" i="15"/>
  <c r="AB22" i="15"/>
  <c r="Y5" i="15"/>
  <c r="Y11" i="15"/>
  <c r="Y13" i="15"/>
  <c r="Y3" i="15"/>
  <c r="S14" i="15"/>
  <c r="S8" i="15"/>
  <c r="S45" i="15"/>
  <c r="S42" i="15"/>
  <c r="S39" i="15"/>
  <c r="S34" i="15"/>
  <c r="S29" i="15"/>
  <c r="S26" i="15"/>
  <c r="S24" i="15"/>
  <c r="S18" i="15"/>
  <c r="S12" i="15"/>
  <c r="S10" i="15"/>
  <c r="V30" i="15"/>
  <c r="S38" i="15"/>
  <c r="V23" i="15"/>
  <c r="V26" i="15"/>
  <c r="V31" i="15"/>
  <c r="S30" i="15"/>
  <c r="S46" i="15"/>
  <c r="S35" i="15"/>
  <c r="S25" i="15"/>
  <c r="S17" i="15"/>
  <c r="S6" i="15"/>
  <c r="V5" i="15"/>
  <c r="V13" i="15"/>
  <c r="V18" i="15"/>
  <c r="V38" i="15"/>
  <c r="S32" i="15"/>
  <c r="S28" i="15"/>
  <c r="S22" i="15"/>
  <c r="V8" i="15"/>
  <c r="V16" i="15"/>
  <c r="V21" i="15"/>
  <c r="V29" i="15"/>
  <c r="V39" i="15"/>
  <c r="V7" i="15"/>
  <c r="V15" i="15"/>
  <c r="V22" i="15"/>
  <c r="V40" i="15"/>
  <c r="V42" i="15"/>
  <c r="V46" i="15"/>
  <c r="V4" i="15"/>
  <c r="V9" i="15"/>
  <c r="V11" i="15"/>
  <c r="V25" i="15"/>
  <c r="V27" i="15"/>
  <c r="V36" i="15"/>
  <c r="V43" i="15"/>
  <c r="V3" i="15"/>
  <c r="V12" i="15"/>
  <c r="V17" i="15"/>
  <c r="V19" i="15"/>
  <c r="V33" i="15"/>
  <c r="V35" i="15"/>
  <c r="V44" i="15"/>
  <c r="S7" i="15"/>
  <c r="S21" i="15"/>
  <c r="S37" i="15"/>
  <c r="S15" i="15"/>
  <c r="S33" i="15"/>
  <c r="S4" i="15"/>
  <c r="S11" i="15"/>
  <c r="S20" i="15"/>
  <c r="S41" i="15"/>
  <c r="S43" i="15"/>
  <c r="H81" i="10" l="1"/>
  <c r="H103" i="10" s="1"/>
  <c r="I81" i="10"/>
  <c r="I103" i="10" s="1"/>
  <c r="L4" i="15"/>
  <c r="L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3" i="15"/>
  <c r="Y32" i="15" l="1"/>
  <c r="Y10" i="15"/>
  <c r="Y37" i="15"/>
  <c r="V10" i="15" l="1"/>
  <c r="V34" i="15"/>
  <c r="S19" i="15"/>
  <c r="S27" i="15"/>
  <c r="S16" i="15"/>
  <c r="V24" i="15"/>
  <c r="V32" i="15"/>
  <c r="S9" i="15"/>
  <c r="Y34" i="15"/>
  <c r="Y6" i="15"/>
  <c r="Y20" i="15"/>
  <c r="Y45" i="15"/>
  <c r="Y24" i="15"/>
  <c r="Y41" i="15"/>
  <c r="Y14" i="15"/>
  <c r="Y28" i="15"/>
  <c r="V14" i="15"/>
  <c r="S23" i="15"/>
  <c r="S31" i="15"/>
  <c r="V20" i="15"/>
  <c r="V28" i="15"/>
  <c r="S5" i="15"/>
  <c r="S13" i="15"/>
  <c r="V41" i="15"/>
  <c r="S36" i="15"/>
  <c r="B9" i="12"/>
  <c r="V6" i="15"/>
  <c r="S44" i="15"/>
  <c r="B8" i="12"/>
  <c r="S40" i="15"/>
  <c r="V37" i="15"/>
  <c r="V45" i="15"/>
  <c r="Q60" i="16"/>
  <c r="P60" i="16"/>
  <c r="N60" i="16"/>
  <c r="M60" i="16"/>
  <c r="L60" i="16"/>
  <c r="K60" i="16"/>
  <c r="J60" i="16"/>
  <c r="I60" i="16"/>
  <c r="H60" i="16"/>
  <c r="E58" i="16"/>
  <c r="Q128" i="16"/>
  <c r="P128" i="16"/>
  <c r="N128" i="16"/>
  <c r="M128" i="16"/>
  <c r="L128" i="16"/>
  <c r="K128" i="16"/>
  <c r="J128" i="16"/>
  <c r="I128" i="16"/>
  <c r="H128" i="16"/>
  <c r="E127" i="16"/>
  <c r="D127" i="16"/>
  <c r="E126" i="16"/>
  <c r="D126" i="16"/>
  <c r="E125" i="16"/>
  <c r="D125" i="16"/>
  <c r="E124" i="16"/>
  <c r="D124" i="16"/>
  <c r="E123" i="16"/>
  <c r="D123" i="16"/>
  <c r="E122" i="16"/>
  <c r="D122" i="16"/>
  <c r="E121" i="16"/>
  <c r="D121" i="16"/>
  <c r="E120" i="16"/>
  <c r="D120" i="16"/>
  <c r="E119" i="16"/>
  <c r="D119" i="16"/>
  <c r="E118" i="16"/>
  <c r="D118" i="16"/>
  <c r="E117" i="16"/>
  <c r="D117" i="16"/>
  <c r="M107" i="16"/>
  <c r="I107" i="16"/>
  <c r="I106" i="16"/>
  <c r="I108" i="16" s="1"/>
  <c r="N91" i="16"/>
  <c r="N84" i="16"/>
  <c r="P83" i="16"/>
  <c r="M81" i="16"/>
  <c r="N78" i="16"/>
  <c r="J78" i="16"/>
  <c r="Q77" i="16"/>
  <c r="P77" i="16"/>
  <c r="N77" i="16"/>
  <c r="M77" i="16"/>
  <c r="M78" i="16" s="1"/>
  <c r="L77" i="16"/>
  <c r="K77" i="16"/>
  <c r="J77" i="16"/>
  <c r="I77" i="16"/>
  <c r="I78" i="16" s="1"/>
  <c r="H77" i="16"/>
  <c r="G77" i="16"/>
  <c r="M92" i="16" s="1"/>
  <c r="F77" i="16"/>
  <c r="E77" i="16"/>
  <c r="D77" i="16"/>
  <c r="Q76" i="16"/>
  <c r="Q92" i="16" s="1"/>
  <c r="P76" i="16"/>
  <c r="P92" i="16" s="1"/>
  <c r="N76" i="16"/>
  <c r="N92" i="16" s="1"/>
  <c r="M76" i="16"/>
  <c r="L76" i="16"/>
  <c r="L78" i="16" s="1"/>
  <c r="K76" i="16"/>
  <c r="K78" i="16" s="1"/>
  <c r="J76" i="16"/>
  <c r="I76" i="16"/>
  <c r="H76" i="16"/>
  <c r="H92" i="16" s="1"/>
  <c r="G76" i="16"/>
  <c r="F76" i="16"/>
  <c r="M84" i="16" s="1"/>
  <c r="D76" i="16"/>
  <c r="E76" i="16" s="1"/>
  <c r="Q75" i="16"/>
  <c r="P75" i="16"/>
  <c r="N75" i="16"/>
  <c r="N90" i="16" s="1"/>
  <c r="M75" i="16"/>
  <c r="M90" i="16" s="1"/>
  <c r="J75" i="16"/>
  <c r="I75" i="16"/>
  <c r="H75" i="16"/>
  <c r="H90" i="16" s="1"/>
  <c r="E74" i="16"/>
  <c r="D74" i="16"/>
  <c r="E73" i="16"/>
  <c r="D73" i="16"/>
  <c r="E72" i="16"/>
  <c r="D72" i="16"/>
  <c r="E71" i="16"/>
  <c r="D71" i="16"/>
  <c r="Q70" i="16"/>
  <c r="P70" i="16"/>
  <c r="N70" i="16"/>
  <c r="M70" i="16"/>
  <c r="J70" i="16"/>
  <c r="I70" i="16"/>
  <c r="J69" i="16"/>
  <c r="D69" i="16"/>
  <c r="E69" i="16" s="1"/>
  <c r="J68" i="16"/>
  <c r="D68" i="16"/>
  <c r="E68" i="16" s="1"/>
  <c r="J67" i="16"/>
  <c r="D67" i="16"/>
  <c r="E67" i="16" s="1"/>
  <c r="J66" i="16"/>
  <c r="D66" i="16"/>
  <c r="E66" i="16" s="1"/>
  <c r="J65" i="16"/>
  <c r="H65" i="16"/>
  <c r="H70" i="16" s="1"/>
  <c r="D65" i="16"/>
  <c r="E65" i="16" s="1"/>
  <c r="J64" i="16"/>
  <c r="D64" i="16"/>
  <c r="E64" i="16" s="1"/>
  <c r="Q62" i="16"/>
  <c r="Q107" i="16" s="1"/>
  <c r="P62" i="16"/>
  <c r="P107" i="16" s="1"/>
  <c r="N62" i="16"/>
  <c r="N107" i="16" s="1"/>
  <c r="M62" i="16"/>
  <c r="K62" i="16"/>
  <c r="K107" i="16" s="1"/>
  <c r="K108" i="16" s="1"/>
  <c r="J62" i="16"/>
  <c r="J107" i="16" s="1"/>
  <c r="I62" i="16"/>
  <c r="H62" i="16"/>
  <c r="H107" i="16" s="1"/>
  <c r="E62" i="16"/>
  <c r="D62" i="16"/>
  <c r="Q61" i="16"/>
  <c r="Q106" i="16" s="1"/>
  <c r="Q108" i="16" s="1"/>
  <c r="P61" i="16"/>
  <c r="P106" i="16" s="1"/>
  <c r="N61" i="16"/>
  <c r="N63" i="16" s="1"/>
  <c r="M61" i="16"/>
  <c r="M106" i="16" s="1"/>
  <c r="M108" i="16" s="1"/>
  <c r="L61" i="16"/>
  <c r="L106" i="16" s="1"/>
  <c r="K61" i="16"/>
  <c r="K63" i="16" s="1"/>
  <c r="J61" i="16"/>
  <c r="J106" i="16" s="1"/>
  <c r="I61" i="16"/>
  <c r="I63" i="16" s="1"/>
  <c r="H61" i="16"/>
  <c r="H106" i="16" s="1"/>
  <c r="H108" i="16" s="1"/>
  <c r="D61" i="16"/>
  <c r="E61" i="16" s="1"/>
  <c r="Q57" i="16"/>
  <c r="P57" i="16"/>
  <c r="N57" i="16"/>
  <c r="M57" i="16"/>
  <c r="I57" i="16"/>
  <c r="H57" i="16"/>
  <c r="J56" i="16"/>
  <c r="J57" i="16" s="1"/>
  <c r="E56" i="16"/>
  <c r="D56" i="16"/>
  <c r="Q55" i="16"/>
  <c r="Q91" i="16" s="1"/>
  <c r="P55" i="16"/>
  <c r="P91" i="16" s="1"/>
  <c r="N55" i="16"/>
  <c r="M55" i="16"/>
  <c r="M91" i="16" s="1"/>
  <c r="I55" i="16"/>
  <c r="H55" i="16"/>
  <c r="H91" i="16" s="1"/>
  <c r="J54" i="16"/>
  <c r="I54" i="16"/>
  <c r="D54" i="16"/>
  <c r="E54" i="16" s="1"/>
  <c r="J53" i="16"/>
  <c r="I53" i="16"/>
  <c r="D53" i="16"/>
  <c r="E53" i="16" s="1"/>
  <c r="J52" i="16"/>
  <c r="I52" i="16"/>
  <c r="D52" i="16"/>
  <c r="E52" i="16" s="1"/>
  <c r="J51" i="16"/>
  <c r="I51" i="16"/>
  <c r="D51" i="16"/>
  <c r="E51" i="16" s="1"/>
  <c r="J50" i="16"/>
  <c r="I50" i="16"/>
  <c r="D50" i="16"/>
  <c r="E50" i="16" s="1"/>
  <c r="J49" i="16"/>
  <c r="I49" i="16"/>
  <c r="D49" i="16"/>
  <c r="E49" i="16" s="1"/>
  <c r="J48" i="16"/>
  <c r="I48" i="16"/>
  <c r="D48" i="16"/>
  <c r="E48" i="16" s="1"/>
  <c r="J47" i="16"/>
  <c r="I47" i="16"/>
  <c r="D47" i="16"/>
  <c r="E47" i="16" s="1"/>
  <c r="Q46" i="16"/>
  <c r="P46" i="16"/>
  <c r="N46" i="16"/>
  <c r="M46" i="16"/>
  <c r="L46" i="16"/>
  <c r="K46" i="16"/>
  <c r="J46" i="16"/>
  <c r="I46" i="16"/>
  <c r="H46" i="16"/>
  <c r="N45" i="16"/>
  <c r="E45" i="16"/>
  <c r="D45" i="16"/>
  <c r="N44" i="16"/>
  <c r="D44" i="16"/>
  <c r="E44" i="16" s="1"/>
  <c r="E43" i="16"/>
  <c r="D43" i="16"/>
  <c r="D42" i="16"/>
  <c r="E42" i="16" s="1"/>
  <c r="Q41" i="16"/>
  <c r="P41" i="16"/>
  <c r="N41" i="16"/>
  <c r="M41" i="16"/>
  <c r="M82" i="16" s="1"/>
  <c r="J41" i="16"/>
  <c r="I41" i="16"/>
  <c r="H41" i="16"/>
  <c r="E39" i="16"/>
  <c r="D39" i="16"/>
  <c r="E38" i="16"/>
  <c r="D38" i="16"/>
  <c r="Q37" i="16"/>
  <c r="P37" i="16"/>
  <c r="N37" i="16"/>
  <c r="M37" i="16"/>
  <c r="J37" i="16"/>
  <c r="I37" i="16"/>
  <c r="H37" i="16"/>
  <c r="D36" i="16"/>
  <c r="E36" i="16" s="1"/>
  <c r="E35" i="16"/>
  <c r="D35" i="16"/>
  <c r="Q34" i="16"/>
  <c r="P34" i="16"/>
  <c r="N34" i="16"/>
  <c r="M34" i="16"/>
  <c r="L34" i="16"/>
  <c r="K34" i="16"/>
  <c r="J34" i="16"/>
  <c r="I34" i="16"/>
  <c r="H34" i="16"/>
  <c r="E33" i="16"/>
  <c r="D33" i="16"/>
  <c r="E32" i="16"/>
  <c r="D32" i="16"/>
  <c r="E31" i="16"/>
  <c r="D31" i="16"/>
  <c r="E30" i="16"/>
  <c r="D30" i="16"/>
  <c r="Q29" i="16"/>
  <c r="Q83" i="16" s="1"/>
  <c r="Q99" i="16" s="1"/>
  <c r="P29" i="16"/>
  <c r="N29" i="16"/>
  <c r="N83" i="16" s="1"/>
  <c r="N99" i="16" s="1"/>
  <c r="M29" i="16"/>
  <c r="M83" i="16" s="1"/>
  <c r="M99" i="16" s="1"/>
  <c r="J29" i="16"/>
  <c r="I29" i="16"/>
  <c r="H29" i="16"/>
  <c r="H83" i="16" s="1"/>
  <c r="J28" i="16"/>
  <c r="E28" i="16"/>
  <c r="D28" i="16"/>
  <c r="J27" i="16"/>
  <c r="D27" i="16"/>
  <c r="E27" i="16" s="1"/>
  <c r="J26" i="16"/>
  <c r="E26" i="16"/>
  <c r="D26" i="16"/>
  <c r="Q25" i="16"/>
  <c r="Q89" i="16" s="1"/>
  <c r="P25" i="16"/>
  <c r="P89" i="16" s="1"/>
  <c r="N25" i="16"/>
  <c r="N89" i="16" s="1"/>
  <c r="M25" i="16"/>
  <c r="M89" i="16" s="1"/>
  <c r="J25" i="16"/>
  <c r="I25" i="16"/>
  <c r="H25" i="16"/>
  <c r="H89" i="16" s="1"/>
  <c r="D24" i="16"/>
  <c r="E24" i="16" s="1"/>
  <c r="E22" i="16"/>
  <c r="D22" i="16"/>
  <c r="D21" i="16"/>
  <c r="E21" i="16" s="1"/>
  <c r="M20" i="16"/>
  <c r="I20" i="16"/>
  <c r="H20" i="16"/>
  <c r="Q19" i="16"/>
  <c r="P19" i="16"/>
  <c r="J19" i="16"/>
  <c r="D19" i="16"/>
  <c r="E19" i="16" s="1"/>
  <c r="Q18" i="16"/>
  <c r="P18" i="16"/>
  <c r="J18" i="16"/>
  <c r="D18" i="16"/>
  <c r="E18" i="16" s="1"/>
  <c r="Q17" i="16"/>
  <c r="P17" i="16"/>
  <c r="J17" i="16"/>
  <c r="D17" i="16"/>
  <c r="E17" i="16" s="1"/>
  <c r="Q16" i="16"/>
  <c r="P16" i="16"/>
  <c r="J16" i="16"/>
  <c r="D16" i="16"/>
  <c r="E16" i="16" s="1"/>
  <c r="Q15" i="16"/>
  <c r="P15" i="16"/>
  <c r="J15" i="16"/>
  <c r="D15" i="16"/>
  <c r="E15" i="16" s="1"/>
  <c r="Q14" i="16"/>
  <c r="P14" i="16"/>
  <c r="P90" i="16" s="1"/>
  <c r="J14" i="16"/>
  <c r="D14" i="16"/>
  <c r="E14" i="16" s="1"/>
  <c r="Q13" i="16"/>
  <c r="P13" i="16"/>
  <c r="P20" i="16" s="1"/>
  <c r="J13" i="16"/>
  <c r="E13" i="16"/>
  <c r="D13" i="16"/>
  <c r="Q12" i="16"/>
  <c r="N12" i="16"/>
  <c r="N82" i="16" s="1"/>
  <c r="N98" i="16" s="1"/>
  <c r="E12" i="16"/>
  <c r="D12" i="16"/>
  <c r="Q11" i="16"/>
  <c r="Q81" i="16" s="1"/>
  <c r="P11" i="16"/>
  <c r="P81" i="16" s="1"/>
  <c r="N11" i="16"/>
  <c r="N81" i="16" s="1"/>
  <c r="M11" i="16"/>
  <c r="L11" i="16"/>
  <c r="K11" i="16"/>
  <c r="J11" i="16"/>
  <c r="I11" i="16"/>
  <c r="H11" i="16"/>
  <c r="H81" i="16" s="1"/>
  <c r="E9" i="16"/>
  <c r="D9" i="16"/>
  <c r="E8" i="16"/>
  <c r="D8" i="16"/>
  <c r="E7" i="16"/>
  <c r="D7" i="16"/>
  <c r="Q6" i="16"/>
  <c r="P6" i="16"/>
  <c r="N6" i="16"/>
  <c r="M6" i="16"/>
  <c r="Q90" i="16" l="1"/>
  <c r="M97" i="16"/>
  <c r="P3" i="15"/>
  <c r="J55" i="16"/>
  <c r="Q20" i="16"/>
  <c r="Q82" i="16"/>
  <c r="Q98" i="16" s="1"/>
  <c r="P82" i="16"/>
  <c r="P98" i="16" s="1"/>
  <c r="J20" i="16"/>
  <c r="N97" i="16"/>
  <c r="N86" i="16"/>
  <c r="N85" i="16"/>
  <c r="P94" i="16"/>
  <c r="P93" i="16"/>
  <c r="E101" i="16"/>
  <c r="P97" i="16"/>
  <c r="Q94" i="16"/>
  <c r="Q93" i="16"/>
  <c r="H97" i="16"/>
  <c r="Q86" i="16"/>
  <c r="Q97" i="16"/>
  <c r="M94" i="16"/>
  <c r="M93" i="16"/>
  <c r="H99" i="16"/>
  <c r="J108" i="16"/>
  <c r="P99" i="16"/>
  <c r="N94" i="16"/>
  <c r="N93" i="16"/>
  <c r="M98" i="16"/>
  <c r="P108" i="16"/>
  <c r="M100" i="16"/>
  <c r="N100" i="16"/>
  <c r="H93" i="16"/>
  <c r="N106" i="16"/>
  <c r="N108" i="16" s="1"/>
  <c r="J63" i="16"/>
  <c r="H82" i="16"/>
  <c r="H98" i="16" s="1"/>
  <c r="M85" i="16"/>
  <c r="M86" i="16"/>
  <c r="M102" i="16" s="1"/>
  <c r="N20" i="16"/>
  <c r="L62" i="16"/>
  <c r="L107" i="16" s="1"/>
  <c r="L108" i="16" s="1"/>
  <c r="P63" i="16"/>
  <c r="P78" i="16"/>
  <c r="P84" i="16"/>
  <c r="P100" i="16" s="1"/>
  <c r="H63" i="16"/>
  <c r="Q63" i="16"/>
  <c r="H78" i="16"/>
  <c r="Q78" i="16"/>
  <c r="H84" i="16"/>
  <c r="H100" i="16" s="1"/>
  <c r="Q84" i="16"/>
  <c r="Q100" i="16" s="1"/>
  <c r="M63" i="16"/>
  <c r="P86" i="16" l="1"/>
  <c r="Q102" i="16"/>
  <c r="P102" i="16"/>
  <c r="Q85" i="16"/>
  <c r="Q101" i="16" s="1"/>
  <c r="N101" i="16"/>
  <c r="N102" i="16"/>
  <c r="L63" i="16"/>
  <c r="M101" i="16"/>
  <c r="H85" i="16"/>
  <c r="H101" i="16" s="1"/>
  <c r="P85" i="16"/>
  <c r="P101" i="16" s="1"/>
  <c r="B70" i="10" l="1"/>
  <c r="B99" i="10"/>
  <c r="B91" i="10"/>
  <c r="B79" i="10"/>
  <c r="B81" i="10" s="1"/>
  <c r="B74" i="10"/>
  <c r="B101" i="10" l="1"/>
  <c r="B103" i="10" s="1"/>
  <c r="B10" i="12"/>
  <c r="C74" i="10" l="1"/>
  <c r="D99" i="10"/>
  <c r="D79" i="10"/>
  <c r="D74" i="10"/>
  <c r="D70" i="10"/>
  <c r="D91" i="10"/>
  <c r="D101" i="10" s="1"/>
  <c r="C99" i="10"/>
  <c r="C91" i="10"/>
  <c r="C79" i="10"/>
  <c r="C70" i="10"/>
  <c r="D81" i="10" l="1"/>
  <c r="D103" i="10" s="1"/>
  <c r="C81" i="10"/>
  <c r="C103" i="10" s="1"/>
  <c r="C101" i="10"/>
</calcChain>
</file>

<file path=xl/comments1.xml><?xml version="1.0" encoding="utf-8"?>
<comments xmlns="http://schemas.openxmlformats.org/spreadsheetml/2006/main">
  <authors>
    <author>e006013</author>
  </authors>
  <commentList>
    <comment ref="A111" authorId="0">
      <text>
        <r>
          <rPr>
            <sz val="10"/>
            <color indexed="81"/>
            <rFont val="Arial"/>
            <family val="2"/>
          </rPr>
          <t>Lock 7 Hydro Partners, LLC
Address: 414 South Wenzel Street, Louisville, KY 40204, Contact Person: David Brown Kinloch, 
Telephone #: 502-589-0975</t>
        </r>
      </text>
    </comment>
  </commentList>
</comments>
</file>

<file path=xl/connections.xml><?xml version="1.0" encoding="utf-8"?>
<connections xmlns="http://schemas.openxmlformats.org/spreadsheetml/2006/main">
  <connection id="1" name="Rate Case" type="6" refreshedVersion="4" background="1" saveData="1">
    <textPr codePage="437" sourceFile="H:\Rate Case.csv" comma="1">
      <textFields count="12">
        <textField type="text"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2" name="Rate Case1" type="6" refreshedVersion="4" background="1" saveData="1">
    <textPr codePage="437" sourceFile="H:\Rate Case.csv" comma="1">
      <textFields count="21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<sst xmlns="http://schemas.openxmlformats.org/spreadsheetml/2006/main" count="7011" uniqueCount="3917">
  <si>
    <t>year</t>
  </si>
  <si>
    <t>exp_cat_18</t>
  </si>
  <si>
    <t>002030</t>
  </si>
  <si>
    <t>PNTL: TOTAL NON-LABOR</t>
  </si>
  <si>
    <t>002140</t>
  </si>
  <si>
    <t>002401</t>
  </si>
  <si>
    <t>002650</t>
  </si>
  <si>
    <t>016120</t>
  </si>
  <si>
    <t>016220</t>
  </si>
  <si>
    <t>016300</t>
  </si>
  <si>
    <t>016520</t>
  </si>
  <si>
    <t>016930</t>
  </si>
  <si>
    <t>month_01_jan</t>
  </si>
  <si>
    <t>month_02_feb</t>
  </si>
  <si>
    <t>month_03_mar</t>
  </si>
  <si>
    <t>month_04_apr</t>
  </si>
  <si>
    <t>month_05_may</t>
  </si>
  <si>
    <t>month_06_jun</t>
  </si>
  <si>
    <t>month_07_jul</t>
  </si>
  <si>
    <t>month_08_aug</t>
  </si>
  <si>
    <t>month_09_sep</t>
  </si>
  <si>
    <t>month_10_oct</t>
  </si>
  <si>
    <t>month_11_nov</t>
  </si>
  <si>
    <t>month_12_dec</t>
  </si>
  <si>
    <t>total</t>
  </si>
  <si>
    <t>002655</t>
  </si>
  <si>
    <t>Organization</t>
  </si>
  <si>
    <t>Description</t>
  </si>
  <si>
    <t>Abbr</t>
  </si>
  <si>
    <t>000000</t>
  </si>
  <si>
    <t>DEFAULT</t>
  </si>
  <si>
    <t>CO</t>
  </si>
  <si>
    <t>000002</t>
  </si>
  <si>
    <t>CLOSED 01/03 - ENERTECH CORPORATE</t>
  </si>
  <si>
    <t>000003</t>
  </si>
  <si>
    <t>HOME SERVICES CORPORATE</t>
  </si>
  <si>
    <t>000004</t>
  </si>
  <si>
    <t>CAPITAL CORP CORPORATE</t>
  </si>
  <si>
    <t>000005</t>
  </si>
  <si>
    <t>CREDIT CORP CORPORATE</t>
  </si>
  <si>
    <t>000006</t>
  </si>
  <si>
    <t>FSF MINERALS INC CORPORATE</t>
  </si>
  <si>
    <t>000007</t>
  </si>
  <si>
    <t>LGE CAPITAL TRIMBLE COUNTY LLC CORPORATE</t>
  </si>
  <si>
    <t>OG</t>
  </si>
  <si>
    <t>000008</t>
  </si>
  <si>
    <t>ELIMINATION CORPORATE</t>
  </si>
  <si>
    <t>000010</t>
  </si>
  <si>
    <t>GOLDFINGER CORPORATE</t>
  </si>
  <si>
    <t>000020</t>
  </si>
  <si>
    <t>LGE SERVICES COMPANY INC. CORPORATE</t>
  </si>
  <si>
    <t>000021</t>
  </si>
  <si>
    <t>LGE SERVICES CO ELIMINATION</t>
  </si>
  <si>
    <t>000101</t>
  </si>
  <si>
    <t>LGE RECEIVABLES LLC CORPORATE</t>
  </si>
  <si>
    <t>000110</t>
  </si>
  <si>
    <t>CLOSED 03/01 - KENTUCKY UTILITIES CORPORATE</t>
  </si>
  <si>
    <t>000111</t>
  </si>
  <si>
    <t>KU RECEIVABLES LLC CORPORATE</t>
  </si>
  <si>
    <t>000200</t>
  </si>
  <si>
    <t>CLOSED 12/98 - KU CAPITAL CORPORATE</t>
  </si>
  <si>
    <t>000201</t>
  </si>
  <si>
    <t>KUCC PARIS CORPORATE</t>
  </si>
  <si>
    <t>000202</t>
  </si>
  <si>
    <t>KUCC FREDERICKSON CORPORATE</t>
  </si>
  <si>
    <t>000203</t>
  </si>
  <si>
    <t>KUCC PORTLAND 34 CORPORATE</t>
  </si>
  <si>
    <t>000204</t>
  </si>
  <si>
    <t>KUCC PORTLAND 34 LTD CORPORATE</t>
  </si>
  <si>
    <t>000205</t>
  </si>
  <si>
    <t>KUCC FERNDALE CORPORATE</t>
  </si>
  <si>
    <t>000206</t>
  </si>
  <si>
    <t>KUCC CLEBURNE CORPORATE</t>
  </si>
  <si>
    <t>000207</t>
  </si>
  <si>
    <t>KUCC DEVELOPMENT CORPORATE</t>
  </si>
  <si>
    <t>000208</t>
  </si>
  <si>
    <t>KU SOLUTIONS</t>
  </si>
  <si>
    <t>000210</t>
  </si>
  <si>
    <t>KUCC GRIMES CORPORATION CORPORATE</t>
  </si>
  <si>
    <t>000211</t>
  </si>
  <si>
    <t>KUCC GRIMES GP CORPORATION CORPORATE</t>
  </si>
  <si>
    <t>000212</t>
  </si>
  <si>
    <t>KUCC GRIMES LP CORPORATION CORPORATE</t>
  </si>
  <si>
    <t>000220</t>
  </si>
  <si>
    <t>LG&amp;E INT'L CORPORATE</t>
  </si>
  <si>
    <t>000221</t>
  </si>
  <si>
    <t>LGE ENERGY SERVICES CORPORATE</t>
  </si>
  <si>
    <t>000226</t>
  </si>
  <si>
    <t>CLOSED 02/06 - LGE POWER ARGENTINA II CORPORATE COST CENTER</t>
  </si>
  <si>
    <t>000300</t>
  </si>
  <si>
    <t>WKE G A STATION TWO ALLOCATIONS</t>
  </si>
  <si>
    <t>000301</t>
  </si>
  <si>
    <t>WKEC CORPORATE</t>
  </si>
  <si>
    <t>000302</t>
  </si>
  <si>
    <t>CLOSED 07/05 - EXCALIBUR DEVELOPMENT INC LLC CORPORATE</t>
  </si>
  <si>
    <t>000303</t>
  </si>
  <si>
    <t>LCC LLC CORPORATE</t>
  </si>
  <si>
    <t>000304</t>
  </si>
  <si>
    <t>FCD LLC CORPORATE</t>
  </si>
  <si>
    <t>000317</t>
  </si>
  <si>
    <t>WKE 3 CO ELIM CORP COST CTR</t>
  </si>
  <si>
    <t>000318</t>
  </si>
  <si>
    <t>WKE MGMT RPT ELIM CORP COST CTR</t>
  </si>
  <si>
    <t>000319</t>
  </si>
  <si>
    <t>WKE CONSOL ADJ CORP COST CTR - KEEP PER VICKI STRANGE</t>
  </si>
  <si>
    <t>000320</t>
  </si>
  <si>
    <t>WKE O M STATION TWO ALLOCATIONS</t>
  </si>
  <si>
    <t>000400</t>
  </si>
  <si>
    <t>LGE POWER INC CORPORATE</t>
  </si>
  <si>
    <t>000425</t>
  </si>
  <si>
    <t>CLOSED 07/05 - LGE POWER MONROE LLC CORPORATE</t>
  </si>
  <si>
    <t>000501</t>
  </si>
  <si>
    <t>AMERICAN POWER INC</t>
  </si>
  <si>
    <t>000502</t>
  </si>
  <si>
    <t>GAS NATURAL BAN SA</t>
  </si>
  <si>
    <t>000503</t>
  </si>
  <si>
    <t>HD ENERGY CORP</t>
  </si>
  <si>
    <t>000504</t>
  </si>
  <si>
    <t>LGE CENTRO SA</t>
  </si>
  <si>
    <t>000505</t>
  </si>
  <si>
    <t>LGE CROWN INC</t>
  </si>
  <si>
    <t>000506</t>
  </si>
  <si>
    <t>LGE ENERGY MARKETING INC (DISCO)</t>
  </si>
  <si>
    <t>000507</t>
  </si>
  <si>
    <t>LEM CONTINUING OPERATIONS</t>
  </si>
  <si>
    <t>000508</t>
  </si>
  <si>
    <t>LGE INTERNATIONAL INC</t>
  </si>
  <si>
    <t>000509</t>
  </si>
  <si>
    <t>LGE MINOR FACILITIES INC</t>
  </si>
  <si>
    <t>000510</t>
  </si>
  <si>
    <t>LGE POWER 16 INC</t>
  </si>
  <si>
    <t>000511</t>
  </si>
  <si>
    <t>LGE POWER 21 LP</t>
  </si>
  <si>
    <t>000512</t>
  </si>
  <si>
    <t>LGE POWER 21 WIND INC</t>
  </si>
  <si>
    <t>000513</t>
  </si>
  <si>
    <t>LGE POWER 31 LP</t>
  </si>
  <si>
    <t>000514</t>
  </si>
  <si>
    <t>LGE POWER 31 WIND INC</t>
  </si>
  <si>
    <t>000515</t>
  </si>
  <si>
    <t>LGE POWER 5 INC</t>
  </si>
  <si>
    <t>000516</t>
  </si>
  <si>
    <t>LGE POWER ARGENTINA II INC.</t>
  </si>
  <si>
    <t>000517</t>
  </si>
  <si>
    <t>LGE POWER ARGENTINA III LLC</t>
  </si>
  <si>
    <t>000518</t>
  </si>
  <si>
    <t>LGE POWER DEVELOPMENT INC</t>
  </si>
  <si>
    <t>000519</t>
  </si>
  <si>
    <t>LGE POWER GREGORY 1 INC</t>
  </si>
  <si>
    <t>000520</t>
  </si>
  <si>
    <t>LGE POWER GREGORY II INC</t>
  </si>
  <si>
    <t>000521</t>
  </si>
  <si>
    <t>LGE POWER GREGORY III INC</t>
  </si>
  <si>
    <t>000522</t>
  </si>
  <si>
    <t>LGE POWER GREGORY IV INC</t>
  </si>
  <si>
    <t>000523</t>
  </si>
  <si>
    <t>LGE POWER OPERATIONS INC</t>
  </si>
  <si>
    <t>000524</t>
  </si>
  <si>
    <t>LGE POWER ROANOKE INC</t>
  </si>
  <si>
    <t>000525</t>
  </si>
  <si>
    <t>LGE POWER SERVICES LLC</t>
  </si>
  <si>
    <t>000526</t>
  </si>
  <si>
    <t>LGE POWER SPAIN INC</t>
  </si>
  <si>
    <t>000527</t>
  </si>
  <si>
    <t>LLANO GATHERING INC</t>
  </si>
  <si>
    <t>000528</t>
  </si>
  <si>
    <t>LLANO STORAGE INC</t>
  </si>
  <si>
    <t>000529</t>
  </si>
  <si>
    <t>POWER TEX PARENT INC</t>
  </si>
  <si>
    <t>000530</t>
  </si>
  <si>
    <t>LGE POWER INC.</t>
  </si>
  <si>
    <t>000531</t>
  </si>
  <si>
    <t>LGE ARGENTINA 1</t>
  </si>
  <si>
    <t>000532</t>
  </si>
  <si>
    <t>LGE INTL ELIMINATION CO CORP</t>
  </si>
  <si>
    <t>000533</t>
  </si>
  <si>
    <t>LGE OPERATIONS ELIMINATION CO CORP</t>
  </si>
  <si>
    <t>000534</t>
  </si>
  <si>
    <t>LGE POWER ELIMINATION CO CORP</t>
  </si>
  <si>
    <t>000535</t>
  </si>
  <si>
    <t>LEM ELIMINATION CO CORP</t>
  </si>
  <si>
    <t>000536</t>
  </si>
  <si>
    <t>CENTRO (JDE CO ONLY)</t>
  </si>
  <si>
    <t>000610</t>
  </si>
  <si>
    <t>ARGENTINA - ENERGY DELIVERY CHARGES FROM SERVCO</t>
  </si>
  <si>
    <t>000630</t>
  </si>
  <si>
    <t>ARGENTINA - LEGAL CHARGES FROM SERVCO</t>
  </si>
  <si>
    <t>000700</t>
  </si>
  <si>
    <t>LOUISVILLE GAS &amp; ELECTRIC COMPANY - IFRS</t>
  </si>
  <si>
    <t>000702</t>
  </si>
  <si>
    <t>E.ON U.S. LLC-IFRS</t>
  </si>
  <si>
    <t>000703</t>
  </si>
  <si>
    <t>WESTERN KENTUCKY ENERGY CORP-IFRS</t>
  </si>
  <si>
    <t>000704</t>
  </si>
  <si>
    <t>E.ON U.S. CAPITAL CORP-IFRS</t>
  </si>
  <si>
    <t>000710</t>
  </si>
  <si>
    <t>KENTUCKY UTILITIES COMPANY-IFRS</t>
  </si>
  <si>
    <t>000720</t>
  </si>
  <si>
    <t>E.ON U.S. SERVICES INC-IFRS</t>
  </si>
  <si>
    <t>000730</t>
  </si>
  <si>
    <t>POWER DEVELOPMENT - ENERGY SERVICES CHARGES FROM SERVCO</t>
  </si>
  <si>
    <t>000800</t>
  </si>
  <si>
    <t>ENERGY CORPORATE</t>
  </si>
  <si>
    <t>000801</t>
  </si>
  <si>
    <t>PURCHASE ACCOUNTING</t>
  </si>
  <si>
    <t>000802</t>
  </si>
  <si>
    <t>LGE ENERGY SETTLEMENTS INC. CORPORATE</t>
  </si>
  <si>
    <t>000814</t>
  </si>
  <si>
    <t>CLOSED 07/05 - LGE NATURAL GATHERING</t>
  </si>
  <si>
    <t>000850</t>
  </si>
  <si>
    <t>CLOSED 07/05 - LGE NATURAL, INC.</t>
  </si>
  <si>
    <t>000860</t>
  </si>
  <si>
    <t>LEM-DISCONTINUED OPERATIONS CORP COST CENTER</t>
  </si>
  <si>
    <t>000861</t>
  </si>
  <si>
    <t>LEM COMPONENT OF WKE DEAL CORPORATE</t>
  </si>
  <si>
    <t>000940</t>
  </si>
  <si>
    <t>HMPL CORPORATE</t>
  </si>
  <si>
    <t>001000</t>
  </si>
  <si>
    <t>CHAIRMAN AND CEO</t>
  </si>
  <si>
    <t>001005</t>
  </si>
  <si>
    <t>SVP ENERGY DELIVERY - KEEP PER PAM MCDONALD</t>
  </si>
  <si>
    <t>001010</t>
  </si>
  <si>
    <t>PRESIDENT</t>
  </si>
  <si>
    <t>001015</t>
  </si>
  <si>
    <t>RELIABILITY</t>
  </si>
  <si>
    <t>001025</t>
  </si>
  <si>
    <t>LGE DISTRIBUTION OPERATION - ENHANCE NETWORK</t>
  </si>
  <si>
    <t>001035</t>
  </si>
  <si>
    <t>VP RETAIL AND GAS STORAGE OPERATIONS</t>
  </si>
  <si>
    <t>001045</t>
  </si>
  <si>
    <t>LGE DISTRIBUTION OPERATIONS - CONNECT NEW BUSINESS</t>
  </si>
  <si>
    <t>001050</t>
  </si>
  <si>
    <t>CLOSED 11/98 - MID CONTINENT PWR TR</t>
  </si>
  <si>
    <t>001055</t>
  </si>
  <si>
    <t>DIR. DIST OPS LOUISVILLE AND SUBSTA.</t>
  </si>
  <si>
    <t>001060</t>
  </si>
  <si>
    <t>VICE CHAIRMAN/CHIEF OPER OFFICER</t>
  </si>
  <si>
    <t>001061</t>
  </si>
  <si>
    <t>UTILITY RE-ENGINEERING</t>
  </si>
  <si>
    <t>001075</t>
  </si>
  <si>
    <t>TECH. AND SAFETY TRAINING DIST - LGE</t>
  </si>
  <si>
    <t>ED</t>
  </si>
  <si>
    <t>001100</t>
  </si>
  <si>
    <t>HR ROLLUP</t>
  </si>
  <si>
    <t>001110</t>
  </si>
  <si>
    <t>EMPLOYEE BENEFITS</t>
  </si>
  <si>
    <t>001120</t>
  </si>
  <si>
    <t>EMPLOYEE DEVELOPMENT</t>
  </si>
  <si>
    <t>001130</t>
  </si>
  <si>
    <t>HR DEVELOPMENT</t>
  </si>
  <si>
    <t>001140</t>
  </si>
  <si>
    <t>CLOSED 02/99 - HRIS ADMINISTRATION</t>
  </si>
  <si>
    <t>001150</t>
  </si>
  <si>
    <t>CLOSED 03/99 - CONTINUOUS IMPROVE</t>
  </si>
  <si>
    <t>001170</t>
  </si>
  <si>
    <t>LABOR RELATIONS</t>
  </si>
  <si>
    <t>001200</t>
  </si>
  <si>
    <t>VP-SALES  SVCE</t>
  </si>
  <si>
    <t>001205</t>
  </si>
  <si>
    <t>TRANSFERRED FROM RETAIL 2002</t>
  </si>
  <si>
    <t>001210</t>
  </si>
  <si>
    <t>CUSTOMER SVCE CENTER</t>
  </si>
  <si>
    <t>001215</t>
  </si>
  <si>
    <t>RESIDENTIAL SERVICE - LOU</t>
  </si>
  <si>
    <t>001220</t>
  </si>
  <si>
    <t>BUSINESS OFFICES - LGE</t>
  </si>
  <si>
    <t>001225</t>
  </si>
  <si>
    <t>TOTAL BUSINESS SERVICE - LGE</t>
  </si>
  <si>
    <t>001230</t>
  </si>
  <si>
    <t>CUSTOMER SERVICE</t>
  </si>
  <si>
    <t>001240</t>
  </si>
  <si>
    <t>REVENUE COLLECTION - LGE</t>
  </si>
  <si>
    <t>001250</t>
  </si>
  <si>
    <t>DIRECTOR - SALES AND ECONOMIC DEVELOPMENT</t>
  </si>
  <si>
    <t>001260</t>
  </si>
  <si>
    <t>CLOSED 05/98 - AUTO METER READING</t>
  </si>
  <si>
    <t>001270</t>
  </si>
  <si>
    <t>FIELD SERVICES</t>
  </si>
  <si>
    <t>001280</t>
  </si>
  <si>
    <t>METER READING - LGE</t>
  </si>
  <si>
    <t>001290</t>
  </si>
  <si>
    <t>COLLECTION/SERVICE</t>
  </si>
  <si>
    <t>001295</t>
  </si>
  <si>
    <t>FIELD SERVICE - LGE</t>
  </si>
  <si>
    <t>001300</t>
  </si>
  <si>
    <t>METER READING (OFF)</t>
  </si>
  <si>
    <t>001310</t>
  </si>
  <si>
    <t>SERVICE DISPATCH</t>
  </si>
  <si>
    <t>001320</t>
  </si>
  <si>
    <t>REVENUE PROTECTION - LGE</t>
  </si>
  <si>
    <t>001325</t>
  </si>
  <si>
    <t>DIRECTOR REVENUE COLLECTION - LGE</t>
  </si>
  <si>
    <t>001330</t>
  </si>
  <si>
    <t>FIELD CREDIT - LGE</t>
  </si>
  <si>
    <t>001335</t>
  </si>
  <si>
    <t>GROUP EXEC. - REGULATORY AFFAIRS - LGE</t>
  </si>
  <si>
    <t>001340</t>
  </si>
  <si>
    <t>DIRECTOR CUSTOMER SERVICE - LGE</t>
  </si>
  <si>
    <t>001345</t>
  </si>
  <si>
    <t>METER SHOP LGE</t>
  </si>
  <si>
    <t>001350</t>
  </si>
  <si>
    <t>MAJOR ACCOUNTS-INDUSTRIAL</t>
  </si>
  <si>
    <t>001351</t>
  </si>
  <si>
    <t>MAJOR ACCOUNTS-COMMERCIAL</t>
  </si>
  <si>
    <t>001360</t>
  </si>
  <si>
    <t>ECONOMIC DEVELOPMENT AND MAJOR ACCOUNTS - LGE</t>
  </si>
  <si>
    <t>001380</t>
  </si>
  <si>
    <t>MARKET RESEARCH - LGE</t>
  </si>
  <si>
    <t>001385</t>
  </si>
  <si>
    <t>PRODUCT MANAGEMENT - LGE</t>
  </si>
  <si>
    <t>001390</t>
  </si>
  <si>
    <t>MARKETING - LGE</t>
  </si>
  <si>
    <t>001400</t>
  </si>
  <si>
    <t>DIR-RATES / REG AFF</t>
  </si>
  <si>
    <t>001410</t>
  </si>
  <si>
    <t>REGULATORY AFFAIRS - LGE</t>
  </si>
  <si>
    <t>001420</t>
  </si>
  <si>
    <t>DEMAND SIDE MGMT-DSM</t>
  </si>
  <si>
    <t>001430</t>
  </si>
  <si>
    <t>CLOSED 12/99 - COORDINATOR / REGULATORY RELATIONS</t>
  </si>
  <si>
    <t>001440</t>
  </si>
  <si>
    <t>VP REGULATORY</t>
  </si>
  <si>
    <t>001450</t>
  </si>
  <si>
    <t>DIRECTOR-MARKETING</t>
  </si>
  <si>
    <t>001470</t>
  </si>
  <si>
    <t>HR DISTRIBUTION SVCS</t>
  </si>
  <si>
    <t>001475</t>
  </si>
  <si>
    <t>ORG. DEVEL. PERFORMANCE CONSULTANT - LGE</t>
  </si>
  <si>
    <t>001480</t>
  </si>
  <si>
    <t>FIELD HR-RTL OPS</t>
  </si>
  <si>
    <t>001485</t>
  </si>
  <si>
    <t>MANAGER - SAFETY AND TECHNICAL TRAINING</t>
  </si>
  <si>
    <t>002000</t>
  </si>
  <si>
    <t>ENERGY SERVICES SUPPORT - LGE</t>
  </si>
  <si>
    <t>002010</t>
  </si>
  <si>
    <t>HR POWER GENERATION</t>
  </si>
  <si>
    <t>002020</t>
  </si>
  <si>
    <t>GENERATION SUPPORT - LGE</t>
  </si>
  <si>
    <t>PE</t>
  </si>
  <si>
    <t>G.M.-CANE RUN, OHIO FALLS AND CT</t>
  </si>
  <si>
    <t>CR</t>
  </si>
  <si>
    <t>002040</t>
  </si>
  <si>
    <t>LGE CT ALLOCATION FROM BROWN</t>
  </si>
  <si>
    <t>BR CT</t>
  </si>
  <si>
    <t>002050</t>
  </si>
  <si>
    <t>CLOSED 03/00 - RESOURCE ALLOC/ADMIN</t>
  </si>
  <si>
    <t>002060</t>
  </si>
  <si>
    <t>CENT ENG/CONST MGMT</t>
  </si>
  <si>
    <t>GS</t>
  </si>
  <si>
    <t>002065</t>
  </si>
  <si>
    <t>SYSTEMS LABORATORIES</t>
  </si>
  <si>
    <t>002070</t>
  </si>
  <si>
    <t>CLOSED 12/00 - WELOB REDEPLOYMENT</t>
  </si>
  <si>
    <t>002080</t>
  </si>
  <si>
    <t>CLOSED 03/00 - ADMIN/ECONOMIC PERF</t>
  </si>
  <si>
    <t>002090</t>
  </si>
  <si>
    <t>CONST  SVCS DEPT</t>
  </si>
  <si>
    <t>002100</t>
  </si>
  <si>
    <t>CLOSED 03/00 - FACILITIES ENGINEERING</t>
  </si>
  <si>
    <t>002110</t>
  </si>
  <si>
    <t>ENGINEERING SUPPORT - KEEP PER SHANNON CHARNAS</t>
  </si>
  <si>
    <t>002120</t>
  </si>
  <si>
    <t>OHIO FALLS/COMB TURB</t>
  </si>
  <si>
    <t>OF</t>
  </si>
  <si>
    <t>002130</t>
  </si>
  <si>
    <t>OHIO FALLS</t>
  </si>
  <si>
    <t>OTH PROD OPR/MTCE</t>
  </si>
  <si>
    <t>LouCT</t>
  </si>
  <si>
    <t>002150</t>
  </si>
  <si>
    <t>SAFETY AND TECHNICAL TRAINING</t>
  </si>
  <si>
    <t>002160</t>
  </si>
  <si>
    <t>CLOSED 12/00 - WHOLESALE EXCELLENCE</t>
  </si>
  <si>
    <t>002170</t>
  </si>
  <si>
    <t>MAINTENANCE SERVICES</t>
  </si>
  <si>
    <t>002180</t>
  </si>
  <si>
    <t>CENTRAL MTCE-BOILER</t>
  </si>
  <si>
    <t>002190</t>
  </si>
  <si>
    <t>CENTR MTCE-PLANNING</t>
  </si>
  <si>
    <t>002200</t>
  </si>
  <si>
    <t>CLOSED 05/98 - CENTR MTCE-REP SHOP</t>
  </si>
  <si>
    <t>002210</t>
  </si>
  <si>
    <t>CENTR MTCE-ADMINIST</t>
  </si>
  <si>
    <t>002220</t>
  </si>
  <si>
    <t>CENTR MTCE-GARAGE</t>
  </si>
  <si>
    <t>002230</t>
  </si>
  <si>
    <t>MTCE SVCS-MECH MTCE</t>
  </si>
  <si>
    <t>002240</t>
  </si>
  <si>
    <t>MTCE SVCS-I/E</t>
  </si>
  <si>
    <t>002250</t>
  </si>
  <si>
    <t>CLOSED 05/98 - CENTR MTCE-LABORERS</t>
  </si>
  <si>
    <t>002260</t>
  </si>
  <si>
    <t>CLOSED 5/98 - REPAIR SHOP-MECH</t>
  </si>
  <si>
    <t>002270</t>
  </si>
  <si>
    <t>CLOSED 5/98 - REPAIR SHOP-I/E</t>
  </si>
  <si>
    <t>002280</t>
  </si>
  <si>
    <t>MGR. CANE RUN MAINTENANCE</t>
  </si>
  <si>
    <t>002281</t>
  </si>
  <si>
    <t>CANE RUN MECHANICAL MAINTENANCE</t>
  </si>
  <si>
    <t>002282</t>
  </si>
  <si>
    <t>CANE RUN I/E MAINTENANCE</t>
  </si>
  <si>
    <t>002300</t>
  </si>
  <si>
    <t>JEFFERSON COUNTY OPERATIONS</t>
  </si>
  <si>
    <t>002320</t>
  </si>
  <si>
    <t>MC-COMMON PLANT</t>
  </si>
  <si>
    <t>MC</t>
  </si>
  <si>
    <t>002330</t>
  </si>
  <si>
    <t>MC-ENGINEERING</t>
  </si>
  <si>
    <t>002340</t>
  </si>
  <si>
    <t>MC-OFF/ERT/SITE MTCE</t>
  </si>
  <si>
    <t>002350</t>
  </si>
  <si>
    <t>MC-LABORATORY</t>
  </si>
  <si>
    <t>002360</t>
  </si>
  <si>
    <t>BY PRODUCT C0MMON</t>
  </si>
  <si>
    <t>002370</t>
  </si>
  <si>
    <t>MC1-OPERATIONS</t>
  </si>
  <si>
    <t>002380</t>
  </si>
  <si>
    <t>MC2-OPERATIONS</t>
  </si>
  <si>
    <t>002390</t>
  </si>
  <si>
    <t>MC3-OPERATIONS</t>
  </si>
  <si>
    <t>002400</t>
  </si>
  <si>
    <t>MC4-OPERATIONS</t>
  </si>
  <si>
    <t>GEN. MGR. MILL CREEK STATION</t>
  </si>
  <si>
    <t>002420</t>
  </si>
  <si>
    <t>MC-BYPRODUCTS</t>
  </si>
  <si>
    <t>002430</t>
  </si>
  <si>
    <t>MC ADMINISTRATION</t>
  </si>
  <si>
    <t>002460</t>
  </si>
  <si>
    <t>BY PRODUCT RUNNING MTCE</t>
  </si>
  <si>
    <t>002480</t>
  </si>
  <si>
    <t>MGR. MILL CREEK MAINTENANCE</t>
  </si>
  <si>
    <t>002481</t>
  </si>
  <si>
    <t>MILL CREEK MECHANICAL MAINTENANCE</t>
  </si>
  <si>
    <t>002482</t>
  </si>
  <si>
    <t>MILL CREEK I/E MAINTENANCE</t>
  </si>
  <si>
    <t>002500</t>
  </si>
  <si>
    <t>FUEL BURNED FOR GENERATION</t>
  </si>
  <si>
    <t>002510</t>
  </si>
  <si>
    <t>CR-COMMON PLANT</t>
  </si>
  <si>
    <t>002520</t>
  </si>
  <si>
    <t>CR-ENGINEERING</t>
  </si>
  <si>
    <t>002530</t>
  </si>
  <si>
    <t>CR-OFF/ERT/SITE MTCE</t>
  </si>
  <si>
    <t>002540</t>
  </si>
  <si>
    <t>CR-LABORATORY</t>
  </si>
  <si>
    <t>002550</t>
  </si>
  <si>
    <t>CR ADMINISTRATION</t>
  </si>
  <si>
    <t>002560</t>
  </si>
  <si>
    <t>CR OPERATIONS</t>
  </si>
  <si>
    <t>002570</t>
  </si>
  <si>
    <t>CR5-OPERATIONS</t>
  </si>
  <si>
    <t>002580</t>
  </si>
  <si>
    <t>CR6-OPERATIONS</t>
  </si>
  <si>
    <t>002590</t>
  </si>
  <si>
    <t>CR-BYPRODUCTS</t>
  </si>
  <si>
    <t>002603</t>
  </si>
  <si>
    <t>FINC &amp; BUDGTNG - POWR PROD LG&amp;E</t>
  </si>
  <si>
    <t>GENERAL MANAGER - TC</t>
  </si>
  <si>
    <t>TC</t>
  </si>
  <si>
    <t>002651</t>
  </si>
  <si>
    <t>TC2 SUPPORT</t>
  </si>
  <si>
    <t>TRIMBLE COUNTY CTS</t>
  </si>
  <si>
    <t>TC CT</t>
  </si>
  <si>
    <t>002660</t>
  </si>
  <si>
    <t>TC-OFFICE/DATA REC</t>
  </si>
  <si>
    <t>002670</t>
  </si>
  <si>
    <t>TRIMBLE COUNTY - COMMERCIAL OPERATIONS</t>
  </si>
  <si>
    <t>002680</t>
  </si>
  <si>
    <t>TC-ENGINEERING</t>
  </si>
  <si>
    <t>002700</t>
  </si>
  <si>
    <t>TC-PROD SUPPORT</t>
  </si>
  <si>
    <t>002710</t>
  </si>
  <si>
    <t>TC-LABORATORY</t>
  </si>
  <si>
    <t>002720</t>
  </si>
  <si>
    <t>TC OPERATIONS</t>
  </si>
  <si>
    <t>002730</t>
  </si>
  <si>
    <t>TC OPER-A WATCH</t>
  </si>
  <si>
    <t>002740</t>
  </si>
  <si>
    <t>TC OPER-B WATCH</t>
  </si>
  <si>
    <t>002750</t>
  </si>
  <si>
    <t>TC OPER-C WATCH</t>
  </si>
  <si>
    <t>002760</t>
  </si>
  <si>
    <t>TC OPER-D WATCH</t>
  </si>
  <si>
    <t>002770</t>
  </si>
  <si>
    <t>TC-MAINTENANCE SVCS</t>
  </si>
  <si>
    <t>002780</t>
  </si>
  <si>
    <t>TC-MAINTENANCE I/E</t>
  </si>
  <si>
    <t>002790</t>
  </si>
  <si>
    <t>TC-MTCE MECHANICAL</t>
  </si>
  <si>
    <t>002800</t>
  </si>
  <si>
    <t>FUELS MANAGEMENT</t>
  </si>
  <si>
    <t>002810</t>
  </si>
  <si>
    <t>FUELS LITE MTCE</t>
  </si>
  <si>
    <t>002820</t>
  </si>
  <si>
    <t>MC-MATERIAL HANDLING</t>
  </si>
  <si>
    <t>002830</t>
  </si>
  <si>
    <t>CR-MATERIAL HANDLING</t>
  </si>
  <si>
    <t>002840</t>
  </si>
  <si>
    <t>TC-MATERIAL HANDLING</t>
  </si>
  <si>
    <t>002920</t>
  </si>
  <si>
    <t>INFO TECH-WHLSL ELEC</t>
  </si>
  <si>
    <t>002930</t>
  </si>
  <si>
    <t>SYSTEM CONTROL-MTCE</t>
  </si>
  <si>
    <t>002950</t>
  </si>
  <si>
    <t>UTILITY POWER SALES</t>
  </si>
  <si>
    <t>002960</t>
  </si>
  <si>
    <t>ELEC RESOURCE COORD</t>
  </si>
  <si>
    <t>002970</t>
  </si>
  <si>
    <t>GEN PLAN / SALES SUPPORT - KEEP PER SHANNON CHARNAS</t>
  </si>
  <si>
    <t>002980</t>
  </si>
  <si>
    <t>BULK POWER TRANSACTIONS</t>
  </si>
  <si>
    <t>002990</t>
  </si>
  <si>
    <t>TRIMBLE COUNTY 2 CONSTRUCTION - LGE</t>
  </si>
  <si>
    <t>003000</t>
  </si>
  <si>
    <t>VP-RTL ELECTRIC BUS</t>
  </si>
  <si>
    <t>003010</t>
  </si>
  <si>
    <t>ELEC SYS OPER CTR</t>
  </si>
  <si>
    <t>003020</t>
  </si>
  <si>
    <t>ELEC SYSTEM COORD</t>
  </si>
  <si>
    <t>003030</t>
  </si>
  <si>
    <t>SUBSTATION OPS.</t>
  </si>
  <si>
    <t>003040</t>
  </si>
  <si>
    <t>CLOSED 03/00 - SYSTEM ADMIN/ACCTNG</t>
  </si>
  <si>
    <t>003050</t>
  </si>
  <si>
    <t>SYS OPS SUPPORT</t>
  </si>
  <si>
    <t>003060</t>
  </si>
  <si>
    <t>TRANS SUBSTATION AND PROTECTION - LGE</t>
  </si>
  <si>
    <t>003065</t>
  </si>
  <si>
    <t>LGE TRANSMISSION 34.5KV</t>
  </si>
  <si>
    <t>TR</t>
  </si>
  <si>
    <t>003070</t>
  </si>
  <si>
    <t>LGE TRANSMISSION LINES</t>
  </si>
  <si>
    <t>003100</t>
  </si>
  <si>
    <t>SYST CONSTR/MTCE</t>
  </si>
  <si>
    <t>003110</t>
  </si>
  <si>
    <t>TRANSFORMERS SERVICES</t>
  </si>
  <si>
    <t>003130</t>
  </si>
  <si>
    <t>MANAGER - SUBSTATION C</t>
  </si>
  <si>
    <t>003140</t>
  </si>
  <si>
    <t>SUBSTATION CONTROL</t>
  </si>
  <si>
    <t>003150</t>
  </si>
  <si>
    <t>PROTECT RELAY GROUP</t>
  </si>
  <si>
    <t>003160</t>
  </si>
  <si>
    <t>SC M LOUISVILLE</t>
  </si>
  <si>
    <t>003170</t>
  </si>
  <si>
    <t>FIELD MAINTENANCE</t>
  </si>
  <si>
    <t>003180</t>
  </si>
  <si>
    <t>SUBSTATION FAC MAINT</t>
  </si>
  <si>
    <t>003190</t>
  </si>
  <si>
    <t>DISTRIBUTION 34.5KV</t>
  </si>
  <si>
    <t>003200</t>
  </si>
  <si>
    <t>NETWORK RESTORATION AND DISPATCH</t>
  </si>
  <si>
    <t>003210</t>
  </si>
  <si>
    <t>FORESTRY</t>
  </si>
  <si>
    <t>003220</t>
  </si>
  <si>
    <t>PWR QUALITY TESTING</t>
  </si>
  <si>
    <t>003230</t>
  </si>
  <si>
    <t>STORM RESTORATION</t>
  </si>
  <si>
    <t>003300</t>
  </si>
  <si>
    <t>LC&amp;M</t>
  </si>
  <si>
    <t>003310</t>
  </si>
  <si>
    <t>EAST TROUBLE AND POWER QUALITY</t>
  </si>
  <si>
    <t>003320</t>
  </si>
  <si>
    <t>ELECTRIC DIST. RELIABILITY AND ENGINEERING</t>
  </si>
  <si>
    <t>003330</t>
  </si>
  <si>
    <t>TROUBLE AND POWER QUALITY</t>
  </si>
  <si>
    <t>003340</t>
  </si>
  <si>
    <t>MANAGER ELECTRIC DIST. OPS.  - REPAIR AND MAINTAIN</t>
  </si>
  <si>
    <t>003350</t>
  </si>
  <si>
    <t>AUBURNDALE LCM</t>
  </si>
  <si>
    <t>003385</t>
  </si>
  <si>
    <t>LINE LOCATING</t>
  </si>
  <si>
    <t>003400</t>
  </si>
  <si>
    <t>OVERHEAD CONSTRUCTION CREWS</t>
  </si>
  <si>
    <t>003410</t>
  </si>
  <si>
    <t>JOINT TRENCH ENHANCE AND CONNECT NETWORK</t>
  </si>
  <si>
    <t>003420</t>
  </si>
  <si>
    <t>AUBURNDALE OPERATION CENTER LC AND M</t>
  </si>
  <si>
    <t>003430</t>
  </si>
  <si>
    <t>NETWORK OPS.  3PH COMMERCIAL</t>
  </si>
  <si>
    <t>003440</t>
  </si>
  <si>
    <t>UNDERGROUND CONSTRUCTION</t>
  </si>
  <si>
    <t>003450</t>
  </si>
  <si>
    <t>MANAGER ELECTRIC DIST. OPS.  - ENHANCE AND CONNECT</t>
  </si>
  <si>
    <t>003460</t>
  </si>
  <si>
    <t>EAST ELECTRIC DIST. ENHANCE AND CONNECT NETWORK</t>
  </si>
  <si>
    <t>003470</t>
  </si>
  <si>
    <t>PERFORMANCE METRICS</t>
  </si>
  <si>
    <t>003500</t>
  </si>
  <si>
    <t>T D-CSC</t>
  </si>
  <si>
    <t>003510</t>
  </si>
  <si>
    <t>CSC DIST OPERATIONS</t>
  </si>
  <si>
    <t>003520</t>
  </si>
  <si>
    <t>CSC DESIGN/RECORDS</t>
  </si>
  <si>
    <t>003530</t>
  </si>
  <si>
    <t>CSC UNDG CREWS</t>
  </si>
  <si>
    <t>003540</t>
  </si>
  <si>
    <t>CSC OVHD CREWS</t>
  </si>
  <si>
    <t>003550</t>
  </si>
  <si>
    <t>SUBSTATION ENGINEERING AND DESIGN</t>
  </si>
  <si>
    <t>003600</t>
  </si>
  <si>
    <t>SYSTEM ENGINEERING</t>
  </si>
  <si>
    <t>003605</t>
  </si>
  <si>
    <t>LGE ELECTRIC SYSTEM PLANNING AND ENGINEERING</t>
  </si>
  <si>
    <t>003610</t>
  </si>
  <si>
    <t>WORK PLANNING-DIST. - LGE</t>
  </si>
  <si>
    <t>003620</t>
  </si>
  <si>
    <t>CRM - RETAIL BUSINESSES</t>
  </si>
  <si>
    <t>003630</t>
  </si>
  <si>
    <t>ESD PROJECT MGMT</t>
  </si>
  <si>
    <t>003640</t>
  </si>
  <si>
    <t>DISTRIBUTION BUDGETING - LGE</t>
  </si>
  <si>
    <t>003650</t>
  </si>
  <si>
    <t>LGE METER SHOP</t>
  </si>
  <si>
    <t>003670</t>
  </si>
  <si>
    <t>SELF DIR SAFETY TEAM</t>
  </si>
  <si>
    <t>003700</t>
  </si>
  <si>
    <t>DIR-NEW PROD VENTURE</t>
  </si>
  <si>
    <t>003710</t>
  </si>
  <si>
    <t>MGR-RET ELEC MKT/SLS</t>
  </si>
  <si>
    <t>003720</t>
  </si>
  <si>
    <t>RESIDENTIAL SALES</t>
  </si>
  <si>
    <t>003800</t>
  </si>
  <si>
    <t>RES</t>
  </si>
  <si>
    <t>003810</t>
  </si>
  <si>
    <t>FORECAST/LOAD RESCH</t>
  </si>
  <si>
    <t>003820</t>
  </si>
  <si>
    <t>CLOSED 02/99 - TRANSMISSION PLAN</t>
  </si>
  <si>
    <t>003830</t>
  </si>
  <si>
    <t>DESIGN, CONST. AND MATERIAL STANDARDS-DIST. - LGE</t>
  </si>
  <si>
    <t>003840</t>
  </si>
  <si>
    <t>RESOURCE PLANNING</t>
  </si>
  <si>
    <t>003900</t>
  </si>
  <si>
    <t>CLOSED 05/01 - MARKET AND SALES</t>
  </si>
  <si>
    <t>003910</t>
  </si>
  <si>
    <t>CUSTOMIZED SALES AND SERVICE</t>
  </si>
  <si>
    <t>004010</t>
  </si>
  <si>
    <t>MANAGER GAS DIST. OPS.  - ENHANCE AND CONNECT</t>
  </si>
  <si>
    <t>004020</t>
  </si>
  <si>
    <t>GAS DISTRIBUTION ENHANCE AND CONNECT</t>
  </si>
  <si>
    <t>004030</t>
  </si>
  <si>
    <t>EAST GAS DIST. ENHANCE AND CONNECT</t>
  </si>
  <si>
    <t>004040</t>
  </si>
  <si>
    <t>GAS DIST. DESIGN</t>
  </si>
  <si>
    <t>004050</t>
  </si>
  <si>
    <t>GAS DIST. SPECIAL PROJECTS AND RIGHT OF WAY</t>
  </si>
  <si>
    <t>004060</t>
  </si>
  <si>
    <t>GAS DIST. CONTRACT CONSTRUCTION</t>
  </si>
  <si>
    <t>004140</t>
  </si>
  <si>
    <t>GAS DIST. ENGINEERING</t>
  </si>
  <si>
    <t>004150</t>
  </si>
  <si>
    <t>VP GAS SVC BUS</t>
  </si>
  <si>
    <t>004160</t>
  </si>
  <si>
    <t>MANAGER GAS DIST. OPS.  - REPAIR AND MAINTAIN</t>
  </si>
  <si>
    <t>004170</t>
  </si>
  <si>
    <t>GAS DISTRIBUTION  - BROADWAY</t>
  </si>
  <si>
    <t>004180</t>
  </si>
  <si>
    <t>EAST GAS DIST. REPAIR AND MAINTAIN</t>
  </si>
  <si>
    <t>004190</t>
  </si>
  <si>
    <t>GAS DIST OPRS-REPAIR AND MAINTAIN</t>
  </si>
  <si>
    <t>004200</t>
  </si>
  <si>
    <t>AUBURNDALE GAS DIST. REPAIR AND MAINTAIN</t>
  </si>
  <si>
    <t>004210</t>
  </si>
  <si>
    <t>SVC DEL-MULDRAUGH</t>
  </si>
  <si>
    <t>004220</t>
  </si>
  <si>
    <t>SVC DEL-BARDSTOWN</t>
  </si>
  <si>
    <t>004230</t>
  </si>
  <si>
    <t>CONTRACT CONSTR (DISABLE AFTER CONVERSION)</t>
  </si>
  <si>
    <t>004250</t>
  </si>
  <si>
    <t>GAS TROUBLE</t>
  </si>
  <si>
    <t>004270</t>
  </si>
  <si>
    <t>GAS DISPATCH</t>
  </si>
  <si>
    <t>004280</t>
  </si>
  <si>
    <t>004290</t>
  </si>
  <si>
    <t>METER SHOP</t>
  </si>
  <si>
    <t>004350</t>
  </si>
  <si>
    <t>DIR-OPERATIONS SUPP.</t>
  </si>
  <si>
    <t>004360</t>
  </si>
  <si>
    <t>OPERATIONS SUPPORT</t>
  </si>
  <si>
    <t>004370</t>
  </si>
  <si>
    <t>MAPPING/RECORDS</t>
  </si>
  <si>
    <t>004380</t>
  </si>
  <si>
    <t>GAS-ENGINEERS</t>
  </si>
  <si>
    <t>004385</t>
  </si>
  <si>
    <t>PIPELINE INTEGRITY</t>
  </si>
  <si>
    <t>004390</t>
  </si>
  <si>
    <t>MANAGER IT</t>
  </si>
  <si>
    <t>004400</t>
  </si>
  <si>
    <t>GAS BUS DEVELOPMENT</t>
  </si>
  <si>
    <t>004410</t>
  </si>
  <si>
    <t>GAS SALES</t>
  </si>
  <si>
    <t>004420</t>
  </si>
  <si>
    <t>NEW GAS BUSINESS</t>
  </si>
  <si>
    <t>004430</t>
  </si>
  <si>
    <t>CLOSED 10/99 - GAS MARKETING</t>
  </si>
  <si>
    <t>004450</t>
  </si>
  <si>
    <t>CORROSION CONTROL</t>
  </si>
  <si>
    <t>004460</t>
  </si>
  <si>
    <t>CLOSED 03/01 - DIRECTOR GAS CONTROL AND STORAGE</t>
  </si>
  <si>
    <t>004470</t>
  </si>
  <si>
    <t>MULDRAUGH STORAGE</t>
  </si>
  <si>
    <t>004475</t>
  </si>
  <si>
    <t>DIR. GAS CONTROL AND STORAGE - LGE</t>
  </si>
  <si>
    <t>004480</t>
  </si>
  <si>
    <t>MAGNOLIA STORAGE</t>
  </si>
  <si>
    <t>004490</t>
  </si>
  <si>
    <t>GAS CONTROL</t>
  </si>
  <si>
    <t>004500</t>
  </si>
  <si>
    <t>INSTR., MEASUREMENT</t>
  </si>
  <si>
    <t>004510</t>
  </si>
  <si>
    <t>SYSTEM REGULATION  OPERATION</t>
  </si>
  <si>
    <t>004560</t>
  </si>
  <si>
    <t>GAS PROCUREMENT</t>
  </si>
  <si>
    <t>004570</t>
  </si>
  <si>
    <t>GAS SUPPLY</t>
  </si>
  <si>
    <t>004600</t>
  </si>
  <si>
    <t>GAS REGULATORY SERVICES</t>
  </si>
  <si>
    <t>005000</t>
  </si>
  <si>
    <t>SR. V.P. HR AND ADMIN.</t>
  </si>
  <si>
    <t>005055</t>
  </si>
  <si>
    <t>VP SUPPLY CHAIN AND OPERATING SERVICES - LGE</t>
  </si>
  <si>
    <t>005100</t>
  </si>
  <si>
    <t>OPERATING SERVICES</t>
  </si>
  <si>
    <t>005110</t>
  </si>
  <si>
    <t>SUPPLY CHAIN</t>
  </si>
  <si>
    <t>005115</t>
  </si>
  <si>
    <t>SOURCING SUPPORT</t>
  </si>
  <si>
    <t>005120</t>
  </si>
  <si>
    <t>STRATEGIC SOURCING</t>
  </si>
  <si>
    <t>005125</t>
  </si>
  <si>
    <t>PROCUREMENTS AND MAJOR CONTRACTS - LGE</t>
  </si>
  <si>
    <t>005130</t>
  </si>
  <si>
    <t>INVENTORY MGMT</t>
  </si>
  <si>
    <t>005140</t>
  </si>
  <si>
    <t>STORES 99</t>
  </si>
  <si>
    <t>005150</t>
  </si>
  <si>
    <t>CLOSED 05/01 - STORES</t>
  </si>
  <si>
    <t>005160</t>
  </si>
  <si>
    <t>STORES-BOC OFFICE</t>
  </si>
  <si>
    <t>005170</t>
  </si>
  <si>
    <t>STORES 05</t>
  </si>
  <si>
    <t>005180</t>
  </si>
  <si>
    <t>STORES 10</t>
  </si>
  <si>
    <t>005190</t>
  </si>
  <si>
    <t>STORES 15</t>
  </si>
  <si>
    <t>005200</t>
  </si>
  <si>
    <t>MAT'L MGMT-INV ADJ</t>
  </si>
  <si>
    <t>005210</t>
  </si>
  <si>
    <t>CLOSED 05/01 - STORES 01</t>
  </si>
  <si>
    <t>005220</t>
  </si>
  <si>
    <t>CLOSED 05/01 - STORES 03</t>
  </si>
  <si>
    <t>005230</t>
  </si>
  <si>
    <t>CLOSED 05/01 - STORES 07</t>
  </si>
  <si>
    <t>005240</t>
  </si>
  <si>
    <t>INVESTMENT RECOVERY</t>
  </si>
  <si>
    <t>005260</t>
  </si>
  <si>
    <t>FACILITIES MANAGMENT</t>
  </si>
  <si>
    <t>005270</t>
  </si>
  <si>
    <t>OTH MISC FACILITIES</t>
  </si>
  <si>
    <t>005280</t>
  </si>
  <si>
    <t>FAC MTCE-ESC</t>
  </si>
  <si>
    <t>005290</t>
  </si>
  <si>
    <t>FACILITIES SERVICES EAST</t>
  </si>
  <si>
    <t>005300</t>
  </si>
  <si>
    <t>FAC MTCE-CSC</t>
  </si>
  <si>
    <t>005310</t>
  </si>
  <si>
    <t>FACILITIES MTCE</t>
  </si>
  <si>
    <t>005320</t>
  </si>
  <si>
    <t>FIRE PROTECTION</t>
  </si>
  <si>
    <t>005330</t>
  </si>
  <si>
    <t>FAC MTCE-ASC</t>
  </si>
  <si>
    <t>005410</t>
  </si>
  <si>
    <t>TRANSPORTATION</t>
  </si>
  <si>
    <t>005420</t>
  </si>
  <si>
    <t>CLOSED 05/01 - TRANSP-BOC-2ND SHIFT</t>
  </si>
  <si>
    <t>005430</t>
  </si>
  <si>
    <t>TRANSP-CSC-1ST SHIFT</t>
  </si>
  <si>
    <t>005440</t>
  </si>
  <si>
    <t>TRANSP-CSC-2ND SHIFT</t>
  </si>
  <si>
    <t>005450</t>
  </si>
  <si>
    <t>TRANSP-ESC-1ST SHIFT</t>
  </si>
  <si>
    <t>005460</t>
  </si>
  <si>
    <t>TRANSP-ESC-2ND SHIFT</t>
  </si>
  <si>
    <t>005470</t>
  </si>
  <si>
    <t>TRANSP-SSC-1ST SHIFT</t>
  </si>
  <si>
    <t>005480</t>
  </si>
  <si>
    <t>TRANSP-SSC-2ND SHIFT</t>
  </si>
  <si>
    <t>005490</t>
  </si>
  <si>
    <t>TRANSP-MC-1ST  SHIFT</t>
  </si>
  <si>
    <t>005500</t>
  </si>
  <si>
    <t>TRANS-MUL/MAG-2ND SH</t>
  </si>
  <si>
    <t>005530</t>
  </si>
  <si>
    <t>PROJECT / MAINTENANCE PLANNING</t>
  </si>
  <si>
    <t>005540</t>
  </si>
  <si>
    <t>FACILITIES SERVICES NORTH</t>
  </si>
  <si>
    <t>005550</t>
  </si>
  <si>
    <t>FACILITIES SERVICES CENTRAL</t>
  </si>
  <si>
    <t>005560</t>
  </si>
  <si>
    <t>OFFICE SERVICES - LGE</t>
  </si>
  <si>
    <t>005570</t>
  </si>
  <si>
    <t>OUTSOURCED CONTRACT - LGE</t>
  </si>
  <si>
    <t>005580</t>
  </si>
  <si>
    <t>REAL EST/RGHT OF WAY</t>
  </si>
  <si>
    <t>005590</t>
  </si>
  <si>
    <t>CORP SECURITY</t>
  </si>
  <si>
    <t>005620</t>
  </si>
  <si>
    <t>OCC HEALTH/SAFETY SV</t>
  </si>
  <si>
    <t>005630</t>
  </si>
  <si>
    <t>CLEAN AIR ACT COMPL</t>
  </si>
  <si>
    <t>005640</t>
  </si>
  <si>
    <t>ENVIRONMNTL SCIENCE</t>
  </si>
  <si>
    <t>005650</t>
  </si>
  <si>
    <t>ENVIRONMENTAL AFFAIRS - LGE</t>
  </si>
  <si>
    <t>006000</t>
  </si>
  <si>
    <t>CHIEF FINANCE OFFICER</t>
  </si>
  <si>
    <t>006010</t>
  </si>
  <si>
    <t>FORECASTING</t>
  </si>
  <si>
    <t>006011</t>
  </si>
  <si>
    <t>BUDGETING</t>
  </si>
  <si>
    <t>006020</t>
  </si>
  <si>
    <t>FIN PLANNING AND BUDGT</t>
  </si>
  <si>
    <t>006030</t>
  </si>
  <si>
    <t>CLOSED 11/98 - BUS/MKT PL/COM ASSES</t>
  </si>
  <si>
    <t>006040</t>
  </si>
  <si>
    <t>LGE UTILITY TAX</t>
  </si>
  <si>
    <t>006050</t>
  </si>
  <si>
    <t>SR. VP FINANCE AND BUSINESS DEVELOPMENT</t>
  </si>
  <si>
    <t>006060</t>
  </si>
  <si>
    <t>UTILITY POWER SALES ACCOUNTING</t>
  </si>
  <si>
    <t>006100</t>
  </si>
  <si>
    <t>VP AND CONTROLLER</t>
  </si>
  <si>
    <t>006110</t>
  </si>
  <si>
    <t>FINANCIAL SYSTEMS</t>
  </si>
  <si>
    <t>006120</t>
  </si>
  <si>
    <t>PROPERTY ACCOUNTING</t>
  </si>
  <si>
    <t>006130</t>
  </si>
  <si>
    <t>DIRECTOR-UTILITY FINANCIAL REPT</t>
  </si>
  <si>
    <t>006140</t>
  </si>
  <si>
    <t>CLOSED 03/99 - ACCTNG SYS/SPEC BILL</t>
  </si>
  <si>
    <t>006150</t>
  </si>
  <si>
    <t>GENERAL ACCOUNTING</t>
  </si>
  <si>
    <t>006160</t>
  </si>
  <si>
    <t>ACCTNG/ FIN REPORTS</t>
  </si>
  <si>
    <t>006170</t>
  </si>
  <si>
    <t>CUSTOMER ACCOUNTING - LGE</t>
  </si>
  <si>
    <t>006180</t>
  </si>
  <si>
    <t>REVENUE ACCOUNTING - LGE</t>
  </si>
  <si>
    <t>006200</t>
  </si>
  <si>
    <t>ACCOUNTS PAYABLE</t>
  </si>
  <si>
    <t>006240</t>
  </si>
  <si>
    <t>LPM CLEARING</t>
  </si>
  <si>
    <t>006250</t>
  </si>
  <si>
    <t>CORPORATE</t>
  </si>
  <si>
    <t>006260</t>
  </si>
  <si>
    <t>CORPORATE-OVERHEADS</t>
  </si>
  <si>
    <t>006262</t>
  </si>
  <si>
    <t>CORPORATE - BOC AND SERV CTR ALLOC</t>
  </si>
  <si>
    <t>006264</t>
  </si>
  <si>
    <t>CORPORATE - TRIMBLE COUNTY ALLOC</t>
  </si>
  <si>
    <t>006265</t>
  </si>
  <si>
    <t>CORPORATE - TRMS ALLOCATION</t>
  </si>
  <si>
    <t>006270</t>
  </si>
  <si>
    <t>HOLDING CO-CLEARINGS</t>
  </si>
  <si>
    <t>006280</t>
  </si>
  <si>
    <t>RESP REPT CLEARINGS</t>
  </si>
  <si>
    <t>006290</t>
  </si>
  <si>
    <t>INTERCO CHG/ENG CORP</t>
  </si>
  <si>
    <t>006291</t>
  </si>
  <si>
    <t>CLOSED 05/01 - CHARGES FROM KU</t>
  </si>
  <si>
    <t>006292</t>
  </si>
  <si>
    <t>CLOSED 05/01 - CHARGES FROM WKEC</t>
  </si>
  <si>
    <t>006293</t>
  </si>
  <si>
    <t>CLOSED 05/01 - CHARGES FROM LPI</t>
  </si>
  <si>
    <t>006294</t>
  </si>
  <si>
    <t>CHARGES FROM LEM</t>
  </si>
  <si>
    <t>006310</t>
  </si>
  <si>
    <t>PAYROLL</t>
  </si>
  <si>
    <t>006320</t>
  </si>
  <si>
    <t>REMITTANCE - LGE</t>
  </si>
  <si>
    <t>006330</t>
  </si>
  <si>
    <t>FINANCE</t>
  </si>
  <si>
    <t>006350</t>
  </si>
  <si>
    <t>RISK MGMT AND CLAIMS</t>
  </si>
  <si>
    <t>006360</t>
  </si>
  <si>
    <t>TREASURER</t>
  </si>
  <si>
    <t>006400</t>
  </si>
  <si>
    <t>DIR-INTERNAL AUDIT</t>
  </si>
  <si>
    <t>006450</t>
  </si>
  <si>
    <t>CLOSED 11/98 - VP BUS INTEGRATION</t>
  </si>
  <si>
    <t>006490</t>
  </si>
  <si>
    <t>IS ROLLUP</t>
  </si>
  <si>
    <t>006500</t>
  </si>
  <si>
    <t>IT SECURITY</t>
  </si>
  <si>
    <t>006510</t>
  </si>
  <si>
    <t>ITD SHARED SVCS</t>
  </si>
  <si>
    <t>006520</t>
  </si>
  <si>
    <t>ITD ENERGY MARKETING</t>
  </si>
  <si>
    <t>006530</t>
  </si>
  <si>
    <t>ITD POWER GEN</t>
  </si>
  <si>
    <t>006540</t>
  </si>
  <si>
    <t>ITD DISTRIBUTION OPERATIONS</t>
  </si>
  <si>
    <t>006550</t>
  </si>
  <si>
    <t>DIR-IT DEVELOPMENT</t>
  </si>
  <si>
    <t>006560</t>
  </si>
  <si>
    <t>ITD RETAIL BUSINESSES</t>
  </si>
  <si>
    <t>006570</t>
  </si>
  <si>
    <t>YEAR 2000</t>
  </si>
  <si>
    <t>006580</t>
  </si>
  <si>
    <t>ITD FIN AND MATERIALS</t>
  </si>
  <si>
    <t>006590</t>
  </si>
  <si>
    <t>ITD WKE FIN AND MATERIALS</t>
  </si>
  <si>
    <t>006600</t>
  </si>
  <si>
    <t>DIR IT OPERATIONS</t>
  </si>
  <si>
    <t>006610</t>
  </si>
  <si>
    <t>IT DESKTOP OPERATIONS</t>
  </si>
  <si>
    <t>006620</t>
  </si>
  <si>
    <t>IT PRODUCTION</t>
  </si>
  <si>
    <t>006630</t>
  </si>
  <si>
    <t>NETWORK ARCHITECTURE</t>
  </si>
  <si>
    <t>006640</t>
  </si>
  <si>
    <t>TECHNOLOGY SUPPORT SERVICES</t>
  </si>
  <si>
    <t>006650</t>
  </si>
  <si>
    <t>COMPUTING ARCHITECTURE - LGE</t>
  </si>
  <si>
    <t>006700</t>
  </si>
  <si>
    <t>IT RESEARCH AND MIGRATION PLANNING</t>
  </si>
  <si>
    <t>006710</t>
  </si>
  <si>
    <t>IT PROGRAM MGMT. AND FINANCE</t>
  </si>
  <si>
    <t>006720</t>
  </si>
  <si>
    <t>IT MIGRATION PLANNING</t>
  </si>
  <si>
    <t>006730</t>
  </si>
  <si>
    <t>CRM - SHARED SERVICES</t>
  </si>
  <si>
    <t>006750</t>
  </si>
  <si>
    <t>IT WEBMASTER AND ADMIN.</t>
  </si>
  <si>
    <t>006760</t>
  </si>
  <si>
    <t>IT TRAINING - LGE</t>
  </si>
  <si>
    <t>006850</t>
  </si>
  <si>
    <t>EXTERNAL AFFAIRS</t>
  </si>
  <si>
    <t>006900</t>
  </si>
  <si>
    <t>EX VP-GEN CNSL/C SEC</t>
  </si>
  <si>
    <t>006910</t>
  </si>
  <si>
    <t>CORPORATE LAW</t>
  </si>
  <si>
    <t>006920</t>
  </si>
  <si>
    <t>LGE CORPORATE COMMUNICATIONS</t>
  </si>
  <si>
    <t>006930</t>
  </si>
  <si>
    <t>INTERNAL COMMUNICATIONS</t>
  </si>
  <si>
    <t>006940</t>
  </si>
  <si>
    <t>MARKETING COMMUNICATIONS</t>
  </si>
  <si>
    <t>006950</t>
  </si>
  <si>
    <t>PUBLIC INFORMATION</t>
  </si>
  <si>
    <t>006960</t>
  </si>
  <si>
    <t>CLOSED 02/99 - ADVERT/CUSTOMER COMM</t>
  </si>
  <si>
    <t>008510</t>
  </si>
  <si>
    <t>CLOSED 12/04 - LGE DISTRIBUTION CHARGES FROM SERVCO</t>
  </si>
  <si>
    <t>008520</t>
  </si>
  <si>
    <t>CLOSED 12/04 - LGE GENERATION CHARGES FROM SERVCO</t>
  </si>
  <si>
    <t>008521</t>
  </si>
  <si>
    <t>CLOSED 10/05 - MILL CREEK CHARGES FROM SERVCO</t>
  </si>
  <si>
    <t>008522</t>
  </si>
  <si>
    <t>CLOSED 10/05 - CANE RUN CHARGES FROM SERVCO</t>
  </si>
  <si>
    <t>008523</t>
  </si>
  <si>
    <t>CLOSED 10/05 - TRIMBLE COUNTY CHARGES FROM SERVCO</t>
  </si>
  <si>
    <t>008524</t>
  </si>
  <si>
    <t>CLOSED 10/05 - OHIO FALLS/LOU CTS CHARGES FROM SERVCO</t>
  </si>
  <si>
    <t>008525</t>
  </si>
  <si>
    <t>CLOSED 10/05 - LGE CT INTERCO FROM SERVCO</t>
  </si>
  <si>
    <t>008530</t>
  </si>
  <si>
    <t>CLOSED 12/04 - LGE TRANSMISSION CHARGES FROM SERVCO</t>
  </si>
  <si>
    <t>008540</t>
  </si>
  <si>
    <t>CLOSED 12/04 - LGE METERING CHARGES FROM SERVCO</t>
  </si>
  <si>
    <t>008550</t>
  </si>
  <si>
    <t>CLOSED 12/04 - LGE RETAIL BUSINESS CHARGES FROM SERVCO</t>
  </si>
  <si>
    <t>008560</t>
  </si>
  <si>
    <t>CLOSED 12/04 - LGE COST DRIVER ASSIGNMENTS FROM SERVCO</t>
  </si>
  <si>
    <t>008570</t>
  </si>
  <si>
    <t>CLOSED 12/04 - LGE CORPORATE CHARGES FROM SERVCO</t>
  </si>
  <si>
    <t>008580</t>
  </si>
  <si>
    <t>CLOSED 12/04 - LGE MRMD CHARGES FROM SERVCO</t>
  </si>
  <si>
    <t>008585</t>
  </si>
  <si>
    <t>CLOSED 12/04 - LGE PROJECT DEVELOPMENT CHARGES FROM SERVCO</t>
  </si>
  <si>
    <t>008590</t>
  </si>
  <si>
    <t>CLOSED 12/04 - LGE CAPITAL FROM SERVCO</t>
  </si>
  <si>
    <t>008595</t>
  </si>
  <si>
    <t>CLOSED 12/04 - VDT WORKFORCE REDUCTIONS - LGE</t>
  </si>
  <si>
    <t>008810</t>
  </si>
  <si>
    <t>LGE DISTRIBUTION CHARGES FROM SERVCO</t>
  </si>
  <si>
    <t>008820</t>
  </si>
  <si>
    <t>LGE GENERATION CHARGES FROM SERVCO</t>
  </si>
  <si>
    <t>008825</t>
  </si>
  <si>
    <t>LGE GENERATION SERVICES CHARGES FROM SERVCO</t>
  </si>
  <si>
    <t>008826</t>
  </si>
  <si>
    <t>LGE FUELS CHARGES FROM SERVCO</t>
  </si>
  <si>
    <t>008827</t>
  </si>
  <si>
    <t>LGE PROJECT ENGINEERING CHARGES FROM SERVCO</t>
  </si>
  <si>
    <t>008830</t>
  </si>
  <si>
    <t>LGE TRANSMISSION CHARGES FROM SERVCO</t>
  </si>
  <si>
    <t>008840</t>
  </si>
  <si>
    <t>LGE METERING CHARGES FROM SERVCO</t>
  </si>
  <si>
    <t>008850</t>
  </si>
  <si>
    <t>LGE RETAIL BUSINESS CHARGES FROM SERVCO</t>
  </si>
  <si>
    <t>008870</t>
  </si>
  <si>
    <t>LGE CORPORATE CHARGES FROM SERVCO</t>
  </si>
  <si>
    <t>008880</t>
  </si>
  <si>
    <t>LGE MRMD CHARGES FROM SERVCO</t>
  </si>
  <si>
    <t>008885</t>
  </si>
  <si>
    <t>LGE DEVELOPMENT CHARGES FROM SERVCO</t>
  </si>
  <si>
    <t>008890</t>
  </si>
  <si>
    <t>LGE OPERATING SERVICES CHARGES FROM SERVCO</t>
  </si>
  <si>
    <t>008900</t>
  </si>
  <si>
    <t>LGE CEO CHARGES FROM SERVCO</t>
  </si>
  <si>
    <t>008910</t>
  </si>
  <si>
    <t>LGE IT CHARGES FROM SERVCO</t>
  </si>
  <si>
    <t>008915</t>
  </si>
  <si>
    <t>LGE ENTERPRISE PROCESS INTEGRATION CHARGES FROM SERVCO</t>
  </si>
  <si>
    <t>008920</t>
  </si>
  <si>
    <t>LGE GENERAL COUNSEL CHARGES FROM SERVCO</t>
  </si>
  <si>
    <t>008930</t>
  </si>
  <si>
    <t>LGE LEGAL CHARGES FROM SERVCO</t>
  </si>
  <si>
    <t>008935</t>
  </si>
  <si>
    <t>LGE COMPLIANCE CHARGES FROM SERVCO</t>
  </si>
  <si>
    <t>008940</t>
  </si>
  <si>
    <t>LGE CORP COMMUNICATION CHARGES FORM SERVCO</t>
  </si>
  <si>
    <t>008950</t>
  </si>
  <si>
    <t>LGE EXTERNAL AFFAIRS CHARGES FROM SERVCO</t>
  </si>
  <si>
    <t>008960</t>
  </si>
  <si>
    <t>LGE REGULATORY CHARGES FROM SERVCO</t>
  </si>
  <si>
    <t>008970</t>
  </si>
  <si>
    <t>LGE ENVIRONMENTAL CHARGES FROM SERVCO</t>
  </si>
  <si>
    <t>008980</t>
  </si>
  <si>
    <t>LGE HUMAN RESOURCES CHARGES FROM SERVCO</t>
  </si>
  <si>
    <t>008990</t>
  </si>
  <si>
    <t>LGE FINANCE CHARGES FROM SERVCO</t>
  </si>
  <si>
    <t>008995</t>
  </si>
  <si>
    <t>LGE SUPPLY CHAIN CHARGES FROM SERVCO</t>
  </si>
  <si>
    <t>009000</t>
  </si>
  <si>
    <t>CLOSED 06/01 - CHAIRMAN</t>
  </si>
  <si>
    <t>009010</t>
  </si>
  <si>
    <t>CLOSED 06/01 - DIR-BUSINESS DEVELOP</t>
  </si>
  <si>
    <t>009020</t>
  </si>
  <si>
    <t>CLOSED 06/01 - SHAREHOLDER RELATION</t>
  </si>
  <si>
    <t>009030</t>
  </si>
  <si>
    <t>CLOSED 06/01 - SR VP-HR AND ADMIN</t>
  </si>
  <si>
    <t>009032</t>
  </si>
  <si>
    <t>CLOSED 06/01 - LEC OPERATING SERVICES</t>
  </si>
  <si>
    <t>009033</t>
  </si>
  <si>
    <t>CLOSED 06/01 - CAO INTERCOMPANY CHARGES</t>
  </si>
  <si>
    <t>009035</t>
  </si>
  <si>
    <t>CLOSED 06/01 - GROUP EXEC. - RETAIL BUSINESS - LEC</t>
  </si>
  <si>
    <t>009040</t>
  </si>
  <si>
    <t>CLOSED 06/01 - EX VP/GEN CNSL/C SEC</t>
  </si>
  <si>
    <t>009050</t>
  </si>
  <si>
    <t>CLOSED 06/01 - CORP VP FIN/TREASURER</t>
  </si>
  <si>
    <t>009060</t>
  </si>
  <si>
    <t>CLOSED 06/01 - CORP. INTERNAL AUDIT</t>
  </si>
  <si>
    <t>009070</t>
  </si>
  <si>
    <t>CLOSED 12/99 - TRADE FIN/CASH MGMT</t>
  </si>
  <si>
    <t>009080</t>
  </si>
  <si>
    <t>CLOSED 06/01 - CORPORATE FINANCE</t>
  </si>
  <si>
    <t>009090</t>
  </si>
  <si>
    <t>CLOSED 06/01 - DIR-CORP COMMUN</t>
  </si>
  <si>
    <t>009100</t>
  </si>
  <si>
    <t>CLOSED 06/01 - DIRECTOR CORPORATE TAX</t>
  </si>
  <si>
    <t>009110</t>
  </si>
  <si>
    <t>CLOSED 06/01 - CORP RISK MGMT/CLAIM</t>
  </si>
  <si>
    <t>009120</t>
  </si>
  <si>
    <t>CLOSED 06/01 - CHIEF FINANC OFFICER</t>
  </si>
  <si>
    <t>009130</t>
  </si>
  <si>
    <t>CLOSED 11/98 - DIR OF INTERNAL AUDITING</t>
  </si>
  <si>
    <t>009140</t>
  </si>
  <si>
    <t>CLOSED 06/01 - FINANCIAL PLANNING/BUDGETING</t>
  </si>
  <si>
    <t>009150</t>
  </si>
  <si>
    <t>CLOSED 06/01 - FINANCIAL MGR-ARGENTINA</t>
  </si>
  <si>
    <t>009160</t>
  </si>
  <si>
    <t>CLOSED 11/98 - FINAN/CONTRACT AUDIT</t>
  </si>
  <si>
    <t>009180</t>
  </si>
  <si>
    <t>CLOSED 06/01 - VP-BUSINESS DEVELOP.</t>
  </si>
  <si>
    <t>009190</t>
  </si>
  <si>
    <t>CLOSED 06/01 - MGR TAX ACCT</t>
  </si>
  <si>
    <t>009200</t>
  </si>
  <si>
    <t>CLOSED 03/99 - GRP PRES-ENERGY MKTG</t>
  </si>
  <si>
    <t>009210</t>
  </si>
  <si>
    <t>CLOSED 06/01 - CORP DIR-HR</t>
  </si>
  <si>
    <t>009220</t>
  </si>
  <si>
    <t>CLOSED 06/01 - SR. VP FINANCE AND BUSINESS DEVELOPMENT</t>
  </si>
  <si>
    <t>009230</t>
  </si>
  <si>
    <t>CLOSED 06/01 - INVESTOR RELATIONS</t>
  </si>
  <si>
    <t>009240</t>
  </si>
  <si>
    <t>CLOSED 06/01 - SR VP POWER OPER</t>
  </si>
  <si>
    <t>009250</t>
  </si>
  <si>
    <t>CLOSED 06/01 - DIVISION HR DIRECTOR</t>
  </si>
  <si>
    <t>009255</t>
  </si>
  <si>
    <t>CLOSED 06/01 - CORPORATE RECRUITING</t>
  </si>
  <si>
    <t>009260</t>
  </si>
  <si>
    <t>CLOSED 03/99 - VP- HUMAN RESOURCES</t>
  </si>
  <si>
    <t>009270</t>
  </si>
  <si>
    <t>CLOSED 06/01 - MGR-FORECAST / INVEST ANAL</t>
  </si>
  <si>
    <t>009275</t>
  </si>
  <si>
    <t>CLOSED 06/01 - FINANCIAL ANALYSIS - BUSINESS DEVELOPMENT</t>
  </si>
  <si>
    <t>009280</t>
  </si>
  <si>
    <t>CLOSED 06/01 - COMPENSATION SYTEMS</t>
  </si>
  <si>
    <t>009290</t>
  </si>
  <si>
    <t>CLOSED 06/01 - ORGANIZATIONAL DEVELOPMENT - LEC</t>
  </si>
  <si>
    <t>009295</t>
  </si>
  <si>
    <t>CLOSED 06/01 - LEADERSHIP DEVELOPMENT PROGRAM</t>
  </si>
  <si>
    <t>009300</t>
  </si>
  <si>
    <t>CLOSED 06/01 - HR CONTINUOUS IMPROVEMENT</t>
  </si>
  <si>
    <t>009310</t>
  </si>
  <si>
    <t>CLOSED 06/01 - POLICY AND COMPLIANC</t>
  </si>
  <si>
    <t>009315</t>
  </si>
  <si>
    <t>CLOSED 06/01 - MGR. - HR SERVICES</t>
  </si>
  <si>
    <t>009320</t>
  </si>
  <si>
    <t>CLOSED 06/01 - DIR. IT OPERATIONS</t>
  </si>
  <si>
    <t>009330</t>
  </si>
  <si>
    <t>CLOSED 06/01 - SVP AND DEPUTY GENERAL COUNSEL</t>
  </si>
  <si>
    <t>009335</t>
  </si>
  <si>
    <t>CLOSED 06/01 - GROUP EXEC. - REGULATORY AFFAIRS - LEC</t>
  </si>
  <si>
    <t>009340</t>
  </si>
  <si>
    <t>CLOSED 03/98 - EXE VP-PLANG AND DEVEL</t>
  </si>
  <si>
    <t>009350</t>
  </si>
  <si>
    <t>CLOSED 06/01 - PROD AND SVCS DEVELPMT</t>
  </si>
  <si>
    <t>009360</t>
  </si>
  <si>
    <t>CLOSED 06/01 - STRATEGIC PLANNING</t>
  </si>
  <si>
    <t>009365</t>
  </si>
  <si>
    <t>CLOSED 06/01 - SR. VP - STRATEGIC PLANNING - LEC</t>
  </si>
  <si>
    <t>009370</t>
  </si>
  <si>
    <t>CLOSED 06/01 - IT ENERGY ROLLUP</t>
  </si>
  <si>
    <t>009380</t>
  </si>
  <si>
    <t>CLOSED 03/99 - PRESS-GAS MARKETING</t>
  </si>
  <si>
    <t>009390</t>
  </si>
  <si>
    <t>CLOSED 06/01 - CORPORATE ACCOUNTING</t>
  </si>
  <si>
    <t>009400</t>
  </si>
  <si>
    <t>CLOSED 06/01 - LGE ENERGY FOUNDAT.</t>
  </si>
  <si>
    <t>009410</t>
  </si>
  <si>
    <t>CLOSED 06/01 - VP-INFOR TECHNOLOGY</t>
  </si>
  <si>
    <t>009420</t>
  </si>
  <si>
    <t>CLOSED 06/01 - PRESIDENT/COO</t>
  </si>
  <si>
    <t>009430</t>
  </si>
  <si>
    <t>CLOSED 06/01 - VP AND CONTROLLER</t>
  </si>
  <si>
    <t>009431</t>
  </si>
  <si>
    <t>CLOSED 06/01 - LEC-ACCOUNTS PAYABLE</t>
  </si>
  <si>
    <t>009432</t>
  </si>
  <si>
    <t>CLOSED 06/01 - LEC PAYROLL</t>
  </si>
  <si>
    <t>009433</t>
  </si>
  <si>
    <t>CLOSED 06/01 - FINANCIAL REPORTING TO LEC</t>
  </si>
  <si>
    <t>009434</t>
  </si>
  <si>
    <t>CLOSED 06/01 - FINANCIAL SYSTEM DEPARTMENT</t>
  </si>
  <si>
    <t>009440</t>
  </si>
  <si>
    <t>CLOSED 06/01 - EXEC VP PWR GENERATION</t>
  </si>
  <si>
    <t>009450</t>
  </si>
  <si>
    <t>CLOSED 06/01 - DIR. IT STRAT.,PLAN. AND SECURITY</t>
  </si>
  <si>
    <t>009460</t>
  </si>
  <si>
    <t>CLOSED 06/01 - IT SECURITY</t>
  </si>
  <si>
    <t>009470</t>
  </si>
  <si>
    <t>CLOSED 06/01 - FUEL PROCUREMENT-IND PWR OPS</t>
  </si>
  <si>
    <t>009480</t>
  </si>
  <si>
    <t>CLOSED 03/99 - GROUP VP-ENERGY MKTG</t>
  </si>
  <si>
    <t>009490</t>
  </si>
  <si>
    <t>CLOSED 06/01 - INDUSTRIAL RELATIONS</t>
  </si>
  <si>
    <t>009500</t>
  </si>
  <si>
    <t>CLOSED 06/01 - LPI-PWR GEN</t>
  </si>
  <si>
    <t>009508</t>
  </si>
  <si>
    <t>CLOSED 12/04 - VDT WORKFORCE REDUCTIONS - CAPITAL CORP</t>
  </si>
  <si>
    <t>009509</t>
  </si>
  <si>
    <t>CLOSED 12/04 - CAPITAL CORP. CHARGES FROM SERVCO</t>
  </si>
  <si>
    <t>009510</t>
  </si>
  <si>
    <t>CLOSED 06/01 - LEM POWER MARKETING</t>
  </si>
  <si>
    <t>009515</t>
  </si>
  <si>
    <t>CAPITAL CORP-LEVERAGED LEASES</t>
  </si>
  <si>
    <t>009516</t>
  </si>
  <si>
    <t>CAPITAL CORP-CLEBURNE</t>
  </si>
  <si>
    <t>009520</t>
  </si>
  <si>
    <t>HOME SERVICES INC</t>
  </si>
  <si>
    <t>009521</t>
  </si>
  <si>
    <t>HOME SERVICES-INFORMATION SERVICES</t>
  </si>
  <si>
    <t>009522</t>
  </si>
  <si>
    <t>HOME SERVICES-OPERATING SERVICES</t>
  </si>
  <si>
    <t>009523</t>
  </si>
  <si>
    <t>HOME SERVICES-CORP. COMMUNICATIONS</t>
  </si>
  <si>
    <t>009524</t>
  </si>
  <si>
    <t>HOME SERVICES-LEGAL</t>
  </si>
  <si>
    <t>009525</t>
  </si>
  <si>
    <t>HOME SERVICES-RETAIL PROD LINE</t>
  </si>
  <si>
    <t>009529</t>
  </si>
  <si>
    <t>HOME SERVICES CHARGES FROM SERVCO</t>
  </si>
  <si>
    <t>009530</t>
  </si>
  <si>
    <t>CLOSED 01/03 - ENERTECH INC-OP/ENG</t>
  </si>
  <si>
    <t>009540</t>
  </si>
  <si>
    <t>CLOSED 06/01 - TRADING CONTROLS</t>
  </si>
  <si>
    <t>009550</t>
  </si>
  <si>
    <t>CLOSED 01/03 - ENERTECH INC-MKT/SALES</t>
  </si>
  <si>
    <t>009560</t>
  </si>
  <si>
    <t>CLOSED 01/03 - ENERTECH INC</t>
  </si>
  <si>
    <t>009561</t>
  </si>
  <si>
    <t>CLOSED 01/03 - ENERTECH-INFORMATION SERVICES</t>
  </si>
  <si>
    <t>009562</t>
  </si>
  <si>
    <t>CLOSED 01/03 - ENERTECH-OPERATING SERVICES</t>
  </si>
  <si>
    <t>009563</t>
  </si>
  <si>
    <t>CLOSED 01/03 - ENERTECH-LEGAL</t>
  </si>
  <si>
    <t>009569</t>
  </si>
  <si>
    <t>CLOSED 01/03 - ENERTECH CHARGES FROM SERVCO</t>
  </si>
  <si>
    <t>009580</t>
  </si>
  <si>
    <t>LGE CREDIT CORP</t>
  </si>
  <si>
    <t>009581</t>
  </si>
  <si>
    <t>CREDIT CORP.-LEGAL</t>
  </si>
  <si>
    <t>009589</t>
  </si>
  <si>
    <t>CLOSED 12/04 - CREDIT CORP. CHARGES FROM SERVCO</t>
  </si>
  <si>
    <t>009600</t>
  </si>
  <si>
    <t>CLOSED 06/01 - RET ACCESS BUSINESS</t>
  </si>
  <si>
    <t>009610</t>
  </si>
  <si>
    <t>CLOSED 06/01 - WKEC</t>
  </si>
  <si>
    <t>009620</t>
  </si>
  <si>
    <t>CLOSED 06/01 - KENTUCKY UTILITIES</t>
  </si>
  <si>
    <t>009630</t>
  </si>
  <si>
    <t>CLOSED 06/01 - DIR-CASH MGMT AND INVESTMENT</t>
  </si>
  <si>
    <t>009640</t>
  </si>
  <si>
    <t>CLOSED 06/01 - VP ENERGY MARKETING</t>
  </si>
  <si>
    <t>009650</t>
  </si>
  <si>
    <t>CLOSED 06/01 - SR VP - ENERGY SERVICES GROUP</t>
  </si>
  <si>
    <t>009700</t>
  </si>
  <si>
    <t>CLOSED 06/01 - GAS FACILITIES-DALLAS</t>
  </si>
  <si>
    <t>009710</t>
  </si>
  <si>
    <t>CLOSED 06/01 - CRC - EVANS INTERNATIONAL</t>
  </si>
  <si>
    <t>009720</t>
  </si>
  <si>
    <t>CLOSED 06/01 - POWERGEN</t>
  </si>
  <si>
    <t>009730</t>
  </si>
  <si>
    <t>CLOSED 06/01 - VP ASSET MANAGEMENT - LPI</t>
  </si>
  <si>
    <t>009740</t>
  </si>
  <si>
    <t>CLOSED 06/01 - VP PLANT OPERATIONS - LPS</t>
  </si>
  <si>
    <t>009810</t>
  </si>
  <si>
    <t>LCC DISTRIBUTION CHARGES FROM SERVCO</t>
  </si>
  <si>
    <t>CC</t>
  </si>
  <si>
    <t>009820</t>
  </si>
  <si>
    <t>LCC GENERATION CHARGES FROM SERVCO</t>
  </si>
  <si>
    <t>009825</t>
  </si>
  <si>
    <t>LCC GENERATION SERVICES CHARGES FROM SERVCO</t>
  </si>
  <si>
    <t>009826</t>
  </si>
  <si>
    <t>LCC FUELS CHARGES FROM SERVCO</t>
  </si>
  <si>
    <t>009827</t>
  </si>
  <si>
    <t>LCC PROJECT ENGINEERING CHARGES FROM SERVCO</t>
  </si>
  <si>
    <t>009830</t>
  </si>
  <si>
    <t>LCC TRANSMISSION CHARGES FROM SERVCO</t>
  </si>
  <si>
    <t>009840</t>
  </si>
  <si>
    <t>LCC METERING CHARGES FROM SERVCO</t>
  </si>
  <si>
    <t>009850</t>
  </si>
  <si>
    <t>LCC RETAIL BUSINESS CHARGES FROM SERVCO</t>
  </si>
  <si>
    <t>009870</t>
  </si>
  <si>
    <t>LCC CORPORATE CHARGES FROM SERVCO</t>
  </si>
  <si>
    <t>009880</t>
  </si>
  <si>
    <t>LCC MRMD CHARGES FROM SERVCO</t>
  </si>
  <si>
    <t>009885</t>
  </si>
  <si>
    <t>LCC DEVELOPMENT CHARGES FROM SERVCO</t>
  </si>
  <si>
    <t>009890</t>
  </si>
  <si>
    <t>LCC OPERATING SERVICES CHARGES FROM SERVCO</t>
  </si>
  <si>
    <t>009900</t>
  </si>
  <si>
    <t>LCC CEO CHARGES FROM SERVCO</t>
  </si>
  <si>
    <t>009910</t>
  </si>
  <si>
    <t>LCC IT CHARGES FROM SERVCO</t>
  </si>
  <si>
    <t>009920</t>
  </si>
  <si>
    <t>LCC GENERAL COUNSEL CHARGES FROM SERVCO</t>
  </si>
  <si>
    <t>009930</t>
  </si>
  <si>
    <t>LCC LEGAL CHARGES FROM SERVCO</t>
  </si>
  <si>
    <t>009935</t>
  </si>
  <si>
    <t>LCC COMPLIANCE CHARGES FROM SERVCO</t>
  </si>
  <si>
    <t>009940</t>
  </si>
  <si>
    <t>LCC CORP COMMUNICATION CHARGES FROM SERVCO</t>
  </si>
  <si>
    <t>009950</t>
  </si>
  <si>
    <t>LCC EXTERNAL AFFAIRS CHARGES FROM SERVCO</t>
  </si>
  <si>
    <t>009960</t>
  </si>
  <si>
    <t>LCC REGULATORY CHARGES FROM SERVCO</t>
  </si>
  <si>
    <t>009970</t>
  </si>
  <si>
    <t>LCC ENVIRONMENTAL CHARGES FROM SERVCO</t>
  </si>
  <si>
    <t>009980</t>
  </si>
  <si>
    <t>LCC HUMAN RESOURCES CHARGES FROM SERVCO</t>
  </si>
  <si>
    <t>009990</t>
  </si>
  <si>
    <t>LCC FINANCE CHARGES FROM SERVCO</t>
  </si>
  <si>
    <t>009995</t>
  </si>
  <si>
    <t>LCC SUPPLY CHAIN CHARGES FROM SERVCO</t>
  </si>
  <si>
    <t>010603</t>
  </si>
  <si>
    <t>FINC &amp; BUDGTNG - POWR PROD KU</t>
  </si>
  <si>
    <t>010610</t>
  </si>
  <si>
    <t>010620</t>
  </si>
  <si>
    <t>PINEVILLE OPERATIONS CENTER</t>
  </si>
  <si>
    <t>010630</t>
  </si>
  <si>
    <t>EARLINGTON OPERATIONS CENTER</t>
  </si>
  <si>
    <t>010640</t>
  </si>
  <si>
    <t>WORK PLANNING-DIST. KU</t>
  </si>
  <si>
    <t>010650</t>
  </si>
  <si>
    <t>DIRECTOR DISTRIBUTION OPERATIONS</t>
  </si>
  <si>
    <t>011005</t>
  </si>
  <si>
    <t>011015</t>
  </si>
  <si>
    <t>DIR. DIST. OPS.  SUBSTA. - KEEP PER PAM MCDONALD</t>
  </si>
  <si>
    <t>011018</t>
  </si>
  <si>
    <t>VEGETATION MANAGEMENT - KU</t>
  </si>
  <si>
    <t>011019</t>
  </si>
  <si>
    <t>011020</t>
  </si>
  <si>
    <t>DIRECTOR CUSTOMER SERVICE - KU</t>
  </si>
  <si>
    <t>011030</t>
  </si>
  <si>
    <t>TOTAL BUSINESS SERVICE - KU</t>
  </si>
  <si>
    <t>011035</t>
  </si>
  <si>
    <t>VP RETAIL BUSINESS - KU - KEEP PER PAM MCDONALD</t>
  </si>
  <si>
    <t>011040</t>
  </si>
  <si>
    <t>MTR/TRANS CAP-SOUTHERN</t>
  </si>
  <si>
    <t>011050</t>
  </si>
  <si>
    <t>EARLINGTON METER DEPT</t>
  </si>
  <si>
    <t>011060</t>
  </si>
  <si>
    <t>MANAGER - BUSINESS OFFICES</t>
  </si>
  <si>
    <t>011061</t>
  </si>
  <si>
    <t>AREA 1</t>
  </si>
  <si>
    <t>011062</t>
  </si>
  <si>
    <t>AREA 2</t>
  </si>
  <si>
    <t>011063</t>
  </si>
  <si>
    <t>AREA 3</t>
  </si>
  <si>
    <t>011064</t>
  </si>
  <si>
    <t>AREA 4</t>
  </si>
  <si>
    <t>011065</t>
  </si>
  <si>
    <t>AREA 5</t>
  </si>
  <si>
    <t>011066</t>
  </si>
  <si>
    <t>AREA 6</t>
  </si>
  <si>
    <t>011067</t>
  </si>
  <si>
    <t>AREA 7</t>
  </si>
  <si>
    <t>011068</t>
  </si>
  <si>
    <t>AREA 8</t>
  </si>
  <si>
    <t>011069</t>
  </si>
  <si>
    <t>AREA 9</t>
  </si>
  <si>
    <t>011070</t>
  </si>
  <si>
    <t>AREA 10</t>
  </si>
  <si>
    <t>011071</t>
  </si>
  <si>
    <t>AREA 11</t>
  </si>
  <si>
    <t>011072</t>
  </si>
  <si>
    <t>AREA 12</t>
  </si>
  <si>
    <t>011075</t>
  </si>
  <si>
    <t>TECH. AND SAFETY TRAINING DIST - KU</t>
  </si>
  <si>
    <t>011090</t>
  </si>
  <si>
    <t>SC AND M EARLINGTON</t>
  </si>
  <si>
    <t>011220</t>
  </si>
  <si>
    <t>DIRECTOR SALES AND MARKETING - KU</t>
  </si>
  <si>
    <t>011225</t>
  </si>
  <si>
    <t>DEMAND SIDE MANAGEMENT - KU</t>
  </si>
  <si>
    <t>011240</t>
  </si>
  <si>
    <t>REVENUE COLLECTIONS - KU</t>
  </si>
  <si>
    <t>011250</t>
  </si>
  <si>
    <t>REMITTANCE - KU</t>
  </si>
  <si>
    <t>011320</t>
  </si>
  <si>
    <t>CLOSED 05/01 - CLINTON</t>
  </si>
  <si>
    <t>011325</t>
  </si>
  <si>
    <t>DIRECTOR REVENUE COLLECTION - KU</t>
  </si>
  <si>
    <t>011330</t>
  </si>
  <si>
    <t>FIELD CREDIT - KU</t>
  </si>
  <si>
    <t>011340</t>
  </si>
  <si>
    <t>BARLOW</t>
  </si>
  <si>
    <t>011345</t>
  </si>
  <si>
    <t>REVENUE PROTECTION - KU</t>
  </si>
  <si>
    <t>011370</t>
  </si>
  <si>
    <t>FIELD SERVICES - KU</t>
  </si>
  <si>
    <t>011380</t>
  </si>
  <si>
    <t>MARKET RESEARCH - KU</t>
  </si>
  <si>
    <t>011390</t>
  </si>
  <si>
    <t>MARKETING - KU</t>
  </si>
  <si>
    <t>011410</t>
  </si>
  <si>
    <t>EARLINGTON</t>
  </si>
  <si>
    <t>011420</t>
  </si>
  <si>
    <t>DIXON</t>
  </si>
  <si>
    <t>011460</t>
  </si>
  <si>
    <t>MARKETING COMMUNICATIONS - KU</t>
  </si>
  <si>
    <t>011500</t>
  </si>
  <si>
    <t>EDDYVILLE</t>
  </si>
  <si>
    <t>011520</t>
  </si>
  <si>
    <t>CLOSED - DAWSON SPRINGS</t>
  </si>
  <si>
    <t>011530</t>
  </si>
  <si>
    <t>MARION</t>
  </si>
  <si>
    <t>011560</t>
  </si>
  <si>
    <t>EARLINGTON CREW CENTERS</t>
  </si>
  <si>
    <t>011610</t>
  </si>
  <si>
    <t>MUHLENBURG COUNTY</t>
  </si>
  <si>
    <t>011620</t>
  </si>
  <si>
    <t>CLOSED 05/01 - CENTRAL CITY</t>
  </si>
  <si>
    <t>011630</t>
  </si>
  <si>
    <t>CLOSED 05/01 - BEAVER DAM</t>
  </si>
  <si>
    <t>011660</t>
  </si>
  <si>
    <t>GREENVILLE CREW CENTERS</t>
  </si>
  <si>
    <t>011710</t>
  </si>
  <si>
    <t>MORGANFIELD</t>
  </si>
  <si>
    <t>011740</t>
  </si>
  <si>
    <t>CLOSED 05/01 - HENDERSON</t>
  </si>
  <si>
    <t>012030</t>
  </si>
  <si>
    <t>DANVILLE METER DEPT</t>
  </si>
  <si>
    <t>012040</t>
  </si>
  <si>
    <t>MTR/TRANS CAP-BG CENTRAL</t>
  </si>
  <si>
    <t>012050</t>
  </si>
  <si>
    <t>CENTRAL SC ANDM CONSTUCTION</t>
  </si>
  <si>
    <t>012110</t>
  </si>
  <si>
    <t>DANVILLE</t>
  </si>
  <si>
    <t>012120</t>
  </si>
  <si>
    <t>CLOSED 05/01 - STANFORD</t>
  </si>
  <si>
    <t>012140</t>
  </si>
  <si>
    <t>CLOSED 05/01 - HARRODSBURG</t>
  </si>
  <si>
    <t>012150</t>
  </si>
  <si>
    <t>CLOSED 05/01 - MT. VERNON</t>
  </si>
  <si>
    <t>012160</t>
  </si>
  <si>
    <t>DANVILLE OPERATIONS CENTER</t>
  </si>
  <si>
    <t>012210</t>
  </si>
  <si>
    <t>LEBANON</t>
  </si>
  <si>
    <t>012220</t>
  </si>
  <si>
    <t>CAMPBELLSVILLE</t>
  </si>
  <si>
    <t>012230</t>
  </si>
  <si>
    <t>CLOSED 05/01 - SPRINGFIELD</t>
  </si>
  <si>
    <t>012240</t>
  </si>
  <si>
    <t>CLOSED 05/01 - COLUMBIA</t>
  </si>
  <si>
    <t>012250</t>
  </si>
  <si>
    <t>CLOSED 05/01 - RUSSELL SPRINGS</t>
  </si>
  <si>
    <t>012260</t>
  </si>
  <si>
    <t>CLOSED 05/01 - GREENSBURG</t>
  </si>
  <si>
    <t>012310</t>
  </si>
  <si>
    <t>RICHMOND</t>
  </si>
  <si>
    <t>012320</t>
  </si>
  <si>
    <t>IRVINE</t>
  </si>
  <si>
    <t>012360</t>
  </si>
  <si>
    <t>RICHMOND OPERATIONS CENTER</t>
  </si>
  <si>
    <t>012410</t>
  </si>
  <si>
    <t>ELIZABETHTOWN</t>
  </si>
  <si>
    <t>012420</t>
  </si>
  <si>
    <t>CLOSED 05/01 - LEITHCHFIELD</t>
  </si>
  <si>
    <t>012430</t>
  </si>
  <si>
    <t>CLOSED 05/01 - HODGENVILLE</t>
  </si>
  <si>
    <t>012450</t>
  </si>
  <si>
    <t>CLOSED 05/01 - HORSE CAVE</t>
  </si>
  <si>
    <t>012460</t>
  </si>
  <si>
    <t>ELIZABETHTOWN OPERATION CENTER</t>
  </si>
  <si>
    <t>012480</t>
  </si>
  <si>
    <t>CLOSED 05/01 - RADCLIFF</t>
  </si>
  <si>
    <t>012500</t>
  </si>
  <si>
    <t>FUEL BURNED FOR GENERATION - KU</t>
  </si>
  <si>
    <t>012510</t>
  </si>
  <si>
    <t>SHELBYVILLE CREW CENTER</t>
  </si>
  <si>
    <t>012520</t>
  </si>
  <si>
    <t>CLOSED 01/00 - EMINENCE</t>
  </si>
  <si>
    <t>012530</t>
  </si>
  <si>
    <t>CLOSED 05/01 - LAGRANGE</t>
  </si>
  <si>
    <t>012540</t>
  </si>
  <si>
    <t>CLOSED 05/01 - TAYLORSVILLE</t>
  </si>
  <si>
    <t>012550</t>
  </si>
  <si>
    <t>CLOSED 05/01 - LAWRENCEBURG</t>
  </si>
  <si>
    <t>012560</t>
  </si>
  <si>
    <t>SHELBYVILLE OPERATIONS CENTER</t>
  </si>
  <si>
    <t>012570</t>
  </si>
  <si>
    <t>CARROLLTON CREW CENTER</t>
  </si>
  <si>
    <t>012580</t>
  </si>
  <si>
    <t>SHELBYVILLE OPERATIONS CENTER - SERVICE</t>
  </si>
  <si>
    <t>013010</t>
  </si>
  <si>
    <t>KU TRANSFORMER SERVICES</t>
  </si>
  <si>
    <t>013030</t>
  </si>
  <si>
    <t>LEXINGTON METER DEPT</t>
  </si>
  <si>
    <t>013040</t>
  </si>
  <si>
    <t>CENTRAL SC AND M MAINTENANCE</t>
  </si>
  <si>
    <t>013080</t>
  </si>
  <si>
    <t>DISTRIBUTION OPERATION</t>
  </si>
  <si>
    <t>013085</t>
  </si>
  <si>
    <t>013090</t>
  </si>
  <si>
    <t>CLOSED 05/01 - LEXINGTON DISTRICT CUSTOMER SERVICE CENTER MGR</t>
  </si>
  <si>
    <t>013110</t>
  </si>
  <si>
    <t>LEXINGTON MAIN OFFICE</t>
  </si>
  <si>
    <t>013130</t>
  </si>
  <si>
    <t>CLOSED 05/01 - LEXINGTON SERVICE DEPT.</t>
  </si>
  <si>
    <t>013140</t>
  </si>
  <si>
    <t>LEXINGTON ENGINEERING</t>
  </si>
  <si>
    <t>013150</t>
  </si>
  <si>
    <t>LEXOC - CONSTRUCTION</t>
  </si>
  <si>
    <t>013160</t>
  </si>
  <si>
    <t>LEXINGTON OFFICE - NORTH</t>
  </si>
  <si>
    <t>013170</t>
  </si>
  <si>
    <t>LEXINGTON OFFICE - SOUTH</t>
  </si>
  <si>
    <t>013180</t>
  </si>
  <si>
    <t>METER READING - KU</t>
  </si>
  <si>
    <t>013190</t>
  </si>
  <si>
    <t>CLOSED 05/01 - LEXINGTON ORDER SPECIALISTS</t>
  </si>
  <si>
    <t>013210</t>
  </si>
  <si>
    <t>GEORGETOWN</t>
  </si>
  <si>
    <t>013220</t>
  </si>
  <si>
    <t>LEXOC - TROUBLE</t>
  </si>
  <si>
    <t>013230</t>
  </si>
  <si>
    <t>LEXINGTON OPERATIONS/CONSTRUCTION OFFICE/STORES</t>
  </si>
  <si>
    <t>013240</t>
  </si>
  <si>
    <t>CLOSED 05/01 - LEXINGTON CONSTRUCTION DEPT</t>
  </si>
  <si>
    <t>013310</t>
  </si>
  <si>
    <t>VERSAILLES</t>
  </si>
  <si>
    <t>013320</t>
  </si>
  <si>
    <t>WILMORE</t>
  </si>
  <si>
    <t>013360</t>
  </si>
  <si>
    <t>MIDWAY CREW CENTER</t>
  </si>
  <si>
    <t>013380</t>
  </si>
  <si>
    <t>SUBSTATION ENGINEERING AND DESIGN - KEEP PER PAM MCDONALD</t>
  </si>
  <si>
    <t>013410</t>
  </si>
  <si>
    <t>MT STERLING</t>
  </si>
  <si>
    <t>013420</t>
  </si>
  <si>
    <t>MOREHEAD</t>
  </si>
  <si>
    <t>013480</t>
  </si>
  <si>
    <t>CLOSED 05/01 - LICKING VALLEY DISTRICT CREW-MT STERLING</t>
  </si>
  <si>
    <t>013500</t>
  </si>
  <si>
    <t>CLOSED 05/01 - CYNTHIANA</t>
  </si>
  <si>
    <t>013510</t>
  </si>
  <si>
    <t>PARIS</t>
  </si>
  <si>
    <t>013520</t>
  </si>
  <si>
    <t>CLOSED - CARLISLE</t>
  </si>
  <si>
    <t>013580</t>
  </si>
  <si>
    <t>CLOSED 05/01 - LICKING VALLEY DISTRICT CREW-PARIS</t>
  </si>
  <si>
    <t>013610</t>
  </si>
  <si>
    <t>MAYSVILLE</t>
  </si>
  <si>
    <t>013620</t>
  </si>
  <si>
    <t>CLOSED 05/01 - AUGUSTA</t>
  </si>
  <si>
    <t>013630</t>
  </si>
  <si>
    <t>CLOSED 05/01 - FLEMINGSBURG</t>
  </si>
  <si>
    <t>013660</t>
  </si>
  <si>
    <t>MAYSVILLE OPERATIONS CENTER</t>
  </si>
  <si>
    <t>013680</t>
  </si>
  <si>
    <t>MAYSVILLE CREW CENTER</t>
  </si>
  <si>
    <t>013710</t>
  </si>
  <si>
    <t>CARROLLTON</t>
  </si>
  <si>
    <t>013720</t>
  </si>
  <si>
    <t>CLOSED 05/01 - OWENTON</t>
  </si>
  <si>
    <t>013850</t>
  </si>
  <si>
    <t>WINCHESTER</t>
  </si>
  <si>
    <t>013910</t>
  </si>
  <si>
    <t>MANAGER - LEXINGTON OPERATIONS CENTER</t>
  </si>
  <si>
    <t>013920</t>
  </si>
  <si>
    <t>LEXOC - SERVICE</t>
  </si>
  <si>
    <t>013990</t>
  </si>
  <si>
    <t>RESIDENTIAL SERVICE - LEXINGTON</t>
  </si>
  <si>
    <t>013995</t>
  </si>
  <si>
    <t>RESIDENTIAL SERVICE - PINEVILLE</t>
  </si>
  <si>
    <t>014050</t>
  </si>
  <si>
    <t>PINEVILLE METER DEPT</t>
  </si>
  <si>
    <t>014110</t>
  </si>
  <si>
    <t>PINEVILLE</t>
  </si>
  <si>
    <t>014160</t>
  </si>
  <si>
    <t>PINEVILLE CREW CENTERS</t>
  </si>
  <si>
    <t>014210</t>
  </si>
  <si>
    <t>LONDON</t>
  </si>
  <si>
    <t>014220</t>
  </si>
  <si>
    <t>CLOSED 05/01 - WILLIAMSBURG</t>
  </si>
  <si>
    <t>014230</t>
  </si>
  <si>
    <t>CLOSED 05/01 - MANCHESTER</t>
  </si>
  <si>
    <t>014240</t>
  </si>
  <si>
    <t>CORBIN</t>
  </si>
  <si>
    <t>014260</t>
  </si>
  <si>
    <t>LONDON CREW CENTERS</t>
  </si>
  <si>
    <t>014310</t>
  </si>
  <si>
    <t>MIDDLESBORO</t>
  </si>
  <si>
    <t>014370</t>
  </si>
  <si>
    <t>MAPPING AND RECORDS  - KU</t>
  </si>
  <si>
    <t>014410</t>
  </si>
  <si>
    <t>HARLAN</t>
  </si>
  <si>
    <t>014420</t>
  </si>
  <si>
    <t>CLOSED 05/01 - CUMBERLAND</t>
  </si>
  <si>
    <t>014430</t>
  </si>
  <si>
    <t>CLOSED 05/01 - EVARTS</t>
  </si>
  <si>
    <t>014510</t>
  </si>
  <si>
    <t>SOMERSET</t>
  </si>
  <si>
    <t>014520</t>
  </si>
  <si>
    <t>CLOSED 05/01 - LIBERTY</t>
  </si>
  <si>
    <t>014530</t>
  </si>
  <si>
    <t>CLOSED 05/01 - WHITLEY CITY</t>
  </si>
  <si>
    <t>014940</t>
  </si>
  <si>
    <t>SC AND M PINEVILLE</t>
  </si>
  <si>
    <t>015000</t>
  </si>
  <si>
    <t>STRATEGIC SOURCING - KU</t>
  </si>
  <si>
    <t>015010</t>
  </si>
  <si>
    <t>PRESIDENT/ COO</t>
  </si>
  <si>
    <t>015020</t>
  </si>
  <si>
    <t>MARKET MANAGEMENT INTERCOMPANY</t>
  </si>
  <si>
    <t>015040</t>
  </si>
  <si>
    <t>ECONOMIC DEV AND MAJOR ACCOUNTS - KU</t>
  </si>
  <si>
    <t>015050</t>
  </si>
  <si>
    <t>CUSTOMER ACCOUNTING - KU</t>
  </si>
  <si>
    <t>015055</t>
  </si>
  <si>
    <t>VP SUPPLY CHAIN AND OPERATING SERVICES - KU</t>
  </si>
  <si>
    <t>015060</t>
  </si>
  <si>
    <t>VP SALES AND SERVICES</t>
  </si>
  <si>
    <t>015070</t>
  </si>
  <si>
    <t>MGR, MKTG COMMUNICATIONS</t>
  </si>
  <si>
    <t>015080</t>
  </si>
  <si>
    <t>INVESTOR RELATIONS</t>
  </si>
  <si>
    <t>015090</t>
  </si>
  <si>
    <t>GOVERNMENTAL AFFAIRS</t>
  </si>
  <si>
    <t>015100</t>
  </si>
  <si>
    <t>PRESIDENT KU</t>
  </si>
  <si>
    <t>015110</t>
  </si>
  <si>
    <t>FACILITIES SERVICES - LEXINGTON</t>
  </si>
  <si>
    <t>015115</t>
  </si>
  <si>
    <t>REAL ESTATE AND RIGHT OF WAY - KU</t>
  </si>
  <si>
    <t>015120</t>
  </si>
  <si>
    <t>INDUSTRIAL MKTG</t>
  </si>
  <si>
    <t>015130</t>
  </si>
  <si>
    <t>CASH MANAGEMENT</t>
  </si>
  <si>
    <t>015140</t>
  </si>
  <si>
    <t>015150</t>
  </si>
  <si>
    <t>MARKET AND SALES SUPPORT</t>
  </si>
  <si>
    <t>015160</t>
  </si>
  <si>
    <t>MIT-DIST SVCS AND CUST SVC</t>
  </si>
  <si>
    <t>015170</t>
  </si>
  <si>
    <t>COMMERCIAL SALES</t>
  </si>
  <si>
    <t>015180</t>
  </si>
  <si>
    <t>FINANCIAL FORECASTING</t>
  </si>
  <si>
    <t>015190</t>
  </si>
  <si>
    <t>FORECAST AND MKT ANALYSIS</t>
  </si>
  <si>
    <t>015200</t>
  </si>
  <si>
    <t>REGULATORY AFFAIRS - KU</t>
  </si>
  <si>
    <t>015210</t>
  </si>
  <si>
    <t>OUTSOURCED CONTRACT - KU</t>
  </si>
  <si>
    <t>015220</t>
  </si>
  <si>
    <t>015230</t>
  </si>
  <si>
    <t>FACILITIES ADMIN.</t>
  </si>
  <si>
    <t>015240</t>
  </si>
  <si>
    <t>015250</t>
  </si>
  <si>
    <t>OFFICE SERVICES - KU</t>
  </si>
  <si>
    <t>015260</t>
  </si>
  <si>
    <t>T AND D COMMODITY DELIVERY</t>
  </si>
  <si>
    <t>015270</t>
  </si>
  <si>
    <t>PRODUCTIN COMMODITY DELIVERY</t>
  </si>
  <si>
    <t>015280</t>
  </si>
  <si>
    <t>015290</t>
  </si>
  <si>
    <t>VP FINANCE AND CONTROLLER</t>
  </si>
  <si>
    <t>015300</t>
  </si>
  <si>
    <t>TREASURY DEPARTMENT</t>
  </si>
  <si>
    <t>015310</t>
  </si>
  <si>
    <t>015320</t>
  </si>
  <si>
    <t>PROCUREMENTS AND MAJOR CONTRACTS - KU</t>
  </si>
  <si>
    <t>015322</t>
  </si>
  <si>
    <t>PINEVILLE MATERIAL LOGISTICS</t>
  </si>
  <si>
    <t>015324</t>
  </si>
  <si>
    <t>LEXINGTON MATERIAL LOGISTICS</t>
  </si>
  <si>
    <t>015326</t>
  </si>
  <si>
    <t>EARLINGTON MATERIAL LOGISTICS</t>
  </si>
  <si>
    <t>015328</t>
  </si>
  <si>
    <t>SOURCING SUPPORT - KU</t>
  </si>
  <si>
    <t>015330</t>
  </si>
  <si>
    <t>RISK MANAGEMENT</t>
  </si>
  <si>
    <t>015335</t>
  </si>
  <si>
    <t>GROUP EXEC. - REGULATORY AFFAIRS - KU</t>
  </si>
  <si>
    <t>015340</t>
  </si>
  <si>
    <t>015345</t>
  </si>
  <si>
    <t>CUSTOMIZED SALES AND SERVICES</t>
  </si>
  <si>
    <t>015350</t>
  </si>
  <si>
    <t>EXEC VP/CFO</t>
  </si>
  <si>
    <t>015360</t>
  </si>
  <si>
    <t>SYS DEVELOPMENT PWR GEN</t>
  </si>
  <si>
    <t>015370</t>
  </si>
  <si>
    <t>SYS DEVELPMNT SHARED SVCS</t>
  </si>
  <si>
    <t>015380</t>
  </si>
  <si>
    <t>SYSTEMS ARCHITECTURE</t>
  </si>
  <si>
    <t>015390</t>
  </si>
  <si>
    <t>DIR FINL ACCTG AND REPTG</t>
  </si>
  <si>
    <t>015400</t>
  </si>
  <si>
    <t>CONTROLLER</t>
  </si>
  <si>
    <t>015410</t>
  </si>
  <si>
    <t>TAX DEPARTMENT</t>
  </si>
  <si>
    <t>015420</t>
  </si>
  <si>
    <t>VP INFORMATION TECHNOLOGY</t>
  </si>
  <si>
    <t>015430</t>
  </si>
  <si>
    <t>AUDIT SERVICES DEPT</t>
  </si>
  <si>
    <t>015440</t>
  </si>
  <si>
    <t>REVENUE ACCTG SECTION</t>
  </si>
  <si>
    <t>015450</t>
  </si>
  <si>
    <t>FINANCIAL REPORTING</t>
  </si>
  <si>
    <t>015455</t>
  </si>
  <si>
    <t>FINANCIAL SYSTEMS - KU</t>
  </si>
  <si>
    <t>015460</t>
  </si>
  <si>
    <t>PROPERTY ACCTG SECTION</t>
  </si>
  <si>
    <t>015470</t>
  </si>
  <si>
    <t>015480</t>
  </si>
  <si>
    <t>015485</t>
  </si>
  <si>
    <t>UTILITY POWER SALES ACCOUNTING - KU</t>
  </si>
  <si>
    <t>015490</t>
  </si>
  <si>
    <t>015500</t>
  </si>
  <si>
    <t>ALLOCATIONS RESP AREA</t>
  </si>
  <si>
    <t>015510</t>
  </si>
  <si>
    <t>SUBS LEDGER/YR-END</t>
  </si>
  <si>
    <t>015520</t>
  </si>
  <si>
    <t>015530</t>
  </si>
  <si>
    <t>IT STRATEGY AND PLANNING</t>
  </si>
  <si>
    <t>015540</t>
  </si>
  <si>
    <t>IT SYSTEMS DEV, FIN/MAT</t>
  </si>
  <si>
    <t>015550</t>
  </si>
  <si>
    <t>IT ROLLUP</t>
  </si>
  <si>
    <t>015560</t>
  </si>
  <si>
    <t>015570</t>
  </si>
  <si>
    <t>GENERAL COUNSEL</t>
  </si>
  <si>
    <t>015580</t>
  </si>
  <si>
    <t>ACCOUNTING TRANSFERS</t>
  </si>
  <si>
    <t>015590</t>
  </si>
  <si>
    <t>CORPORATE ITEMS</t>
  </si>
  <si>
    <t>015600</t>
  </si>
  <si>
    <t>VP HUMAN RESOURCES</t>
  </si>
  <si>
    <t>015610</t>
  </si>
  <si>
    <t>015615</t>
  </si>
  <si>
    <t>COMPUTING ARCHITECTURE - KU</t>
  </si>
  <si>
    <t>015620</t>
  </si>
  <si>
    <t>015630</t>
  </si>
  <si>
    <t>IT OPERATIONS-LEXINGTON</t>
  </si>
  <si>
    <t>015640</t>
  </si>
  <si>
    <t>MIT - POWER GEN</t>
  </si>
  <si>
    <t>015650</t>
  </si>
  <si>
    <t>IT SYS DEV MGR, YR 2000</t>
  </si>
  <si>
    <t>015660</t>
  </si>
  <si>
    <t>HR DISTRIBUTION - KU</t>
  </si>
  <si>
    <t>015665</t>
  </si>
  <si>
    <t>ORG. DEVEL. PERFORMANCE CONSULTANT  - KU</t>
  </si>
  <si>
    <t>015670</t>
  </si>
  <si>
    <t>COMPENSATION ADMIN</t>
  </si>
  <si>
    <t>015680</t>
  </si>
  <si>
    <t>015690</t>
  </si>
  <si>
    <t>ORGANIZATIONAL DEVELOPMENT - KU</t>
  </si>
  <si>
    <t>015700</t>
  </si>
  <si>
    <t>KU DISTRIBUTION SYS PLANNING</t>
  </si>
  <si>
    <t>015710</t>
  </si>
  <si>
    <t>KU DISTRIBUTION ENGINEERING</t>
  </si>
  <si>
    <t>015720</t>
  </si>
  <si>
    <t>BULK POWER MKTG</t>
  </si>
  <si>
    <t>015730</t>
  </si>
  <si>
    <t>GENERATION SUPPORT - KU</t>
  </si>
  <si>
    <t>015735</t>
  </si>
  <si>
    <t>MAINTENANCE SERVICES - KU</t>
  </si>
  <si>
    <t>015740</t>
  </si>
  <si>
    <t>MANAGER - SUBSTATION C AND M - KU</t>
  </si>
  <si>
    <t>015750</t>
  </si>
  <si>
    <t>SITE MGR, GEN CONST - KEEP PER SHANNON CHARNAS</t>
  </si>
  <si>
    <t>015760</t>
  </si>
  <si>
    <t>015770</t>
  </si>
  <si>
    <t>DIR SUBST/METERS/INSPECT</t>
  </si>
  <si>
    <t>015780</t>
  </si>
  <si>
    <t>GENERATION DISPATCH</t>
  </si>
  <si>
    <t>015790</t>
  </si>
  <si>
    <t>015795</t>
  </si>
  <si>
    <t>TRIMBLE COUNTY 2 CONSTRUCTION - KU</t>
  </si>
  <si>
    <t>015800</t>
  </si>
  <si>
    <t>DRAFTING SERVICES - KEEP PER SHANNON CHARNAS</t>
  </si>
  <si>
    <t>015810</t>
  </si>
  <si>
    <t>015820</t>
  </si>
  <si>
    <t>KU METER SHOP</t>
  </si>
  <si>
    <t>015830</t>
  </si>
  <si>
    <t>DIR, TRANSMISSN AND SUBSTN</t>
  </si>
  <si>
    <t>015840</t>
  </si>
  <si>
    <t>ENVIRONMENTAL AFFAIRS - KU</t>
  </si>
  <si>
    <t>015850</t>
  </si>
  <si>
    <t>TRANS SUBST AND PROTECT</t>
  </si>
  <si>
    <t>015860</t>
  </si>
  <si>
    <t>DISTRIBUTION TECH SVCS</t>
  </si>
  <si>
    <t>015870</t>
  </si>
  <si>
    <t>TRANSMISSION LINES</t>
  </si>
  <si>
    <t>015880</t>
  </si>
  <si>
    <t>GENERATION PLANNING</t>
  </si>
  <si>
    <t>015890</t>
  </si>
  <si>
    <t>SOUTHERN REGION VP</t>
  </si>
  <si>
    <t>015900</t>
  </si>
  <si>
    <t>ENERGY SERVICES SUPPORT - KU</t>
  </si>
  <si>
    <t>015910</t>
  </si>
  <si>
    <t>CLOSED 12/99 - SYSTEM OPERATIONS</t>
  </si>
  <si>
    <t>015920</t>
  </si>
  <si>
    <t>ENERGY MGMT SYSTEM</t>
  </si>
  <si>
    <t>015930</t>
  </si>
  <si>
    <t>CORPORATE TRANSPORTATION</t>
  </si>
  <si>
    <t>015940</t>
  </si>
  <si>
    <t>SYSTEM SAFETY</t>
  </si>
  <si>
    <t>015950</t>
  </si>
  <si>
    <t>GENERATION SERVICES - KEEP PER SHANNON CHARNAS</t>
  </si>
  <si>
    <t>015955</t>
  </si>
  <si>
    <t>DIRECTOR GENERATION SERVICES - KU</t>
  </si>
  <si>
    <t>015960</t>
  </si>
  <si>
    <t>SYSTEM LABORATORY</t>
  </si>
  <si>
    <t>015970</t>
  </si>
  <si>
    <t>015980</t>
  </si>
  <si>
    <t>TRANSMISSION PLANNING</t>
  </si>
  <si>
    <t>015990</t>
  </si>
  <si>
    <t>KU TRANSMISSION 34.5KV</t>
  </si>
  <si>
    <t>016005</t>
  </si>
  <si>
    <t>KU CT ALLOCATION FROM TRIMBLE COUNTY - KEEP PER SHANNON CHARNAS</t>
  </si>
  <si>
    <t>016020</t>
  </si>
  <si>
    <t>TYRONE - SUPERINTENDENT</t>
  </si>
  <si>
    <t>TY</t>
  </si>
  <si>
    <t>016030</t>
  </si>
  <si>
    <t>TYRONE - OPERATIONS</t>
  </si>
  <si>
    <t>016050</t>
  </si>
  <si>
    <t>TYRONE - MECHANICAL MNTC</t>
  </si>
  <si>
    <t>016060</t>
  </si>
  <si>
    <t>TYRONE - ELECTRICAL MNTC</t>
  </si>
  <si>
    <t>016070</t>
  </si>
  <si>
    <t>TYRONE - COAL YARD</t>
  </si>
  <si>
    <t>016080</t>
  </si>
  <si>
    <t>TYRONE-MNTC SUPERVISOR</t>
  </si>
  <si>
    <t>016100</t>
  </si>
  <si>
    <t>GREEN RIVER-ASSTSUPT MNTC</t>
  </si>
  <si>
    <t>GR</t>
  </si>
  <si>
    <t>GREEN RIVER - SUPT</t>
  </si>
  <si>
    <t>016130</t>
  </si>
  <si>
    <t>GREEN RIVER - OPERATIONS</t>
  </si>
  <si>
    <t>016150</t>
  </si>
  <si>
    <t>GREEN RIVER - MECH MNTC</t>
  </si>
  <si>
    <t>016160</t>
  </si>
  <si>
    <t>GREEN RIVER - ELEC MNTC</t>
  </si>
  <si>
    <t>016170</t>
  </si>
  <si>
    <t>GREEN RIVER - COAL YARD</t>
  </si>
  <si>
    <t>016180</t>
  </si>
  <si>
    <t>GREEN RIVER - INST MNTC</t>
  </si>
  <si>
    <t>016190</t>
  </si>
  <si>
    <t>GREEN RIVER-BLDGS AND GRNDS</t>
  </si>
  <si>
    <t>E W BROWN - SUPT AND ADMIN</t>
  </si>
  <si>
    <t>BR</t>
  </si>
  <si>
    <t>016230</t>
  </si>
  <si>
    <t>EWB OPER / RESULTS</t>
  </si>
  <si>
    <t>016250</t>
  </si>
  <si>
    <t>EWB EQUIP MNTC</t>
  </si>
  <si>
    <t>016260</t>
  </si>
  <si>
    <t>EWB E AND I MNTC</t>
  </si>
  <si>
    <t>016270</t>
  </si>
  <si>
    <t>EWB COAL HANDLING</t>
  </si>
  <si>
    <t>016280</t>
  </si>
  <si>
    <t>CLOSED 09/01 - E W BROWN - INST MNTC</t>
  </si>
  <si>
    <t>016290</t>
  </si>
  <si>
    <t>CLOSED 09/01 - E W BROWN - STATION SVCS</t>
  </si>
  <si>
    <t>EWB COMBUSTION TURBINE</t>
  </si>
  <si>
    <t>016330</t>
  </si>
  <si>
    <t>EWB ENGINEERING</t>
  </si>
  <si>
    <t>016340</t>
  </si>
  <si>
    <t>EWB LABORATORY</t>
  </si>
  <si>
    <t>016350</t>
  </si>
  <si>
    <t>CLOSED 09/01 - E W BROWN-COAL HDL/BLDG MTC</t>
  </si>
  <si>
    <t>016360</t>
  </si>
  <si>
    <t>EWB MAINTENANCE</t>
  </si>
  <si>
    <t>016370</t>
  </si>
  <si>
    <t>EWB COMMERCIAL OPERATIONS</t>
  </si>
  <si>
    <t>016420</t>
  </si>
  <si>
    <t>PINEVILLE - SUPT</t>
  </si>
  <si>
    <t>016430</t>
  </si>
  <si>
    <t>PINEVILLE - OPERATIONS</t>
  </si>
  <si>
    <t>016440</t>
  </si>
  <si>
    <t>PINEVILLE - MAINTENANCE</t>
  </si>
  <si>
    <t>GHENT - SUPERINTENDENT</t>
  </si>
  <si>
    <t>GH</t>
  </si>
  <si>
    <t>016550</t>
  </si>
  <si>
    <t>GHENT - MECHANICAL MNTC</t>
  </si>
  <si>
    <t>016560</t>
  </si>
  <si>
    <t>GHENT - ELECTRICAL MNTC</t>
  </si>
  <si>
    <t>016570</t>
  </si>
  <si>
    <t>GHENT - COAL YARD</t>
  </si>
  <si>
    <t>016580</t>
  </si>
  <si>
    <t>GHENT - INSTRUMENT MNTC</t>
  </si>
  <si>
    <t>016590</t>
  </si>
  <si>
    <t>GHENT - PLANT SERVICES</t>
  </si>
  <si>
    <t>016600</t>
  </si>
  <si>
    <t>GHENT - ASST SUPT OPER</t>
  </si>
  <si>
    <t>016610</t>
  </si>
  <si>
    <t>GHENT - SCRUBBER OPER</t>
  </si>
  <si>
    <t>016620</t>
  </si>
  <si>
    <t>GHENT - SCRUBBER MAINT</t>
  </si>
  <si>
    <t>016630</t>
  </si>
  <si>
    <t>GHENT - COMMERCIAL</t>
  </si>
  <si>
    <t>016640</t>
  </si>
  <si>
    <t>GHENT - STATION LAB</t>
  </si>
  <si>
    <t>016650</t>
  </si>
  <si>
    <t>GHENT - OPERATIONS SHIFTS</t>
  </si>
  <si>
    <t>016660</t>
  </si>
  <si>
    <t>GHENT-ASST SUPT MNTC</t>
  </si>
  <si>
    <t>016670</t>
  </si>
  <si>
    <t>GHENT - OUTSIDE MNTC</t>
  </si>
  <si>
    <t>016680</t>
  </si>
  <si>
    <t>GHENT-GYPSUM STACK OPER</t>
  </si>
  <si>
    <t>016700</t>
  </si>
  <si>
    <t>KU CT ALLOCATION FROM PR13 - KEEP PER SHANNON CHARNAS</t>
  </si>
  <si>
    <t>016900</t>
  </si>
  <si>
    <t>EASTERN SYSTEM OPERATIONS</t>
  </si>
  <si>
    <t>016910</t>
  </si>
  <si>
    <t>EWB DIX AND LOCK 7 HYDRO</t>
  </si>
  <si>
    <t>DX</t>
  </si>
  <si>
    <t>HAEFLING</t>
  </si>
  <si>
    <t>017410</t>
  </si>
  <si>
    <t>PARKWAY DISTRICT CREWS</t>
  </si>
  <si>
    <t>017420</t>
  </si>
  <si>
    <t>CLOSED 05/01 - GREEN RIVER AREA DISTRICT CREWS</t>
  </si>
  <si>
    <t>017430</t>
  </si>
  <si>
    <t>ELIZABETHTOWN CREW CENTER</t>
  </si>
  <si>
    <t>017440</t>
  </si>
  <si>
    <t>DANVILLE CREW CENTERS</t>
  </si>
  <si>
    <t>017450</t>
  </si>
  <si>
    <t>CUMBERLAND FALLS DISTRICT CREWS</t>
  </si>
  <si>
    <t>017460</t>
  </si>
  <si>
    <t>CLOSED 05/01 - PINE MOUNTAIN DISTRICT CREWS</t>
  </si>
  <si>
    <t>017470</t>
  </si>
  <si>
    <t>CLOSED 05/01 - OLD DOMINION DISTRICT CREWS</t>
  </si>
  <si>
    <t>017480</t>
  </si>
  <si>
    <t>BOONESBORO DISTRICT CREWS</t>
  </si>
  <si>
    <t>017500</t>
  </si>
  <si>
    <t>CLOSED 05/01 - MIDWAY DISTRICT CREWS</t>
  </si>
  <si>
    <t>017510</t>
  </si>
  <si>
    <t>OHIO VALLEY DISTRICT CREWS</t>
  </si>
  <si>
    <t>017610</t>
  </si>
  <si>
    <t>NORTON</t>
  </si>
  <si>
    <t>017620</t>
  </si>
  <si>
    <t>CLOSED - WISE</t>
  </si>
  <si>
    <t>017630</t>
  </si>
  <si>
    <t>CLOSED 05/01 - COEBURN</t>
  </si>
  <si>
    <t>017640</t>
  </si>
  <si>
    <t>CLOSED 05/01 - ST PAUL</t>
  </si>
  <si>
    <t>017650</t>
  </si>
  <si>
    <t>CLOSED 05/01 - ODP CORP ITEMS</t>
  </si>
  <si>
    <t>017660</t>
  </si>
  <si>
    <t>NORTON OPERATIONS CENTER</t>
  </si>
  <si>
    <t>017710</t>
  </si>
  <si>
    <t>CLOSED 05/01 - BIG STONE GAP</t>
  </si>
  <si>
    <t>017730</t>
  </si>
  <si>
    <t>PENNINGTON GAP</t>
  </si>
  <si>
    <t>017740</t>
  </si>
  <si>
    <t>CLOSED 05/01 - EWING</t>
  </si>
  <si>
    <t>018010</t>
  </si>
  <si>
    <t>SR VICE PRESIDENT-KUE</t>
  </si>
  <si>
    <t>018020</t>
  </si>
  <si>
    <t>CHAIRMAN AND C.E.O.</t>
  </si>
  <si>
    <t>018030</t>
  </si>
  <si>
    <t>018060</t>
  </si>
  <si>
    <t>018100</t>
  </si>
  <si>
    <t>IT RES AND INFRA. PLANNING</t>
  </si>
  <si>
    <t>018110</t>
  </si>
  <si>
    <t>IT PROGRAM MANAGEMENT AND FINANCE</t>
  </si>
  <si>
    <t>018120</t>
  </si>
  <si>
    <t>CLOSED 05/01 - IT MIGRATION</t>
  </si>
  <si>
    <t>018130</t>
  </si>
  <si>
    <t>MIT SHARED SERVICES</t>
  </si>
  <si>
    <t>018510</t>
  </si>
  <si>
    <t>CLOSED 12/04 - KU DISTRIBUTION CHARGES FROM SERVCO</t>
  </si>
  <si>
    <t>018520</t>
  </si>
  <si>
    <t>CLOSED 12/04 - KU GENERATION CHARGES FROM SERVCO</t>
  </si>
  <si>
    <t>018521</t>
  </si>
  <si>
    <t>CLOSED 10/05 - GHENT CHARGES FROM SERVCO</t>
  </si>
  <si>
    <t>018522</t>
  </si>
  <si>
    <t>CLOSED 10/05 - BROWN CHARGES FROM SERVCO</t>
  </si>
  <si>
    <t>018523</t>
  </si>
  <si>
    <t>CLOSED 10/05 - GREEN RIVER CHARGES FROM SERVCO</t>
  </si>
  <si>
    <t>018524</t>
  </si>
  <si>
    <t>CLOSED 10/05 - PINEVILLE CHARGES FROM SERVCO</t>
  </si>
  <si>
    <t>018525</t>
  </si>
  <si>
    <t>CLOSED 10/05 - TYRONE CHARGES FROM SERVCO</t>
  </si>
  <si>
    <t>018526</t>
  </si>
  <si>
    <t>SERVCO CHARGES FOR BROWN CTS</t>
  </si>
  <si>
    <t>018530</t>
  </si>
  <si>
    <t>CLOSED 12/04 - KU TRANSMISSION CHARGES FROM SERVCO</t>
  </si>
  <si>
    <t>018540</t>
  </si>
  <si>
    <t>CLOSED 12/04 - KU METERING CHARGES FROM SERVCO</t>
  </si>
  <si>
    <t>018550</t>
  </si>
  <si>
    <t>CLOSED 12/04 - KU RETAIL BUSINESS CHARGES FROM SERVCO</t>
  </si>
  <si>
    <t>018560</t>
  </si>
  <si>
    <t>CLOSED 12/04 - KU COST DRIVER ASSIGNMENTS FROM SERVCO</t>
  </si>
  <si>
    <t>018570</t>
  </si>
  <si>
    <t>CLOSED 12/04 - KU CORPORATE CHARGES FROM SERVCO</t>
  </si>
  <si>
    <t>018580</t>
  </si>
  <si>
    <t>CLOSED 12/04 - KU MRMD CHARGES FROM SERVCO</t>
  </si>
  <si>
    <t>018585</t>
  </si>
  <si>
    <t>CLOSED 12/04 - KU PROJECT DEVELOPMENT CHARGES FROM SERVCO</t>
  </si>
  <si>
    <t>018590</t>
  </si>
  <si>
    <t>CLOSED 12/04 - KU CAPITAL FROM SERVCO</t>
  </si>
  <si>
    <t>018595</t>
  </si>
  <si>
    <t>CLOSED 12/04 - VDT WORKFORCE REDUCTIONS - KU</t>
  </si>
  <si>
    <t>018810</t>
  </si>
  <si>
    <t>KU DISTRIBUTION CHARGES FROM SERVCO</t>
  </si>
  <si>
    <t>018820</t>
  </si>
  <si>
    <t>KU GENERATION CHARGES FROM SERVCO</t>
  </si>
  <si>
    <t>018825</t>
  </si>
  <si>
    <t>KU GENERATION SERVICES CHARGES FROM SERVCO</t>
  </si>
  <si>
    <t>018826</t>
  </si>
  <si>
    <t>KU FUELS CHARGES FROM SERVCO</t>
  </si>
  <si>
    <t>018827</t>
  </si>
  <si>
    <t>KU PROJECT ENGINEERING CHARGES FROM SERVCO</t>
  </si>
  <si>
    <t>018830</t>
  </si>
  <si>
    <t>KU TRANSMISSION CHARGES FROM SERVCO</t>
  </si>
  <si>
    <t>018840</t>
  </si>
  <si>
    <t>KU METERING CHARGES FROM SERVCO</t>
  </si>
  <si>
    <t>018850</t>
  </si>
  <si>
    <t>KU RETAIL BUSINESS CHARGES FROM SERVCO</t>
  </si>
  <si>
    <t>018870</t>
  </si>
  <si>
    <t>KU CORPORATE CHARGES FROM SERVCO</t>
  </si>
  <si>
    <t>018880</t>
  </si>
  <si>
    <t>KU MRMD CHARGES FROM SERVCO</t>
  </si>
  <si>
    <t>018885</t>
  </si>
  <si>
    <t>KU PROJECT DEVELOPMENT CHARGES FROM SERVCO</t>
  </si>
  <si>
    <t>018890</t>
  </si>
  <si>
    <t>KU OPERATING SERVICES CHARGES FROM SERVCO</t>
  </si>
  <si>
    <t>018900</t>
  </si>
  <si>
    <t>KU CEO CHARGES FROM SERVCO</t>
  </si>
  <si>
    <t>018910</t>
  </si>
  <si>
    <t>KU IT CHARGES FROM SERVCO</t>
  </si>
  <si>
    <t>018915</t>
  </si>
  <si>
    <t>KU ENTERPRISE PROCESS INTEGRATION CHARGES FROM SERVCO</t>
  </si>
  <si>
    <t>018920</t>
  </si>
  <si>
    <t>KU GENERAL COUNSEL CHARGES FROM SERVCO</t>
  </si>
  <si>
    <t>018930</t>
  </si>
  <si>
    <t>KU LEGAL CHARGES FROM SERVCO</t>
  </si>
  <si>
    <t>018935</t>
  </si>
  <si>
    <t>KU COMPLIANCE CHARGES FROM SERVCO</t>
  </si>
  <si>
    <t>018940</t>
  </si>
  <si>
    <t>KU CORP COMMUNICATION CHARGES FROM SERVCO</t>
  </si>
  <si>
    <t>018950</t>
  </si>
  <si>
    <t>KU EXTERNAL AFFAIRS CHARGES FROM SERVCO</t>
  </si>
  <si>
    <t>018960</t>
  </si>
  <si>
    <t>KU REGULATORY CHARGES FROM SERVCO</t>
  </si>
  <si>
    <t>018970</t>
  </si>
  <si>
    <t>KU ENVIRONMENTAL CHARGES FROM SERVCO</t>
  </si>
  <si>
    <t>018980</t>
  </si>
  <si>
    <t>KU HUMAN RESOURCES CHARGES FROM SERVCO</t>
  </si>
  <si>
    <t>018990</t>
  </si>
  <si>
    <t>KU FINANCE CHARGES FROM SERVCO</t>
  </si>
  <si>
    <t>018995</t>
  </si>
  <si>
    <t>KU SUPPLY CHAIN CHARGES FROM SERVCO</t>
  </si>
  <si>
    <t>020078</t>
  </si>
  <si>
    <t>LEM CONT. CHARGES FROM SERVCO CORP.</t>
  </si>
  <si>
    <t>020400</t>
  </si>
  <si>
    <t>LPI EMPLOYEES</t>
  </si>
  <si>
    <t>021000</t>
  </si>
  <si>
    <t>021005</t>
  </si>
  <si>
    <t>SVP ENERGY DELIVERY</t>
  </si>
  <si>
    <t>021015</t>
  </si>
  <si>
    <t>DIRECTOR ELECTRIC RELIABILITY</t>
  </si>
  <si>
    <t>021020</t>
  </si>
  <si>
    <t>021025</t>
  </si>
  <si>
    <t>DIRECTOR - DISTRIBUTION OPERATIONS - ENHANCE</t>
  </si>
  <si>
    <t>021035</t>
  </si>
  <si>
    <t>021045</t>
  </si>
  <si>
    <t>DIRECTOR - DISTRIBUTION OPERATIONS - CONNECT</t>
  </si>
  <si>
    <t>021055</t>
  </si>
  <si>
    <t>DIRECTOR ENERGY DELIVERY</t>
  </si>
  <si>
    <t>021060</t>
  </si>
  <si>
    <t>PRESIDENT AND COO</t>
  </si>
  <si>
    <t>021070</t>
  </si>
  <si>
    <t>DIRECTOR - ASSET MANAGEMENT</t>
  </si>
  <si>
    <t>021071</t>
  </si>
  <si>
    <t>SYSTEM ANALYSIS AND PLANNING - DIST</t>
  </si>
  <si>
    <t>021072</t>
  </si>
  <si>
    <t>MGR INVESTMENT STRATEGY - DIST</t>
  </si>
  <si>
    <t>021073</t>
  </si>
  <si>
    <t>WORK PLANNING - DIST</t>
  </si>
  <si>
    <t>021074</t>
  </si>
  <si>
    <t>MGR OPERATING POLICY AND STANDARDS - DIST</t>
  </si>
  <si>
    <t>021075</t>
  </si>
  <si>
    <t>DESIGN, CONST. AND MATERIALS STANDARD - DIST</t>
  </si>
  <si>
    <t>021076</t>
  </si>
  <si>
    <t>ASSET INFORMATION -DISTRIBUTION</t>
  </si>
  <si>
    <t>021077</t>
  </si>
  <si>
    <t>OPERATING POLICIES - DIST</t>
  </si>
  <si>
    <t>021080</t>
  </si>
  <si>
    <t>ENERGY DELIVERY IT</t>
  </si>
  <si>
    <t>021205</t>
  </si>
  <si>
    <t>RESIDENTIAL SERVICE CENTER</t>
  </si>
  <si>
    <t>021220</t>
  </si>
  <si>
    <t>BUSINESS OFFICES</t>
  </si>
  <si>
    <t>021225</t>
  </si>
  <si>
    <t>BUSINESS SERVICE CENTER</t>
  </si>
  <si>
    <t>021250</t>
  </si>
  <si>
    <t>DIRECTOR CUSTOMER SERVICE AND MARKETING</t>
  </si>
  <si>
    <t>021251</t>
  </si>
  <si>
    <t>COMPLAINTS AND INQUIRY</t>
  </si>
  <si>
    <t>021280</t>
  </si>
  <si>
    <t>MANAGER - METER  READING</t>
  </si>
  <si>
    <t>021320</t>
  </si>
  <si>
    <t>MANAGER - METER ASSET MANAGEMENT - SERVCO</t>
  </si>
  <si>
    <t>021325</t>
  </si>
  <si>
    <t>DIRECTOR REVENUE COLLECTION</t>
  </si>
  <si>
    <t>021330</t>
  </si>
  <si>
    <t>MANAGER REMITTANCE AND COLLECTION</t>
  </si>
  <si>
    <t>021335</t>
  </si>
  <si>
    <t>VP RATES AND REGULATORY</t>
  </si>
  <si>
    <t>021340</t>
  </si>
  <si>
    <t>DIRECTOR CUSTOMER SERVICE - SERVCO</t>
  </si>
  <si>
    <t>021360</t>
  </si>
  <si>
    <t>MANAGER ECONOMIC DEVEL AND MAJOR ACCTS</t>
  </si>
  <si>
    <t>021390</t>
  </si>
  <si>
    <t>MANAGER MARKETING</t>
  </si>
  <si>
    <t>021420</t>
  </si>
  <si>
    <t>DEMAND SIDE MANAGEMENT</t>
  </si>
  <si>
    <t>021440</t>
  </si>
  <si>
    <t>DIRECTOR REGULATORY MANAGEMENT</t>
  </si>
  <si>
    <t>021500</t>
  </si>
  <si>
    <t>MGR - SAFETY / TECHNICAL TRAINING</t>
  </si>
  <si>
    <t>021510</t>
  </si>
  <si>
    <t>HEALTH AND SAFETY - RETAIL BUSINESS - SERVCO</t>
  </si>
  <si>
    <t>021520</t>
  </si>
  <si>
    <t>OPERATIONAL PERFORMANCE</t>
  </si>
  <si>
    <t>021550</t>
  </si>
  <si>
    <t>DISTRIBUTION OPERATIONS AND RETAIL HR</t>
  </si>
  <si>
    <t>021600</t>
  </si>
  <si>
    <t>IT PROJECTS FOR RETAIL BUSINESS</t>
  </si>
  <si>
    <t>022000</t>
  </si>
  <si>
    <t>SVP ENERGY SERVICES</t>
  </si>
  <si>
    <t>022020</t>
  </si>
  <si>
    <t>GENERATION SUPPORT</t>
  </si>
  <si>
    <t>022025</t>
  </si>
  <si>
    <t>GENERATION TURBINE GENERATOR SPECIALIST</t>
  </si>
  <si>
    <t>022030</t>
  </si>
  <si>
    <t>COMMERCIAL OPERATIONS MANAGEMENT</t>
  </si>
  <si>
    <t>022040</t>
  </si>
  <si>
    <t>GENERATING SERVICES</t>
  </si>
  <si>
    <t>022050</t>
  </si>
  <si>
    <t>GROUP ENGINEERING - POWERGEN</t>
  </si>
  <si>
    <t>022060</t>
  </si>
  <si>
    <t>DIRECTOR - GENERATION SERVICES</t>
  </si>
  <si>
    <t>022065</t>
  </si>
  <si>
    <t>MANAGER - SYSTEM LAB AND ENV. COMPL.</t>
  </si>
  <si>
    <t>022090</t>
  </si>
  <si>
    <t>MANAGER - GENERAL CONSTRUCTION</t>
  </si>
  <si>
    <t>022100</t>
  </si>
  <si>
    <t>VP - Transmission and Generation Services</t>
  </si>
  <si>
    <t>022110</t>
  </si>
  <si>
    <t>MANAGER - GENERATION ENGINEERING</t>
  </si>
  <si>
    <t>022200</t>
  </si>
  <si>
    <t>VP -  Power Production</t>
  </si>
  <si>
    <t>022800</t>
  </si>
  <si>
    <t>DIRECTOR - FUELS MANAGEMENT</t>
  </si>
  <si>
    <t>MRMD</t>
  </si>
  <si>
    <t>022810</t>
  </si>
  <si>
    <t>DIRECTOR - CORPORATE FUELS AND BY PRODUCTS</t>
  </si>
  <si>
    <t>022970</t>
  </si>
  <si>
    <t>GENERATION SYSTEM PLANNING</t>
  </si>
  <si>
    <t>023010</t>
  </si>
  <si>
    <t>DIRECTOR - TRANSMISSION</t>
  </si>
  <si>
    <t>023020</t>
  </si>
  <si>
    <t>MANAGER - ELECTRIC SYSTEM CONTROL</t>
  </si>
  <si>
    <t>023030</t>
  </si>
  <si>
    <t>SUBSTATION OPERATIONS</t>
  </si>
  <si>
    <t>023050</t>
  </si>
  <si>
    <t>023060</t>
  </si>
  <si>
    <t>MANAGER - TRANSMISSION PLANNING AND SUBST.</t>
  </si>
  <si>
    <t>023070</t>
  </si>
  <si>
    <t>MANAGER - TRANSMISSION LINES</t>
  </si>
  <si>
    <t>023110</t>
  </si>
  <si>
    <t>TRANSFORMER SERVICES</t>
  </si>
  <si>
    <t>023130</t>
  </si>
  <si>
    <t>MANAGER SUBSTATION CONSTRUCTION AND MAINTENANCE</t>
  </si>
  <si>
    <t>023160</t>
  </si>
  <si>
    <t>SUBSTATION CONSTRUCTION AND MAINTENANCE</t>
  </si>
  <si>
    <t>023200</t>
  </si>
  <si>
    <t>SYSTEM RESTORATION AND OPERATIONS</t>
  </si>
  <si>
    <t>023210</t>
  </si>
  <si>
    <t>SERVCO - FORESTRY</t>
  </si>
  <si>
    <t>023550</t>
  </si>
  <si>
    <t>023605</t>
  </si>
  <si>
    <t>ELECTRIC SYSTEM PLANNING AND ENGINEERING</t>
  </si>
  <si>
    <t>023610</t>
  </si>
  <si>
    <t>DISTRIBUTION ENGINEERING</t>
  </si>
  <si>
    <t>023640</t>
  </si>
  <si>
    <t>ENERGY DELIVERY BUDGETING</t>
  </si>
  <si>
    <t>023650</t>
  </si>
  <si>
    <t>023800</t>
  </si>
  <si>
    <t>DIRECTOR - MKT ANALYSIS AND VALUATION</t>
  </si>
  <si>
    <t>023810</t>
  </si>
  <si>
    <t>ECONOMIC ANALYSIS</t>
  </si>
  <si>
    <t>023815</t>
  </si>
  <si>
    <t>SALES ANALYSIS &amp; FORECASTING</t>
  </si>
  <si>
    <t>023830</t>
  </si>
  <si>
    <t>DISTRIBUTION PLANNING AND ENGINEERING</t>
  </si>
  <si>
    <t>023840</t>
  </si>
  <si>
    <t>VALUATION</t>
  </si>
  <si>
    <t>023850</t>
  </si>
  <si>
    <t>MARKET POLICY</t>
  </si>
  <si>
    <t>024370</t>
  </si>
  <si>
    <t>MAPS AND RECORDS</t>
  </si>
  <si>
    <t>024475</t>
  </si>
  <si>
    <t>GAS STORAGE, CONTROL AND COMPLIANCE</t>
  </si>
  <si>
    <t>025000</t>
  </si>
  <si>
    <t>SVP AND CAO</t>
  </si>
  <si>
    <t>025078</t>
  </si>
  <si>
    <t>LEM CONT CHARGES FROM SERVCO HR</t>
  </si>
  <si>
    <t>025079</t>
  </si>
  <si>
    <t>DISCO CHARGES FROM SERVCO HR</t>
  </si>
  <si>
    <t>025200</t>
  </si>
  <si>
    <t>DIRECTOR HR - GENERATION</t>
  </si>
  <si>
    <t>025210</t>
  </si>
  <si>
    <t>MANAGER - TECHNICAL AND SAFETY TRAINING</t>
  </si>
  <si>
    <t>025220</t>
  </si>
  <si>
    <t>HEALTH AND SAFETY - ENERGY SERVICES</t>
  </si>
  <si>
    <t>025250</t>
  </si>
  <si>
    <t>MANAGER SAFETY AND TRAINING - GENERATION</t>
  </si>
  <si>
    <t>025270</t>
  </si>
  <si>
    <t>MANAGER INDUSTRIAL RELATIONS</t>
  </si>
  <si>
    <t>025300</t>
  </si>
  <si>
    <t>DIRECTOR HR - ENERGY SERVICES AND CORP STAFF</t>
  </si>
  <si>
    <t>025310</t>
  </si>
  <si>
    <t>HR TECHNOLOGY AND SERVICES</t>
  </si>
  <si>
    <t>025400</t>
  </si>
  <si>
    <t>VP SUPPLY AND LOGISTICS</t>
  </si>
  <si>
    <t>025410</t>
  </si>
  <si>
    <t>DIRECTOR SUPPLY CHAIN AND LOGISTICS</t>
  </si>
  <si>
    <t>025420</t>
  </si>
  <si>
    <t>CORPORATE PURCHASING</t>
  </si>
  <si>
    <t>025430</t>
  </si>
  <si>
    <t>MANAGER MATERIALS LOGISTICS</t>
  </si>
  <si>
    <t>025440</t>
  </si>
  <si>
    <t>MANAGER PROCUREMENT AND MAJOR CONTRACTS</t>
  </si>
  <si>
    <t>025450</t>
  </si>
  <si>
    <t>MANAGER SOURCING SUPPORT</t>
  </si>
  <si>
    <t>025460</t>
  </si>
  <si>
    <t>MANAGER - SUPPLIER DIVERSITY</t>
  </si>
  <si>
    <t>025470</t>
  </si>
  <si>
    <t>SARBANES OXLEY</t>
  </si>
  <si>
    <t>025500</t>
  </si>
  <si>
    <t>DIRECTOR OPERATING SERVICES</t>
  </si>
  <si>
    <t>025510</t>
  </si>
  <si>
    <t>CONTRACT MANAGER - XEROX CORP.</t>
  </si>
  <si>
    <t>025530</t>
  </si>
  <si>
    <t>MANAGER TRANSPORTATION</t>
  </si>
  <si>
    <t>025550</t>
  </si>
  <si>
    <t>MANAGER OFFICE FACILITIES</t>
  </si>
  <si>
    <t>025551</t>
  </si>
  <si>
    <t>FACILITY OPERATIONS NORTH</t>
  </si>
  <si>
    <t>025552</t>
  </si>
  <si>
    <t>FACILITY OPERATIONS CENTRAL</t>
  </si>
  <si>
    <t>025553</t>
  </si>
  <si>
    <t>FACILITY OPERATIONS EAST</t>
  </si>
  <si>
    <t>025554</t>
  </si>
  <si>
    <t>FACILITY MAINTENANCE</t>
  </si>
  <si>
    <t>025555</t>
  </si>
  <si>
    <t>FACILITY OPERATIONS - LEXINGTON</t>
  </si>
  <si>
    <t>025578</t>
  </si>
  <si>
    <t>LEM CONT CHARGES FROM SERVCO OP SERV</t>
  </si>
  <si>
    <t>025579</t>
  </si>
  <si>
    <t>DISCO CHARGES FROM SERVCO OP SERV</t>
  </si>
  <si>
    <t>025580</t>
  </si>
  <si>
    <t>MANAGER REAL ESTATE AND RIGHT OF WAY</t>
  </si>
  <si>
    <t>025590</t>
  </si>
  <si>
    <t>ADMINISTRATIVE SERVICES</t>
  </si>
  <si>
    <t>025592</t>
  </si>
  <si>
    <t>025593</t>
  </si>
  <si>
    <t>PROJECT PLANNING AND MANAGEMENT</t>
  </si>
  <si>
    <t>025594</t>
  </si>
  <si>
    <t>CORPORATE FACILITY SERVICES</t>
  </si>
  <si>
    <t>025600</t>
  </si>
  <si>
    <t>CORPORATE DIRECTOR - HR</t>
  </si>
  <si>
    <t>025620</t>
  </si>
  <si>
    <t>MANAGER HEALTH AND SAFETY</t>
  </si>
  <si>
    <t>025650</t>
  </si>
  <si>
    <t>DIRECTOR ENVIRONMENTAL AFFAIRS</t>
  </si>
  <si>
    <t>025670</t>
  </si>
  <si>
    <t>MANAGER COMPENSATION SYSTEMS AND HRIS</t>
  </si>
  <si>
    <t>025680</t>
  </si>
  <si>
    <t>MANAGER BENEFITS AND RECORDS</t>
  </si>
  <si>
    <t>025700</t>
  </si>
  <si>
    <t>DISTRIBUTION HR</t>
  </si>
  <si>
    <t>025710</t>
  </si>
  <si>
    <t>TECHNICAL AND SAFETY TRAINING - DISTRIBUTION</t>
  </si>
  <si>
    <t>025770</t>
  </si>
  <si>
    <t>MANAGER ORGANIZATIONAL DEVELOPMENT</t>
  </si>
  <si>
    <t>026000</t>
  </si>
  <si>
    <t>EVP AND CFO</t>
  </si>
  <si>
    <t>026010</t>
  </si>
  <si>
    <t>MANAGER  - FORECASTING AND INVESTMENT ANALYSIS</t>
  </si>
  <si>
    <t>026020</t>
  </si>
  <si>
    <t>DIRECTOR FINANCIAL PLANNING AND BUDGETING</t>
  </si>
  <si>
    <t>026025</t>
  </si>
  <si>
    <t>DIRECTOR, PLANNING AND CONTROLLING</t>
  </si>
  <si>
    <t>026030</t>
  </si>
  <si>
    <t>DIR, FINANCIAL PLANNING AND ANALYSIS - ENERGY SVCES</t>
  </si>
  <si>
    <t>026035</t>
  </si>
  <si>
    <t>ACCOUNTING FOR WKE</t>
  </si>
  <si>
    <t>026040</t>
  </si>
  <si>
    <t>MANAGER UTILITY TAX</t>
  </si>
  <si>
    <t>026045</t>
  </si>
  <si>
    <t>DIRECTOR CORPORATE TAX</t>
  </si>
  <si>
    <t>026049</t>
  </si>
  <si>
    <t>MANAGER ENERGY CORP. TAX</t>
  </si>
  <si>
    <t>026050</t>
  </si>
  <si>
    <t>CFO</t>
  </si>
  <si>
    <t>026060</t>
  </si>
  <si>
    <t>MANAGER ENERGY MRKTING ACCOUNTING</t>
  </si>
  <si>
    <t>026065</t>
  </si>
  <si>
    <t>TRADING - CORPORATE</t>
  </si>
  <si>
    <t>026070</t>
  </si>
  <si>
    <t>DIRECTOR TRADING CONTROLS AND ENERGY MKTING</t>
  </si>
  <si>
    <t>026075</t>
  </si>
  <si>
    <t>MANAGER - TRADING CONTROLS</t>
  </si>
  <si>
    <t>026078</t>
  </si>
  <si>
    <t>LEM - CONTINUING</t>
  </si>
  <si>
    <t>026079</t>
  </si>
  <si>
    <t>LEM - DISCONTINUING</t>
  </si>
  <si>
    <t>026080</t>
  </si>
  <si>
    <t>MANAGER REVENUE ACCOUNTING</t>
  </si>
  <si>
    <t>026090</t>
  </si>
  <si>
    <t>CONTRACTS ADMINISTRATION</t>
  </si>
  <si>
    <t>026100</t>
  </si>
  <si>
    <t>026110</t>
  </si>
  <si>
    <t>MANAGER FINANCIAL SYSTEMS</t>
  </si>
  <si>
    <t>026120</t>
  </si>
  <si>
    <t>MANAGER PROPERTY ACCOUNTING</t>
  </si>
  <si>
    <t>026130</t>
  </si>
  <si>
    <t>026135</t>
  </si>
  <si>
    <t>DIRECTOR - UTILITY ACCOUNTING</t>
  </si>
  <si>
    <t>026140</t>
  </si>
  <si>
    <t>MANAGER- FINANCIAL PLANNING, UTILITY OPERATIONS</t>
  </si>
  <si>
    <t>026145</t>
  </si>
  <si>
    <t>CORPORATE FINANCIAL PLANNING</t>
  </si>
  <si>
    <t>026150</t>
  </si>
  <si>
    <t>FINANCIAL ACCOUNTING AND REPORTING</t>
  </si>
  <si>
    <t>026160</t>
  </si>
  <si>
    <t>REGULATORY ACCOUNTING AND REPORTING</t>
  </si>
  <si>
    <t>026170</t>
  </si>
  <si>
    <t>MANAGER - CUSTOMER ACCOUNTING</t>
  </si>
  <si>
    <t>026178</t>
  </si>
  <si>
    <t>LEM CONT CHARGES FROM SERVCO FINANCE</t>
  </si>
  <si>
    <t>026179</t>
  </si>
  <si>
    <t>DISCO CHARGES FROM SERVCO FINANCE</t>
  </si>
  <si>
    <t>026190</t>
  </si>
  <si>
    <t>CORPORATE ACCOUNTING</t>
  </si>
  <si>
    <t>026200</t>
  </si>
  <si>
    <t>MANAGER ACCOUNTS PAYABLE</t>
  </si>
  <si>
    <t>026210</t>
  </si>
  <si>
    <t>MANAGER - PUHCA COMPLIANCE</t>
  </si>
  <si>
    <t>026310</t>
  </si>
  <si>
    <t>MANAGER PAYROLL</t>
  </si>
  <si>
    <t>026330</t>
  </si>
  <si>
    <t>DIRECTOR CORPORATE FINANCE</t>
  </si>
  <si>
    <t>026350</t>
  </si>
  <si>
    <t>026360</t>
  </si>
  <si>
    <t>VP FINANCE AND TREASURER</t>
  </si>
  <si>
    <t>026370</t>
  </si>
  <si>
    <t>DIRECTOR CASH MANAGEMENT AND INVESTMENTS</t>
  </si>
  <si>
    <t>026380</t>
  </si>
  <si>
    <t>MANAGER INVESTOR AND SHAREHOLDER RELATIONS</t>
  </si>
  <si>
    <t>026390</t>
  </si>
  <si>
    <t>CREDIT - LEM</t>
  </si>
  <si>
    <t>026400</t>
  </si>
  <si>
    <t>AUDIT SERVICES</t>
  </si>
  <si>
    <t>026410</t>
  </si>
  <si>
    <t>DIRECTOR - BUSINESS DEVELOPMENT</t>
  </si>
  <si>
    <t>026415</t>
  </si>
  <si>
    <t>MANAGER -  BUSINESS DEVELOPMENT</t>
  </si>
  <si>
    <t>026420</t>
  </si>
  <si>
    <t>GROUP - IT RESEARCH</t>
  </si>
  <si>
    <t>026430</t>
  </si>
  <si>
    <t>IT SERVICE DELIVERY - SHARED SERVICES</t>
  </si>
  <si>
    <t>026440</t>
  </si>
  <si>
    <t>CUSTOMER RELATION MANAGER - GENERATION</t>
  </si>
  <si>
    <t>026450</t>
  </si>
  <si>
    <t>CUSTOMER RELATION MANAGER - DISTRIBUTION OPERATIONS</t>
  </si>
  <si>
    <t>026478</t>
  </si>
  <si>
    <t>LEM CONT CHARGES FROM SERVCO INFO TECH</t>
  </si>
  <si>
    <t>026479</t>
  </si>
  <si>
    <t>DISCO CHARGES FROM SERVCO INFO TECH</t>
  </si>
  <si>
    <t>026480</t>
  </si>
  <si>
    <t>INFORMATION TECHNOLOGY - ROLLUP</t>
  </si>
  <si>
    <t>026485</t>
  </si>
  <si>
    <t>ENTERPRISE PROCESS INTEGRATION</t>
  </si>
  <si>
    <t>026490</t>
  </si>
  <si>
    <t>SVP INFORMATION TECHNOLOGY</t>
  </si>
  <si>
    <t>026500</t>
  </si>
  <si>
    <t>DIRECTOR IT SERVICE DELIVERY</t>
  </si>
  <si>
    <t>026510</t>
  </si>
  <si>
    <t>ITSD HR AND PAYROLL</t>
  </si>
  <si>
    <t>026520</t>
  </si>
  <si>
    <t>ITSD ENERGY MARKETING</t>
  </si>
  <si>
    <t>026530</t>
  </si>
  <si>
    <t>IT SERVICE DELIVERY ENERGY SERVICES</t>
  </si>
  <si>
    <t>026540</t>
  </si>
  <si>
    <t>ITSD DISTRIBUTION</t>
  </si>
  <si>
    <t>026560</t>
  </si>
  <si>
    <t>ITSD RETAIL</t>
  </si>
  <si>
    <t>026570</t>
  </si>
  <si>
    <t>ITSD CIS</t>
  </si>
  <si>
    <t>026580</t>
  </si>
  <si>
    <t>ITSD FINANCE AND MATERIALS</t>
  </si>
  <si>
    <t>026600</t>
  </si>
  <si>
    <t>DIRECTOR IT OPERATIONS</t>
  </si>
  <si>
    <t>026610</t>
  </si>
  <si>
    <t>DESKTOP OPERATIONS</t>
  </si>
  <si>
    <t>026620</t>
  </si>
  <si>
    <t>026630</t>
  </si>
  <si>
    <t>TELECOMMUNICATIONS</t>
  </si>
  <si>
    <t>026640</t>
  </si>
  <si>
    <t>TSS (TECH SUPP SVCS)</t>
  </si>
  <si>
    <t>026650</t>
  </si>
  <si>
    <t>COMPUTING ARCHITECTURE</t>
  </si>
  <si>
    <t>026660</t>
  </si>
  <si>
    <t>DATA NETWORKS</t>
  </si>
  <si>
    <t>026670</t>
  </si>
  <si>
    <t>IT SPECIAL PROJECTS</t>
  </si>
  <si>
    <t>026700</t>
  </si>
  <si>
    <t>DIRECTOR IT STRATEGY / PLANNING</t>
  </si>
  <si>
    <t>026710</t>
  </si>
  <si>
    <t>IT FINANCE AND ADMINISTRATION</t>
  </si>
  <si>
    <t>026720</t>
  </si>
  <si>
    <t>IT RESEARCH</t>
  </si>
  <si>
    <t>026740</t>
  </si>
  <si>
    <t>026750</t>
  </si>
  <si>
    <t>IT WEBMASTER</t>
  </si>
  <si>
    <t>026760</t>
  </si>
  <si>
    <t>IT TRAINING</t>
  </si>
  <si>
    <t>026770</t>
  </si>
  <si>
    <t>PROGRAM MANAGEMENT AND QUALITY ASSURANCE</t>
  </si>
  <si>
    <t>026850</t>
  </si>
  <si>
    <t>DIRECTOR - EXTERNAL AFFAIRS</t>
  </si>
  <si>
    <t>026900</t>
  </si>
  <si>
    <t>LEGAL DEPARTMENT -  SERVCO</t>
  </si>
  <si>
    <t>026905</t>
  </si>
  <si>
    <t>COMPLIANCE DEPT</t>
  </si>
  <si>
    <t>026910</t>
  </si>
  <si>
    <t>EVP -  GENERAL COUNSEL - SERVCO</t>
  </si>
  <si>
    <t>026920</t>
  </si>
  <si>
    <t>DIRECTOR - CORPORATE COMMUNICATION</t>
  </si>
  <si>
    <t>026930</t>
  </si>
  <si>
    <t>MANAGER - INTERNAL COMMUNICATION</t>
  </si>
  <si>
    <t>026940</t>
  </si>
  <si>
    <t>MANAGER EXTERNAL AND BRAND COMMUNICATION</t>
  </si>
  <si>
    <t>026950</t>
  </si>
  <si>
    <t>026960</t>
  </si>
  <si>
    <t>COMMUNITY RELATIONS</t>
  </si>
  <si>
    <t>026970</t>
  </si>
  <si>
    <t>INTERNATIONAL AND STRATEGIC COMMUNICATIONS</t>
  </si>
  <si>
    <t>026978</t>
  </si>
  <si>
    <t>LEM CONT CHARGES FROM SERVCO LEGAL</t>
  </si>
  <si>
    <t>026979</t>
  </si>
  <si>
    <t>DISCO CHARGES FROM SERVCO LEGAL</t>
  </si>
  <si>
    <t>027100</t>
  </si>
  <si>
    <t>VP AND SENIOR MANAGER OF E.ON ACADEMY</t>
  </si>
  <si>
    <t>028000</t>
  </si>
  <si>
    <t>REV - EXP FROM LGE</t>
  </si>
  <si>
    <t>028010</t>
  </si>
  <si>
    <t>REV - EXP FROM KU</t>
  </si>
  <si>
    <t>028030</t>
  </si>
  <si>
    <t>REV - EXP FROM WKE</t>
  </si>
  <si>
    <t>028040</t>
  </si>
  <si>
    <t>REV - EXP FROM CAPITAL CORP</t>
  </si>
  <si>
    <t>028050</t>
  </si>
  <si>
    <t>REV - EXP FROM ENERTECH</t>
  </si>
  <si>
    <t>028060</t>
  </si>
  <si>
    <t>REV - EXP FROM HOME SERVICES</t>
  </si>
  <si>
    <t>028070</t>
  </si>
  <si>
    <t>REV - EXP FROM CREDIT CORP</t>
  </si>
  <si>
    <t>028080</t>
  </si>
  <si>
    <t>REV - EXP FROM KU SOLUTIONS</t>
  </si>
  <si>
    <t>028085</t>
  </si>
  <si>
    <t>REV - EXP FROM TC LLC</t>
  </si>
  <si>
    <t>028090</t>
  </si>
  <si>
    <t>REV - EXP FROM LEC</t>
  </si>
  <si>
    <t>028102</t>
  </si>
  <si>
    <t>REV - EXP FROM LPI POWER GEN</t>
  </si>
  <si>
    <t>028103</t>
  </si>
  <si>
    <t>REV - EXP FROM LEM CONTINUING</t>
  </si>
  <si>
    <t>028110</t>
  </si>
  <si>
    <t>REV - EXP FROM GAS BAN</t>
  </si>
  <si>
    <t>028111</t>
  </si>
  <si>
    <t>REV - EXP FROM INTERNATIONAL</t>
  </si>
  <si>
    <t>028112</t>
  </si>
  <si>
    <t>REV - EXP FROM CENTRO</t>
  </si>
  <si>
    <t>028113</t>
  </si>
  <si>
    <t>REV - EXP FROM ARGENTINA II</t>
  </si>
  <si>
    <t>028114</t>
  </si>
  <si>
    <t>REV - EXP FROM LPI BUSINESS DEV - FAIRFAX</t>
  </si>
  <si>
    <t>028116</t>
  </si>
  <si>
    <t>REV - EXP FROM SYDKFRAFT AB</t>
  </si>
  <si>
    <t>028118</t>
  </si>
  <si>
    <t>REV - EXP FROM LEM GAS FACILITIES</t>
  </si>
  <si>
    <t>028119</t>
  </si>
  <si>
    <t>REV - EXP FROM LGE STATION 2</t>
  </si>
  <si>
    <t>028120</t>
  </si>
  <si>
    <t>REV - EXP FROM KU ENERGY CAPITAL</t>
  </si>
  <si>
    <t>028121</t>
  </si>
  <si>
    <t>REV - EXP FROM LEM DISCONTINUING</t>
  </si>
  <si>
    <t>028122</t>
  </si>
  <si>
    <t>REV - EXP FROM CRC EVANS</t>
  </si>
  <si>
    <t>028124</t>
  </si>
  <si>
    <t>REV - EXP FROM E.ON UK</t>
  </si>
  <si>
    <t>028125</t>
  </si>
  <si>
    <t>REV - EXP FROM LPI - COSTA MESA</t>
  </si>
  <si>
    <t>028126</t>
  </si>
  <si>
    <t>REV - EXP FROM FOUNDATION</t>
  </si>
  <si>
    <t>028127</t>
  </si>
  <si>
    <t>REV - EXP FROM MONROE LPI</t>
  </si>
  <si>
    <t>028129</t>
  </si>
  <si>
    <t>REV - EXP FROM LPD TIGER CREEK</t>
  </si>
  <si>
    <t>028130</t>
  </si>
  <si>
    <t>REV - EXP FROM E.ON</t>
  </si>
  <si>
    <t>028132</t>
  </si>
  <si>
    <t>REV - EXP FROM E.ON N. AMERICA</t>
  </si>
  <si>
    <t>028133</t>
  </si>
  <si>
    <t>REV-EXP FROM RUHRGAS</t>
  </si>
  <si>
    <t>028134</t>
  </si>
  <si>
    <t>REV-EXP FROM E.ON ENERGIE</t>
  </si>
  <si>
    <t>028135</t>
  </si>
  <si>
    <t>REV-EXP FROM ARGENTINA II</t>
  </si>
  <si>
    <t>028136</t>
  </si>
  <si>
    <t>028137</t>
  </si>
  <si>
    <t>028138</t>
  </si>
  <si>
    <t>028139</t>
  </si>
  <si>
    <t>028140</t>
  </si>
  <si>
    <t>028141</t>
  </si>
  <si>
    <t>CENTRO</t>
  </si>
  <si>
    <t>028142</t>
  </si>
  <si>
    <t>REV-EXP FROM KRAFTWERKE ENERGIE</t>
  </si>
  <si>
    <t>029010</t>
  </si>
  <si>
    <t>MERGERS AND ACQUISITIONS - POWERGEN</t>
  </si>
  <si>
    <t>029040</t>
  </si>
  <si>
    <t>LEGAL - POWERGEN</t>
  </si>
  <si>
    <t>029050</t>
  </si>
  <si>
    <t>DIRECTOR TECHNICAL SERVICES - POWERGEN</t>
  </si>
  <si>
    <t>029060</t>
  </si>
  <si>
    <t>DIRECTOR - VDT IMPLEMENTATION</t>
  </si>
  <si>
    <t>029070</t>
  </si>
  <si>
    <t>POWERGEN - MANAGING DIRECTOR, SERVICES</t>
  </si>
  <si>
    <t>029150</t>
  </si>
  <si>
    <t>ARGENTINE GAS BUSINESS</t>
  </si>
  <si>
    <t>029240</t>
  </si>
  <si>
    <t>SVP POWER OPERATION</t>
  </si>
  <si>
    <t>029250</t>
  </si>
  <si>
    <t>SVP - STRATEGIC PLANNING</t>
  </si>
  <si>
    <t>029295</t>
  </si>
  <si>
    <t>LEADERSHIP DEVELOPMENT</t>
  </si>
  <si>
    <t>029400</t>
  </si>
  <si>
    <t>LGE ENERGY FOUNDATION</t>
  </si>
  <si>
    <t>029520</t>
  </si>
  <si>
    <t>HOME SERVICES</t>
  </si>
  <si>
    <t>029530</t>
  </si>
  <si>
    <t>ENERTECH INC - OP/ENG</t>
  </si>
  <si>
    <t>029550</t>
  </si>
  <si>
    <t>ENERTECH INC - MKT/SALES</t>
  </si>
  <si>
    <t>029560</t>
  </si>
  <si>
    <t>GEN MGR. - ENERTECH</t>
  </si>
  <si>
    <t>029610</t>
  </si>
  <si>
    <t>VP POWER OPERATIONS FOR WKE</t>
  </si>
  <si>
    <t>029620</t>
  </si>
  <si>
    <t>MGR - OPERATION ANALYSIS AND SYSTEMS IMPLEMENTATION</t>
  </si>
  <si>
    <t>029625</t>
  </si>
  <si>
    <t>ENERGY MARKETING - BUSINESS INFORMATION</t>
  </si>
  <si>
    <t>029630</t>
  </si>
  <si>
    <t>TRADERS</t>
  </si>
  <si>
    <t>029635</t>
  </si>
  <si>
    <t>GAS MARKETING</t>
  </si>
  <si>
    <t>029640</t>
  </si>
  <si>
    <t>SVP ENERGY MARKETING</t>
  </si>
  <si>
    <t>029650</t>
  </si>
  <si>
    <t>029660</t>
  </si>
  <si>
    <t>DIRECTOR - UTILITY TRADING AND MARKETING</t>
  </si>
  <si>
    <t>029670</t>
  </si>
  <si>
    <t>VP - ENERGY SERVICES  PROJECT DEVELOPMENT</t>
  </si>
  <si>
    <t>029680</t>
  </si>
  <si>
    <t>VP - ENERGY SERVICES  ENGINEERING</t>
  </si>
  <si>
    <t>029690</t>
  </si>
  <si>
    <t>DIRECTOR ENERGY SERVICES PROJECT DEVELOPMENT</t>
  </si>
  <si>
    <t>029700</t>
  </si>
  <si>
    <t>SVP PROJECT ENGINEERING</t>
  </si>
  <si>
    <t>029710</t>
  </si>
  <si>
    <t>DIRECTOR - PROCUREMENT - PROJECT ENGINEERING</t>
  </si>
  <si>
    <t>029720</t>
  </si>
  <si>
    <t>DIRECTOR - CONSTRUCTION PROJECTS</t>
  </si>
  <si>
    <t>029730</t>
  </si>
  <si>
    <t>VP INDEPENDENT POWER OPERATIONS</t>
  </si>
  <si>
    <t>029740</t>
  </si>
  <si>
    <t>VP PLANT OPERATIONS</t>
  </si>
  <si>
    <t>029750</t>
  </si>
  <si>
    <t>NOX PROJECT ENGINEERING</t>
  </si>
  <si>
    <t>029760</t>
  </si>
  <si>
    <t>030999</t>
  </si>
  <si>
    <t>WKE CORP. CONVERSION</t>
  </si>
  <si>
    <t>031001</t>
  </si>
  <si>
    <t>WKE VP OPERATIONS</t>
  </si>
  <si>
    <t>031005</t>
  </si>
  <si>
    <t>WKE ASSET DEVELOPMENT</t>
  </si>
  <si>
    <t>031010</t>
  </si>
  <si>
    <t>WKE HUMAN RESOURCES AND ADMINISTRATION</t>
  </si>
  <si>
    <t>031015</t>
  </si>
  <si>
    <t>WKE COMMUNITY RELATIONS</t>
  </si>
  <si>
    <t>031020</t>
  </si>
  <si>
    <t>WKE FUELS</t>
  </si>
  <si>
    <t>031021</t>
  </si>
  <si>
    <t>CLOSED 04/00 - WKE FUELS 009470 (1999 BUDGET ONLY)</t>
  </si>
  <si>
    <t>031022</t>
  </si>
  <si>
    <t>WKE HENDERSON FUELS</t>
  </si>
  <si>
    <t>031050</t>
  </si>
  <si>
    <t>WKE ECONOMIC DEVELOPMENT</t>
  </si>
  <si>
    <t>031060</t>
  </si>
  <si>
    <t>WKE CORPORATE SAFETY</t>
  </si>
  <si>
    <t>031061</t>
  </si>
  <si>
    <t>WKE R/G/SII SAFETY</t>
  </si>
  <si>
    <t>031062</t>
  </si>
  <si>
    <t>WKE COLEMAN SAFETY</t>
  </si>
  <si>
    <t>031063</t>
  </si>
  <si>
    <t>WKE WILSON SAFETY</t>
  </si>
  <si>
    <t>031100</t>
  </si>
  <si>
    <t>WKE HR BENEFITS</t>
  </si>
  <si>
    <t>031151</t>
  </si>
  <si>
    <t>WKE R/G/SII SECURITY</t>
  </si>
  <si>
    <t>031152</t>
  </si>
  <si>
    <t>WKE COLEMAN SECURITY</t>
  </si>
  <si>
    <t>031153</t>
  </si>
  <si>
    <t>WKE WILSON SECURITY</t>
  </si>
  <si>
    <t>031155</t>
  </si>
  <si>
    <t>WKE SECURITY</t>
  </si>
  <si>
    <t>031200</t>
  </si>
  <si>
    <t>WKE ACCOUNTING</t>
  </si>
  <si>
    <t>031201</t>
  </si>
  <si>
    <t>WKE ACCOUNTS PAYABLE</t>
  </si>
  <si>
    <t>031240</t>
  </si>
  <si>
    <t>WKE FACILITIES</t>
  </si>
  <si>
    <t>031250</t>
  </si>
  <si>
    <t>WKE SOURCING AND MATERIALS</t>
  </si>
  <si>
    <t>031251</t>
  </si>
  <si>
    <t>WKE R/G/SII SOURCING/MATERIALS</t>
  </si>
  <si>
    <t>031252</t>
  </si>
  <si>
    <t>WKE COLEMAN SOURCING/MATERIALS</t>
  </si>
  <si>
    <t>031253</t>
  </si>
  <si>
    <t>WKE WILSON SOURCING/MATERIALS</t>
  </si>
  <si>
    <t>031300</t>
  </si>
  <si>
    <t>WKE INFORMATION TECHNOLOGY</t>
  </si>
  <si>
    <t>031310</t>
  </si>
  <si>
    <t>WKE ENVIRONMENTAL EXCELLENCE</t>
  </si>
  <si>
    <t>031315</t>
  </si>
  <si>
    <t>WKE NOX COMPLIANCE</t>
  </si>
  <si>
    <t>031500</t>
  </si>
  <si>
    <t>WKE CENTRAL MACHINE SHOP</t>
  </si>
  <si>
    <t>031550</t>
  </si>
  <si>
    <t>WKE R/SII ADMIN</t>
  </si>
  <si>
    <t>031555</t>
  </si>
  <si>
    <t>WKE REID/STATION TWO COAL HANDLING</t>
  </si>
  <si>
    <t>031560</t>
  </si>
  <si>
    <t>WKE REID/STATION TWO OPERATIONS</t>
  </si>
  <si>
    <t>031570</t>
  </si>
  <si>
    <t>WKE STATION TWO SCRUBBER</t>
  </si>
  <si>
    <t>031575</t>
  </si>
  <si>
    <t>WKE REID/STATION TWO LAB</t>
  </si>
  <si>
    <t>031585</t>
  </si>
  <si>
    <t>WKE REID/STATIN TWO NOX REDUCTION</t>
  </si>
  <si>
    <t>031605</t>
  </si>
  <si>
    <t>WKE REID/STATION TWO MAINTENANCE</t>
  </si>
  <si>
    <t>031650</t>
  </si>
  <si>
    <t>WKE COLEMAN ADMIN</t>
  </si>
  <si>
    <t>031655</t>
  </si>
  <si>
    <t>WKE COLEMAN COAL HANDLING</t>
  </si>
  <si>
    <t>031660</t>
  </si>
  <si>
    <t>WKE COLEMAN OPERATIONS</t>
  </si>
  <si>
    <t>031670</t>
  </si>
  <si>
    <t>WKE COLEMAN SCRUBBER</t>
  </si>
  <si>
    <t>031675</t>
  </si>
  <si>
    <t>WKE COLEMAN LAB</t>
  </si>
  <si>
    <t>031685</t>
  </si>
  <si>
    <t>WKE REID/STATION TWO NOX REDUCTION</t>
  </si>
  <si>
    <t>031705</t>
  </si>
  <si>
    <t>WKE COLEMAN MAINTENANCE</t>
  </si>
  <si>
    <t>031750</t>
  </si>
  <si>
    <t>WKE GREEN ADMIN</t>
  </si>
  <si>
    <t>031755</t>
  </si>
  <si>
    <t>WKE GREEN COAL HANDLING</t>
  </si>
  <si>
    <t>031760</t>
  </si>
  <si>
    <t>WKE GREEN OPERATIONS</t>
  </si>
  <si>
    <t>031770</t>
  </si>
  <si>
    <t>WKE GREEN SCRUBBER</t>
  </si>
  <si>
    <t>031775</t>
  </si>
  <si>
    <t>WKE GREEN LAB</t>
  </si>
  <si>
    <t>031780</t>
  </si>
  <si>
    <t>WKE GREEN SOLID WASTE</t>
  </si>
  <si>
    <t>031785</t>
  </si>
  <si>
    <t>WKE GREEN NOX REDUCTION</t>
  </si>
  <si>
    <t>031805</t>
  </si>
  <si>
    <t>WKE GREEN MAINTENANCE</t>
  </si>
  <si>
    <t>031850</t>
  </si>
  <si>
    <t>WKE WILSON ADMIN</t>
  </si>
  <si>
    <t>031855</t>
  </si>
  <si>
    <t>WKE WILSON COAL HANDLING</t>
  </si>
  <si>
    <t>031860</t>
  </si>
  <si>
    <t>WKE WILSON OPERATIONS</t>
  </si>
  <si>
    <t>031870</t>
  </si>
  <si>
    <t>WKE WILSON SCRUBBER</t>
  </si>
  <si>
    <t>031875</t>
  </si>
  <si>
    <t>WKE WILSON LAB</t>
  </si>
  <si>
    <t>031885</t>
  </si>
  <si>
    <t>WKE WILSON NOX REDUCTION</t>
  </si>
  <si>
    <t>031905</t>
  </si>
  <si>
    <t>WKE WILSON MAINTENANCE</t>
  </si>
  <si>
    <t>031950</t>
  </si>
  <si>
    <t>WKE INTERCO. INFO TECH</t>
  </si>
  <si>
    <t>031951</t>
  </si>
  <si>
    <t>WKE INTERCO. SERVCO HR</t>
  </si>
  <si>
    <t>031952</t>
  </si>
  <si>
    <t>WKE INTERCO. OPERATING SERVICES</t>
  </si>
  <si>
    <t>031953</t>
  </si>
  <si>
    <t>WKE INTERCO. SAFETY</t>
  </si>
  <si>
    <t>031954</t>
  </si>
  <si>
    <t>WKE INTERCO. LPI ACCOUNTING</t>
  </si>
  <si>
    <t>031955</t>
  </si>
  <si>
    <t>WKE INTERCO. LEGAL</t>
  </si>
  <si>
    <t>031956</t>
  </si>
  <si>
    <t>WKE INTERCO. CORP. COMMUNICATIONS</t>
  </si>
  <si>
    <t>031957</t>
  </si>
  <si>
    <t>WKE INTERCO. CASH MGMT/FINANCE</t>
  </si>
  <si>
    <t>031958</t>
  </si>
  <si>
    <t>WKE INTERCO. SR VP-IND PWR OP</t>
  </si>
  <si>
    <t>031959</t>
  </si>
  <si>
    <t>WKE INTERCO. RISK MGMT</t>
  </si>
  <si>
    <t>031960</t>
  </si>
  <si>
    <t>WKE INTERCO. PAYROLL</t>
  </si>
  <si>
    <t>031961</t>
  </si>
  <si>
    <t>WKE INTERCO. CORP TAX</t>
  </si>
  <si>
    <t>031962</t>
  </si>
  <si>
    <t>WKE INTERCO. SERVCO GENERATION</t>
  </si>
  <si>
    <t>031963</t>
  </si>
  <si>
    <t>WKE INTERCO. FINANCIAL SYSTEMS</t>
  </si>
  <si>
    <t>031964</t>
  </si>
  <si>
    <t>WKE INTERCO. REGULATORY AFFAIRS</t>
  </si>
  <si>
    <t>031965</t>
  </si>
  <si>
    <t>WKE INTERCO. CSMS SUPPORT</t>
  </si>
  <si>
    <t>031966</t>
  </si>
  <si>
    <t>WKE INTERCO. SERVCO VP WKE</t>
  </si>
  <si>
    <t>031967</t>
  </si>
  <si>
    <t>WKE INTERCO. SERVCO ACCOUNTING</t>
  </si>
  <si>
    <t>031968</t>
  </si>
  <si>
    <t>WKE INTERCO. SERVCO FUELS</t>
  </si>
  <si>
    <t>031969</t>
  </si>
  <si>
    <t>WKE INTERCO. NON-SERVCO HR</t>
  </si>
  <si>
    <t>031970</t>
  </si>
  <si>
    <t>WKE INTERCO. SERVCO VDT WORKFORCE REDUCTIONS</t>
  </si>
  <si>
    <t>031971</t>
  </si>
  <si>
    <t>WKE INTERCO. SERVCO PROJECT ENGINEERING</t>
  </si>
  <si>
    <t>031972</t>
  </si>
  <si>
    <t>WKE INTERCO. SERVCO CORPORATE COST CENTER</t>
  </si>
  <si>
    <t>031973</t>
  </si>
  <si>
    <t>WKE INTERCO SERVCO SUPPLY CHAIN</t>
  </si>
  <si>
    <t>031979</t>
  </si>
  <si>
    <t>031980</t>
  </si>
  <si>
    <t>WKE INTERCO. NON-SERVCO DISTRIBUTION OPS</t>
  </si>
  <si>
    <t>031999</t>
  </si>
  <si>
    <t>WKEC CONVERSION</t>
  </si>
  <si>
    <t>032999</t>
  </si>
  <si>
    <t>WKE SII CONVERSION</t>
  </si>
  <si>
    <t>033055</t>
  </si>
  <si>
    <t>FSF INTERCO. LEGAL</t>
  </si>
  <si>
    <t>033057</t>
  </si>
  <si>
    <t>FSF INTERCO. SERVCO CASH MGMT/FINANCE</t>
  </si>
  <si>
    <t>033079</t>
  </si>
  <si>
    <t>FSF INTERCO. SERVCO CORPORATE COST CENTER</t>
  </si>
  <si>
    <t>033355</t>
  </si>
  <si>
    <t>LCC LLC INTERCO. LEGAL</t>
  </si>
  <si>
    <t>033379</t>
  </si>
  <si>
    <t>LCC LLC  INTERCO. SERVCO CORPORATE COST CENTER</t>
  </si>
  <si>
    <t>033455</t>
  </si>
  <si>
    <t>FCD INTERCO. SERVCO LEGAL</t>
  </si>
  <si>
    <t>033457</t>
  </si>
  <si>
    <t>FCD INTERCO. SERVCO CASH MGMT/FINANCE</t>
  </si>
  <si>
    <t>033479</t>
  </si>
  <si>
    <t>FCD INTERCO. SERVCO CORPORATE COST CENTER</t>
  </si>
  <si>
    <t>033861</t>
  </si>
  <si>
    <t>WKE/LEM INTERCO SERVCO UNREG TRADING/MKTG</t>
  </si>
  <si>
    <t>070202</t>
  </si>
  <si>
    <t>GENERATION-LGE-IFRS ADJ</t>
  </si>
  <si>
    <t>070207</t>
  </si>
  <si>
    <t>TRANSMISSION-LGE-IFRS ADJ</t>
  </si>
  <si>
    <t>071573</t>
  </si>
  <si>
    <t>GENERATION-KU-IFRS ADJ</t>
  </si>
  <si>
    <t>071583</t>
  </si>
  <si>
    <t>TRANSMISSION-KU-IFRS ADJ</t>
  </si>
  <si>
    <t>999999</t>
  </si>
  <si>
    <t>GL TO PA</t>
  </si>
  <si>
    <t>HF</t>
  </si>
  <si>
    <t>LGE</t>
  </si>
  <si>
    <t>KU</t>
  </si>
  <si>
    <t>Total Outages</t>
  </si>
  <si>
    <t>12 MOS Ended</t>
  </si>
  <si>
    <t>$000</t>
  </si>
  <si>
    <t>company</t>
  </si>
  <si>
    <t>0100</t>
  </si>
  <si>
    <t>0101</t>
  </si>
  <si>
    <t>0141</t>
  </si>
  <si>
    <t>0161</t>
  </si>
  <si>
    <t>0429</t>
  </si>
  <si>
    <t>0432</t>
  </si>
  <si>
    <t>0211</t>
  </si>
  <si>
    <t>0221</t>
  </si>
  <si>
    <t>0231</t>
  </si>
  <si>
    <t>0241</t>
  </si>
  <si>
    <t>0321</t>
  </si>
  <si>
    <t>0301</t>
  </si>
  <si>
    <t>0311</t>
  </si>
  <si>
    <t>0110</t>
  </si>
  <si>
    <t>5613</t>
  </si>
  <si>
    <t>5614</t>
  </si>
  <si>
    <t>5616</t>
  </si>
  <si>
    <t>5630</t>
  </si>
  <si>
    <t>5620</t>
  </si>
  <si>
    <t>5621</t>
  </si>
  <si>
    <t>5622</t>
  </si>
  <si>
    <t>5623</t>
  </si>
  <si>
    <t>5624</t>
  </si>
  <si>
    <t>5637</t>
  </si>
  <si>
    <t>5651</t>
  </si>
  <si>
    <t>5653</t>
  </si>
  <si>
    <t>5654</t>
  </si>
  <si>
    <t>5652</t>
  </si>
  <si>
    <t>5655</t>
  </si>
  <si>
    <t>5656</t>
  </si>
  <si>
    <t>5657</t>
  </si>
  <si>
    <t>5693</t>
  </si>
  <si>
    <t>0151</t>
  </si>
  <si>
    <t>0431</t>
  </si>
  <si>
    <t>5636</t>
  </si>
  <si>
    <t>5639</t>
  </si>
  <si>
    <t>5694</t>
  </si>
  <si>
    <t>5695</t>
  </si>
  <si>
    <t>5640</t>
  </si>
  <si>
    <t>0212</t>
  </si>
  <si>
    <t>0222</t>
  </si>
  <si>
    <t>0232</t>
  </si>
  <si>
    <t>0470</t>
  </si>
  <si>
    <t>0471</t>
  </si>
  <si>
    <t>0474</t>
  </si>
  <si>
    <t>0475</t>
  </si>
  <si>
    <t>0476</t>
  </si>
  <si>
    <t>0477</t>
  </si>
  <si>
    <t>GL Location</t>
  </si>
  <si>
    <t>Number</t>
  </si>
  <si>
    <t>0000</t>
  </si>
  <si>
    <t>0001</t>
  </si>
  <si>
    <t>SEVENTH &amp; ORMSBY</t>
  </si>
  <si>
    <t>0002</t>
  </si>
  <si>
    <t>ESC - EAST SERVICE CENTER</t>
  </si>
  <si>
    <t>0003</t>
  </si>
  <si>
    <t>WATERSIDE MAINTENANCE</t>
  </si>
  <si>
    <t>0004</t>
  </si>
  <si>
    <t>CRS - CANE RUN</t>
  </si>
  <si>
    <t>0005</t>
  </si>
  <si>
    <t>SSC - SOUTH SERVICE CENTER</t>
  </si>
  <si>
    <t>0006</t>
  </si>
  <si>
    <t>ELEC. PROD. MAINT. SUBSTATION</t>
  </si>
  <si>
    <t>0007</t>
  </si>
  <si>
    <t>ET&amp;D EQUIPMENT</t>
  </si>
  <si>
    <t>0008</t>
  </si>
  <si>
    <t>MCS - MILL CREEK STATION</t>
  </si>
  <si>
    <t>0009</t>
  </si>
  <si>
    <t>MILL CREEK GARAGE</t>
  </si>
  <si>
    <t>0010</t>
  </si>
  <si>
    <t>JACKSON ST.</t>
  </si>
  <si>
    <t>0011</t>
  </si>
  <si>
    <t>BOC - GAS &amp; OIL</t>
  </si>
  <si>
    <t>0012</t>
  </si>
  <si>
    <t>TCS - TRIMBLE CO. PLANT</t>
  </si>
  <si>
    <t>0013</t>
  </si>
  <si>
    <t>MULDRAUGH STATION</t>
  </si>
  <si>
    <t>0014</t>
  </si>
  <si>
    <t>MAGNOLIA COMPRESSOR ST.</t>
  </si>
  <si>
    <t>0015</t>
  </si>
  <si>
    <t>CENTER KY. STORAGE FIELD</t>
  </si>
  <si>
    <t>0016</t>
  </si>
  <si>
    <t>N.G. GILBERT CONTRACTOR</t>
  </si>
  <si>
    <t>0017</t>
  </si>
  <si>
    <t>OVERHEAD CONSTRUCTION - 7TH &amp; ORMSBY</t>
  </si>
  <si>
    <t>0018</t>
  </si>
  <si>
    <t>OVERHEAD CONSTRUCTION - ESC</t>
  </si>
  <si>
    <t>0019</t>
  </si>
  <si>
    <t>OVERHEAD CONSTRUCTION - SSC</t>
  </si>
  <si>
    <t>0020</t>
  </si>
  <si>
    <t>UNDERGROUND - ESC</t>
  </si>
  <si>
    <t>0021</t>
  </si>
  <si>
    <t>UNDERGROUND - 7TH &amp; ORMSBY</t>
  </si>
  <si>
    <t>0022</t>
  </si>
  <si>
    <t>UNDERGROUND - SSC</t>
  </si>
  <si>
    <t>0023</t>
  </si>
  <si>
    <t>FISCHER CONTRACTOR</t>
  </si>
  <si>
    <t>0024</t>
  </si>
  <si>
    <t>JOHN MEYERS CONTRACTOR</t>
  </si>
  <si>
    <t>0025</t>
  </si>
  <si>
    <t>ARROW ELECTRIC</t>
  </si>
  <si>
    <t>0026</t>
  </si>
  <si>
    <t>SPARE PARTS EQUIPMENT</t>
  </si>
  <si>
    <t>0027</t>
  </si>
  <si>
    <t>DATA CENTER COMPUTER OPERATIONS</t>
  </si>
  <si>
    <t>0028</t>
  </si>
  <si>
    <t>HIGHLANDS DOWNTOWN</t>
  </si>
  <si>
    <t>0029</t>
  </si>
  <si>
    <t>AUBURNDALE SERVICE CENTER</t>
  </si>
  <si>
    <t>0030</t>
  </si>
  <si>
    <t>LGE PIKE TRUCK STOCK</t>
  </si>
  <si>
    <t>0031</t>
  </si>
  <si>
    <t>BRN - BROWNSTOWN</t>
  </si>
  <si>
    <t>0032</t>
  </si>
  <si>
    <t>LTD - LOUISVILLE TRANSMISSION &amp; DISTRIBUTION</t>
  </si>
  <si>
    <t>0033</t>
  </si>
  <si>
    <t>ATS - AUBURNDALE TRUCK STOCK</t>
  </si>
  <si>
    <t>0034</t>
  </si>
  <si>
    <t>ETS - EAST TRUCK STOCK</t>
  </si>
  <si>
    <t>0035</t>
  </si>
  <si>
    <t>TRF - TRANSFORMER DEPT.</t>
  </si>
  <si>
    <t>0036</t>
  </si>
  <si>
    <t>PVF - PIPE VALVE FITTINGS DEPARTMENT</t>
  </si>
  <si>
    <t>0037</t>
  </si>
  <si>
    <t>LIT - LGE JUST IN TIME DELIVERY</t>
  </si>
  <si>
    <t>CANE RUN COMMON - GENERATION</t>
  </si>
  <si>
    <t>0102</t>
  </si>
  <si>
    <t>CANE RUN-LAND</t>
  </si>
  <si>
    <t>0103</t>
  </si>
  <si>
    <t>CANE RUN-LOCOMOTIVE</t>
  </si>
  <si>
    <t>0104</t>
  </si>
  <si>
    <t>CANE RUN-LOCOMOTIVE RAILCARS</t>
  </si>
  <si>
    <t>CLOSED 03/13 - 0110</t>
  </si>
  <si>
    <t>0111</t>
  </si>
  <si>
    <t>CLOSED 10/04 - CANE RUN 1 AND 2</t>
  </si>
  <si>
    <t>0112</t>
  </si>
  <si>
    <t>CLOSED 12/04 - CANE RUN UNIT #1</t>
  </si>
  <si>
    <t>0120</t>
  </si>
  <si>
    <t>CLOSED 03/13 - 0120</t>
  </si>
  <si>
    <t>0121</t>
  </si>
  <si>
    <t>CLOSED 12/04 - CANE RUN UNIT #2</t>
  </si>
  <si>
    <t>0125</t>
  </si>
  <si>
    <t>CLOSED 03/13 - 0125</t>
  </si>
  <si>
    <t>0126</t>
  </si>
  <si>
    <t>CLOSED 03/13 - 0126</t>
  </si>
  <si>
    <t>0127</t>
  </si>
  <si>
    <t>CLOSED 03/13 - 0127</t>
  </si>
  <si>
    <t>0130</t>
  </si>
  <si>
    <t>CLOSED 03/13 - 0130</t>
  </si>
  <si>
    <t>0131</t>
  </si>
  <si>
    <t>CANE RUN 3 - GENERATION</t>
  </si>
  <si>
    <t>0142</t>
  </si>
  <si>
    <t>CANE RUN-SO2 UNIT 4</t>
  </si>
  <si>
    <t>0145</t>
  </si>
  <si>
    <t>CLOSED 03/13 - 0145</t>
  </si>
  <si>
    <t>0146</t>
  </si>
  <si>
    <t>CLOSED 03/13 - 0146</t>
  </si>
  <si>
    <t>0147</t>
  </si>
  <si>
    <t>CLOSED 03/13 - 0147</t>
  </si>
  <si>
    <t>0150</t>
  </si>
  <si>
    <t>CLOSED 03/13 - 0150</t>
  </si>
  <si>
    <t>0152</t>
  </si>
  <si>
    <t>CANE RUN-SO2 UNIT 5</t>
  </si>
  <si>
    <t>0162</t>
  </si>
  <si>
    <t>CANE RUN-SO2 UNIT 6</t>
  </si>
  <si>
    <t>0171</t>
  </si>
  <si>
    <t>CANE RUN GT11</t>
  </si>
  <si>
    <t>0172</t>
  </si>
  <si>
    <t>CANE RUN CC GT 2016</t>
  </si>
  <si>
    <t>0175</t>
  </si>
  <si>
    <t>CLOSED 03/13 - 0175</t>
  </si>
  <si>
    <t>0190</t>
  </si>
  <si>
    <t>DISTRIBUTION DRIVE</t>
  </si>
  <si>
    <t>0200</t>
  </si>
  <si>
    <t>CLOSED 03/13 - 0200</t>
  </si>
  <si>
    <t>0201</t>
  </si>
  <si>
    <t>0202</t>
  </si>
  <si>
    <t>MILL CREEK-LAND</t>
  </si>
  <si>
    <t>0203</t>
  </si>
  <si>
    <t>MILL CREEK-LOCOMOTIVE</t>
  </si>
  <si>
    <t>0204</t>
  </si>
  <si>
    <t>MILL CREEK-LOCOMOTIVE RAILCARS</t>
  </si>
  <si>
    <t>0206</t>
  </si>
  <si>
    <t>CLOSED 03/13 - 0206</t>
  </si>
  <si>
    <t>MILL CREEK-SO2 UNIT 1</t>
  </si>
  <si>
    <t>MILL CREEK-SO2 UNIT 2</t>
  </si>
  <si>
    <t>MILL CREEK-SO2 UNIT 3</t>
  </si>
  <si>
    <t>0242</t>
  </si>
  <si>
    <t>MILL CREEK-SO2 UNIT 4</t>
  </si>
  <si>
    <t>0276</t>
  </si>
  <si>
    <t>CLOSED 03/13 - 0276</t>
  </si>
  <si>
    <t>0280</t>
  </si>
  <si>
    <t>CLOSED 03/13 - 0280</t>
  </si>
  <si>
    <t>0281</t>
  </si>
  <si>
    <t>CLOSED 03/13 - 0281</t>
  </si>
  <si>
    <t>0290</t>
  </si>
  <si>
    <t>CLOSED 03/13 - 0290</t>
  </si>
  <si>
    <t>0291</t>
  </si>
  <si>
    <t>CLOSED 03/13 - 0291</t>
  </si>
  <si>
    <t>0292</t>
  </si>
  <si>
    <t>CLOSED 03/13 - 0292</t>
  </si>
  <si>
    <t>0293</t>
  </si>
  <si>
    <t>CLOSED 03/13 - 0293</t>
  </si>
  <si>
    <t>0294</t>
  </si>
  <si>
    <t>CLOSED 03/13 - 0294</t>
  </si>
  <si>
    <t>0297</t>
  </si>
  <si>
    <t>CLOSED 03/13 - 0297</t>
  </si>
  <si>
    <t>0302</t>
  </si>
  <si>
    <t>CLOSED 03/13 - 0302</t>
  </si>
  <si>
    <t>0303</t>
  </si>
  <si>
    <t>CLOSED 03/13 - 0303</t>
  </si>
  <si>
    <t>0305</t>
  </si>
  <si>
    <t>CLOSED 03/13 - 0305</t>
  </si>
  <si>
    <t>0306</t>
  </si>
  <si>
    <t>CLOSED 03/13 - 0306</t>
  </si>
  <si>
    <t>0307</t>
  </si>
  <si>
    <t>CLOSED 03/13 - 0307</t>
  </si>
  <si>
    <t>0310</t>
  </si>
  <si>
    <t>TRIMBLE COUNTY-LAND</t>
  </si>
  <si>
    <t>0312</t>
  </si>
  <si>
    <t>TRIMBLE COUNTY-SO2 UNIT 1</t>
  </si>
  <si>
    <t>0314</t>
  </si>
  <si>
    <t>CLOSED 03/13 - 0314</t>
  </si>
  <si>
    <t>0322</t>
  </si>
  <si>
    <t>TRIMBLE COUNTY - SO2 UNIT 2</t>
  </si>
  <si>
    <t>0323</t>
  </si>
  <si>
    <t>CLOSED 03/13 - 0323</t>
  </si>
  <si>
    <t>0351</t>
  </si>
  <si>
    <t>TRIMBLE COUNTY 1 - 25% PORTION N/A</t>
  </si>
  <si>
    <t>0352</t>
  </si>
  <si>
    <t>TRIMBLE COUNTY 1 - IMEA PORTION</t>
  </si>
  <si>
    <t>0353</t>
  </si>
  <si>
    <t>TRIMBLE COUNTY 1 - IMPA PORTION</t>
  </si>
  <si>
    <t>0354</t>
  </si>
  <si>
    <t>TRIMBLE COUNTY 2 - 25% PORTION</t>
  </si>
  <si>
    <t>0355</t>
  </si>
  <si>
    <t>TRIMBLE COUNTY 2 - IMEA PORTION</t>
  </si>
  <si>
    <t>0356</t>
  </si>
  <si>
    <t>TRIMBLE COUNTY 2 - IMPA PORTION</t>
  </si>
  <si>
    <t>0375</t>
  </si>
  <si>
    <t>CLOSED 03/13 - 0375</t>
  </si>
  <si>
    <t>0398</t>
  </si>
  <si>
    <t>TRIMBLE COUNTY 2 CLEARING  ACCTNG</t>
  </si>
  <si>
    <t>0399</t>
  </si>
  <si>
    <t>TRIMBLE COUNTY CLEARING (ACCTNG)</t>
  </si>
  <si>
    <t>0401</t>
  </si>
  <si>
    <t>LGE GENERATION - COMMON</t>
  </si>
  <si>
    <t>0402</t>
  </si>
  <si>
    <t>FUTURE BASE LOAD UNIT</t>
  </si>
  <si>
    <t>0408</t>
  </si>
  <si>
    <t>CLOSED 03/13 - 0408</t>
  </si>
  <si>
    <t>0410</t>
  </si>
  <si>
    <t>ZORN</t>
  </si>
  <si>
    <t>0413</t>
  </si>
  <si>
    <t>CLOSED 03/13 - 0413</t>
  </si>
  <si>
    <t>0414</t>
  </si>
  <si>
    <t>CLOSED 03/13 - 0414</t>
  </si>
  <si>
    <t>0417</t>
  </si>
  <si>
    <t>CLOSED 03/13 - 0417</t>
  </si>
  <si>
    <t>0418</t>
  </si>
  <si>
    <t>CLOSED 03/13 - 0418</t>
  </si>
  <si>
    <t>0419</t>
  </si>
  <si>
    <t>CLOSED 03/13 - 0419</t>
  </si>
  <si>
    <t>0420</t>
  </si>
  <si>
    <t>WATERSIDE COMMON</t>
  </si>
  <si>
    <t>0421</t>
  </si>
  <si>
    <t>WATERSIDE GT 7</t>
  </si>
  <si>
    <t>0422</t>
  </si>
  <si>
    <t>WATERSIDE GT 8</t>
  </si>
  <si>
    <t>0423</t>
  </si>
  <si>
    <t>CLOSED 03/13 - 0423</t>
  </si>
  <si>
    <t>0425</t>
  </si>
  <si>
    <t>CLOSED 03/13 - 0425</t>
  </si>
  <si>
    <t>0427</t>
  </si>
  <si>
    <t>CLOSED 03/13 - 0427</t>
  </si>
  <si>
    <t>0428</t>
  </si>
  <si>
    <t>CLOSED 03/13 - 0428</t>
  </si>
  <si>
    <t>PADDYS-COMMON-NOT FOR GENERATION</t>
  </si>
  <si>
    <t>0430</t>
  </si>
  <si>
    <t>PADDYS RUN GT 11</t>
  </si>
  <si>
    <t>PADDYS RUN GT 12</t>
  </si>
  <si>
    <t>PADDYS RUN GT 13</t>
  </si>
  <si>
    <t>0440</t>
  </si>
  <si>
    <t>CANAL</t>
  </si>
  <si>
    <t>0441</t>
  </si>
  <si>
    <t>PADDYS RUN GENERATION STATION</t>
  </si>
  <si>
    <t>0450</t>
  </si>
  <si>
    <t>0451</t>
  </si>
  <si>
    <t>OHIO FALLS-PROJECT 289</t>
  </si>
  <si>
    <t>0459</t>
  </si>
  <si>
    <t>BROWN COMBUSTION TURBINE #5</t>
  </si>
  <si>
    <t>0460</t>
  </si>
  <si>
    <t>BROWN COMBUSTION TURBINE #6</t>
  </si>
  <si>
    <t>0461</t>
  </si>
  <si>
    <t>BROWN COMBUSTION TURBINE #7</t>
  </si>
  <si>
    <t>0462</t>
  </si>
  <si>
    <t>CLOSED 03/13 - 0462</t>
  </si>
  <si>
    <t>0463</t>
  </si>
  <si>
    <t>CLOSED 03/13 - 0463</t>
  </si>
  <si>
    <t>0472</t>
  </si>
  <si>
    <t>TRIMBLE COUNTY #5 AND 6 COMBUSTION TURBINE - COMMON</t>
  </si>
  <si>
    <t>0473</t>
  </si>
  <si>
    <t>TRIMBLE COUNTY CT PIPELINE - CAPITAL ONLY</t>
  </si>
  <si>
    <t>0478</t>
  </si>
  <si>
    <t>TRIMBLE COUNTY #5 - #10 COMBUSTION TURBINE - COMMON</t>
  </si>
  <si>
    <t>0479</t>
  </si>
  <si>
    <t>TRIMBLE COUNTY #7&amp;#8 - COMMON</t>
  </si>
  <si>
    <t>0480</t>
  </si>
  <si>
    <t>TRIMBLE COUNTY #9&amp;#10 - COMMON</t>
  </si>
  <si>
    <t>0499</t>
  </si>
  <si>
    <t>INDIANA TRANSMISSION SUBS-ELECTRIC</t>
  </si>
  <si>
    <t>0500</t>
  </si>
  <si>
    <t>KENTUCKY TRANSMISSION SUBS-ELECTRIC</t>
  </si>
  <si>
    <t>0501</t>
  </si>
  <si>
    <t>BLUE LICK</t>
  </si>
  <si>
    <t>0502</t>
  </si>
  <si>
    <t>0503</t>
  </si>
  <si>
    <t>CLIFTY CREEK</t>
  </si>
  <si>
    <t>0504</t>
  </si>
  <si>
    <t>NORTHSIDE</t>
  </si>
  <si>
    <t>0505</t>
  </si>
  <si>
    <t>PADDYS RUN</t>
  </si>
  <si>
    <t>0512</t>
  </si>
  <si>
    <t>CLOSED 03/13 - 0512</t>
  </si>
  <si>
    <t>0520</t>
  </si>
  <si>
    <t>CLOSED 03/13 - 0520</t>
  </si>
  <si>
    <t>0549</t>
  </si>
  <si>
    <t>TC COMMON</t>
  </si>
  <si>
    <t>0551</t>
  </si>
  <si>
    <t>BRANDENBURG</t>
  </si>
  <si>
    <t>0552</t>
  </si>
  <si>
    <t>CRESTWOOD</t>
  </si>
  <si>
    <t>0553</t>
  </si>
  <si>
    <t>STANDIFORD</t>
  </si>
  <si>
    <t>0575</t>
  </si>
  <si>
    <t>CLOSED 03/13 - 0575</t>
  </si>
  <si>
    <t>0576</t>
  </si>
  <si>
    <t>CLOSED 03/13 - 0576</t>
  </si>
  <si>
    <t>0601</t>
  </si>
  <si>
    <t>CLOSED 03/13 - 0601</t>
  </si>
  <si>
    <t>0602</t>
  </si>
  <si>
    <t>CLOSED 03/13 - 0602</t>
  </si>
  <si>
    <t>0605</t>
  </si>
  <si>
    <t>CLOSED 03/13 - 0605</t>
  </si>
  <si>
    <t>0606</t>
  </si>
  <si>
    <t>CLOSED 03/13 - 0606</t>
  </si>
  <si>
    <t>0607</t>
  </si>
  <si>
    <t>CLOSED 03/13 - 0607</t>
  </si>
  <si>
    <t>0609</t>
  </si>
  <si>
    <t>CLOSED 03/13 - 0609</t>
  </si>
  <si>
    <t>0619</t>
  </si>
  <si>
    <t>CLOSED 03/13 - 0619</t>
  </si>
  <si>
    <t>0620</t>
  </si>
  <si>
    <t>CLOSED 03/13 - 0620</t>
  </si>
  <si>
    <t>0621</t>
  </si>
  <si>
    <t>CLOSED 03/13 - 0621</t>
  </si>
  <si>
    <t>0622</t>
  </si>
  <si>
    <t>CLOSED 03/13 - 0622</t>
  </si>
  <si>
    <t>0623</t>
  </si>
  <si>
    <t>CLOSED 03/13 - 0623</t>
  </si>
  <si>
    <t>0625</t>
  </si>
  <si>
    <t>CLOSED 03/13 - 0625</t>
  </si>
  <si>
    <t>0626</t>
  </si>
  <si>
    <t>CLOSED 03/13 - 0626</t>
  </si>
  <si>
    <t>0630</t>
  </si>
  <si>
    <t>CLOSED 03/13 - 0630</t>
  </si>
  <si>
    <t>0631</t>
  </si>
  <si>
    <t>CLOSED 03/13 - 0631</t>
  </si>
  <si>
    <t>0633</t>
  </si>
  <si>
    <t>CLOSED 03/13 - 0633</t>
  </si>
  <si>
    <t>0634</t>
  </si>
  <si>
    <t>CLOSED 03/13 - 0634</t>
  </si>
  <si>
    <t>0635</t>
  </si>
  <si>
    <t>CLOSED 03/13 - 0635</t>
  </si>
  <si>
    <t>0640</t>
  </si>
  <si>
    <t>CLOSED 03/13 - 0640</t>
  </si>
  <si>
    <t>0641</t>
  </si>
  <si>
    <t>CLOSED 03/13 - 0641</t>
  </si>
  <si>
    <t>0642</t>
  </si>
  <si>
    <t>CLOSED 03/13 - 0642</t>
  </si>
  <si>
    <t>0643</t>
  </si>
  <si>
    <t>CLOSED 03/13 - 0643</t>
  </si>
  <si>
    <t>0644</t>
  </si>
  <si>
    <t>CLOSED 03/13 - 0644</t>
  </si>
  <si>
    <t>0646</t>
  </si>
  <si>
    <t>CLOSED 03/13 - 0646</t>
  </si>
  <si>
    <t>0647</t>
  </si>
  <si>
    <t>CLOSED 03/13 - 0647</t>
  </si>
  <si>
    <t>0651</t>
  </si>
  <si>
    <t>CLOSED 03/13 - 0651</t>
  </si>
  <si>
    <t>0653</t>
  </si>
  <si>
    <t>CLOSED 03/13 - 0653</t>
  </si>
  <si>
    <t>0661</t>
  </si>
  <si>
    <t>CLOSED 11/06 - SIMPSONVILLE CONTROL CENTER</t>
  </si>
  <si>
    <t>0665</t>
  </si>
  <si>
    <t>DIX SYSTEM CONTROL CTR. - LGE</t>
  </si>
  <si>
    <t>0667</t>
  </si>
  <si>
    <t>CLOSED 03/13 - 0667</t>
  </si>
  <si>
    <t>0670</t>
  </si>
  <si>
    <t>CLOSED 03/13 - 0670</t>
  </si>
  <si>
    <t>0675</t>
  </si>
  <si>
    <t>CLOSED 03/13 - 0675</t>
  </si>
  <si>
    <t>0677</t>
  </si>
  <si>
    <t>CLOSED 03/13 - 0677</t>
  </si>
  <si>
    <t>0678</t>
  </si>
  <si>
    <t>CLOSED 03/13 - 0678</t>
  </si>
  <si>
    <t>0686</t>
  </si>
  <si>
    <t>CLOSED 03/13 - 0686</t>
  </si>
  <si>
    <t>0691</t>
  </si>
  <si>
    <t>CLOSED 03/13 - 0691</t>
  </si>
  <si>
    <t>0697</t>
  </si>
  <si>
    <t>GENERAL PLANT-ELECTRIC</t>
  </si>
  <si>
    <t>0698</t>
  </si>
  <si>
    <t>KENTUCKY DISTRIBUTION SUBS-ELECTRIC</t>
  </si>
  <si>
    <t>0699</t>
  </si>
  <si>
    <t>DISTRIBUTION LINES</t>
  </si>
  <si>
    <t>0705</t>
  </si>
  <si>
    <t>CLOSED 03/13 - 0705</t>
  </si>
  <si>
    <t>0706</t>
  </si>
  <si>
    <t>CLOSED 03/13 - 0706</t>
  </si>
  <si>
    <t>0707</t>
  </si>
  <si>
    <t>CLOSED 03/13 - 0707</t>
  </si>
  <si>
    <t>0708</t>
  </si>
  <si>
    <t>CLOSED 03/13 - 0708</t>
  </si>
  <si>
    <t>0709</t>
  </si>
  <si>
    <t>FLINT HILL</t>
  </si>
  <si>
    <t>0710</t>
  </si>
  <si>
    <t>CANMER</t>
  </si>
  <si>
    <t>0711</t>
  </si>
  <si>
    <t>MAGNOLIA STORAGE FIELD</t>
  </si>
  <si>
    <t>0712</t>
  </si>
  <si>
    <t>MAGNOLIA STORAGE FIELD - DEEP</t>
  </si>
  <si>
    <t>0713</t>
  </si>
  <si>
    <t>MULDRAUGH STORAGE FIELD</t>
  </si>
  <si>
    <t>0714</t>
  </si>
  <si>
    <t>DOE RUN STORAGE FIELD</t>
  </si>
  <si>
    <t>0715</t>
  </si>
  <si>
    <t>DOE RUN STORAGE FIELD - DEEP</t>
  </si>
  <si>
    <t>0716</t>
  </si>
  <si>
    <t>CENTER STORAGE FIELD</t>
  </si>
  <si>
    <t>0720</t>
  </si>
  <si>
    <t>CLOSED 03/13 - 0720</t>
  </si>
  <si>
    <t>0721</t>
  </si>
  <si>
    <t>MAGNOLIA COMPRESSOR STATION</t>
  </si>
  <si>
    <t>0722</t>
  </si>
  <si>
    <t>CLOSED 03/13 - 0722</t>
  </si>
  <si>
    <t>0723</t>
  </si>
  <si>
    <t>MULDRAUGH COMPRESSOR STATION</t>
  </si>
  <si>
    <t>0725</t>
  </si>
  <si>
    <t>CLOSED 03/13 - 0725</t>
  </si>
  <si>
    <t>0726</t>
  </si>
  <si>
    <t>CLOSED 03/13 - 0726</t>
  </si>
  <si>
    <t>0727</t>
  </si>
  <si>
    <t>CLOSED 03/13 - 0727</t>
  </si>
  <si>
    <t>0785</t>
  </si>
  <si>
    <t>CLOSED 03/13 - 0785</t>
  </si>
  <si>
    <t>0790</t>
  </si>
  <si>
    <t>CLOSED 03/13 - 0790</t>
  </si>
  <si>
    <t>0797</t>
  </si>
  <si>
    <t>KENTUCKY TRANSMISSION LINES-GAS</t>
  </si>
  <si>
    <t>0811</t>
  </si>
  <si>
    <t>EAST SERVICE CENTER</t>
  </si>
  <si>
    <t>0812</t>
  </si>
  <si>
    <t>SOUTH SERVICE CENTER</t>
  </si>
  <si>
    <t>0813</t>
  </si>
  <si>
    <t>0814</t>
  </si>
  <si>
    <t>WEST SERVICE CENTER</t>
  </si>
  <si>
    <t>0815</t>
  </si>
  <si>
    <t>JACKSON STREET</t>
  </si>
  <si>
    <t>0816</t>
  </si>
  <si>
    <t>PARK BOULEVARD</t>
  </si>
  <si>
    <t>0901</t>
  </si>
  <si>
    <t>LG&amp;E CORPORATE HEADQUARTERS</t>
  </si>
  <si>
    <t>0902</t>
  </si>
  <si>
    <t>BROADWAY OFFICE COMPLEX</t>
  </si>
  <si>
    <t>0903</t>
  </si>
  <si>
    <t>ST. MATTHEWS CUSTOMER SERVICE</t>
  </si>
  <si>
    <t>0904</t>
  </si>
  <si>
    <t>SOUTHERN CUSTOMER SERVICE</t>
  </si>
  <si>
    <t>0905</t>
  </si>
  <si>
    <t>WESTERN CUSTOMER SERVICE</t>
  </si>
  <si>
    <t>0906</t>
  </si>
  <si>
    <t>GENERAL PLANT-COMMON</t>
  </si>
  <si>
    <t>0907</t>
  </si>
  <si>
    <t>SIMPSONVILLE DATA CENTER</t>
  </si>
  <si>
    <t>0999</t>
  </si>
  <si>
    <t>KENTUCKY ADMINISTRATIVE</t>
  </si>
  <si>
    <t>1001</t>
  </si>
  <si>
    <t>CLOSED 01/12 - WKE FUELS DEPT GATEWAY AIR TRAVEL</t>
  </si>
  <si>
    <t>1003</t>
  </si>
  <si>
    <t>CLOSED 01/12 - WKE CONSIGNMENTS AT AMERICAN MINING</t>
  </si>
  <si>
    <t>1004</t>
  </si>
  <si>
    <t>CLOSED 01/12 - WKE CONSIGNMENTS AT ENERGY DOCK (FCD)</t>
  </si>
  <si>
    <t>1011</t>
  </si>
  <si>
    <t>CLOSED 01/12 - WKE - REID WAREHOUSE</t>
  </si>
  <si>
    <t>1015</t>
  </si>
  <si>
    <t>WKE - STATION II WAREHOUSE</t>
  </si>
  <si>
    <t>1016</t>
  </si>
  <si>
    <t>CLOSED 01/12 - WKE - CITY OF HENDERSON STATION II WAREHOUSE</t>
  </si>
  <si>
    <t>1017</t>
  </si>
  <si>
    <t>CLOSED 01/12 - WKE - WKE STATION II (HMPL ONLY)</t>
  </si>
  <si>
    <t>1021</t>
  </si>
  <si>
    <t>WKE - COLEMAN WAREHOUSE</t>
  </si>
  <si>
    <t>1031</t>
  </si>
  <si>
    <t>WKE - GREEN WAREHOUSE</t>
  </si>
  <si>
    <t>1060</t>
  </si>
  <si>
    <t>WKE - WILSON WAREHOUSE</t>
  </si>
  <si>
    <t>1080</t>
  </si>
  <si>
    <t>CLOSED 01/12 - WKE CORP (CASH)</t>
  </si>
  <si>
    <t>1081</t>
  </si>
  <si>
    <t>CLOSED 01/12 - WKE SII (CASH)</t>
  </si>
  <si>
    <t>1101</t>
  </si>
  <si>
    <t>CLOSED 01/12 - GREEN STATION BUDGET ONLY</t>
  </si>
  <si>
    <t>1110</t>
  </si>
  <si>
    <t>GREEN COMMON - GENERATION</t>
  </si>
  <si>
    <t>1120</t>
  </si>
  <si>
    <t>CLOSED 01/12 - GREEN 1 - GENERATION</t>
  </si>
  <si>
    <t>1121</t>
  </si>
  <si>
    <t>CLOSED 01/12 - GREEN 2 - GENERATION</t>
  </si>
  <si>
    <t>1201</t>
  </si>
  <si>
    <t>CLOSED 01/12 - WILSON STATION BUDGET ONLY</t>
  </si>
  <si>
    <t>1210</t>
  </si>
  <si>
    <t>WILSON COMMON - GENERATION</t>
  </si>
  <si>
    <t>1220</t>
  </si>
  <si>
    <t>CLOSED 01/12 - WILSON 1 - GENERATION</t>
  </si>
  <si>
    <t>1301</t>
  </si>
  <si>
    <t>CLOSED 01/12 - REID/STATION TWO BUDGET ONLY</t>
  </si>
  <si>
    <t>1306</t>
  </si>
  <si>
    <t>CLOSED 01/12 - REID STATION BUDGET ONLY</t>
  </si>
  <si>
    <t>1310</t>
  </si>
  <si>
    <t>CLOSED 01/12 - REID COMMON - GENERATION</t>
  </si>
  <si>
    <t>1320</t>
  </si>
  <si>
    <t>CLOSED 01/12 - REID 1 - GENERATION</t>
  </si>
  <si>
    <t>1351</t>
  </si>
  <si>
    <t>CLOSED 01/12 - REID GAS TURBINE BUDGET ONLY</t>
  </si>
  <si>
    <t>1352</t>
  </si>
  <si>
    <t>CLOSED 01/12 - REID GAS TURBINE</t>
  </si>
  <si>
    <t>1401</t>
  </si>
  <si>
    <t>CLOSED 01/12 - COLEMAN STATION BUDGET ONLY</t>
  </si>
  <si>
    <t>1410</t>
  </si>
  <si>
    <t>COLEMAN COMMON - GENERATION</t>
  </si>
  <si>
    <t>1420</t>
  </si>
  <si>
    <t>CLOSED 01/12 - COLEMAN 1 - GENERATION</t>
  </si>
  <si>
    <t>1421</t>
  </si>
  <si>
    <t>CLOSED 01/12 - COLEMAN 2 - GENERATION</t>
  </si>
  <si>
    <t>1422</t>
  </si>
  <si>
    <t>CLOSED 01/12 - COLEMAN 3 - GENERATION</t>
  </si>
  <si>
    <t>1506</t>
  </si>
  <si>
    <t>CLOSED 01/12 - STATION TWO COMMON BUDGET ONLY</t>
  </si>
  <si>
    <t>1507</t>
  </si>
  <si>
    <t>CLOSED 01/12 - STATION TWO WKE PORTION BUDGET ONLY</t>
  </si>
  <si>
    <t>1508</t>
  </si>
  <si>
    <t>CLOSED 01/12 - STATION TWO CITY PORTION BUDGET ONLY</t>
  </si>
  <si>
    <t>1510</t>
  </si>
  <si>
    <t>CLOSED 01/12 - STATION TWO COMMON - O&amp;M</t>
  </si>
  <si>
    <t>1511</t>
  </si>
  <si>
    <t>CLOSED 01/12 - STATION TWO REAGENT PREP</t>
  </si>
  <si>
    <t>1512</t>
  </si>
  <si>
    <t>CLOSED 01/12 - STATION TWO WASTE TREATMENT</t>
  </si>
  <si>
    <t>1513</t>
  </si>
  <si>
    <t>CLOSED 01/12 - STATION TWO TOTAL SCR</t>
  </si>
  <si>
    <t>1514</t>
  </si>
  <si>
    <t>CLOSED 01/12 - STATION TWO M&amp;S INV RESERVE ACCRUAL</t>
  </si>
  <si>
    <t>1515</t>
  </si>
  <si>
    <t>CLOSED 01/12 - STATION TWO COMMON - G&amp;A</t>
  </si>
  <si>
    <t>1520</t>
  </si>
  <si>
    <t>CLOSED 01/12 - STATION TWO 1 - GENERATION</t>
  </si>
  <si>
    <t>1521</t>
  </si>
  <si>
    <t>CLOSED 01/12 - STATION TWO 2 - GENERATION</t>
  </si>
  <si>
    <t>1550</t>
  </si>
  <si>
    <t>CLOSED 01/12 - TOTAL STATION TWO TOTAL BEFORE ALLC</t>
  </si>
  <si>
    <t>1551</t>
  </si>
  <si>
    <t>CLOSED 01/12 - STATION TWO O&amp;M WKE PORTION</t>
  </si>
  <si>
    <t>1552</t>
  </si>
  <si>
    <t>CLOSED 01/12 - STATION TWO CITY PORTION</t>
  </si>
  <si>
    <t>1555</t>
  </si>
  <si>
    <t>CLOSED 01/12 - STATION TWO G&amp;A WKE PORTION</t>
  </si>
  <si>
    <t>1601</t>
  </si>
  <si>
    <t>REID/SII SHARED</t>
  </si>
  <si>
    <t>1602</t>
  </si>
  <si>
    <t>CLOSED 01/12 - REID/GREEN/SII SHARED</t>
  </si>
  <si>
    <t>1603</t>
  </si>
  <si>
    <t>CLOSED 01/12 - GREEN/SII SHARED REAGENT PREP</t>
  </si>
  <si>
    <t>1604</t>
  </si>
  <si>
    <t>CLOSED 01/12 - GREEN/SII SHARED WASTE TREATMENT</t>
  </si>
  <si>
    <t>1630</t>
  </si>
  <si>
    <t>CLOSED 01/12 - TOTAL SII NOX SHARED BREC/WKE/CITY</t>
  </si>
  <si>
    <t>1700</t>
  </si>
  <si>
    <t>CLOSED 01/12 - WKE CORP. TRANSFER TO LEM</t>
  </si>
  <si>
    <t>1701</t>
  </si>
  <si>
    <t>CLOSED 01/12 - WKEC TRANSFER TO LEM</t>
  </si>
  <si>
    <t>1720</t>
  </si>
  <si>
    <t>CLOSED 01/12 - WKE SII TRANSFER TO LEM</t>
  </si>
  <si>
    <t>1997</t>
  </si>
  <si>
    <t>ELECTRIC DISTRIBUTION LAND &amp; LAND RIGHTS</t>
  </si>
  <si>
    <t>1998</t>
  </si>
  <si>
    <t>ELECTRIC TRANSMISSION LAND &amp; LAND RIGHTS</t>
  </si>
  <si>
    <t>1999</t>
  </si>
  <si>
    <t>INDIANA TRANSMISSION LINES-ELECTRIC</t>
  </si>
  <si>
    <t>2000</t>
  </si>
  <si>
    <t>KENTUCKY TRANSMISSION LINES-ELECTRIC</t>
  </si>
  <si>
    <t>2298</t>
  </si>
  <si>
    <t>GENERAL PLANT-GAS</t>
  </si>
  <si>
    <t>2299</t>
  </si>
  <si>
    <t>DISTRIBUTION MAINS</t>
  </si>
  <si>
    <t>2578</t>
  </si>
  <si>
    <t>VARIOUS LOCATIONS - BUDGET ONLY</t>
  </si>
  <si>
    <t>2999</t>
  </si>
  <si>
    <t>KENTUCKY DISTRIBUTION SUBS-GAS</t>
  </si>
  <si>
    <t>3001</t>
  </si>
  <si>
    <t>INDIANA</t>
  </si>
  <si>
    <t>3002</t>
  </si>
  <si>
    <t>LOUISVILLE/JEFFERSON CO.</t>
  </si>
  <si>
    <t>3003</t>
  </si>
  <si>
    <t>KENTUCKY (EXCL JEFFERSON CO.)</t>
  </si>
  <si>
    <t>3004</t>
  </si>
  <si>
    <t>OHIO</t>
  </si>
  <si>
    <t>4001</t>
  </si>
  <si>
    <t>KLM - LEXINGTON METER DEPT.</t>
  </si>
  <si>
    <t>4002</t>
  </si>
  <si>
    <t>KLS - LEXINGTON SUBSTATION DEPT.</t>
  </si>
  <si>
    <t>4003</t>
  </si>
  <si>
    <t>KBR - BROWN STATION</t>
  </si>
  <si>
    <t>4004</t>
  </si>
  <si>
    <t>KDM - DANVILLE METER DEPT.</t>
  </si>
  <si>
    <t>4005</t>
  </si>
  <si>
    <t>KDS - DANVILLE SUBSTATION DEPARTMENT</t>
  </si>
  <si>
    <t>4006</t>
  </si>
  <si>
    <t>KDV - DANVILLE FACILITY</t>
  </si>
  <si>
    <t>4007</t>
  </si>
  <si>
    <t>KEA - EARLINGTON FACILITY</t>
  </si>
  <si>
    <t>4008</t>
  </si>
  <si>
    <t>KET - ELIZABETHTOWN FACILITY</t>
  </si>
  <si>
    <t>4009</t>
  </si>
  <si>
    <t>KGH - GHENT STATION</t>
  </si>
  <si>
    <t>4010</t>
  </si>
  <si>
    <t>KGO - GENERAL OFFICE FACILITY</t>
  </si>
  <si>
    <t>4011</t>
  </si>
  <si>
    <t>KPF - GO PANEL FABRICATION FACILITY</t>
  </si>
  <si>
    <t>4012</t>
  </si>
  <si>
    <t>KPR - PRO FACILITY</t>
  </si>
  <si>
    <t>4013</t>
  </si>
  <si>
    <t>KTG - GO TRANSMISSION FACILITY</t>
  </si>
  <si>
    <t>4014</t>
  </si>
  <si>
    <t>KGR - GREEN RIVER STATION</t>
  </si>
  <si>
    <t>4015</t>
  </si>
  <si>
    <t>KGF - GREENVILLE FACILITY</t>
  </si>
  <si>
    <t>4016</t>
  </si>
  <si>
    <t>KLX - LEXINGTON SERVICE CENTER</t>
  </si>
  <si>
    <t>4017</t>
  </si>
  <si>
    <t>KLD - LONDON FACILITY</t>
  </si>
  <si>
    <t>4018</t>
  </si>
  <si>
    <t>KTS - TYRONE GENERATING STATION</t>
  </si>
  <si>
    <t>4019</t>
  </si>
  <si>
    <t>KPV - PINEVILLE GENERATING STATION</t>
  </si>
  <si>
    <t>4020</t>
  </si>
  <si>
    <t>KMV - MAYSVILLE FACILITY</t>
  </si>
  <si>
    <t>4021</t>
  </si>
  <si>
    <t>KMW - MIDWAY FACILITY</t>
  </si>
  <si>
    <t>4022</t>
  </si>
  <si>
    <t>KMS - MOUNT STERLING FACILITY</t>
  </si>
  <si>
    <t>4023</t>
  </si>
  <si>
    <t>KNR - NORTON FACILITY</t>
  </si>
  <si>
    <t>4024</t>
  </si>
  <si>
    <t>KPR - PARIS FACILITY</t>
  </si>
  <si>
    <t>4025</t>
  </si>
  <si>
    <t>KPN - PINEVILLE FACILITY</t>
  </si>
  <si>
    <t>4026</t>
  </si>
  <si>
    <t>KPS - PINEVILLE SUBSTATION DEPARTMENT</t>
  </si>
  <si>
    <t>4027</t>
  </si>
  <si>
    <t>KRC - RICHMOND FACILITY</t>
  </si>
  <si>
    <t>4028</t>
  </si>
  <si>
    <t>KSV - SHELBYVILLE FACILITY</t>
  </si>
  <si>
    <t>4029</t>
  </si>
  <si>
    <t>KSY - SYSTEMS LABORATORY</t>
  </si>
  <si>
    <t>4030</t>
  </si>
  <si>
    <t>KEM - EARLINGTON METER DEPT.</t>
  </si>
  <si>
    <t>4031</t>
  </si>
  <si>
    <t>KES - EARLINGTON SUBSTATION DEPARTMENT</t>
  </si>
  <si>
    <t>4032</t>
  </si>
  <si>
    <t>KCR - CARROLLTON FACILITY</t>
  </si>
  <si>
    <t>4033</t>
  </si>
  <si>
    <t>KCV - CAMBELLSVILLE FACILITY</t>
  </si>
  <si>
    <t>4034</t>
  </si>
  <si>
    <t>KTR - EARLINGTON TRANSMISSION FACILITY</t>
  </si>
  <si>
    <t>4035</t>
  </si>
  <si>
    <t>KHR - HARLAN FACILITY</t>
  </si>
  <si>
    <t>4036</t>
  </si>
  <si>
    <t>KPT - PINEVILLE TRANSMISSION FACILITY</t>
  </si>
  <si>
    <t>4037</t>
  </si>
  <si>
    <t>KSO - SOMERSET FACILITY</t>
  </si>
  <si>
    <t>4038</t>
  </si>
  <si>
    <t>KWN - WINCHESTER FACILITY</t>
  </si>
  <si>
    <t>4039</t>
  </si>
  <si>
    <t>KPG - PENNINGTON GAP FACILITY</t>
  </si>
  <si>
    <t>4040</t>
  </si>
  <si>
    <t>KMG - MORGANFIELD FACILITY</t>
  </si>
  <si>
    <t>4041</t>
  </si>
  <si>
    <t>KDX - DIXON FACILITY</t>
  </si>
  <si>
    <t>4042</t>
  </si>
  <si>
    <t>KED - EDDYVILLE FACILITY</t>
  </si>
  <si>
    <t>4043</t>
  </si>
  <si>
    <t>KBW - BARLOW FACILITY</t>
  </si>
  <si>
    <t>4044</t>
  </si>
  <si>
    <t>KGL - KU GENERAL OFFICE FACILITY</t>
  </si>
  <si>
    <t>4045</t>
  </si>
  <si>
    <t>KGT - GO TRANSMISSION FACILITY</t>
  </si>
  <si>
    <t>4046</t>
  </si>
  <si>
    <t>KDT - DANVILLE TRANSMISSION FACILITY</t>
  </si>
  <si>
    <t>4047</t>
  </si>
  <si>
    <t>KGL - KU GO GLOVE LAB</t>
  </si>
  <si>
    <t>4048</t>
  </si>
  <si>
    <t>KSF - KU SEBREE FACILITY</t>
  </si>
  <si>
    <t>4049</t>
  </si>
  <si>
    <t>KSS - SOUTH SERVICE CENTER</t>
  </si>
  <si>
    <t>4050</t>
  </si>
  <si>
    <t>KLT - LEXINGTON TRANSMISSION</t>
  </si>
  <si>
    <t>4051</t>
  </si>
  <si>
    <t>KTE - TRANSMISSION ELIZABETHTOWN FACILITY</t>
  </si>
  <si>
    <t>4052</t>
  </si>
  <si>
    <t>KTD - KU TRANSMISSION AND DISTRIBUTION</t>
  </si>
  <si>
    <t>4053</t>
  </si>
  <si>
    <t>KTE - KU TRANSMISSION ELIZABETHTOWN</t>
  </si>
  <si>
    <t>4101</t>
  </si>
  <si>
    <t>LRT - LGE - RETIREMENT</t>
  </si>
  <si>
    <t>4102</t>
  </si>
  <si>
    <t>LNS - LGE - NON STOCK</t>
  </si>
  <si>
    <t>4103</t>
  </si>
  <si>
    <t>KRT - KU RETIREMENT FACILITY</t>
  </si>
  <si>
    <t>4104</t>
  </si>
  <si>
    <t>KU GO PRODUCTION</t>
  </si>
  <si>
    <t>4501</t>
  </si>
  <si>
    <t>EW BROWN INVENTORY</t>
  </si>
  <si>
    <t>4502</t>
  </si>
  <si>
    <t>EW BROWN COMBUSTION TURBINE INVENTORY</t>
  </si>
  <si>
    <t>4503</t>
  </si>
  <si>
    <t>EW BROWN CT PIPELINE INVENTORY</t>
  </si>
  <si>
    <t>4504</t>
  </si>
  <si>
    <t>GHENT INVENTORY</t>
  </si>
  <si>
    <t>4505</t>
  </si>
  <si>
    <t>GHENT HIGH SULFUR INVENTORY</t>
  </si>
  <si>
    <t>4506</t>
  </si>
  <si>
    <t>GHENT COMPLIANCE INVENTORY</t>
  </si>
  <si>
    <t>4507</t>
  </si>
  <si>
    <t>GREEN RIVER INVENTORY</t>
  </si>
  <si>
    <t>4508</t>
  </si>
  <si>
    <t>HAEFLING INVENTORY</t>
  </si>
  <si>
    <t>4509</t>
  </si>
  <si>
    <t>PINEVILLE INVENTORY</t>
  </si>
  <si>
    <t>4510</t>
  </si>
  <si>
    <t>TYRONE INVENTORY</t>
  </si>
  <si>
    <t>4511</t>
  </si>
  <si>
    <t>KU COAL INVENTORY - WKE WILSON PLANT</t>
  </si>
  <si>
    <t>5100</t>
  </si>
  <si>
    <t>KY DISTRIBUTION SUBSTATIONS</t>
  </si>
  <si>
    <t>5130</t>
  </si>
  <si>
    <t>KY DISTRIBUTION LINES</t>
  </si>
  <si>
    <t>5150</t>
  </si>
  <si>
    <t>KY TRANS SUBSTATIONS</t>
  </si>
  <si>
    <t>5190</t>
  </si>
  <si>
    <t>KY ADMINISTRATIVE</t>
  </si>
  <si>
    <t>5195</t>
  </si>
  <si>
    <t>KY NONUTILITY</t>
  </si>
  <si>
    <t>5200</t>
  </si>
  <si>
    <t>KY TRANSMISSION LINES</t>
  </si>
  <si>
    <t>5252</t>
  </si>
  <si>
    <t>GHENT SCRAPER-657/68K1073</t>
  </si>
  <si>
    <t>5253</t>
  </si>
  <si>
    <t>GHENT SCRAPER-637/65M625</t>
  </si>
  <si>
    <t>5254</t>
  </si>
  <si>
    <t>GHENT SCRAPER-657/90Z99</t>
  </si>
  <si>
    <t>5255</t>
  </si>
  <si>
    <t>GHENT DOZER-D9G/66A13240</t>
  </si>
  <si>
    <t>5256</t>
  </si>
  <si>
    <t>GHENT DOZER-D9H/90V8944</t>
  </si>
  <si>
    <t>5257</t>
  </si>
  <si>
    <t>GH SCRAPER-637E/1FB00573</t>
  </si>
  <si>
    <t>5258</t>
  </si>
  <si>
    <t>GHENT LOADER - LIMESTONE</t>
  </si>
  <si>
    <t>5300</t>
  </si>
  <si>
    <t>VA DIST SUBSTATIONS</t>
  </si>
  <si>
    <t>5330</t>
  </si>
  <si>
    <t>VA DISTRIBUTION LINES</t>
  </si>
  <si>
    <t>5350</t>
  </si>
  <si>
    <t>VA TRANSMISSION LINES</t>
  </si>
  <si>
    <t>5380</t>
  </si>
  <si>
    <t>VA TRANS SUBSTATIONS</t>
  </si>
  <si>
    <t>5390</t>
  </si>
  <si>
    <t>VA ADMINISTRATIVE</t>
  </si>
  <si>
    <t>5395</t>
  </si>
  <si>
    <t>VA NON UTILITY</t>
  </si>
  <si>
    <t>5400</t>
  </si>
  <si>
    <t>TENNESSEE DISTRIBUTION SUBSTATION</t>
  </si>
  <si>
    <t>5430</t>
  </si>
  <si>
    <t>TN DISTRIBUTION LINES</t>
  </si>
  <si>
    <t>5450</t>
  </si>
  <si>
    <t>TENNESSEE DISTRIBUTION LINES</t>
  </si>
  <si>
    <t>5591</t>
  </si>
  <si>
    <t>KU GENERATION - COMMON</t>
  </si>
  <si>
    <t>5601</t>
  </si>
  <si>
    <t>TYRONE UNIT 1</t>
  </si>
  <si>
    <t>5602</t>
  </si>
  <si>
    <t>TYRONE UNIT 2</t>
  </si>
  <si>
    <t>5603</t>
  </si>
  <si>
    <t>TYRONE UNIT 3</t>
  </si>
  <si>
    <t>5604</t>
  </si>
  <si>
    <t>TYRONE UNITS 1 &amp; 2</t>
  </si>
  <si>
    <t>5605</t>
  </si>
  <si>
    <t>TYRONE COMMON</t>
  </si>
  <si>
    <t>5610</t>
  </si>
  <si>
    <t>GREEN RIVER CC GT 2019</t>
  </si>
  <si>
    <t>5611</t>
  </si>
  <si>
    <t>CLOSED 01/05 - GREEN RIVER UNIT 1</t>
  </si>
  <si>
    <t>5612</t>
  </si>
  <si>
    <t>CLOSED 01/05 - GREEN RIVER UNIT 2</t>
  </si>
  <si>
    <t>GREEN RIVER UNIT 3</t>
  </si>
  <si>
    <t>GREEN RIVER UNIT 4</t>
  </si>
  <si>
    <t>5615</t>
  </si>
  <si>
    <t>GREEN RIVER UNITS 1 &amp; 2</t>
  </si>
  <si>
    <t>GREEN RIVER COMMON</t>
  </si>
  <si>
    <t>5619</t>
  </si>
  <si>
    <t>EW BROWN COMMON EXP (ALLOC)</t>
  </si>
  <si>
    <t>E W BROWN  COMMON - STEAM</t>
  </si>
  <si>
    <t>E W BROWN UNIT  1</t>
  </si>
  <si>
    <t>E W BROWN UNIT  2</t>
  </si>
  <si>
    <t>E W BROWN UNIT  3</t>
  </si>
  <si>
    <t>E W BROWN UNITS 1 &amp; 2</t>
  </si>
  <si>
    <t>5625</t>
  </si>
  <si>
    <t>E W BROWN UNITS 2 &amp; 3</t>
  </si>
  <si>
    <t>5626</t>
  </si>
  <si>
    <t>E W BROWN UNITS 1 &amp; 3</t>
  </si>
  <si>
    <t>5627</t>
  </si>
  <si>
    <t>CLOSED 12/08 - E W BROWN UNIT 1 SCRUBBER</t>
  </si>
  <si>
    <t>5628</t>
  </si>
  <si>
    <t>CLOSED 12/08 - E W BROWN UNIT 2 SCRUBBER</t>
  </si>
  <si>
    <t>E W BROWN STEAM UNITS 1,2,3 SCRUBBER</t>
  </si>
  <si>
    <t>5632</t>
  </si>
  <si>
    <t>E W BROWN-EQUIP COM. COMBUSTION TURBINE UNITS 4, 5, 6 &amp; 7</t>
  </si>
  <si>
    <t>5633</t>
  </si>
  <si>
    <t>E W BROWN-EQUIP COM. COMBUSTION TURBINE UNITS 8, 9, 10 &amp; 11</t>
  </si>
  <si>
    <t>5634</t>
  </si>
  <si>
    <t>E W BROWN COMBUSTION TURBINE UNIT 4</t>
  </si>
  <si>
    <t>5635</t>
  </si>
  <si>
    <t>E W BROWN COMBUSTION TURBINE UNIT 5</t>
  </si>
  <si>
    <t>E W BROWN COMBUSTION TURBINE UNIT 6</t>
  </si>
  <si>
    <t>E W BROWN COMBUSTION TURBINE UNIT 7</t>
  </si>
  <si>
    <t>5638</t>
  </si>
  <si>
    <t>E W BROWN COMBUSTION TURBINE UNIT 8</t>
  </si>
  <si>
    <t>E W BROWN COMBUSTION TURBINE UNIT 9</t>
  </si>
  <si>
    <t>E W BROWN COMBUSTION TURBINE UNIT 10</t>
  </si>
  <si>
    <t>5641</t>
  </si>
  <si>
    <t>E W BROWN COMBUSTION TURBINE UNIT 11</t>
  </si>
  <si>
    <t>5642</t>
  </si>
  <si>
    <t>E W BROWN-EQUIP ALL COMBUSTION TURBINE UNITS</t>
  </si>
  <si>
    <t>5643</t>
  </si>
  <si>
    <t>PINEVILLE UNIT 3</t>
  </si>
  <si>
    <t>5644</t>
  </si>
  <si>
    <t>CLOSED 01/07 - PINEVILLE UNITS 1 &amp; 2</t>
  </si>
  <si>
    <t>5645</t>
  </si>
  <si>
    <t>E W BROWN CT UNIT 9 GAS PIPELINE</t>
  </si>
  <si>
    <t>5646</t>
  </si>
  <si>
    <t>E W BROWN CT UNITS 5, 8, 9, 10, &amp; 11</t>
  </si>
  <si>
    <t>5647</t>
  </si>
  <si>
    <t>EW BROWN NGCC 2017</t>
  </si>
  <si>
    <t>5648</t>
  </si>
  <si>
    <t>BROWN SOLAR FACILITY</t>
  </si>
  <si>
    <t>5650</t>
  </si>
  <si>
    <t>GHENT UNIT 1 SCRUBBER</t>
  </si>
  <si>
    <t>GHENT UNIT 1</t>
  </si>
  <si>
    <t>GHENT UNIT 2</t>
  </si>
  <si>
    <t>GHENT UNIT 3</t>
  </si>
  <si>
    <t>GHENT UNIT 4</t>
  </si>
  <si>
    <t>GHENT UNITS 1 &amp; 2</t>
  </si>
  <si>
    <t>GHENT UNITS 3 &amp; 4</t>
  </si>
  <si>
    <t>GHENT COMMON</t>
  </si>
  <si>
    <t>5658</t>
  </si>
  <si>
    <t>GHENT UNIT 2 SCRUBBER</t>
  </si>
  <si>
    <t>5659</t>
  </si>
  <si>
    <t>GHENT UNIT 4 RAILROAD CARS</t>
  </si>
  <si>
    <t>5660</t>
  </si>
  <si>
    <t>GHENT UNIT 3 SCRUBBER</t>
  </si>
  <si>
    <t>5661</t>
  </si>
  <si>
    <t>GHENT UNIT 4 SCRUBBER</t>
  </si>
  <si>
    <t>5691</t>
  </si>
  <si>
    <t>DIX DAM</t>
  </si>
  <si>
    <t>5692</t>
  </si>
  <si>
    <t>CLOSED 04/06 - LOCK #7</t>
  </si>
  <si>
    <t>HAEFLING UNIT 1</t>
  </si>
  <si>
    <t>HAEFLING UNIT 2</t>
  </si>
  <si>
    <t>HAEFLING UNIT 3</t>
  </si>
  <si>
    <t>5696</t>
  </si>
  <si>
    <t>HAEFLING UNITS 1, 2, &amp; 3</t>
  </si>
  <si>
    <t>5697</t>
  </si>
  <si>
    <t>PADDYS RUN GENERATOR 13</t>
  </si>
  <si>
    <t>CANE RUN 4</t>
  </si>
  <si>
    <t>CANE RUN 5</t>
  </si>
  <si>
    <t>CANE RUN 6</t>
  </si>
  <si>
    <t>MILL CREEK COMMON</t>
  </si>
  <si>
    <t>MILL CREEK 1</t>
  </si>
  <si>
    <t>MILL CREEK 2</t>
  </si>
  <si>
    <t>MILL CREEK 3</t>
  </si>
  <si>
    <t>MILL CREEK 4</t>
  </si>
  <si>
    <t>TRIMBLE COUNTY COMMON</t>
  </si>
  <si>
    <t>TRIMBLE COUNTY 1</t>
  </si>
  <si>
    <t>TRIMBLE COUNTY 2</t>
  </si>
  <si>
    <t>TRIMBLE COUNTY #5</t>
  </si>
  <si>
    <t>TRIMBLE COUNTY #6</t>
  </si>
  <si>
    <t>TRIMBLE COUNTY #7</t>
  </si>
  <si>
    <t>TRIMBLE COUNTY #8</t>
  </si>
  <si>
    <t>TRIMBLE COUNTY #9</t>
  </si>
  <si>
    <t>TRIMBLE COUNTY #10</t>
  </si>
  <si>
    <t>CRC</t>
  </si>
  <si>
    <t>Cane Run 4</t>
  </si>
  <si>
    <t>Cane Run 6</t>
  </si>
  <si>
    <t>Paddys Run Common</t>
  </si>
  <si>
    <t>Mill Creek 1</t>
  </si>
  <si>
    <t>Mill Creek 2</t>
  </si>
  <si>
    <t>Mill Creek 3</t>
  </si>
  <si>
    <t>Mill Creek 4</t>
  </si>
  <si>
    <t>Green River 3</t>
  </si>
  <si>
    <t>Green River 4</t>
  </si>
  <si>
    <t>Green River Common</t>
  </si>
  <si>
    <t>Brown Common</t>
  </si>
  <si>
    <t>Brown 1</t>
  </si>
  <si>
    <t>Brown 2</t>
  </si>
  <si>
    <t>Brown 3</t>
  </si>
  <si>
    <t>Ghent 1</t>
  </si>
  <si>
    <t>Ghent 3</t>
  </si>
  <si>
    <t>Ghent 4</t>
  </si>
  <si>
    <t>Ghent 2</t>
  </si>
  <si>
    <t>Ghent Common</t>
  </si>
  <si>
    <t>Cane Run 5</t>
  </si>
  <si>
    <t>Paddys Run 12</t>
  </si>
  <si>
    <t>Haefling 3</t>
  </si>
  <si>
    <t>Rate Case Analysis - Outages (Nonlabor)</t>
  </si>
  <si>
    <t>US$ 000</t>
  </si>
  <si>
    <t>Total</t>
  </si>
  <si>
    <t>Trimble Co 1</t>
  </si>
  <si>
    <t>Trimble Co 2</t>
  </si>
  <si>
    <t>Brown 1, 2, 3</t>
  </si>
  <si>
    <t>Tyrone 1, 2</t>
  </si>
  <si>
    <t>Tyrone 3</t>
  </si>
  <si>
    <t>Total Steam</t>
  </si>
  <si>
    <t>Trimble Co 5</t>
  </si>
  <si>
    <t>Trimble Co 6</t>
  </si>
  <si>
    <t>Trimble Co 7</t>
  </si>
  <si>
    <t>Trimble Co 8</t>
  </si>
  <si>
    <t>Trimble Co 9</t>
  </si>
  <si>
    <t>Trimble Co 10</t>
  </si>
  <si>
    <t>Paddy'S Run 13</t>
  </si>
  <si>
    <t>Brown 5</t>
  </si>
  <si>
    <t>Brown 6</t>
  </si>
  <si>
    <t>Brown 7</t>
  </si>
  <si>
    <t>Brown 8</t>
  </si>
  <si>
    <t>Brown 9</t>
  </si>
  <si>
    <t>Brown 10</t>
  </si>
  <si>
    <t>Haefling 1</t>
  </si>
  <si>
    <t>Haefling 2</t>
  </si>
  <si>
    <t>Total CTs</t>
  </si>
  <si>
    <t>Dix Dam</t>
  </si>
  <si>
    <t>Trimble Co Common</t>
  </si>
  <si>
    <t>Brown 11</t>
  </si>
  <si>
    <t>Power Generation Nonlabor Outage Expenses (OPEX)</t>
  </si>
  <si>
    <t>Brown Gas</t>
  </si>
  <si>
    <t>compute_0002</t>
  </si>
  <si>
    <t>category</t>
  </si>
  <si>
    <t>code</t>
  </si>
  <si>
    <t>GEN O M: OUTAGES</t>
  </si>
  <si>
    <t>BROWN 6</t>
  </si>
  <si>
    <t>BROWN 2</t>
  </si>
  <si>
    <t>BROWN 3</t>
  </si>
  <si>
    <t>GHENT 1</t>
  </si>
  <si>
    <t>GHENT 2</t>
  </si>
  <si>
    <t>GHENT 3</t>
  </si>
  <si>
    <t>GHENT 4</t>
  </si>
  <si>
    <t>GREEN RIVER 3</t>
  </si>
  <si>
    <t>PADDY'S RUN 12</t>
  </si>
  <si>
    <t>PADDY'S RUN 13</t>
  </si>
  <si>
    <t>TRIMBLE CO 1</t>
  </si>
  <si>
    <t>TRIMBLE CO 10</t>
  </si>
  <si>
    <t>TRIMBLE CO 2</t>
  </si>
  <si>
    <t>TRIMBLE CO 5</t>
  </si>
  <si>
    <t>TRIMBLE CO 6</t>
  </si>
  <si>
    <t>TRIMBLE CO 7</t>
  </si>
  <si>
    <t>TRIMBLE CO 8</t>
  </si>
  <si>
    <t>TRIMBLE CO 9</t>
  </si>
  <si>
    <t>BROWN 1</t>
  </si>
  <si>
    <t>BROWN 1, 2, 3</t>
  </si>
  <si>
    <t>BROWN 5</t>
  </si>
  <si>
    <t>BROWN 7</t>
  </si>
  <si>
    <t>BROWN 8</t>
  </si>
  <si>
    <t>BROWN 9</t>
  </si>
  <si>
    <t>GREEN RIVER 4</t>
  </si>
  <si>
    <t>HAEFLING 1</t>
  </si>
  <si>
    <t>HAEFLING 2</t>
  </si>
  <si>
    <t>HAEFLING 3</t>
  </si>
  <si>
    <t>Kentucky Utilities Company / Louisville Gas and Electric Company</t>
  </si>
  <si>
    <t>2013 Generator Ratings (MW)</t>
  </si>
  <si>
    <t>Ownership</t>
  </si>
  <si>
    <t>Generator</t>
  </si>
  <si>
    <t>Net</t>
  </si>
  <si>
    <t>Gross</t>
  </si>
  <si>
    <t>In-Service</t>
  </si>
  <si>
    <t>Current</t>
  </si>
  <si>
    <t>Percentage</t>
  </si>
  <si>
    <t>Nameplate</t>
  </si>
  <si>
    <t xml:space="preserve">Minimum </t>
  </si>
  <si>
    <t xml:space="preserve">SCR Min. </t>
  </si>
  <si>
    <r>
      <t xml:space="preserve">Winter </t>
    </r>
    <r>
      <rPr>
        <b/>
        <vertAlign val="superscript"/>
        <sz val="12"/>
        <rFont val="Arial"/>
        <family val="2"/>
      </rPr>
      <t>3</t>
    </r>
  </si>
  <si>
    <r>
      <t xml:space="preserve">Summer </t>
    </r>
    <r>
      <rPr>
        <b/>
        <vertAlign val="superscript"/>
        <sz val="12"/>
        <rFont val="Arial"/>
        <family val="2"/>
      </rPr>
      <t>3</t>
    </r>
  </si>
  <si>
    <r>
      <t xml:space="preserve">Plant Name </t>
    </r>
    <r>
      <rPr>
        <vertAlign val="superscript"/>
        <sz val="12"/>
        <rFont val="Arial"/>
        <family val="2"/>
      </rPr>
      <t>5,6</t>
    </r>
  </si>
  <si>
    <t>Owner</t>
  </si>
  <si>
    <t>Date</t>
  </si>
  <si>
    <t>Age</t>
  </si>
  <si>
    <t>Ratings</t>
  </si>
  <si>
    <t>Load</t>
  </si>
  <si>
    <t>-</t>
  </si>
  <si>
    <t>Total Brown Coal</t>
  </si>
  <si>
    <t>IAC on 11N2</t>
  </si>
  <si>
    <t>Joint</t>
  </si>
  <si>
    <r>
      <t xml:space="preserve">Brown 5 </t>
    </r>
    <r>
      <rPr>
        <vertAlign val="superscript"/>
        <sz val="12"/>
        <rFont val="Arial"/>
        <family val="2"/>
      </rPr>
      <t>7</t>
    </r>
  </si>
  <si>
    <r>
      <t xml:space="preserve">Brown 6 </t>
    </r>
    <r>
      <rPr>
        <vertAlign val="superscript"/>
        <sz val="12"/>
        <rFont val="Arial"/>
        <family val="2"/>
      </rPr>
      <t>8</t>
    </r>
  </si>
  <si>
    <t>20 / 90</t>
  </si>
  <si>
    <r>
      <t xml:space="preserve">Brown 8 </t>
    </r>
    <r>
      <rPr>
        <vertAlign val="superscript"/>
        <sz val="12"/>
        <rFont val="Arial"/>
        <family val="2"/>
      </rPr>
      <t>7</t>
    </r>
  </si>
  <si>
    <r>
      <t xml:space="preserve">Brown 9 </t>
    </r>
    <r>
      <rPr>
        <vertAlign val="superscript"/>
        <sz val="12"/>
        <rFont val="Arial"/>
        <family val="2"/>
      </rPr>
      <t>7</t>
    </r>
  </si>
  <si>
    <r>
      <t xml:space="preserve">Brown 10 </t>
    </r>
    <r>
      <rPr>
        <vertAlign val="superscript"/>
        <sz val="12"/>
        <rFont val="Arial"/>
        <family val="2"/>
      </rPr>
      <t>7</t>
    </r>
  </si>
  <si>
    <r>
      <t xml:space="preserve">Brown 11 </t>
    </r>
    <r>
      <rPr>
        <vertAlign val="superscript"/>
        <sz val="12"/>
        <rFont val="Arial"/>
        <family val="2"/>
      </rPr>
      <t>7</t>
    </r>
  </si>
  <si>
    <t>Total Brown CT</t>
  </si>
  <si>
    <t>Total Cane Run</t>
  </si>
  <si>
    <t>Dix Dam 1</t>
  </si>
  <si>
    <t>Dix Dam 2</t>
  </si>
  <si>
    <t>Dix Dam 3</t>
  </si>
  <si>
    <t>Total Dix Dam</t>
  </si>
  <si>
    <t>Total Ghent</t>
  </si>
  <si>
    <t>Total Green River</t>
  </si>
  <si>
    <t>Total Haefling</t>
  </si>
  <si>
    <t>Total Mill Creek</t>
  </si>
  <si>
    <r>
      <t xml:space="preserve">Ohio Falls 1 </t>
    </r>
    <r>
      <rPr>
        <b/>
        <vertAlign val="superscript"/>
        <sz val="12"/>
        <rFont val="Arial"/>
        <family val="2"/>
      </rPr>
      <t>1</t>
    </r>
  </si>
  <si>
    <r>
      <t xml:space="preserve">Ohio Falls 2 </t>
    </r>
    <r>
      <rPr>
        <b/>
        <vertAlign val="superscript"/>
        <sz val="12"/>
        <rFont val="Arial"/>
        <family val="2"/>
      </rPr>
      <t>1</t>
    </r>
  </si>
  <si>
    <r>
      <t xml:space="preserve">Ohio Falls 3 </t>
    </r>
    <r>
      <rPr>
        <b/>
        <vertAlign val="superscript"/>
        <sz val="12"/>
        <rFont val="Arial"/>
        <family val="2"/>
      </rPr>
      <t>1</t>
    </r>
  </si>
  <si>
    <r>
      <t xml:space="preserve">Ohio Falls 4 </t>
    </r>
    <r>
      <rPr>
        <b/>
        <vertAlign val="superscript"/>
        <sz val="12"/>
        <rFont val="Arial"/>
        <family val="2"/>
      </rPr>
      <t>1</t>
    </r>
  </si>
  <si>
    <r>
      <t xml:space="preserve">Ohio Falls 5 </t>
    </r>
    <r>
      <rPr>
        <b/>
        <vertAlign val="superscript"/>
        <sz val="12"/>
        <rFont val="Arial"/>
        <family val="2"/>
      </rPr>
      <t>1</t>
    </r>
  </si>
  <si>
    <r>
      <t xml:space="preserve">Ohio Falls 6 </t>
    </r>
    <r>
      <rPr>
        <b/>
        <vertAlign val="superscript"/>
        <sz val="12"/>
        <rFont val="Arial"/>
        <family val="2"/>
      </rPr>
      <t>1</t>
    </r>
  </si>
  <si>
    <r>
      <t xml:space="preserve">Ohio Falls 7 </t>
    </r>
    <r>
      <rPr>
        <b/>
        <vertAlign val="superscript"/>
        <sz val="12"/>
        <rFont val="Arial"/>
        <family val="2"/>
      </rPr>
      <t>1</t>
    </r>
  </si>
  <si>
    <r>
      <t xml:space="preserve">Ohio Falls 8 </t>
    </r>
    <r>
      <rPr>
        <b/>
        <vertAlign val="superscript"/>
        <sz val="12"/>
        <rFont val="Arial"/>
        <family val="2"/>
      </rPr>
      <t>1</t>
    </r>
  </si>
  <si>
    <t>Total Ohio Falls Hydro</t>
  </si>
  <si>
    <t>Paddys Run 13</t>
  </si>
  <si>
    <t>Total Paddys Run CT</t>
  </si>
  <si>
    <r>
      <t xml:space="preserve">Trimble County 1 </t>
    </r>
    <r>
      <rPr>
        <b/>
        <vertAlign val="superscript"/>
        <sz val="12"/>
        <rFont val="Arial"/>
        <family val="2"/>
      </rPr>
      <t>2</t>
    </r>
  </si>
  <si>
    <r>
      <t xml:space="preserve">Trimble County 2 </t>
    </r>
    <r>
      <rPr>
        <vertAlign val="superscript"/>
        <sz val="12"/>
        <rFont val="Arial"/>
        <family val="2"/>
      </rPr>
      <t>2</t>
    </r>
  </si>
  <si>
    <t>Total Trimble County</t>
  </si>
  <si>
    <r>
      <t xml:space="preserve">Trimble County 5 </t>
    </r>
    <r>
      <rPr>
        <vertAlign val="superscript"/>
        <sz val="12"/>
        <rFont val="Arial"/>
        <family val="2"/>
      </rPr>
      <t>9</t>
    </r>
  </si>
  <si>
    <t>80 S  90 W</t>
  </si>
  <si>
    <r>
      <t>Trimble County 6</t>
    </r>
    <r>
      <rPr>
        <vertAlign val="superscript"/>
        <sz val="12"/>
        <rFont val="Arial"/>
        <family val="2"/>
      </rPr>
      <t xml:space="preserve"> 9</t>
    </r>
  </si>
  <si>
    <r>
      <t>Trimble County 7</t>
    </r>
    <r>
      <rPr>
        <vertAlign val="superscript"/>
        <sz val="12"/>
        <rFont val="Arial"/>
        <family val="2"/>
      </rPr>
      <t xml:space="preserve"> 9</t>
    </r>
  </si>
  <si>
    <r>
      <t>Trimble County 8</t>
    </r>
    <r>
      <rPr>
        <vertAlign val="superscript"/>
        <sz val="12"/>
        <rFont val="Arial"/>
        <family val="2"/>
      </rPr>
      <t xml:space="preserve"> 9</t>
    </r>
  </si>
  <si>
    <r>
      <t>Trimble County 9</t>
    </r>
    <r>
      <rPr>
        <vertAlign val="superscript"/>
        <sz val="12"/>
        <rFont val="Arial"/>
        <family val="2"/>
      </rPr>
      <t xml:space="preserve"> 9</t>
    </r>
  </si>
  <si>
    <r>
      <t>Trimble County 10</t>
    </r>
    <r>
      <rPr>
        <vertAlign val="superscript"/>
        <sz val="12"/>
        <rFont val="Arial"/>
        <family val="2"/>
      </rPr>
      <t xml:space="preserve"> 9</t>
    </r>
  </si>
  <si>
    <t>Total Trimble CT</t>
  </si>
  <si>
    <t>Cane Run 11</t>
  </si>
  <si>
    <t>Paddy's Run 11</t>
  </si>
  <si>
    <t>Paddy's Run 12</t>
  </si>
  <si>
    <t>Zorn 1</t>
  </si>
  <si>
    <t>Total LG&amp;E CT's</t>
  </si>
  <si>
    <r>
      <t xml:space="preserve">Kyger Creek 1-5 </t>
    </r>
    <r>
      <rPr>
        <vertAlign val="superscript"/>
        <sz val="12"/>
        <rFont val="Arial"/>
        <family val="2"/>
      </rPr>
      <t>10</t>
    </r>
  </si>
  <si>
    <r>
      <t xml:space="preserve">Clifty Creek 1-6 </t>
    </r>
    <r>
      <rPr>
        <vertAlign val="superscript"/>
        <sz val="12"/>
        <rFont val="Arial"/>
        <family val="2"/>
      </rPr>
      <t>10</t>
    </r>
  </si>
  <si>
    <t>Total OVEC</t>
  </si>
  <si>
    <t>KU System</t>
  </si>
  <si>
    <t>Coal</t>
  </si>
  <si>
    <r>
      <t xml:space="preserve">Peaking </t>
    </r>
    <r>
      <rPr>
        <b/>
        <vertAlign val="superscript"/>
        <sz val="12"/>
        <rFont val="Arial"/>
        <family val="2"/>
      </rPr>
      <t>4</t>
    </r>
  </si>
  <si>
    <t>Hydro</t>
  </si>
  <si>
    <t>OVEC</t>
  </si>
  <si>
    <t>Total KU System w/ OVEC</t>
  </si>
  <si>
    <t>Total KU System w/o OVEC</t>
  </si>
  <si>
    <t>LG&amp;E System</t>
  </si>
  <si>
    <t>Total LG&amp;E System w/ OVEC</t>
  </si>
  <si>
    <t>Total LG&amp;E System w/o OVEC</t>
  </si>
  <si>
    <t>Total System</t>
  </si>
  <si>
    <t>Total System w/ OVEC</t>
  </si>
  <si>
    <t>Total System w/o OVEC</t>
  </si>
  <si>
    <r>
      <t>1</t>
    </r>
    <r>
      <rPr>
        <sz val="14"/>
        <rFont val="Arial"/>
        <family val="2"/>
      </rPr>
      <t xml:space="preserve"> Ohio Falls units have a monthly rating. Winter rating is Jan. &amp; Summer Rating is Jul.  As units are rehabbed, Nameplate will be 12.7 MW; Net Winter 5 MW; Net Summer 8 MW</t>
    </r>
  </si>
  <si>
    <r>
      <t>2</t>
    </r>
    <r>
      <rPr>
        <sz val="14"/>
        <rFont val="Arial"/>
        <family val="2"/>
      </rPr>
      <t xml:space="preserve"> Ratings represent LG&amp;E/KU's ownership (75%) of Trimble County Units 1 &amp; 2; 100% TC1 &amp; TC2 values are below for reference:</t>
    </r>
  </si>
  <si>
    <t>100% Trimble County 1</t>
  </si>
  <si>
    <t>100% Trimble County 2</t>
  </si>
  <si>
    <t>Total 100% Trimble County</t>
  </si>
  <si>
    <r>
      <t>3</t>
    </r>
    <r>
      <rPr>
        <sz val="14"/>
        <rFont val="Arial"/>
        <family val="2"/>
      </rPr>
      <t xml:space="preserve"> Winter Rating Period Oct-Mar; Summer Rating Period Apr-Sep</t>
    </r>
  </si>
  <si>
    <r>
      <t>4</t>
    </r>
    <r>
      <rPr>
        <sz val="14"/>
        <rFont val="Arial"/>
        <family val="2"/>
      </rPr>
      <t xml:space="preserve"> Peaking units include Brown CTs, Haefling, Trimble CTs, and LG&amp;E CT's</t>
    </r>
  </si>
  <si>
    <r>
      <t xml:space="preserve">5  </t>
    </r>
    <r>
      <rPr>
        <sz val="14"/>
        <rFont val="Arial"/>
        <family val="2"/>
      </rPr>
      <t xml:space="preserve">Lock 7 was sold on December 29, 2005 to Lock 7 Hydro Partners, LLC. </t>
    </r>
  </si>
  <si>
    <r>
      <t xml:space="preserve">6  </t>
    </r>
    <r>
      <rPr>
        <sz val="14"/>
        <rFont val="Arial"/>
        <family val="2"/>
      </rPr>
      <t>Retired units - midnight of date shown:  Pineville 3 (12/31/01); Green River 1/2 (12/31/03); Waterside 7/8 (8/21/06); Tyrone 1/2 (2/26/07); Tyrone 3 (2/1/2013); Haefling 3 (12/3/2013)</t>
    </r>
  </si>
  <si>
    <r>
      <t xml:space="preserve">7 </t>
    </r>
    <r>
      <rPr>
        <sz val="14"/>
        <rFont val="Arial"/>
        <family val="2"/>
      </rPr>
      <t>Brown 5 &amp; 8-11 Summer Ratings do not include inlet cooling adjustment (represented by IAC on 11N2)</t>
    </r>
  </si>
  <si>
    <r>
      <t xml:space="preserve">8 </t>
    </r>
    <r>
      <rPr>
        <sz val="14"/>
        <rFont val="Arial"/>
        <family val="2"/>
      </rPr>
      <t>Brown 6 has potential to hover at 20MW (cannot reach any MW point between 21 and minimum load due to NOx limitations)</t>
    </r>
  </si>
  <si>
    <r>
      <t xml:space="preserve">9 </t>
    </r>
    <r>
      <rPr>
        <sz val="14"/>
        <rFont val="Arial"/>
        <family val="2"/>
      </rPr>
      <t>Trimble County 5-10 Summer Ratings include Evaporative Cooling</t>
    </r>
  </si>
  <si>
    <r>
      <t xml:space="preserve">10 </t>
    </r>
    <r>
      <rPr>
        <sz val="14"/>
        <rFont val="Arial"/>
        <family val="2"/>
      </rPr>
      <t>OVEC ratings represent 5.63% LG&amp;E &amp; 2.5% KU ownership (8.13% total) of Kyger Creek Units 1-5 and Clifty Creek Units 1-6; 100% OVEC below:</t>
    </r>
  </si>
  <si>
    <t>Kyger Creek 1</t>
  </si>
  <si>
    <t>Kyger Creek 2</t>
  </si>
  <si>
    <t>Kyger Creek 3</t>
  </si>
  <si>
    <t>Kyger Creek 4</t>
  </si>
  <si>
    <t>Kyger Creek 5</t>
  </si>
  <si>
    <t>Clifty Creek 1</t>
  </si>
  <si>
    <t>Clifty Creek 2</t>
  </si>
  <si>
    <t>Clifty Creek 3</t>
  </si>
  <si>
    <t>Clifty Creek 4</t>
  </si>
  <si>
    <t>Clifty Creek 5</t>
  </si>
  <si>
    <t>Clifty Creek 6</t>
  </si>
  <si>
    <t>Total 100% OVEC</t>
  </si>
  <si>
    <t>budget_version</t>
  </si>
  <si>
    <t>BROWN 10</t>
  </si>
  <si>
    <t>Ohio Falls 1</t>
  </si>
  <si>
    <t>Ohio Falls 2</t>
  </si>
  <si>
    <t>Ohio Falls 3</t>
  </si>
  <si>
    <t>Ohio Falls 4</t>
  </si>
  <si>
    <t>Ohio Falls 5</t>
  </si>
  <si>
    <t>Ohio Falls 6</t>
  </si>
  <si>
    <t>Ohio Falls 7</t>
  </si>
  <si>
    <t>Ohio Falls 8</t>
  </si>
  <si>
    <t>Zorn</t>
  </si>
  <si>
    <t>Check</t>
  </si>
  <si>
    <t>Paddy's Run 13</t>
  </si>
  <si>
    <t>Act</t>
  </si>
  <si>
    <t>amt_1_1_2009</t>
  </si>
  <si>
    <t>amt_2_1_2010</t>
  </si>
  <si>
    <t>amt_3_1_2011</t>
  </si>
  <si>
    <t>amt_4_1_2012</t>
  </si>
  <si>
    <t>amt_5_1_2013</t>
  </si>
  <si>
    <t>TYRONE 3</t>
  </si>
  <si>
    <t>2009</t>
  </si>
  <si>
    <t>2010</t>
  </si>
  <si>
    <t>2011</t>
  </si>
  <si>
    <t>2012</t>
  </si>
  <si>
    <t>2013</t>
  </si>
  <si>
    <t>2015 BP</t>
  </si>
  <si>
    <t>CANE RUN 7</t>
  </si>
  <si>
    <t>Cane Run 7</t>
  </si>
  <si>
    <t>Mar 2014 to Feb 2015</t>
  </si>
  <si>
    <t>July 2015 to Jun 2016</t>
  </si>
  <si>
    <t>account</t>
  </si>
  <si>
    <t>compute_0006</t>
  </si>
  <si>
    <t>PPLETO: TOTAL OPERATING EXPENSE</t>
  </si>
  <si>
    <t>500</t>
  </si>
  <si>
    <t>510</t>
  </si>
  <si>
    <t>511</t>
  </si>
  <si>
    <t>512</t>
  </si>
  <si>
    <t>513</t>
  </si>
  <si>
    <t>514</t>
  </si>
  <si>
    <t>553</t>
  </si>
  <si>
    <t>554</t>
  </si>
  <si>
    <t>562</t>
  </si>
  <si>
    <t>543</t>
  </si>
  <si>
    <t>506</t>
  </si>
  <si>
    <t>Kentucky Utilities FERC Summary</t>
  </si>
  <si>
    <t>Total by FERC</t>
  </si>
  <si>
    <t>Louisville Gas &amp; Electric FERC Summary</t>
  </si>
  <si>
    <t>2014FC-8and4</t>
  </si>
  <si>
    <t>FC-8and4</t>
  </si>
  <si>
    <t>compute_0005</t>
  </si>
  <si>
    <t>PPLCTL: TOTAL COST OF SALES</t>
  </si>
  <si>
    <t>551</t>
  </si>
  <si>
    <t>Louisville Gas &amp; Electric by Unit</t>
  </si>
  <si>
    <t>Kentucky Utilities by Unit</t>
  </si>
  <si>
    <r>
      <t xml:space="preserve">Grand Total </t>
    </r>
    <r>
      <rPr>
        <b/>
        <sz val="11"/>
        <color rgb="FF00B050"/>
        <rFont val="Calibri"/>
        <family val="2"/>
        <scheme val="minor"/>
      </rPr>
      <t>Louisville Gas &amp; Electric</t>
    </r>
  </si>
  <si>
    <r>
      <t xml:space="preserve">Grand Total </t>
    </r>
    <r>
      <rPr>
        <b/>
        <sz val="11"/>
        <color rgb="FFFF0000"/>
        <rFont val="Calibri"/>
        <family val="2"/>
        <scheme val="minor"/>
      </rPr>
      <t>Kentucky Utilities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</si>
</sst>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d\-mmm\-yyyy"/>
    <numFmt numFmtId="167" formatCode="mmmm\ d\,\ yyyy"/>
    <numFmt numFmtId="168" formatCode="#,##0.0"/>
    <numFmt numFmtId="169" formatCode="_(* #,##0.0_);_(* \(#,##0.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24"/>
      <name val="CG Times (W1)"/>
    </font>
    <font>
      <sz val="24"/>
      <name val="CG Times (W1)"/>
    </font>
    <font>
      <b/>
      <sz val="18"/>
      <name val="CG Times (W1)"/>
    </font>
    <font>
      <sz val="18"/>
      <name val="CG Times (W1)"/>
    </font>
    <font>
      <sz val="12"/>
      <color indexed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b/>
      <sz val="12"/>
      <color indexed="10"/>
      <name val="Arial"/>
      <family val="2"/>
    </font>
    <font>
      <b/>
      <vertAlign val="superscript"/>
      <sz val="14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sz val="10"/>
      <color indexed="81"/>
      <name val="Arial"/>
      <family val="2"/>
    </font>
    <font>
      <b/>
      <sz val="18"/>
      <name val="Arial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 applyFill="0" applyBorder="0" applyAlignment="0" applyProtection="0"/>
    <xf numFmtId="2" fontId="8" fillId="0" borderId="0" applyFill="0" applyBorder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300">
    <xf numFmtId="0" fontId="0" fillId="0" borderId="0" xfId="0"/>
    <xf numFmtId="49" fontId="0" fillId="0" borderId="0" xfId="0" applyNumberFormat="1"/>
    <xf numFmtId="49" fontId="2" fillId="0" borderId="0" xfId="1" applyNumberFormat="1" applyFont="1" applyAlignment="1">
      <alignment horizontal="center"/>
    </xf>
    <xf numFmtId="43" fontId="2" fillId="0" borderId="0" xfId="1" applyFont="1"/>
    <xf numFmtId="49" fontId="3" fillId="0" borderId="0" xfId="1" applyNumberFormat="1" applyFont="1" applyAlignment="1">
      <alignment horizontal="center"/>
    </xf>
    <xf numFmtId="49" fontId="3" fillId="0" borderId="0" xfId="1" applyNumberFormat="1" applyFont="1"/>
    <xf numFmtId="43" fontId="3" fillId="0" borderId="0" xfId="1" applyFont="1"/>
    <xf numFmtId="49" fontId="3" fillId="0" borderId="0" xfId="1" quotePrefix="1" applyNumberFormat="1" applyFont="1" applyAlignment="1">
      <alignment horizontal="center"/>
    </xf>
    <xf numFmtId="43" fontId="0" fillId="0" borderId="0" xfId="1" applyFont="1"/>
    <xf numFmtId="164" fontId="0" fillId="0" borderId="0" xfId="1" applyNumberFormat="1" applyFont="1"/>
    <xf numFmtId="165" fontId="0" fillId="0" borderId="0" xfId="2" applyNumberFormat="1" applyFont="1"/>
    <xf numFmtId="0" fontId="4" fillId="0" borderId="0" xfId="0" applyFont="1"/>
    <xf numFmtId="6" fontId="4" fillId="0" borderId="0" xfId="0" quotePrefix="1" applyNumberFormat="1" applyFont="1"/>
    <xf numFmtId="165" fontId="0" fillId="0" borderId="7" xfId="0" applyNumberFormat="1" applyBorder="1"/>
    <xf numFmtId="49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7" fillId="0" borderId="0" xfId="0" applyFont="1"/>
    <xf numFmtId="49" fontId="0" fillId="2" borderId="8" xfId="0" applyNumberFormat="1" applyFill="1" applyBorder="1" applyAlignment="1">
      <alignment horizontal="center"/>
    </xf>
    <xf numFmtId="49" fontId="0" fillId="3" borderId="8" xfId="0" applyNumberFormat="1" applyFill="1" applyBorder="1" applyAlignment="1">
      <alignment horizontal="center"/>
    </xf>
    <xf numFmtId="0" fontId="0" fillId="4" borderId="8" xfId="0" applyFill="1" applyBorder="1"/>
    <xf numFmtId="164" fontId="0" fillId="0" borderId="0" xfId="0" applyNumberFormat="1"/>
    <xf numFmtId="164" fontId="0" fillId="2" borderId="9" xfId="1" applyNumberFormat="1" applyFont="1" applyFill="1" applyBorder="1" applyAlignment="1">
      <alignment horizontal="center"/>
    </xf>
    <xf numFmtId="164" fontId="0" fillId="2" borderId="9" xfId="0" applyNumberFormat="1" applyFill="1" applyBorder="1"/>
    <xf numFmtId="164" fontId="0" fillId="3" borderId="9" xfId="0" applyNumberFormat="1" applyFill="1" applyBorder="1"/>
    <xf numFmtId="164" fontId="0" fillId="4" borderId="9" xfId="0" applyNumberFormat="1" applyFill="1" applyBorder="1"/>
    <xf numFmtId="0" fontId="9" fillId="0" borderId="0" xfId="4" quotePrefix="1" applyFont="1" applyAlignment="1">
      <alignment horizontal="centerContinuous"/>
    </xf>
    <xf numFmtId="0" fontId="9" fillId="0" borderId="0" xfId="4" applyFont="1" applyAlignment="1">
      <alignment horizontal="centerContinuous"/>
    </xf>
    <xf numFmtId="0" fontId="10" fillId="0" borderId="0" xfId="4" applyFont="1"/>
    <xf numFmtId="0" fontId="8" fillId="0" borderId="0" xfId="4"/>
    <xf numFmtId="0" fontId="11" fillId="0" borderId="0" xfId="4" applyFont="1" applyAlignment="1">
      <alignment horizontal="centerContinuous"/>
    </xf>
    <xf numFmtId="0" fontId="12" fillId="0" borderId="0" xfId="4" applyFont="1"/>
    <xf numFmtId="166" fontId="13" fillId="0" borderId="0" xfId="4" applyNumberFormat="1" applyFont="1" applyAlignment="1">
      <alignment horizontal="centerContinuous"/>
    </xf>
    <xf numFmtId="0" fontId="13" fillId="0" borderId="0" xfId="4" applyFont="1" applyAlignment="1">
      <alignment horizontal="centerContinuous"/>
    </xf>
    <xf numFmtId="0" fontId="8" fillId="0" borderId="10" xfId="4" applyBorder="1"/>
    <xf numFmtId="0" fontId="8" fillId="0" borderId="1" xfId="4" applyFill="1" applyBorder="1"/>
    <xf numFmtId="0" fontId="14" fillId="0" borderId="1" xfId="4" applyFont="1" applyBorder="1" applyAlignment="1">
      <alignment horizontal="centerContinuous"/>
    </xf>
    <xf numFmtId="0" fontId="14" fillId="0" borderId="2" xfId="4" applyFont="1" applyBorder="1" applyAlignment="1">
      <alignment horizontal="centerContinuous"/>
    </xf>
    <xf numFmtId="0" fontId="14" fillId="0" borderId="10" xfId="4" applyFont="1" applyBorder="1" applyAlignment="1">
      <alignment horizontal="center"/>
    </xf>
    <xf numFmtId="0" fontId="14" fillId="0" borderId="9" xfId="4" applyFont="1" applyBorder="1" applyAlignment="1">
      <alignment horizontal="centerContinuous"/>
    </xf>
    <xf numFmtId="0" fontId="14" fillId="0" borderId="11" xfId="4" applyFont="1" applyBorder="1" applyAlignment="1">
      <alignment horizontal="centerContinuous"/>
    </xf>
    <xf numFmtId="0" fontId="14" fillId="0" borderId="9" xfId="4" applyFont="1" applyBorder="1" applyAlignment="1">
      <alignment horizontal="center"/>
    </xf>
    <xf numFmtId="0" fontId="14" fillId="0" borderId="8" xfId="4" applyFont="1" applyBorder="1" applyAlignment="1">
      <alignment horizontal="centerContinuous"/>
    </xf>
    <xf numFmtId="0" fontId="14" fillId="0" borderId="12" xfId="4" applyFont="1" applyBorder="1" applyAlignment="1">
      <alignment horizontal="centerContinuous"/>
    </xf>
    <xf numFmtId="0" fontId="8" fillId="0" borderId="13" xfId="4" applyBorder="1"/>
    <xf numFmtId="0" fontId="14" fillId="0" borderId="13" xfId="4" applyFont="1" applyBorder="1" applyAlignment="1">
      <alignment horizontal="center"/>
    </xf>
    <xf numFmtId="0" fontId="14" fillId="0" borderId="13" xfId="4" applyFont="1" applyFill="1" applyBorder="1" applyAlignment="1">
      <alignment horizontal="center"/>
    </xf>
    <xf numFmtId="0" fontId="14" fillId="0" borderId="14" xfId="4" applyFont="1" applyBorder="1" applyAlignment="1">
      <alignment horizontal="centerContinuous"/>
    </xf>
    <xf numFmtId="0" fontId="14" fillId="0" borderId="9" xfId="4" quotePrefix="1" applyFont="1" applyBorder="1" applyAlignment="1">
      <alignment horizontal="center"/>
    </xf>
    <xf numFmtId="0" fontId="14" fillId="0" borderId="11" xfId="4" quotePrefix="1" applyFont="1" applyBorder="1" applyAlignment="1">
      <alignment horizontal="center"/>
    </xf>
    <xf numFmtId="0" fontId="14" fillId="0" borderId="11" xfId="4" applyFont="1" applyBorder="1" applyAlignment="1">
      <alignment horizontal="center"/>
    </xf>
    <xf numFmtId="0" fontId="14" fillId="0" borderId="14" xfId="4" quotePrefix="1" applyFont="1" applyBorder="1" applyAlignment="1">
      <alignment horizontal="left"/>
    </xf>
    <xf numFmtId="0" fontId="14" fillId="0" borderId="14" xfId="4" applyFont="1" applyBorder="1"/>
    <xf numFmtId="0" fontId="14" fillId="0" borderId="14" xfId="4" applyFont="1" applyBorder="1" applyAlignment="1">
      <alignment horizontal="center"/>
    </xf>
    <xf numFmtId="0" fontId="14" fillId="0" borderId="14" xfId="4" quotePrefix="1" applyFont="1" applyFill="1" applyBorder="1" applyAlignment="1">
      <alignment horizontal="center"/>
    </xf>
    <xf numFmtId="0" fontId="14" fillId="0" borderId="14" xfId="4" applyFont="1" applyFill="1" applyBorder="1" applyAlignment="1">
      <alignment horizontal="center"/>
    </xf>
    <xf numFmtId="0" fontId="14" fillId="0" borderId="15" xfId="4" applyFont="1" applyBorder="1" applyAlignment="1">
      <alignment horizontal="center"/>
    </xf>
    <xf numFmtId="0" fontId="8" fillId="0" borderId="10" xfId="4" applyFill="1" applyBorder="1"/>
    <xf numFmtId="167" fontId="8" fillId="0" borderId="4" xfId="4" applyNumberFormat="1" applyFill="1" applyBorder="1"/>
    <xf numFmtId="167" fontId="8" fillId="0" borderId="10" xfId="4" applyNumberFormat="1" applyFill="1" applyBorder="1"/>
    <xf numFmtId="168" fontId="8" fillId="0" borderId="0" xfId="5" applyNumberFormat="1" applyFill="1" applyBorder="1"/>
    <xf numFmtId="3" fontId="8" fillId="0" borderId="16" xfId="5" applyNumberFormat="1" applyFont="1" applyFill="1" applyBorder="1"/>
    <xf numFmtId="3" fontId="8" fillId="0" borderId="17" xfId="5" applyNumberFormat="1" applyFont="1" applyFill="1" applyBorder="1"/>
    <xf numFmtId="3" fontId="8" fillId="0" borderId="17" xfId="5" applyNumberFormat="1" applyFont="1" applyFill="1" applyBorder="1" applyAlignment="1">
      <alignment horizontal="right"/>
    </xf>
    <xf numFmtId="3" fontId="8" fillId="0" borderId="18" xfId="5" applyNumberFormat="1" applyFont="1" applyFill="1" applyBorder="1"/>
    <xf numFmtId="0" fontId="8" fillId="6" borderId="0" xfId="4" applyFill="1"/>
    <xf numFmtId="0" fontId="8" fillId="0" borderId="3" xfId="4" applyFill="1" applyBorder="1"/>
    <xf numFmtId="0" fontId="8" fillId="0" borderId="13" xfId="4" applyFill="1" applyBorder="1"/>
    <xf numFmtId="167" fontId="8" fillId="0" borderId="13" xfId="4" applyNumberFormat="1" applyFill="1" applyBorder="1"/>
    <xf numFmtId="3" fontId="8" fillId="0" borderId="19" xfId="5" applyNumberFormat="1" applyFont="1" applyFill="1" applyBorder="1"/>
    <xf numFmtId="0" fontId="8" fillId="0" borderId="5" xfId="4" applyFill="1" applyBorder="1"/>
    <xf numFmtId="0" fontId="8" fillId="0" borderId="14" xfId="4" applyFill="1" applyBorder="1"/>
    <xf numFmtId="167" fontId="8" fillId="0" borderId="14" xfId="4" applyNumberFormat="1" applyFill="1" applyBorder="1"/>
    <xf numFmtId="3" fontId="8" fillId="0" borderId="20" xfId="5" applyNumberFormat="1" applyFont="1" applyFill="1" applyBorder="1"/>
    <xf numFmtId="0" fontId="14" fillId="0" borderId="8" xfId="4" applyFont="1" applyFill="1" applyBorder="1" applyAlignment="1">
      <alignment horizontal="right"/>
    </xf>
    <xf numFmtId="167" fontId="14" fillId="0" borderId="8" xfId="4" applyNumberFormat="1" applyFont="1" applyFill="1" applyBorder="1" applyAlignment="1">
      <alignment horizontal="right"/>
    </xf>
    <xf numFmtId="167" fontId="14" fillId="0" borderId="9" xfId="4" applyNumberFormat="1" applyFont="1" applyFill="1" applyBorder="1" applyAlignment="1">
      <alignment horizontal="right"/>
    </xf>
    <xf numFmtId="168" fontId="14" fillId="0" borderId="9" xfId="4" applyNumberFormat="1" applyFont="1" applyFill="1" applyBorder="1" applyAlignment="1">
      <alignment horizontal="right"/>
    </xf>
    <xf numFmtId="3" fontId="14" fillId="0" borderId="21" xfId="5" applyNumberFormat="1" applyFont="1" applyFill="1" applyBorder="1"/>
    <xf numFmtId="3" fontId="14" fillId="0" borderId="22" xfId="5" applyNumberFormat="1" applyFont="1" applyFill="1" applyBorder="1"/>
    <xf numFmtId="0" fontId="14" fillId="0" borderId="0" xfId="4" applyFont="1"/>
    <xf numFmtId="0" fontId="8" fillId="0" borderId="3" xfId="4" applyFont="1" applyFill="1" applyBorder="1"/>
    <xf numFmtId="0" fontId="8" fillId="0" borderId="10" xfId="4" applyFont="1" applyFill="1" applyBorder="1"/>
    <xf numFmtId="0" fontId="8" fillId="0" borderId="3" xfId="4" quotePrefix="1" applyFont="1" applyFill="1" applyBorder="1" applyAlignment="1">
      <alignment horizontal="left"/>
    </xf>
    <xf numFmtId="0" fontId="8" fillId="0" borderId="13" xfId="4" applyFont="1" applyFill="1" applyBorder="1"/>
    <xf numFmtId="3" fontId="8" fillId="0" borderId="17" xfId="5" quotePrefix="1" applyNumberFormat="1" applyFont="1" applyFill="1" applyBorder="1" applyAlignment="1">
      <alignment horizontal="right"/>
    </xf>
    <xf numFmtId="0" fontId="8" fillId="0" borderId="0" xfId="4" applyFont="1" applyFill="1"/>
    <xf numFmtId="0" fontId="8" fillId="0" borderId="3" xfId="4" quotePrefix="1" applyFill="1" applyBorder="1" applyAlignment="1">
      <alignment horizontal="left"/>
    </xf>
    <xf numFmtId="0" fontId="14" fillId="0" borderId="8" xfId="4" applyFont="1" applyFill="1" applyBorder="1"/>
    <xf numFmtId="3" fontId="14" fillId="0" borderId="21" xfId="5" applyNumberFormat="1" applyFont="1" applyFill="1" applyBorder="1" applyAlignment="1">
      <alignment horizontal="right"/>
    </xf>
    <xf numFmtId="0" fontId="14" fillId="0" borderId="11" xfId="4" applyFont="1" applyFill="1" applyBorder="1" applyAlignment="1">
      <alignment horizontal="right"/>
    </xf>
    <xf numFmtId="3" fontId="8" fillId="0" borderId="23" xfId="5" applyNumberFormat="1" applyFont="1" applyFill="1" applyBorder="1"/>
    <xf numFmtId="3" fontId="8" fillId="0" borderId="24" xfId="5" applyNumberFormat="1" applyFont="1" applyFill="1" applyBorder="1"/>
    <xf numFmtId="0" fontId="14" fillId="0" borderId="8" xfId="4" applyFont="1" applyBorder="1" applyAlignment="1">
      <alignment horizontal="right"/>
    </xf>
    <xf numFmtId="0" fontId="14" fillId="0" borderId="11" xfId="4" applyFont="1" applyBorder="1" applyAlignment="1">
      <alignment horizontal="right"/>
    </xf>
    <xf numFmtId="167" fontId="14" fillId="0" borderId="9" xfId="4" applyNumberFormat="1" applyFont="1" applyBorder="1" applyAlignment="1">
      <alignment horizontal="right"/>
    </xf>
    <xf numFmtId="0" fontId="8" fillId="0" borderId="1" xfId="4" applyBorder="1"/>
    <xf numFmtId="167" fontId="8" fillId="0" borderId="4" xfId="4" applyNumberFormat="1" applyBorder="1"/>
    <xf numFmtId="0" fontId="8" fillId="0" borderId="3" xfId="4" applyBorder="1"/>
    <xf numFmtId="0" fontId="8" fillId="0" borderId="0" xfId="4" applyFill="1"/>
    <xf numFmtId="167" fontId="8" fillId="0" borderId="6" xfId="4" applyNumberFormat="1" applyFill="1" applyBorder="1"/>
    <xf numFmtId="168" fontId="8" fillId="0" borderId="25" xfId="5" applyNumberFormat="1" applyFill="1" applyBorder="1"/>
    <xf numFmtId="167" fontId="14" fillId="0" borderId="8" xfId="4" applyNumberFormat="1" applyFont="1" applyBorder="1" applyAlignment="1">
      <alignment horizontal="right"/>
    </xf>
    <xf numFmtId="168" fontId="14" fillId="0" borderId="12" xfId="4" applyNumberFormat="1" applyFont="1" applyFill="1" applyBorder="1" applyAlignment="1">
      <alignment horizontal="right"/>
    </xf>
    <xf numFmtId="167" fontId="8" fillId="0" borderId="11" xfId="4" applyNumberFormat="1" applyFill="1" applyBorder="1"/>
    <xf numFmtId="0" fontId="14" fillId="0" borderId="1" xfId="4" applyFont="1" applyFill="1" applyBorder="1"/>
    <xf numFmtId="167" fontId="14" fillId="0" borderId="26" xfId="4" applyNumberFormat="1" applyFont="1" applyFill="1" applyBorder="1" applyAlignment="1">
      <alignment horizontal="right"/>
    </xf>
    <xf numFmtId="168" fontId="14" fillId="0" borderId="26" xfId="4" applyNumberFormat="1" applyFont="1" applyFill="1" applyBorder="1" applyAlignment="1">
      <alignment horizontal="right"/>
    </xf>
    <xf numFmtId="167" fontId="8" fillId="0" borderId="1" xfId="4" applyNumberFormat="1" applyFill="1" applyBorder="1"/>
    <xf numFmtId="168" fontId="8" fillId="0" borderId="10" xfId="5" applyNumberFormat="1" applyFill="1" applyBorder="1"/>
    <xf numFmtId="167" fontId="8" fillId="0" borderId="5" xfId="4" applyNumberFormat="1" applyFill="1" applyBorder="1"/>
    <xf numFmtId="168" fontId="8" fillId="0" borderId="14" xfId="5" applyNumberFormat="1" applyFill="1" applyBorder="1"/>
    <xf numFmtId="167" fontId="14" fillId="0" borderId="25" xfId="4" applyNumberFormat="1" applyFont="1" applyBorder="1" applyAlignment="1">
      <alignment horizontal="right"/>
    </xf>
    <xf numFmtId="167" fontId="14" fillId="0" borderId="25" xfId="4" applyNumberFormat="1" applyFont="1" applyFill="1" applyBorder="1" applyAlignment="1">
      <alignment horizontal="right"/>
    </xf>
    <xf numFmtId="168" fontId="14" fillId="0" borderId="25" xfId="4" applyNumberFormat="1" applyFont="1" applyFill="1" applyBorder="1" applyAlignment="1">
      <alignment horizontal="right"/>
    </xf>
    <xf numFmtId="167" fontId="8" fillId="0" borderId="0" xfId="4" applyNumberFormat="1" applyFill="1" applyBorder="1"/>
    <xf numFmtId="3" fontId="14" fillId="0" borderId="22" xfId="5" applyNumberFormat="1" applyFont="1" applyFill="1" applyBorder="1" applyAlignment="1">
      <alignment horizontal="right"/>
    </xf>
    <xf numFmtId="0" fontId="14" fillId="0" borderId="10" xfId="4" applyFont="1" applyBorder="1" applyAlignment="1">
      <alignment horizontal="right"/>
    </xf>
    <xf numFmtId="0" fontId="14" fillId="0" borderId="26" xfId="4" applyFont="1" applyBorder="1" applyAlignment="1">
      <alignment horizontal="right"/>
    </xf>
    <xf numFmtId="0" fontId="14" fillId="0" borderId="1" xfId="4" applyFont="1" applyBorder="1" applyAlignment="1">
      <alignment horizontal="right"/>
    </xf>
    <xf numFmtId="3" fontId="14" fillId="0" borderId="16" xfId="5" applyNumberFormat="1" applyFont="1" applyFill="1" applyBorder="1"/>
    <xf numFmtId="3" fontId="14" fillId="0" borderId="16" xfId="5" applyNumberFormat="1" applyFont="1" applyFill="1" applyBorder="1" applyAlignment="1">
      <alignment horizontal="right"/>
    </xf>
    <xf numFmtId="3" fontId="14" fillId="0" borderId="23" xfId="5" applyNumberFormat="1" applyFont="1" applyFill="1" applyBorder="1"/>
    <xf numFmtId="0" fontId="8" fillId="0" borderId="1" xfId="4" applyFont="1" applyBorder="1" applyAlignment="1">
      <alignment horizontal="left"/>
    </xf>
    <xf numFmtId="3" fontId="8" fillId="0" borderId="27" xfId="5" applyNumberFormat="1" applyFont="1" applyFill="1" applyBorder="1"/>
    <xf numFmtId="3" fontId="8" fillId="0" borderId="27" xfId="5" applyNumberFormat="1" applyFont="1" applyFill="1" applyBorder="1" applyAlignment="1">
      <alignment horizontal="right"/>
    </xf>
    <xf numFmtId="3" fontId="8" fillId="0" borderId="26" xfId="5" applyNumberFormat="1" applyFont="1" applyFill="1" applyBorder="1"/>
    <xf numFmtId="0" fontId="8" fillId="0" borderId="5" xfId="4" applyFont="1" applyBorder="1" applyAlignment="1">
      <alignment horizontal="left"/>
    </xf>
    <xf numFmtId="3" fontId="8" fillId="0" borderId="28" xfId="5" applyNumberFormat="1" applyFont="1" applyFill="1" applyBorder="1"/>
    <xf numFmtId="3" fontId="8" fillId="0" borderId="28" xfId="5" applyNumberFormat="1" applyFont="1" applyFill="1" applyBorder="1" applyAlignment="1">
      <alignment horizontal="right"/>
    </xf>
    <xf numFmtId="3" fontId="8" fillId="0" borderId="25" xfId="5" applyNumberFormat="1" applyFont="1" applyFill="1" applyBorder="1"/>
    <xf numFmtId="0" fontId="14" fillId="0" borderId="14" xfId="4" applyFont="1" applyBorder="1" applyAlignment="1">
      <alignment horizontal="right"/>
    </xf>
    <xf numFmtId="0" fontId="14" fillId="0" borderId="5" xfId="4" applyFont="1" applyBorder="1" applyAlignment="1">
      <alignment horizontal="right"/>
    </xf>
    <xf numFmtId="0" fontId="14" fillId="0" borderId="25" xfId="4" applyFont="1" applyBorder="1" applyAlignment="1">
      <alignment horizontal="right"/>
    </xf>
    <xf numFmtId="3" fontId="14" fillId="0" borderId="20" xfId="5" applyNumberFormat="1" applyFont="1" applyFill="1" applyBorder="1"/>
    <xf numFmtId="3" fontId="14" fillId="0" borderId="29" xfId="5" applyNumberFormat="1" applyFont="1" applyFill="1" applyBorder="1"/>
    <xf numFmtId="3" fontId="14" fillId="0" borderId="30" xfId="5" applyNumberFormat="1" applyFont="1" applyFill="1" applyBorder="1"/>
    <xf numFmtId="3" fontId="14" fillId="0" borderId="9" xfId="5" applyNumberFormat="1" applyFont="1" applyFill="1" applyBorder="1"/>
    <xf numFmtId="0" fontId="14" fillId="0" borderId="0" xfId="4" applyFont="1" applyBorder="1" applyAlignment="1">
      <alignment horizontal="right"/>
    </xf>
    <xf numFmtId="3" fontId="14" fillId="0" borderId="0" xfId="4" applyNumberFormat="1" applyFont="1" applyBorder="1"/>
    <xf numFmtId="0" fontId="14" fillId="0" borderId="0" xfId="4" applyFont="1" applyBorder="1" applyAlignment="1">
      <alignment horizontal="left"/>
    </xf>
    <xf numFmtId="3" fontId="14" fillId="0" borderId="23" xfId="4" applyNumberFormat="1" applyFont="1" applyBorder="1"/>
    <xf numFmtId="3" fontId="14" fillId="0" borderId="18" xfId="4" applyNumberFormat="1" applyFont="1" applyBorder="1"/>
    <xf numFmtId="0" fontId="14" fillId="0" borderId="3" xfId="4" applyFont="1" applyBorder="1" applyAlignment="1">
      <alignment horizontal="right"/>
    </xf>
    <xf numFmtId="3" fontId="14" fillId="0" borderId="17" xfId="4" applyNumberFormat="1" applyFont="1" applyBorder="1"/>
    <xf numFmtId="3" fontId="8" fillId="0" borderId="0" xfId="4" applyNumberFormat="1"/>
    <xf numFmtId="0" fontId="14" fillId="0" borderId="25" xfId="4" applyFont="1" applyBorder="1"/>
    <xf numFmtId="3" fontId="14" fillId="0" borderId="24" xfId="4" applyNumberFormat="1" applyFont="1" applyBorder="1"/>
    <xf numFmtId="3" fontId="14" fillId="0" borderId="31" xfId="4" applyNumberFormat="1" applyFont="1" applyBorder="1"/>
    <xf numFmtId="0" fontId="14" fillId="0" borderId="0" xfId="4" applyFont="1" applyBorder="1"/>
    <xf numFmtId="3" fontId="14" fillId="0" borderId="32" xfId="4" applyNumberFormat="1" applyFont="1" applyBorder="1"/>
    <xf numFmtId="3" fontId="14" fillId="0" borderId="33" xfId="4" applyNumberFormat="1" applyFont="1" applyBorder="1"/>
    <xf numFmtId="3" fontId="14" fillId="0" borderId="34" xfId="4" applyNumberFormat="1" applyFont="1" applyBorder="1"/>
    <xf numFmtId="3" fontId="14" fillId="0" borderId="35" xfId="4" applyNumberFormat="1" applyFont="1" applyBorder="1"/>
    <xf numFmtId="3" fontId="14" fillId="0" borderId="36" xfId="4" applyNumberFormat="1" applyFont="1" applyBorder="1"/>
    <xf numFmtId="4" fontId="14" fillId="0" borderId="0" xfId="4" applyNumberFormat="1" applyFont="1" applyBorder="1" applyAlignment="1">
      <alignment horizontal="right"/>
    </xf>
    <xf numFmtId="168" fontId="14" fillId="6" borderId="25" xfId="4" applyNumberFormat="1" applyFont="1" applyFill="1" applyBorder="1"/>
    <xf numFmtId="3" fontId="14" fillId="0" borderId="28" xfId="4" applyNumberFormat="1" applyFont="1" applyBorder="1"/>
    <xf numFmtId="3" fontId="17" fillId="0" borderId="17" xfId="4" applyNumberFormat="1" applyFont="1" applyBorder="1"/>
    <xf numFmtId="3" fontId="17" fillId="0" borderId="0" xfId="4" applyNumberFormat="1" applyFont="1" applyBorder="1"/>
    <xf numFmtId="168" fontId="14" fillId="0" borderId="0" xfId="4" applyNumberFormat="1" applyFont="1" applyFill="1" applyBorder="1"/>
    <xf numFmtId="3" fontId="14" fillId="0" borderId="26" xfId="4" applyNumberFormat="1" applyFont="1" applyBorder="1"/>
    <xf numFmtId="3" fontId="17" fillId="0" borderId="32" xfId="4" applyNumberFormat="1" applyFont="1" applyBorder="1"/>
    <xf numFmtId="0" fontId="18" fillId="0" borderId="0" xfId="4" quotePrefix="1" applyFont="1" applyAlignment="1">
      <alignment horizontal="left"/>
    </xf>
    <xf numFmtId="0" fontId="15" fillId="0" borderId="0" xfId="4" applyFont="1"/>
    <xf numFmtId="0" fontId="19" fillId="0" borderId="0" xfId="4" quotePrefix="1" applyFont="1" applyAlignment="1">
      <alignment horizontal="left"/>
    </xf>
    <xf numFmtId="3" fontId="8" fillId="0" borderId="0" xfId="4" applyNumberFormat="1" applyFont="1" applyBorder="1" applyAlignment="1">
      <alignment horizontal="right"/>
    </xf>
    <xf numFmtId="3" fontId="8" fillId="0" borderId="16" xfId="4" applyNumberFormat="1" applyBorder="1"/>
    <xf numFmtId="3" fontId="8" fillId="0" borderId="23" xfId="4" applyNumberFormat="1" applyFont="1" applyBorder="1"/>
    <xf numFmtId="3" fontId="8" fillId="0" borderId="27" xfId="4" applyNumberFormat="1" applyFont="1" applyBorder="1"/>
    <xf numFmtId="3" fontId="8" fillId="0" borderId="0" xfId="4" applyNumberFormat="1" applyFont="1" applyBorder="1"/>
    <xf numFmtId="3" fontId="8" fillId="0" borderId="19" xfId="4" applyNumberFormat="1" applyBorder="1"/>
    <xf numFmtId="3" fontId="8" fillId="0" borderId="24" xfId="4" applyNumberFormat="1" applyFont="1" applyBorder="1"/>
    <xf numFmtId="3" fontId="8" fillId="0" borderId="28" xfId="4" applyNumberFormat="1" applyFont="1" applyBorder="1"/>
    <xf numFmtId="3" fontId="14" fillId="0" borderId="0" xfId="4" quotePrefix="1" applyNumberFormat="1" applyFont="1" applyBorder="1" applyAlignment="1">
      <alignment horizontal="right"/>
    </xf>
    <xf numFmtId="3" fontId="14" fillId="0" borderId="21" xfId="4" applyNumberFormat="1" applyFont="1" applyBorder="1"/>
    <xf numFmtId="3" fontId="14" fillId="0" borderId="22" xfId="4" applyNumberFormat="1" applyFont="1" applyBorder="1"/>
    <xf numFmtId="3" fontId="14" fillId="0" borderId="37" xfId="4" applyNumberFormat="1" applyFont="1" applyBorder="1"/>
    <xf numFmtId="0" fontId="20" fillId="0" borderId="0" xfId="4" quotePrefix="1" applyFont="1" applyAlignment="1">
      <alignment horizontal="left"/>
    </xf>
    <xf numFmtId="0" fontId="16" fillId="0" borderId="0" xfId="4" applyFont="1"/>
    <xf numFmtId="0" fontId="8" fillId="0" borderId="0" xfId="4" applyFont="1"/>
    <xf numFmtId="0" fontId="8" fillId="0" borderId="10" xfId="4" applyFont="1" applyBorder="1" applyAlignment="1">
      <alignment horizontal="left"/>
    </xf>
    <xf numFmtId="10" fontId="8" fillId="0" borderId="10" xfId="6" applyNumberFormat="1" applyBorder="1" applyAlignment="1">
      <alignment horizontal="right"/>
    </xf>
    <xf numFmtId="3" fontId="8" fillId="0" borderId="1" xfId="5" applyNumberFormat="1" applyFont="1" applyFill="1" applyBorder="1"/>
    <xf numFmtId="3" fontId="8" fillId="0" borderId="26" xfId="5" applyNumberFormat="1" applyFont="1" applyFill="1" applyBorder="1" applyAlignment="1">
      <alignment horizontal="right"/>
    </xf>
    <xf numFmtId="0" fontId="8" fillId="0" borderId="0" xfId="4" applyBorder="1"/>
    <xf numFmtId="0" fontId="8" fillId="0" borderId="13" xfId="4" applyFont="1" applyBorder="1" applyAlignment="1">
      <alignment horizontal="left"/>
    </xf>
    <xf numFmtId="0" fontId="8" fillId="0" borderId="3" xfId="4" applyFont="1" applyBorder="1" applyAlignment="1">
      <alignment horizontal="left"/>
    </xf>
    <xf numFmtId="168" fontId="8" fillId="0" borderId="13" xfId="5" applyNumberFormat="1" applyFill="1" applyBorder="1"/>
    <xf numFmtId="10" fontId="8" fillId="0" borderId="13" xfId="6" applyNumberFormat="1" applyBorder="1" applyAlignment="1">
      <alignment horizontal="right"/>
    </xf>
    <xf numFmtId="3" fontId="8" fillId="0" borderId="3" xfId="5" applyNumberFormat="1" applyFont="1" applyFill="1" applyBorder="1"/>
    <xf numFmtId="3" fontId="8" fillId="0" borderId="36" xfId="5" applyNumberFormat="1" applyFont="1" applyFill="1" applyBorder="1"/>
    <xf numFmtId="3" fontId="8" fillId="0" borderId="0" xfId="5" applyNumberFormat="1" applyFont="1" applyFill="1" applyBorder="1" applyAlignment="1">
      <alignment horizontal="right"/>
    </xf>
    <xf numFmtId="3" fontId="8" fillId="0" borderId="36" xfId="5" applyNumberFormat="1" applyFont="1" applyFill="1" applyBorder="1" applyAlignment="1">
      <alignment horizontal="right"/>
    </xf>
    <xf numFmtId="3" fontId="8" fillId="0" borderId="0" xfId="5" applyNumberFormat="1" applyFont="1" applyFill="1" applyBorder="1"/>
    <xf numFmtId="0" fontId="8" fillId="0" borderId="10" xfId="4" applyFont="1" applyFill="1" applyBorder="1" applyAlignment="1">
      <alignment horizontal="left"/>
    </xf>
    <xf numFmtId="0" fontId="8" fillId="0" borderId="26" xfId="4" applyBorder="1"/>
    <xf numFmtId="0" fontId="8" fillId="0" borderId="13" xfId="4" applyFont="1" applyFill="1" applyBorder="1" applyAlignment="1">
      <alignment horizontal="left"/>
    </xf>
    <xf numFmtId="0" fontId="8" fillId="0" borderId="14" xfId="4" applyFont="1" applyFill="1" applyBorder="1" applyAlignment="1">
      <alignment horizontal="left"/>
    </xf>
    <xf numFmtId="10" fontId="8" fillId="0" borderId="14" xfId="6" applyNumberFormat="1" applyBorder="1" applyAlignment="1">
      <alignment horizontal="right"/>
    </xf>
    <xf numFmtId="3" fontId="8" fillId="0" borderId="5" xfId="5" applyNumberFormat="1" applyFont="1" applyFill="1" applyBorder="1"/>
    <xf numFmtId="3" fontId="8" fillId="0" borderId="25" xfId="5" applyNumberFormat="1" applyFont="1" applyFill="1" applyBorder="1" applyAlignment="1">
      <alignment horizontal="right"/>
    </xf>
    <xf numFmtId="0" fontId="8" fillId="0" borderId="25" xfId="4" applyBorder="1"/>
    <xf numFmtId="0" fontId="14" fillId="0" borderId="9" xfId="4" applyFont="1" applyBorder="1" applyAlignment="1">
      <alignment horizontal="right"/>
    </xf>
    <xf numFmtId="0" fontId="14" fillId="0" borderId="12" xfId="4" applyFont="1" applyBorder="1" applyAlignment="1">
      <alignment horizontal="right"/>
    </xf>
    <xf numFmtId="3" fontId="14" fillId="0" borderId="8" xfId="5" applyNumberFormat="1" applyFont="1" applyFill="1" applyBorder="1"/>
    <xf numFmtId="3" fontId="14" fillId="0" borderId="37" xfId="5" applyNumberFormat="1" applyFont="1" applyFill="1" applyBorder="1"/>
    <xf numFmtId="9" fontId="8" fillId="0" borderId="1" xfId="3" applyFont="1" applyFill="1" applyBorder="1"/>
    <xf numFmtId="9" fontId="8" fillId="0" borderId="3" xfId="3" applyFont="1" applyFill="1" applyBorder="1"/>
    <xf numFmtId="9" fontId="8" fillId="0" borderId="5" xfId="3" applyFont="1" applyFill="1" applyBorder="1"/>
    <xf numFmtId="9" fontId="14" fillId="0" borderId="8" xfId="3" applyFont="1" applyFill="1" applyBorder="1" applyAlignment="1">
      <alignment horizontal="right"/>
    </xf>
    <xf numFmtId="9" fontId="14" fillId="0" borderId="8" xfId="3" applyFont="1" applyBorder="1" applyAlignment="1">
      <alignment horizontal="right"/>
    </xf>
    <xf numFmtId="9" fontId="8" fillId="0" borderId="1" xfId="3" applyFont="1" applyBorder="1"/>
    <xf numFmtId="9" fontId="8" fillId="0" borderId="3" xfId="3" applyFont="1" applyBorder="1"/>
    <xf numFmtId="9" fontId="8" fillId="0" borderId="0" xfId="3" applyFont="1" applyFill="1" applyBorder="1"/>
    <xf numFmtId="9" fontId="14" fillId="0" borderId="1" xfId="3" applyFont="1" applyBorder="1" applyAlignment="1">
      <alignment horizontal="right"/>
    </xf>
    <xf numFmtId="9" fontId="8" fillId="0" borderId="10" xfId="3" applyFont="1" applyBorder="1" applyAlignment="1">
      <alignment horizontal="right"/>
    </xf>
    <xf numFmtId="9" fontId="8" fillId="0" borderId="14" xfId="3" applyFont="1" applyBorder="1" applyAlignment="1">
      <alignment horizontal="right"/>
    </xf>
    <xf numFmtId="9" fontId="14" fillId="0" borderId="14" xfId="3" applyFont="1" applyBorder="1" applyAlignment="1">
      <alignment horizontal="right"/>
    </xf>
    <xf numFmtId="9" fontId="8" fillId="0" borderId="13" xfId="3" applyFont="1" applyFill="1" applyBorder="1"/>
    <xf numFmtId="9" fontId="8" fillId="0" borderId="14" xfId="3" applyFont="1" applyFill="1" applyBorder="1"/>
    <xf numFmtId="9" fontId="14" fillId="0" borderId="11" xfId="3" applyFont="1" applyBorder="1" applyAlignment="1">
      <alignment horizontal="right"/>
    </xf>
    <xf numFmtId="0" fontId="8" fillId="6" borderId="0" xfId="4" applyFill="1" applyBorder="1"/>
    <xf numFmtId="0" fontId="8" fillId="5" borderId="3" xfId="4" applyFill="1" applyBorder="1"/>
    <xf numFmtId="0" fontId="8" fillId="5" borderId="13" xfId="4" applyFill="1" applyBorder="1"/>
    <xf numFmtId="167" fontId="8" fillId="5" borderId="4" xfId="4" applyNumberFormat="1" applyFill="1" applyBorder="1"/>
    <xf numFmtId="167" fontId="8" fillId="5" borderId="13" xfId="4" applyNumberFormat="1" applyFill="1" applyBorder="1"/>
    <xf numFmtId="168" fontId="8" fillId="5" borderId="0" xfId="5" applyNumberFormat="1" applyFill="1" applyBorder="1"/>
    <xf numFmtId="9" fontId="8" fillId="5" borderId="3" xfId="3" applyFont="1" applyFill="1" applyBorder="1"/>
    <xf numFmtId="3" fontId="8" fillId="5" borderId="19" xfId="5" applyNumberFormat="1" applyFont="1" applyFill="1" applyBorder="1"/>
    <xf numFmtId="3" fontId="8" fillId="5" borderId="17" xfId="5" quotePrefix="1" applyNumberFormat="1" applyFont="1" applyFill="1" applyBorder="1" applyAlignment="1">
      <alignment horizontal="right"/>
    </xf>
    <xf numFmtId="3" fontId="8" fillId="5" borderId="17" xfId="5" applyNumberFormat="1" applyFont="1" applyFill="1" applyBorder="1"/>
    <xf numFmtId="167" fontId="8" fillId="5" borderId="1" xfId="4" applyNumberFormat="1" applyFill="1" applyBorder="1"/>
    <xf numFmtId="168" fontId="8" fillId="5" borderId="10" xfId="5" applyNumberFormat="1" applyFill="1" applyBorder="1"/>
    <xf numFmtId="9" fontId="8" fillId="5" borderId="0" xfId="3" applyFont="1" applyFill="1" applyBorder="1"/>
    <xf numFmtId="0" fontId="8" fillId="5" borderId="3" xfId="4" quotePrefix="1" applyFont="1" applyFill="1" applyBorder="1" applyAlignment="1">
      <alignment horizontal="left"/>
    </xf>
    <xf numFmtId="167" fontId="8" fillId="5" borderId="5" xfId="4" applyNumberFormat="1" applyFill="1" applyBorder="1"/>
    <xf numFmtId="168" fontId="8" fillId="5" borderId="14" xfId="5" applyNumberFormat="1" applyFill="1" applyBorder="1"/>
    <xf numFmtId="3" fontId="8" fillId="5" borderId="17" xfId="5" applyNumberFormat="1" applyFont="1" applyFill="1" applyBorder="1" applyAlignment="1">
      <alignment horizontal="right"/>
    </xf>
    <xf numFmtId="164" fontId="0" fillId="5" borderId="0" xfId="1" applyNumberFormat="1" applyFont="1" applyFill="1"/>
    <xf numFmtId="49" fontId="0" fillId="0" borderId="0" xfId="0" applyNumberFormat="1" applyFill="1" applyBorder="1" applyAlignment="1">
      <alignment horizontal="center"/>
    </xf>
    <xf numFmtId="0" fontId="0" fillId="0" borderId="0" xfId="0" applyAlignment="1"/>
    <xf numFmtId="43" fontId="0" fillId="5" borderId="0" xfId="1" applyFont="1" applyFill="1"/>
    <xf numFmtId="6" fontId="23" fillId="0" borderId="0" xfId="0" quotePrefix="1" applyNumberFormat="1" applyFont="1"/>
    <xf numFmtId="164" fontId="0" fillId="5" borderId="11" xfId="1" applyNumberFormat="1" applyFont="1" applyFill="1" applyBorder="1"/>
    <xf numFmtId="0" fontId="0" fillId="5" borderId="11" xfId="0" applyFill="1" applyBorder="1"/>
    <xf numFmtId="0" fontId="24" fillId="7" borderId="10" xfId="0" applyFont="1" applyFill="1" applyBorder="1" applyAlignment="1">
      <alignment horizontal="center" wrapText="1"/>
    </xf>
    <xf numFmtId="17" fontId="24" fillId="7" borderId="14" xfId="0" applyNumberFormat="1" applyFont="1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center"/>
    </xf>
    <xf numFmtId="164" fontId="0" fillId="3" borderId="12" xfId="0" applyNumberFormat="1" applyFill="1" applyBorder="1"/>
    <xf numFmtId="164" fontId="0" fillId="2" borderId="12" xfId="0" applyNumberFormat="1" applyFill="1" applyBorder="1"/>
    <xf numFmtId="164" fontId="0" fillId="4" borderId="12" xfId="0" applyNumberFormat="1" applyFill="1" applyBorder="1"/>
    <xf numFmtId="0" fontId="24" fillId="7" borderId="10" xfId="0" applyFont="1" applyFill="1" applyBorder="1" applyAlignment="1">
      <alignment horizontal="center" wrapText="1"/>
    </xf>
    <xf numFmtId="165" fontId="0" fillId="0" borderId="0" xfId="0" applyNumberFormat="1" applyBorder="1"/>
    <xf numFmtId="164" fontId="0" fillId="5" borderId="3" xfId="1" applyNumberFormat="1" applyFont="1" applyFill="1" applyBorder="1"/>
    <xf numFmtId="164" fontId="0" fillId="5" borderId="0" xfId="1" applyNumberFormat="1" applyFont="1" applyFill="1" applyBorder="1"/>
    <xf numFmtId="164" fontId="0" fillId="5" borderId="4" xfId="0" applyNumberFormat="1" applyFill="1" applyBorder="1"/>
    <xf numFmtId="164" fontId="0" fillId="5" borderId="5" xfId="1" applyNumberFormat="1" applyFont="1" applyFill="1" applyBorder="1"/>
    <xf numFmtId="164" fontId="0" fillId="5" borderId="25" xfId="1" applyNumberFormat="1" applyFont="1" applyFill="1" applyBorder="1"/>
    <xf numFmtId="164" fontId="0" fillId="5" borderId="6" xfId="0" applyNumberFormat="1" applyFill="1" applyBorder="1"/>
    <xf numFmtId="17" fontId="24" fillId="7" borderId="10" xfId="0" applyNumberFormat="1" applyFont="1" applyFill="1" applyBorder="1" applyAlignment="1">
      <alignment horizontal="center" wrapText="1"/>
    </xf>
    <xf numFmtId="17" fontId="26" fillId="5" borderId="10" xfId="0" applyNumberFormat="1" applyFont="1" applyFill="1" applyBorder="1" applyAlignment="1">
      <alignment horizontal="center" wrapText="1"/>
    </xf>
    <xf numFmtId="17" fontId="26" fillId="5" borderId="14" xfId="0" applyNumberFormat="1" applyFont="1" applyFill="1" applyBorder="1" applyAlignment="1">
      <alignment horizontal="center"/>
    </xf>
    <xf numFmtId="17" fontId="27" fillId="5" borderId="1" xfId="0" applyNumberFormat="1" applyFont="1" applyFill="1" applyBorder="1" applyAlignment="1">
      <alignment horizontal="center" wrapText="1"/>
    </xf>
    <xf numFmtId="17" fontId="27" fillId="5" borderId="5" xfId="0" applyNumberFormat="1" applyFont="1" applyFill="1" applyBorder="1" applyAlignment="1">
      <alignment horizontal="center"/>
    </xf>
    <xf numFmtId="0" fontId="24" fillId="7" borderId="10" xfId="0" applyFont="1" applyFill="1" applyBorder="1" applyAlignment="1">
      <alignment horizontal="center" wrapText="1"/>
    </xf>
    <xf numFmtId="164" fontId="0" fillId="5" borderId="10" xfId="1" applyNumberFormat="1" applyFont="1" applyFill="1" applyBorder="1"/>
    <xf numFmtId="0" fontId="0" fillId="5" borderId="10" xfId="0" applyFill="1" applyBorder="1"/>
    <xf numFmtId="164" fontId="0" fillId="5" borderId="1" xfId="1" applyNumberFormat="1" applyFont="1" applyFill="1" applyBorder="1"/>
    <xf numFmtId="164" fontId="0" fillId="5" borderId="26" xfId="1" applyNumberFormat="1" applyFont="1" applyFill="1" applyBorder="1"/>
    <xf numFmtId="164" fontId="0" fillId="5" borderId="2" xfId="0" applyNumberFormat="1" applyFill="1" applyBorder="1"/>
    <xf numFmtId="164" fontId="0" fillId="0" borderId="7" xfId="0" applyNumberFormat="1" applyBorder="1"/>
    <xf numFmtId="0" fontId="0" fillId="0" borderId="0" xfId="0" quotePrefix="1"/>
    <xf numFmtId="164" fontId="0" fillId="5" borderId="0" xfId="0" applyNumberFormat="1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43" fontId="0" fillId="0" borderId="0" xfId="1" applyFont="1" applyFill="1"/>
    <xf numFmtId="164" fontId="0" fillId="0" borderId="0" xfId="1" applyNumberFormat="1" applyFont="1" applyFill="1"/>
    <xf numFmtId="17" fontId="2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28" fillId="0" borderId="0" xfId="0" applyFont="1" applyFill="1"/>
    <xf numFmtId="0" fontId="29" fillId="0" borderId="0" xfId="0" applyFont="1" applyFill="1"/>
    <xf numFmtId="169" fontId="0" fillId="0" borderId="0" xfId="1" applyNumberFormat="1" applyFont="1"/>
    <xf numFmtId="0" fontId="24" fillId="7" borderId="10" xfId="0" applyFont="1" applyFill="1" applyBorder="1" applyAlignment="1">
      <alignment horizontal="center" wrapText="1"/>
    </xf>
    <xf numFmtId="0" fontId="24" fillId="7" borderId="11" xfId="0" applyFont="1" applyFill="1" applyBorder="1" applyAlignment="1">
      <alignment horizontal="center" wrapText="1"/>
    </xf>
    <xf numFmtId="0" fontId="24" fillId="7" borderId="8" xfId="0" applyFont="1" applyFill="1" applyBorder="1" applyAlignment="1">
      <alignment horizontal="center" wrapText="1"/>
    </xf>
    <xf numFmtId="0" fontId="24" fillId="7" borderId="9" xfId="0" applyFont="1" applyFill="1" applyBorder="1" applyAlignment="1">
      <alignment horizontal="center" wrapText="1"/>
    </xf>
    <xf numFmtId="0" fontId="0" fillId="0" borderId="12" xfId="0" applyBorder="1" applyAlignment="1">
      <alignment wrapText="1"/>
    </xf>
    <xf numFmtId="0" fontId="25" fillId="0" borderId="11" xfId="1" quotePrefix="1" applyNumberFormat="1" applyFont="1" applyBorder="1" applyAlignment="1">
      <alignment horizontal="center" wrapText="1"/>
    </xf>
    <xf numFmtId="0" fontId="25" fillId="0" borderId="11" xfId="0" applyNumberFormat="1" applyFont="1" applyBorder="1" applyAlignment="1">
      <alignment horizontal="center" wrapText="1"/>
    </xf>
    <xf numFmtId="0" fontId="25" fillId="0" borderId="11" xfId="1" applyNumberFormat="1" applyFont="1" applyBorder="1" applyAlignment="1">
      <alignment horizontal="center" wrapText="1"/>
    </xf>
    <xf numFmtId="0" fontId="18" fillId="0" borderId="0" xfId="4" quotePrefix="1" applyFont="1" applyAlignment="1">
      <alignment horizontal="left" wrapText="1"/>
    </xf>
    <xf numFmtId="0" fontId="8" fillId="0" borderId="0" xfId="4" applyAlignment="1">
      <alignment wrapText="1"/>
    </xf>
    <xf numFmtId="0" fontId="20" fillId="0" borderId="0" xfId="4" quotePrefix="1" applyFont="1" applyAlignment="1">
      <alignment horizontal="left" wrapText="1"/>
    </xf>
  </cellXfs>
  <cellStyles count="11">
    <cellStyle name="Comma" xfId="1" builtinId="3"/>
    <cellStyle name="Comma 2" xfId="5"/>
    <cellStyle name="Currency" xfId="2" builtinId="4"/>
    <cellStyle name="Date" xfId="7"/>
    <cellStyle name="Fixed" xfId="8"/>
    <cellStyle name="HEADING1" xfId="9"/>
    <cellStyle name="HEADING2" xfId="10"/>
    <cellStyle name="Normal" xfId="0" builtinId="0"/>
    <cellStyle name="Normal 2" xfId="4"/>
    <cellStyle name="Percent" xfId="3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ate Case_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ate Case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workbookViewId="0">
      <pane xSplit="1" ySplit="7" topLeftCell="B18" activePane="bottomRight" state="frozen"/>
      <selection pane="topRight" activeCell="B1" sqref="B1"/>
      <selection pane="bottomLeft" activeCell="A8" sqref="A8"/>
      <selection pane="bottomRight" activeCell="G49" sqref="G49"/>
    </sheetView>
  </sheetViews>
  <sheetFormatPr defaultRowHeight="15"/>
  <cols>
    <col min="1" max="1" width="14.42578125" customWidth="1"/>
    <col min="2" max="12" width="10.7109375" customWidth="1"/>
  </cols>
  <sheetData>
    <row r="1" spans="1:12" ht="18.75">
      <c r="A1" s="18" t="s">
        <v>3718</v>
      </c>
      <c r="B1" s="11"/>
    </row>
    <row r="2" spans="1:12" ht="18.75">
      <c r="A2" s="244" t="s">
        <v>2754</v>
      </c>
      <c r="B2" s="11"/>
    </row>
    <row r="3" spans="1:12" ht="18.75">
      <c r="B3" s="12"/>
    </row>
    <row r="5" spans="1:12" s="242" customFormat="1">
      <c r="B5" s="289" t="s">
        <v>2753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</row>
    <row r="6" spans="1:12" s="242" customFormat="1">
      <c r="B6" s="247" t="s">
        <v>3874</v>
      </c>
      <c r="C6" s="247" t="s">
        <v>3874</v>
      </c>
      <c r="D6" s="247" t="s">
        <v>3874</v>
      </c>
      <c r="E6" s="253" t="s">
        <v>3874</v>
      </c>
      <c r="F6" s="253" t="s">
        <v>3874</v>
      </c>
      <c r="G6" s="266" t="s">
        <v>3909</v>
      </c>
      <c r="H6" s="261">
        <v>41699</v>
      </c>
      <c r="I6" s="261">
        <v>42186</v>
      </c>
      <c r="J6" s="247" t="s">
        <v>3886</v>
      </c>
      <c r="K6" s="253" t="s">
        <v>3886</v>
      </c>
      <c r="L6" s="253" t="s">
        <v>3886</v>
      </c>
    </row>
    <row r="7" spans="1:12">
      <c r="B7" s="248">
        <v>40178</v>
      </c>
      <c r="C7" s="248">
        <v>40543</v>
      </c>
      <c r="D7" s="248">
        <v>40908</v>
      </c>
      <c r="E7" s="248">
        <v>41274</v>
      </c>
      <c r="F7" s="248">
        <v>41639</v>
      </c>
      <c r="G7" s="248">
        <v>42004</v>
      </c>
      <c r="H7" s="248">
        <v>42063</v>
      </c>
      <c r="I7" s="248">
        <v>42522</v>
      </c>
      <c r="J7" s="248">
        <v>42369</v>
      </c>
      <c r="K7" s="248">
        <v>42735</v>
      </c>
      <c r="L7" s="248">
        <v>43100</v>
      </c>
    </row>
    <row r="8" spans="1:12">
      <c r="A8" s="284" t="s">
        <v>2751</v>
      </c>
      <c r="B8" s="10">
        <f>SUM('Actuals 2009 - 2013'!N:N)/1000</f>
        <v>14724.479126999999</v>
      </c>
      <c r="C8" s="10">
        <f>SUM('Actuals 2009 - 2013'!Q:Q)/1000</f>
        <v>16088.236685099995</v>
      </c>
      <c r="D8" s="10">
        <f>SUM('Actuals 2009 - 2013'!T:T)/1000</f>
        <v>19645.233077800003</v>
      </c>
      <c r="E8" s="10">
        <f>SUM('Actuals 2009 - 2013'!W:W)/1000</f>
        <v>28022.823066600009</v>
      </c>
      <c r="F8" s="10">
        <f>SUM('Actuals 2009 - 2013'!Z:Z)/1000</f>
        <v>8576.7453011000034</v>
      </c>
      <c r="G8" s="10">
        <f>SUM('2014FC-8and4'!AE3:AE230)/1000</f>
        <v>24321.679876300001</v>
      </c>
      <c r="H8" s="10">
        <f>SUM('2014FC-8and4'!Y:Y)/1000</f>
        <v>24140.531656900002</v>
      </c>
      <c r="I8" s="10">
        <f>SUM('2014FC-8and4'!AB:AB)/1000</f>
        <v>22736.20866</v>
      </c>
      <c r="J8" s="10">
        <f>SUM('2014FC-8and4'!AH3:AH230)/1000</f>
        <v>25153.89255</v>
      </c>
      <c r="K8" s="10">
        <f>SUM('2014FC-8and4'!AK3:AK230)/1000</f>
        <v>18331.069356</v>
      </c>
      <c r="L8" s="10">
        <f>SUM('2014FC-8and4'!AN3:AN230)/1000</f>
        <v>16779.717552800001</v>
      </c>
    </row>
    <row r="9" spans="1:12">
      <c r="A9" s="285" t="s">
        <v>2750</v>
      </c>
      <c r="B9" s="9">
        <f>SUM('Actuals 2009 - 2013'!O:O)/1000</f>
        <v>14828.359522999997</v>
      </c>
      <c r="C9" s="9">
        <f>SUM('Actuals 2009 - 2013'!R:R)/1000</f>
        <v>16016.273604899996</v>
      </c>
      <c r="D9" s="9">
        <f>SUM('Actuals 2009 - 2013'!U:U)/1000</f>
        <v>14871.131922199998</v>
      </c>
      <c r="E9" s="9">
        <f>SUM('Actuals 2009 - 2013'!X:X)/1000</f>
        <v>15363.345693399999</v>
      </c>
      <c r="F9" s="9">
        <f>SUM('Actuals 2009 - 2013'!AA:AA)/1000</f>
        <v>13235.239088900003</v>
      </c>
      <c r="G9" s="10">
        <f>SUM('2014FC-8and4'!AF3:AF230)/1000</f>
        <v>11581.048503699998</v>
      </c>
      <c r="H9" s="9">
        <f>SUM('2014FC-8and4'!Z:Z)/1000</f>
        <v>11461.533443099999</v>
      </c>
      <c r="I9" s="9">
        <f>SUM('2014FC-8and4'!AC:AC)/1000</f>
        <v>14407.348960000001</v>
      </c>
      <c r="J9" s="10">
        <f>SUM('2014FC-8and4'!AI3:AI230)/1000</f>
        <v>13819.583869999999</v>
      </c>
      <c r="K9" s="10">
        <f>SUM('2014FC-8and4'!AL3:AL230)/1000</f>
        <v>13394.007914</v>
      </c>
      <c r="L9" s="10">
        <f>SUM('2014FC-8and4'!AO3:AO230)/1000</f>
        <v>19293.931937199995</v>
      </c>
    </row>
    <row r="10" spans="1:12" ht="15.75" thickBot="1">
      <c r="A10" t="s">
        <v>2752</v>
      </c>
      <c r="B10" s="13">
        <f>SUM(B8:B9)</f>
        <v>29552.838649999998</v>
      </c>
      <c r="C10" s="13">
        <f t="shared" ref="C10:L10" si="0">SUM(C8:C9)</f>
        <v>32104.510289999991</v>
      </c>
      <c r="D10" s="13">
        <f t="shared" si="0"/>
        <v>34516.365000000005</v>
      </c>
      <c r="E10" s="13">
        <f t="shared" si="0"/>
        <v>43386.168760000008</v>
      </c>
      <c r="F10" s="13">
        <f t="shared" si="0"/>
        <v>21811.984390000005</v>
      </c>
      <c r="G10" s="13">
        <f t="shared" si="0"/>
        <v>35902.72838</v>
      </c>
      <c r="H10" s="13">
        <f t="shared" si="0"/>
        <v>35602.0651</v>
      </c>
      <c r="I10" s="13">
        <f t="shared" si="0"/>
        <v>37143.55762</v>
      </c>
      <c r="J10" s="13">
        <f t="shared" si="0"/>
        <v>38973.476419999999</v>
      </c>
      <c r="K10" s="13">
        <f t="shared" si="0"/>
        <v>31725.077270000002</v>
      </c>
      <c r="L10" s="13">
        <f t="shared" si="0"/>
        <v>36073.649489999996</v>
      </c>
    </row>
    <row r="11" spans="1:12" ht="15.75" thickTop="1"/>
    <row r="12" spans="1:12">
      <c r="A12" s="283" t="s">
        <v>3905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</row>
    <row r="13" spans="1:12">
      <c r="A13" t="s">
        <v>3894</v>
      </c>
      <c r="B13" s="9">
        <f>SUMIF('Actuals 2009 - 2013'!$M:$M,$A13,'Actuals 2009 - 2013'!$N:$N)/1000</f>
        <v>0</v>
      </c>
      <c r="C13" s="9">
        <f>SUMIF('Actuals 2009 - 2013'!$M:$M,$A13,'Actuals 2009 - 2013'!$Q:$Q)/1000</f>
        <v>0</v>
      </c>
      <c r="D13" s="9">
        <f>SUMIF('Actuals 2009 - 2013'!$M:$M,$A13,'Actuals 2009 - 2013'!$T:$T)/1000</f>
        <v>0</v>
      </c>
      <c r="E13" s="9">
        <f>SUMIF('Actuals 2009 - 2013'!$M:$M,$A13,'Actuals 2009 - 2013'!$W:$W)/1000</f>
        <v>0</v>
      </c>
      <c r="F13" s="9">
        <f>SUMIF('Actuals 2009 - 2013'!$M:$M,$A13,'Actuals 2009 - 2013'!$Z:$Z)/1000</f>
        <v>108.38143000000001</v>
      </c>
      <c r="G13" s="9">
        <f>SUMIF('2014FC-8and4'!$V:$V,$A13,'2014FC-8and4'!AE:AE)/1000</f>
        <v>0</v>
      </c>
      <c r="H13" s="9">
        <f>SUMIF('2014FC-8and4'!$V:$V,$A13,'2014FC-8and4'!Y:Y)/1000</f>
        <v>0</v>
      </c>
      <c r="I13" s="9">
        <f>SUMIF('2014FC-8and4'!$V:$V,$A13,'2014FC-8and4'!AB:AB)/1000</f>
        <v>0</v>
      </c>
      <c r="J13" s="9">
        <f>SUMIF('2014FC-8and4'!$V:$V,$A13,'2014FC-8and4'!AH:AH)/1000</f>
        <v>0</v>
      </c>
      <c r="K13" s="9">
        <f>SUMIF('2014FC-8and4'!$V:$V,$A13,'2014FC-8and4'!AK:AK)/1000</f>
        <v>0</v>
      </c>
      <c r="L13" s="9">
        <f>SUMIF('2014FC-8and4'!$V:$V,$A13,'2014FC-8and4'!AN:AN)/1000</f>
        <v>0</v>
      </c>
    </row>
    <row r="14" spans="1:12">
      <c r="A14" t="s">
        <v>3904</v>
      </c>
      <c r="B14" s="9">
        <f>SUMIF('Actuals 2009 - 2013'!$M:$M,$A14,'Actuals 2009 - 2013'!$N:$N)/1000</f>
        <v>7.1660000000000001E-2</v>
      </c>
      <c r="C14" s="9">
        <f>SUMIF('Actuals 2009 - 2013'!$M:$M,$A14,'Actuals 2009 - 2013'!$Q:$Q)/1000</f>
        <v>0</v>
      </c>
      <c r="D14" s="9">
        <f>SUMIF('Actuals 2009 - 2013'!$M:$M,$A14,'Actuals 2009 - 2013'!$T:$T)/1000</f>
        <v>0</v>
      </c>
      <c r="E14" s="9">
        <f>SUMIF('Actuals 2009 - 2013'!$M:$M,$A14,'Actuals 2009 - 2013'!$W:$W)/1000</f>
        <v>0</v>
      </c>
      <c r="F14" s="9">
        <f>SUMIF('Actuals 2009 - 2013'!$M:$M,$A14,'Actuals 2009 - 2013'!$Z:$Z)/1000</f>
        <v>0</v>
      </c>
      <c r="G14" s="9">
        <f>SUMIF('2014FC-8and4'!$V:$V,$A14,'2014FC-8and4'!AE:AE)/1000</f>
        <v>0</v>
      </c>
      <c r="H14" s="9">
        <f>SUMIF('2014FC-8and4'!$V:$V,$A14,'2014FC-8and4'!Y:Y)/1000</f>
        <v>0</v>
      </c>
      <c r="I14" s="9">
        <f>SUMIF('2014FC-8and4'!$V:$V,$A14,'2014FC-8and4'!AB:AB)/1000</f>
        <v>0</v>
      </c>
      <c r="J14" s="9">
        <f>SUMIF('2014FC-8and4'!$V:$V,$A14,'2014FC-8and4'!AH:AH)/1000</f>
        <v>0</v>
      </c>
      <c r="K14" s="9">
        <f>SUMIF('2014FC-8and4'!$V:$V,$A14,'2014FC-8and4'!AK:AK)/1000</f>
        <v>0</v>
      </c>
      <c r="L14" s="9">
        <f>SUMIF('2014FC-8and4'!$V:$V,$A14,'2014FC-8and4'!AN:AN)/1000</f>
        <v>0</v>
      </c>
    </row>
    <row r="15" spans="1:12">
      <c r="A15" t="s">
        <v>3895</v>
      </c>
      <c r="B15" s="9">
        <f>SUMIF('Actuals 2009 - 2013'!$M:$M,$A15,'Actuals 2009 - 2013'!$N:$N)/1000</f>
        <v>1941.6617999999999</v>
      </c>
      <c r="C15" s="9">
        <f>SUMIF('Actuals 2009 - 2013'!$M:$M,$A15,'Actuals 2009 - 2013'!$Q:$Q)/1000</f>
        <v>22.453229999999998</v>
      </c>
      <c r="D15" s="9">
        <f>SUMIF('Actuals 2009 - 2013'!$M:$M,$A15,'Actuals 2009 - 2013'!$T:$T)/1000</f>
        <v>0</v>
      </c>
      <c r="E15" s="9">
        <f>SUMIF('Actuals 2009 - 2013'!$M:$M,$A15,'Actuals 2009 - 2013'!$W:$W)/1000</f>
        <v>67.021770000000004</v>
      </c>
      <c r="F15" s="9">
        <f>SUMIF('Actuals 2009 - 2013'!$M:$M,$A15,'Actuals 2009 - 2013'!$Z:$Z)/1000</f>
        <v>-0.49199999999999999</v>
      </c>
      <c r="G15" s="9">
        <f>SUMIF('2014FC-8and4'!$V:$V,$A15,'2014FC-8and4'!AE:AE)/1000</f>
        <v>0</v>
      </c>
      <c r="H15" s="9">
        <f>SUMIF('2014FC-8and4'!$V:$V,$A15,'2014FC-8and4'!Y:Y)/1000</f>
        <v>0</v>
      </c>
      <c r="I15" s="9">
        <f>SUMIF('2014FC-8and4'!$V:$V,$A15,'2014FC-8and4'!AB:AB)/1000</f>
        <v>0</v>
      </c>
      <c r="J15" s="9">
        <f>SUMIF('2014FC-8and4'!$V:$V,$A15,'2014FC-8and4'!AH:AH)/1000</f>
        <v>0</v>
      </c>
      <c r="K15" s="9">
        <f>SUMIF('2014FC-8and4'!$V:$V,$A15,'2014FC-8and4'!AK:AK)/1000</f>
        <v>0</v>
      </c>
      <c r="L15" s="9">
        <f>SUMIF('2014FC-8and4'!$V:$V,$A15,'2014FC-8and4'!AN:AN)/1000</f>
        <v>0</v>
      </c>
    </row>
    <row r="16" spans="1:12">
      <c r="A16" t="s">
        <v>3896</v>
      </c>
      <c r="B16" s="9">
        <f>SUMIF('Actuals 2009 - 2013'!$M:$M,$A16,'Actuals 2009 - 2013'!$N:$N)/1000</f>
        <v>81.808420000000012</v>
      </c>
      <c r="C16" s="9">
        <f>SUMIF('Actuals 2009 - 2013'!$M:$M,$A16,'Actuals 2009 - 2013'!$Q:$Q)/1000</f>
        <v>34.06335</v>
      </c>
      <c r="D16" s="9">
        <f>SUMIF('Actuals 2009 - 2013'!$M:$M,$A16,'Actuals 2009 - 2013'!$T:$T)/1000</f>
        <v>344.58731</v>
      </c>
      <c r="E16" s="9">
        <f>SUMIF('Actuals 2009 - 2013'!$M:$M,$A16,'Actuals 2009 - 2013'!$W:$W)/1000</f>
        <v>87.526089999999996</v>
      </c>
      <c r="F16" s="9">
        <f>SUMIF('Actuals 2009 - 2013'!$M:$M,$A16,'Actuals 2009 - 2013'!$Z:$Z)/1000</f>
        <v>85.430639999999997</v>
      </c>
      <c r="G16" s="9">
        <f>SUMIF('2014FC-8and4'!$V:$V,$A16,'2014FC-8and4'!AE:AE)/1000</f>
        <v>100.49561</v>
      </c>
      <c r="H16" s="9">
        <f>SUMIF('2014FC-8and4'!$V:$V,$A16,'2014FC-8and4'!Y:Y)/1000</f>
        <v>100.48169</v>
      </c>
      <c r="I16" s="9">
        <f>SUMIF('2014FC-8and4'!$V:$V,$A16,'2014FC-8and4'!AB:AB)/1000</f>
        <v>0</v>
      </c>
      <c r="J16" s="9">
        <f>SUMIF('2014FC-8and4'!$V:$V,$A16,'2014FC-8and4'!AH:AH)/1000</f>
        <v>0</v>
      </c>
      <c r="K16" s="9">
        <f>SUMIF('2014FC-8and4'!$V:$V,$A16,'2014FC-8and4'!AK:AK)/1000</f>
        <v>0</v>
      </c>
      <c r="L16" s="9">
        <f>SUMIF('2014FC-8and4'!$V:$V,$A16,'2014FC-8and4'!AN:AN)/1000</f>
        <v>0</v>
      </c>
    </row>
    <row r="17" spans="1:12">
      <c r="A17" t="s">
        <v>3897</v>
      </c>
      <c r="B17" s="9">
        <f>SUMIF('Actuals 2009 - 2013'!$M:$M,$A17,'Actuals 2009 - 2013'!$N:$N)/1000</f>
        <v>9557.9846099999959</v>
      </c>
      <c r="C17" s="9">
        <f>SUMIF('Actuals 2009 - 2013'!$M:$M,$A17,'Actuals 2009 - 2013'!$Q:$Q)/1000</f>
        <v>10904.058489999998</v>
      </c>
      <c r="D17" s="9">
        <f>SUMIF('Actuals 2009 - 2013'!$M:$M,$A17,'Actuals 2009 - 2013'!$T:$T)/1000</f>
        <v>11626.807930700004</v>
      </c>
      <c r="E17" s="9">
        <f>SUMIF('Actuals 2009 - 2013'!$M:$M,$A17,'Actuals 2009 - 2013'!$W:$W)/1000</f>
        <v>14056.986909199997</v>
      </c>
      <c r="F17" s="9">
        <f>SUMIF('Actuals 2009 - 2013'!$M:$M,$A17,'Actuals 2009 - 2013'!$Z:$Z)/1000</f>
        <v>6850.0543472999998</v>
      </c>
      <c r="G17" s="9">
        <f>SUMIF('2014FC-8and4'!$V:$V,$A17,'2014FC-8and4'!AE:AE)/1000</f>
        <v>17759.252750200001</v>
      </c>
      <c r="H17" s="9">
        <f>SUMIF('2014FC-8and4'!$V:$V,$A17,'2014FC-8and4'!Y:Y)/1000</f>
        <v>17224.5642448</v>
      </c>
      <c r="I17" s="9">
        <f>SUMIF('2014FC-8and4'!$V:$V,$A17,'2014FC-8and4'!AB:AB)/1000</f>
        <v>18507.056690000001</v>
      </c>
      <c r="J17" s="9">
        <f>SUMIF('2014FC-8and4'!$V:$V,$A17,'2014FC-8and4'!AH:AH)/1000</f>
        <v>14452.504999999999</v>
      </c>
      <c r="K17" s="9">
        <f>SUMIF('2014FC-8and4'!$V:$V,$A17,'2014FC-8and4'!AK:AK)/1000</f>
        <v>13507.354690000002</v>
      </c>
      <c r="L17" s="9">
        <f>SUMIF('2014FC-8and4'!$V:$V,$A17,'2014FC-8and4'!AN:AN)/1000</f>
        <v>10061.535</v>
      </c>
    </row>
    <row r="18" spans="1:12">
      <c r="A18" t="s">
        <v>3898</v>
      </c>
      <c r="B18" s="9">
        <f>SUMIF('Actuals 2009 - 2013'!$M:$M,$A18,'Actuals 2009 - 2013'!$N:$N)/1000</f>
        <v>2571.16113</v>
      </c>
      <c r="C18" s="9">
        <f>SUMIF('Actuals 2009 - 2013'!$M:$M,$A18,'Actuals 2009 - 2013'!$Q:$Q)/1000</f>
        <v>2261.7718800000002</v>
      </c>
      <c r="D18" s="9">
        <f>SUMIF('Actuals 2009 - 2013'!$M:$M,$A18,'Actuals 2009 - 2013'!$T:$T)/1000</f>
        <v>6540.8681448999987</v>
      </c>
      <c r="E18" s="9">
        <f>SUMIF('Actuals 2009 - 2013'!$M:$M,$A18,'Actuals 2009 - 2013'!$W:$W)/1000</f>
        <v>13647.994672800001</v>
      </c>
      <c r="F18" s="9">
        <f>SUMIF('Actuals 2009 - 2013'!$M:$M,$A18,'Actuals 2009 - 2013'!$Z:$Z)/1000</f>
        <v>1045.0252197</v>
      </c>
      <c r="G18" s="9">
        <f>SUMIF('2014FC-8and4'!$V:$V,$A18,'2014FC-8and4'!AE:AE)/1000</f>
        <v>5751.475522400001</v>
      </c>
      <c r="H18" s="9">
        <f>SUMIF('2014FC-8and4'!$V:$V,$A18,'2014FC-8and4'!Y:Y)/1000</f>
        <v>6170.1194063000003</v>
      </c>
      <c r="I18" s="9">
        <f>SUMIF('2014FC-8and4'!$V:$V,$A18,'2014FC-8and4'!AB:AB)/1000</f>
        <v>2498.0039999999999</v>
      </c>
      <c r="J18" s="9">
        <f>SUMIF('2014FC-8and4'!$V:$V,$A18,'2014FC-8and4'!AH:AH)/1000</f>
        <v>9058.1630000000005</v>
      </c>
      <c r="K18" s="9">
        <f>SUMIF('2014FC-8and4'!$V:$V,$A18,'2014FC-8and4'!AK:AK)/1000</f>
        <v>3038.0030000000002</v>
      </c>
      <c r="L18" s="9">
        <f>SUMIF('2014FC-8and4'!$V:$V,$A18,'2014FC-8and4'!AN:AN)/1000</f>
        <v>4144.6969200000003</v>
      </c>
    </row>
    <row r="19" spans="1:12">
      <c r="A19" t="s">
        <v>3899</v>
      </c>
      <c r="B19" s="9">
        <f>SUMIF('Actuals 2009 - 2013'!$M:$M,$A19,'Actuals 2009 - 2013'!$N:$N)/1000</f>
        <v>108.74913999999998</v>
      </c>
      <c r="C19" s="9">
        <f>SUMIF('Actuals 2009 - 2013'!$M:$M,$A19,'Actuals 2009 - 2013'!$Q:$Q)/1000</f>
        <v>117.96429000000001</v>
      </c>
      <c r="D19" s="9">
        <f>SUMIF('Actuals 2009 - 2013'!$M:$M,$A19,'Actuals 2009 - 2013'!$T:$T)/1000</f>
        <v>532.35092000000009</v>
      </c>
      <c r="E19" s="9">
        <f>SUMIF('Actuals 2009 - 2013'!$M:$M,$A19,'Actuals 2009 - 2013'!$W:$W)/1000</f>
        <v>0.84353</v>
      </c>
      <c r="F19" s="9">
        <f>SUMIF('Actuals 2009 - 2013'!$M:$M,$A19,'Actuals 2009 - 2013'!$Z:$Z)/1000</f>
        <v>24.817</v>
      </c>
      <c r="G19" s="9">
        <f>SUMIF('2014FC-8and4'!$V:$V,$A19,'2014FC-8and4'!AE:AE)/1000</f>
        <v>222.92104999999998</v>
      </c>
      <c r="H19" s="9">
        <f>SUMIF('2014FC-8and4'!$V:$V,$A19,'2014FC-8and4'!Y:Y)/1000</f>
        <v>222.92104999999998</v>
      </c>
      <c r="I19" s="9">
        <f>SUMIF('2014FC-8and4'!$V:$V,$A19,'2014FC-8and4'!AB:AB)/1000</f>
        <v>0</v>
      </c>
      <c r="J19" s="9">
        <f>SUMIF('2014FC-8and4'!$V:$V,$A19,'2014FC-8and4'!AH:AH)/1000</f>
        <v>0</v>
      </c>
      <c r="K19" s="9">
        <f>SUMIF('2014FC-8and4'!$V:$V,$A19,'2014FC-8and4'!AK:AK)/1000</f>
        <v>0</v>
      </c>
      <c r="L19" s="9">
        <f>SUMIF('2014FC-8and4'!$V:$V,$A19,'2014FC-8and4'!AN:AN)/1000</f>
        <v>0</v>
      </c>
    </row>
    <row r="20" spans="1:12">
      <c r="A20" t="s">
        <v>3903</v>
      </c>
      <c r="B20" s="9">
        <f>SUMIF('Actuals 2009 - 2013'!$M:$M,$A20,'Actuals 2009 - 2013'!$N:$N)/1000</f>
        <v>0</v>
      </c>
      <c r="C20" s="9">
        <f>SUMIF('Actuals 2009 - 2013'!$M:$M,$A20,'Actuals 2009 - 2013'!$Q:$Q)/1000</f>
        <v>15.266389999999999</v>
      </c>
      <c r="D20" s="9">
        <f>SUMIF('Actuals 2009 - 2013'!$M:$M,$A20,'Actuals 2009 - 2013'!$T:$T)/1000</f>
        <v>0</v>
      </c>
      <c r="E20" s="9">
        <f>SUMIF('Actuals 2009 - 2013'!$M:$M,$A20,'Actuals 2009 - 2013'!$W:$W)/1000</f>
        <v>0</v>
      </c>
      <c r="F20" s="9">
        <f>SUMIF('Actuals 2009 - 2013'!$M:$M,$A20,'Actuals 2009 - 2013'!$Z:$Z)/1000</f>
        <v>0</v>
      </c>
      <c r="G20" s="9">
        <f>SUMIF('2014FC-8and4'!$V:$V,$A20,'2014FC-8and4'!AE:AE)/1000</f>
        <v>0</v>
      </c>
      <c r="H20" s="9">
        <f>SUMIF('2014FC-8and4'!$V:$V,$A20,'2014FC-8and4'!Y:Y)/1000</f>
        <v>0</v>
      </c>
      <c r="I20" s="9">
        <f>SUMIF('2014FC-8and4'!$V:$V,$A20,'2014FC-8and4'!AB:AB)/1000</f>
        <v>0</v>
      </c>
      <c r="J20" s="9">
        <f>SUMIF('2014FC-8and4'!$V:$V,$A20,'2014FC-8and4'!AH:AH)/1000</f>
        <v>0</v>
      </c>
      <c r="K20" s="9">
        <f>SUMIF('2014FC-8and4'!$V:$V,$A20,'2014FC-8and4'!AK:AK)/1000</f>
        <v>0</v>
      </c>
      <c r="L20" s="9">
        <f>SUMIF('2014FC-8and4'!$V:$V,$A20,'2014FC-8and4'!AN:AN)/1000</f>
        <v>0</v>
      </c>
    </row>
    <row r="21" spans="1:12">
      <c r="A21" s="273" t="s">
        <v>3912</v>
      </c>
      <c r="B21" s="9">
        <f>SUMIF('Actuals 2009 - 2013'!$M:$M,$A21,'Actuals 2009 - 2013'!$N:$N)/1000</f>
        <v>0</v>
      </c>
      <c r="C21" s="9">
        <f>SUMIF('Actuals 2009 - 2013'!$M:$M,$A21,'Actuals 2009 - 2013'!$Q:$Q)/1000</f>
        <v>0</v>
      </c>
      <c r="D21" s="9">
        <f>SUMIF('Actuals 2009 - 2013'!$M:$M,$A21,'Actuals 2009 - 2013'!$T:$T)/1000</f>
        <v>0</v>
      </c>
      <c r="E21" s="9">
        <f>SUMIF('Actuals 2009 - 2013'!$M:$M,$A21,'Actuals 2009 - 2013'!$W:$W)/1000</f>
        <v>0</v>
      </c>
      <c r="F21" s="9">
        <f>SUMIF('Actuals 2009 - 2013'!$M:$M,$A21,'Actuals 2009 - 2013'!$Z:$Z)/1000</f>
        <v>0</v>
      </c>
      <c r="G21" s="9">
        <f>SUMIF('2014FC-8and4'!$V:$V,$A21,'2014FC-8and4'!AE:AE)/1000</f>
        <v>0</v>
      </c>
      <c r="H21" s="9">
        <f>SUMIF('2014FC-8and4'!$V:$V,$A21,'2014FC-8and4'!Y:Y)/1000</f>
        <v>0</v>
      </c>
      <c r="I21" s="9">
        <f>SUMIF('2014FC-8and4'!$V:$V,$A21,'2014FC-8and4'!AB:AB)/1000</f>
        <v>57</v>
      </c>
      <c r="J21" s="9">
        <f>SUMIF('2014FC-8and4'!$V:$V,$A21,'2014FC-8and4'!AH:AH)/1000</f>
        <v>57</v>
      </c>
      <c r="K21" s="9">
        <f>SUMIF('2014FC-8and4'!$V:$V,$A21,'2014FC-8and4'!AK:AK)/1000</f>
        <v>0</v>
      </c>
      <c r="L21" s="9">
        <f>SUMIF('2014FC-8and4'!$V:$V,$A21,'2014FC-8and4'!AN:AN)/1000</f>
        <v>465</v>
      </c>
    </row>
    <row r="22" spans="1:12">
      <c r="A22" t="s">
        <v>3900</v>
      </c>
      <c r="B22" s="9">
        <f>SUMIF('Actuals 2009 - 2013'!$M:$M,$A22,'Actuals 2009 - 2013'!$N:$N)/1000</f>
        <v>281.74844580000001</v>
      </c>
      <c r="C22" s="9">
        <f>SUMIF('Actuals 2009 - 2013'!$M:$M,$A22,'Actuals 2009 - 2013'!$Q:$Q)/1000</f>
        <v>128.7032537</v>
      </c>
      <c r="D22" s="9">
        <f>SUMIF('Actuals 2009 - 2013'!$M:$M,$A22,'Actuals 2009 - 2013'!$T:$T)/1000</f>
        <v>2714.9553573999997</v>
      </c>
      <c r="E22" s="9">
        <f>SUMIF('Actuals 2009 - 2013'!$M:$M,$A22,'Actuals 2009 - 2013'!$W:$W)/1000</f>
        <v>162.4500946</v>
      </c>
      <c r="F22" s="9">
        <f>SUMIF('Actuals 2009 - 2013'!$M:$M,$A22,'Actuals 2009 - 2013'!$Z:$Z)/1000</f>
        <v>463.49702369999994</v>
      </c>
      <c r="G22" s="9">
        <f>SUMIF('2014FC-8and4'!$V:$V,$A22,'2014FC-8and4'!AE:AE)/1000</f>
        <v>468.8136437</v>
      </c>
      <c r="H22" s="9">
        <f>SUMIF('2014FC-8and4'!$V:$V,$A22,'2014FC-8and4'!Y:Y)/1000</f>
        <v>414.5739658</v>
      </c>
      <c r="I22" s="9">
        <f>SUMIF('2014FC-8and4'!$V:$V,$A22,'2014FC-8and4'!AB:AB)/1000</f>
        <v>793.90676999999994</v>
      </c>
      <c r="J22" s="9">
        <f>SUMIF('2014FC-8and4'!$V:$V,$A22,'2014FC-8and4'!AH:AH)/1000</f>
        <v>823.48334999999997</v>
      </c>
      <c r="K22" s="9">
        <f>SUMIF('2014FC-8and4'!$V:$V,$A22,'2014FC-8and4'!AK:AK)/1000</f>
        <v>209.50844599999999</v>
      </c>
      <c r="L22" s="9">
        <f>SUMIF('2014FC-8and4'!$V:$V,$A22,'2014FC-8and4'!AN:AN)/1000</f>
        <v>256.18661279999998</v>
      </c>
    </row>
    <row r="23" spans="1:12">
      <c r="A23" t="s">
        <v>3901</v>
      </c>
      <c r="B23" s="9">
        <f>SUMIF('Actuals 2009 - 2013'!$M:$M,$A23,'Actuals 2009 - 2013'!$N:$N)/1000</f>
        <v>181.2939212</v>
      </c>
      <c r="C23" s="9">
        <f>SUMIF('Actuals 2009 - 2013'!$M:$M,$A23,'Actuals 2009 - 2013'!$Q:$Q)/1000</f>
        <v>450.89205239999995</v>
      </c>
      <c r="D23" s="9">
        <f>SUMIF('Actuals 2009 - 2013'!$M:$M,$A23,'Actuals 2009 - 2013'!$T:$T)/1000</f>
        <v>85.895122999999998</v>
      </c>
      <c r="E23" s="9">
        <f>SUMIF('Actuals 2009 - 2013'!$M:$M,$A23,'Actuals 2009 - 2013'!$W:$W)/1000</f>
        <v>0</v>
      </c>
      <c r="F23" s="9">
        <f>SUMIF('Actuals 2009 - 2013'!$M:$M,$A23,'Actuals 2009 - 2013'!$Z:$Z)/1000</f>
        <v>3.1508800000000003E-2</v>
      </c>
      <c r="G23" s="9">
        <f>SUMIF('2014FC-8and4'!$V:$V,$A23,'2014FC-8and4'!AE:AE)/1000</f>
        <v>18.721299999999999</v>
      </c>
      <c r="H23" s="9">
        <f>SUMIF('2014FC-8and4'!$V:$V,$A23,'2014FC-8and4'!Y:Y)/1000</f>
        <v>7.8712999999999989</v>
      </c>
      <c r="I23" s="9">
        <f>SUMIF('2014FC-8and4'!$V:$V,$A23,'2014FC-8and4'!AB:AB)/1000</f>
        <v>880.24120000000005</v>
      </c>
      <c r="J23" s="9">
        <f>SUMIF('2014FC-8and4'!$V:$V,$A23,'2014FC-8and4'!AH:AH)/1000</f>
        <v>762.74120000000005</v>
      </c>
      <c r="K23" s="9">
        <f>SUMIF('2014FC-8and4'!$V:$V,$A23,'2014FC-8and4'!AK:AK)/1000</f>
        <v>1576.2032199999999</v>
      </c>
      <c r="L23" s="9">
        <f>SUMIF('2014FC-8and4'!$V:$V,$A23,'2014FC-8and4'!AN:AN)/1000</f>
        <v>1852.2990199999999</v>
      </c>
    </row>
    <row r="24" spans="1:12">
      <c r="A24" t="s">
        <v>3902</v>
      </c>
      <c r="B24" s="9">
        <f>SUMIF('Actuals 2009 - 2013'!$M:$M,$A24,'Actuals 2009 - 2013'!$N:$N)/1000</f>
        <v>0</v>
      </c>
      <c r="C24" s="9">
        <f>SUMIF('Actuals 2009 - 2013'!$M:$M,$A24,'Actuals 2009 - 2013'!$Q:$Q)/1000</f>
        <v>2153.0637489999999</v>
      </c>
      <c r="D24" s="9">
        <f>SUMIF('Actuals 2009 - 2013'!$M:$M,$A24,'Actuals 2009 - 2013'!$T:$T)/1000</f>
        <v>-2200.2317082</v>
      </c>
      <c r="E24" s="9">
        <f>SUMIF('Actuals 2009 - 2013'!$M:$M,$A24,'Actuals 2009 - 2013'!$W:$W)/1000</f>
        <v>0</v>
      </c>
      <c r="F24" s="9">
        <f>SUMIF('Actuals 2009 - 2013'!$M:$M,$A24,'Actuals 2009 - 2013'!$Z:$Z)/1000</f>
        <v>1.316E-4</v>
      </c>
      <c r="G24" s="9">
        <f>SUMIF('2014FC-8and4'!$V:$V,$A24,'2014FC-8and4'!AE:AE)/1000</f>
        <v>0</v>
      </c>
      <c r="H24" s="9">
        <f>SUMIF('2014FC-8and4'!$V:$V,$A24,'2014FC-8and4'!Y:Y)/1000</f>
        <v>0</v>
      </c>
      <c r="I24" s="9">
        <f>SUMIF('2014FC-8and4'!$V:$V,$A24,'2014FC-8and4'!AB:AB)/1000</f>
        <v>0</v>
      </c>
      <c r="J24" s="9">
        <f>SUMIF('2014FC-8and4'!$V:$V,$A24,'2014FC-8and4'!AH:AH)/1000</f>
        <v>0</v>
      </c>
      <c r="K24" s="9">
        <f>SUMIF('2014FC-8and4'!$V:$V,$A24,'2014FC-8and4'!AK:AK)/1000</f>
        <v>0</v>
      </c>
      <c r="L24" s="9">
        <f>SUMIF('2014FC-8and4'!$V:$V,$A24,'2014FC-8and4'!AN:AN)/1000</f>
        <v>0</v>
      </c>
    </row>
    <row r="25" spans="1:12" ht="15.75" thickBot="1">
      <c r="A25" t="s">
        <v>3906</v>
      </c>
      <c r="B25" s="272">
        <f t="shared" ref="B25:L25" si="1">SUM(B13:B24)</f>
        <v>14724.479126999997</v>
      </c>
      <c r="C25" s="272">
        <f t="shared" si="1"/>
        <v>16088.236685099997</v>
      </c>
      <c r="D25" s="272">
        <f t="shared" si="1"/>
        <v>19645.2330778</v>
      </c>
      <c r="E25" s="272">
        <f t="shared" si="1"/>
        <v>28022.823066599998</v>
      </c>
      <c r="F25" s="272">
        <f t="shared" si="1"/>
        <v>8576.7453010999998</v>
      </c>
      <c r="G25" s="272">
        <f t="shared" si="1"/>
        <v>24321.679876300004</v>
      </c>
      <c r="H25" s="272">
        <f t="shared" si="1"/>
        <v>24140.531656899999</v>
      </c>
      <c r="I25" s="272">
        <f t="shared" si="1"/>
        <v>22736.208660000004</v>
      </c>
      <c r="J25" s="272">
        <f t="shared" si="1"/>
        <v>25153.892549999997</v>
      </c>
      <c r="K25" s="272">
        <f t="shared" si="1"/>
        <v>18331.069356</v>
      </c>
      <c r="L25" s="272">
        <f t="shared" si="1"/>
        <v>16779.717552800001</v>
      </c>
    </row>
    <row r="26" spans="1:12" ht="15.75" thickTop="1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>
      <c r="A27" s="282" t="s">
        <v>3907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</row>
    <row r="28" spans="1:12">
      <c r="A28" t="s">
        <v>3894</v>
      </c>
      <c r="B28" s="9">
        <f>SUMIF('Actuals 2009 - 2013'!$M:$M,$A28,'Actuals 2009 - 2013'!$O:$O)/1000</f>
        <v>31.855970000000003</v>
      </c>
      <c r="C28" s="9">
        <f>SUMIF('Actuals 2009 - 2013'!$M:$M,$A28,'Actuals 2009 - 2013'!$R:$R)/1000</f>
        <v>0</v>
      </c>
      <c r="D28" s="9">
        <f>SUMIF('Actuals 2009 - 2013'!$M:$M,$A28,'Actuals 2009 - 2013'!$U:$U)/1000</f>
        <v>0</v>
      </c>
      <c r="E28" s="9">
        <f>SUMIF('Actuals 2009 - 2013'!$M:$M,$A28,'Actuals 2009 - 2013'!$X:$X)/1000</f>
        <v>0</v>
      </c>
      <c r="F28" s="9">
        <f>SUMIF('Actuals 2009 - 2013'!$M:$M,$A28,'Actuals 2009 - 2013'!$AA:$AA)/1000</f>
        <v>0</v>
      </c>
      <c r="G28" s="9">
        <f>SUMIF('2014FC-8and4'!$V:$V,$A28,'2014FC-8and4'!AF:AF)/1000</f>
        <v>0</v>
      </c>
      <c r="H28" s="9">
        <f>SUMIF('2014FC-8and4'!$V:$V,$A28,'2014FC-8and4'!Z:Z)/1000</f>
        <v>0</v>
      </c>
      <c r="I28" s="9">
        <f>SUMIF('2014FC-8and4'!$V:$V,$A28,'2014FC-8and4'!AC:AC)/1000</f>
        <v>0</v>
      </c>
      <c r="J28" s="9">
        <f>SUMIF('2014FC-8and4'!$V:$V,$A28,'2014FC-8and4'!AI:AI)/1000</f>
        <v>0</v>
      </c>
      <c r="K28" s="9">
        <f>SUMIF('2014FC-8and4'!$V:$V,$A28,'2014FC-8and4'!AL:AL)/1000</f>
        <v>0</v>
      </c>
      <c r="L28" s="9">
        <f>SUMIF('2014FC-8and4'!$V:$V,$A28,'2014FC-8and4'!AO:AO)/1000</f>
        <v>0</v>
      </c>
    </row>
    <row r="29" spans="1:12">
      <c r="A29" t="s">
        <v>3904</v>
      </c>
      <c r="B29" s="9">
        <f>SUMIF('Actuals 2009 - 2013'!$M:$M,$A29,'Actuals 2009 - 2013'!$O:$O)/1000</f>
        <v>0</v>
      </c>
      <c r="C29" s="9">
        <f>SUMIF('Actuals 2009 - 2013'!$M:$M,$A29,'Actuals 2009 - 2013'!$R:$R)/1000</f>
        <v>0</v>
      </c>
      <c r="D29" s="9">
        <f>SUMIF('Actuals 2009 - 2013'!$M:$M,$A29,'Actuals 2009 - 2013'!$U:$U)/1000</f>
        <v>0</v>
      </c>
      <c r="E29" s="9">
        <f>SUMIF('Actuals 2009 - 2013'!$M:$M,$A29,'Actuals 2009 - 2013'!$X:$X)/1000</f>
        <v>0</v>
      </c>
      <c r="F29" s="9">
        <f>SUMIF('Actuals 2009 - 2013'!$M:$M,$A29,'Actuals 2009 - 2013'!$AA:$AA)/1000</f>
        <v>0</v>
      </c>
      <c r="G29" s="9">
        <f>SUMIF('2014FC-8and4'!$V:$V,$A29,'2014FC-8and4'!AF:AF)/1000</f>
        <v>0</v>
      </c>
      <c r="H29" s="9">
        <f>SUMIF('2014FC-8and4'!$V:$V,$A29,'2014FC-8and4'!Z:Z)/1000</f>
        <v>0</v>
      </c>
      <c r="I29" s="9">
        <f>SUMIF('2014FC-8and4'!$V:$V,$A29,'2014FC-8and4'!AC:AC)/1000</f>
        <v>0</v>
      </c>
      <c r="J29" s="9">
        <f>SUMIF('2014FC-8and4'!$V:$V,$A29,'2014FC-8and4'!AI:AI)/1000</f>
        <v>0</v>
      </c>
      <c r="K29" s="9">
        <f>SUMIF('2014FC-8and4'!$V:$V,$A29,'2014FC-8and4'!AL:AL)/1000</f>
        <v>0</v>
      </c>
      <c r="L29" s="9">
        <f>SUMIF('2014FC-8and4'!$V:$V,$A29,'2014FC-8and4'!AO:AO)/1000</f>
        <v>0</v>
      </c>
    </row>
    <row r="30" spans="1:12">
      <c r="A30" t="s">
        <v>3895</v>
      </c>
      <c r="B30" s="9">
        <f>SUMIF('Actuals 2009 - 2013'!$M:$M,$A30,'Actuals 2009 - 2013'!$O:$O)/1000</f>
        <v>64.642399999999995</v>
      </c>
      <c r="C30" s="9">
        <f>SUMIF('Actuals 2009 - 2013'!$M:$M,$A30,'Actuals 2009 - 2013'!$R:$R)/1000</f>
        <v>0</v>
      </c>
      <c r="D30" s="9">
        <f>SUMIF('Actuals 2009 - 2013'!$M:$M,$A30,'Actuals 2009 - 2013'!$U:$U)/1000</f>
        <v>0</v>
      </c>
      <c r="E30" s="9">
        <f>SUMIF('Actuals 2009 - 2013'!$M:$M,$A30,'Actuals 2009 - 2013'!$X:$X)/1000</f>
        <v>0</v>
      </c>
      <c r="F30" s="9">
        <f>SUMIF('Actuals 2009 - 2013'!$M:$M,$A30,'Actuals 2009 - 2013'!$AA:$AA)/1000</f>
        <v>0</v>
      </c>
      <c r="G30" s="9">
        <f>SUMIF('2014FC-8and4'!$V:$V,$A30,'2014FC-8and4'!AF:AF)/1000</f>
        <v>0</v>
      </c>
      <c r="H30" s="9">
        <f>SUMIF('2014FC-8and4'!$V:$V,$A30,'2014FC-8and4'!Z:Z)/1000</f>
        <v>0</v>
      </c>
      <c r="I30" s="9">
        <f>SUMIF('2014FC-8and4'!$V:$V,$A30,'2014FC-8and4'!AC:AC)/1000</f>
        <v>0</v>
      </c>
      <c r="J30" s="9">
        <f>SUMIF('2014FC-8and4'!$V:$V,$A30,'2014FC-8and4'!AI:AI)/1000</f>
        <v>0</v>
      </c>
      <c r="K30" s="9">
        <f>SUMIF('2014FC-8and4'!$V:$V,$A30,'2014FC-8and4'!AL:AL)/1000</f>
        <v>0</v>
      </c>
      <c r="L30" s="9">
        <f>SUMIF('2014FC-8and4'!$V:$V,$A30,'2014FC-8and4'!AO:AO)/1000</f>
        <v>0</v>
      </c>
    </row>
    <row r="31" spans="1:12">
      <c r="A31" t="s">
        <v>3896</v>
      </c>
      <c r="B31" s="9">
        <f>SUMIF('Actuals 2009 - 2013'!$M:$M,$A31,'Actuals 2009 - 2013'!$O:$O)/1000</f>
        <v>14.075979999999999</v>
      </c>
      <c r="C31" s="9">
        <f>SUMIF('Actuals 2009 - 2013'!$M:$M,$A31,'Actuals 2009 - 2013'!$R:$R)/1000</f>
        <v>0.69665999999999995</v>
      </c>
      <c r="D31" s="9">
        <f>SUMIF('Actuals 2009 - 2013'!$M:$M,$A31,'Actuals 2009 - 2013'!$U:$U)/1000</f>
        <v>0</v>
      </c>
      <c r="E31" s="9">
        <f>SUMIF('Actuals 2009 - 2013'!$M:$M,$A31,'Actuals 2009 - 2013'!$X:$X)/1000</f>
        <v>0.71750999999999998</v>
      </c>
      <c r="F31" s="9">
        <f>SUMIF('Actuals 2009 - 2013'!$M:$M,$A31,'Actuals 2009 - 2013'!$AA:$AA)/1000</f>
        <v>19.334340000000001</v>
      </c>
      <c r="G31" s="9">
        <f>SUMIF('2014FC-8and4'!$V:$V,$A31,'2014FC-8and4'!AF:AF)/1000</f>
        <v>0</v>
      </c>
      <c r="H31" s="9">
        <f>SUMIF('2014FC-8and4'!$V:$V,$A31,'2014FC-8and4'!Z:Z)/1000</f>
        <v>0</v>
      </c>
      <c r="I31" s="9">
        <f>SUMIF('2014FC-8and4'!$V:$V,$A31,'2014FC-8and4'!AC:AC)/1000</f>
        <v>0</v>
      </c>
      <c r="J31" s="9">
        <f>SUMIF('2014FC-8and4'!$V:$V,$A31,'2014FC-8and4'!AI:AI)/1000</f>
        <v>0</v>
      </c>
      <c r="K31" s="9">
        <f>SUMIF('2014FC-8and4'!$V:$V,$A31,'2014FC-8and4'!AL:AL)/1000</f>
        <v>0</v>
      </c>
      <c r="L31" s="9">
        <f>SUMIF('2014FC-8and4'!$V:$V,$A31,'2014FC-8and4'!AO:AO)/1000</f>
        <v>0</v>
      </c>
    </row>
    <row r="32" spans="1:12">
      <c r="A32" t="s">
        <v>3897</v>
      </c>
      <c r="B32" s="9">
        <f>SUMIF('Actuals 2009 - 2013'!$M:$M,$A32,'Actuals 2009 - 2013'!$O:$O)/1000</f>
        <v>11349.134549999999</v>
      </c>
      <c r="C32" s="9">
        <f>SUMIF('Actuals 2009 - 2013'!$M:$M,$A32,'Actuals 2009 - 2013'!$R:$R)/1000</f>
        <v>7670.7553999999991</v>
      </c>
      <c r="D32" s="9">
        <f>SUMIF('Actuals 2009 - 2013'!$M:$M,$A32,'Actuals 2009 - 2013'!$U:$U)/1000</f>
        <v>10659.8705393</v>
      </c>
      <c r="E32" s="9">
        <f>SUMIF('Actuals 2009 - 2013'!$M:$M,$A32,'Actuals 2009 - 2013'!$X:$X)/1000</f>
        <v>9372.3672508</v>
      </c>
      <c r="F32" s="9">
        <f>SUMIF('Actuals 2009 - 2013'!$M:$M,$A32,'Actuals 2009 - 2013'!$AA:$AA)/1000</f>
        <v>9198.1056427000003</v>
      </c>
      <c r="G32" s="9">
        <f>SUMIF('2014FC-8and4'!$V:$V,$A32,'2014FC-8and4'!AF:AF)/1000</f>
        <v>5721.2989098000007</v>
      </c>
      <c r="H32" s="9">
        <f>SUMIF('2014FC-8and4'!$V:$V,$A32,'2014FC-8and4'!Z:Z)/1000</f>
        <v>5702.3335152000009</v>
      </c>
      <c r="I32" s="9">
        <f>SUMIF('2014FC-8and4'!$V:$V,$A32,'2014FC-8and4'!AC:AC)/1000</f>
        <v>8461.8488600000001</v>
      </c>
      <c r="J32" s="9">
        <f>SUMIF('2014FC-8and4'!$V:$V,$A32,'2014FC-8and4'!AI:AI)/1000</f>
        <v>7562.0009900000005</v>
      </c>
      <c r="K32" s="9">
        <f>SUMIF('2014FC-8and4'!$V:$V,$A32,'2014FC-8and4'!AL:AL)/1000</f>
        <v>6277.849290000001</v>
      </c>
      <c r="L32" s="9">
        <f>SUMIF('2014FC-8and4'!$V:$V,$A32,'2014FC-8and4'!AO:AO)/1000</f>
        <v>12828.99991</v>
      </c>
    </row>
    <row r="33" spans="1:12">
      <c r="A33" t="s">
        <v>3898</v>
      </c>
      <c r="B33" s="9">
        <f>SUMIF('Actuals 2009 - 2013'!$M:$M,$A33,'Actuals 2009 - 2013'!$O:$O)/1000</f>
        <v>3247.9680899999998</v>
      </c>
      <c r="C33" s="9">
        <f>SUMIF('Actuals 2009 - 2013'!$M:$M,$A33,'Actuals 2009 - 2013'!$R:$R)/1000</f>
        <v>5586.1798099999996</v>
      </c>
      <c r="D33" s="9">
        <f>SUMIF('Actuals 2009 - 2013'!$M:$M,$A33,'Actuals 2009 - 2013'!$U:$U)/1000</f>
        <v>3547.8426150999999</v>
      </c>
      <c r="E33" s="9">
        <f>SUMIF('Actuals 2009 - 2013'!$M:$M,$A33,'Actuals 2009 - 2013'!$X:$X)/1000</f>
        <v>5894.7741972000003</v>
      </c>
      <c r="F33" s="9">
        <f>SUMIF('Actuals 2009 - 2013'!$M:$M,$A33,'Actuals 2009 - 2013'!$AA:$AA)/1000</f>
        <v>3966.7929903000004</v>
      </c>
      <c r="G33" s="9">
        <f>SUMIF('2014FC-8and4'!$V:$V,$A33,'2014FC-8and4'!AF:AF)/1000</f>
        <v>5618.9308275999992</v>
      </c>
      <c r="H33" s="9">
        <f>SUMIF('2014FC-8and4'!$V:$V,$A33,'2014FC-8and4'!Z:Z)/1000</f>
        <v>5592.8218936999992</v>
      </c>
      <c r="I33" s="9">
        <f>SUMIF('2014FC-8and4'!$V:$V,$A33,'2014FC-8and4'!AC:AC)/1000</f>
        <v>5492.0020700000005</v>
      </c>
      <c r="J33" s="9">
        <f>SUMIF('2014FC-8and4'!$V:$V,$A33,'2014FC-8and4'!AI:AI)/1000</f>
        <v>5919.0374300000003</v>
      </c>
      <c r="K33" s="9">
        <f>SUMIF('2014FC-8and4'!$V:$V,$A33,'2014FC-8and4'!AL:AL)/1000</f>
        <v>6462.0018900000005</v>
      </c>
      <c r="L33" s="9">
        <f>SUMIF('2014FC-8and4'!$V:$V,$A33,'2014FC-8and4'!AO:AO)/1000</f>
        <v>5497.8819400000002</v>
      </c>
    </row>
    <row r="34" spans="1:12">
      <c r="A34" t="s">
        <v>3899</v>
      </c>
      <c r="B34" s="9">
        <f>SUMIF('Actuals 2009 - 2013'!$M:$M,$A34,'Actuals 2009 - 2013'!$O:$O)/1000</f>
        <v>0</v>
      </c>
      <c r="C34" s="9">
        <f>SUMIF('Actuals 2009 - 2013'!$M:$M,$A34,'Actuals 2009 - 2013'!$R:$R)/1000</f>
        <v>0.17222000000000001</v>
      </c>
      <c r="D34" s="9">
        <f>SUMIF('Actuals 2009 - 2013'!$M:$M,$A34,'Actuals 2009 - 2013'!$U:$U)/1000</f>
        <v>0</v>
      </c>
      <c r="E34" s="9">
        <f>SUMIF('Actuals 2009 - 2013'!$M:$M,$A34,'Actuals 2009 - 2013'!$X:$X)/1000</f>
        <v>0</v>
      </c>
      <c r="F34" s="9">
        <f>SUMIF('Actuals 2009 - 2013'!$M:$M,$A34,'Actuals 2009 - 2013'!$AA:$AA)/1000</f>
        <v>0.12393999999999999</v>
      </c>
      <c r="G34" s="9">
        <f>SUMIF('2014FC-8and4'!$V:$V,$A34,'2014FC-8and4'!AF:AF)/1000</f>
        <v>0</v>
      </c>
      <c r="H34" s="9">
        <f>SUMIF('2014FC-8and4'!$V:$V,$A34,'2014FC-8and4'!Z:Z)/1000</f>
        <v>0</v>
      </c>
      <c r="I34" s="9">
        <f>SUMIF('2014FC-8and4'!$V:$V,$A34,'2014FC-8and4'!AC:AC)/1000</f>
        <v>0</v>
      </c>
      <c r="J34" s="9">
        <f>SUMIF('2014FC-8and4'!$V:$V,$A34,'2014FC-8and4'!AI:AI)/1000</f>
        <v>0</v>
      </c>
      <c r="K34" s="9">
        <f>SUMIF('2014FC-8and4'!$V:$V,$A34,'2014FC-8and4'!AL:AL)/1000</f>
        <v>0</v>
      </c>
      <c r="L34" s="9">
        <f>SUMIF('2014FC-8and4'!$V:$V,$A34,'2014FC-8and4'!AO:AO)/1000</f>
        <v>0</v>
      </c>
    </row>
    <row r="35" spans="1:12">
      <c r="A35" t="s">
        <v>3903</v>
      </c>
      <c r="B35" s="9">
        <f>SUMIF('Actuals 2009 - 2013'!$M:$M,$A35,'Actuals 2009 - 2013'!$O:$O)/1000</f>
        <v>0</v>
      </c>
      <c r="C35" s="9">
        <f>SUMIF('Actuals 2009 - 2013'!$M:$M,$A35,'Actuals 2009 - 2013'!$R:$R)/1000</f>
        <v>0</v>
      </c>
      <c r="D35" s="9">
        <f>SUMIF('Actuals 2009 - 2013'!$M:$M,$A35,'Actuals 2009 - 2013'!$U:$U)/1000</f>
        <v>0</v>
      </c>
      <c r="E35" s="9">
        <f>SUMIF('Actuals 2009 - 2013'!$M:$M,$A35,'Actuals 2009 - 2013'!$X:$X)/1000</f>
        <v>0</v>
      </c>
      <c r="F35" s="9">
        <f>SUMIF('Actuals 2009 - 2013'!$M:$M,$A35,'Actuals 2009 - 2013'!$AA:$AA)/1000</f>
        <v>0</v>
      </c>
      <c r="G35" s="9">
        <f>SUMIF('2014FC-8and4'!$V:$V,$A35,'2014FC-8and4'!AF:AF)/1000</f>
        <v>0</v>
      </c>
      <c r="H35" s="9">
        <f>SUMIF('2014FC-8and4'!$V:$V,$A35,'2014FC-8and4'!Z:Z)/1000</f>
        <v>0</v>
      </c>
      <c r="I35" s="9">
        <f>SUMIF('2014FC-8and4'!$V:$V,$A35,'2014FC-8and4'!AC:AC)/1000</f>
        <v>0</v>
      </c>
      <c r="J35" s="9">
        <f>SUMIF('2014FC-8and4'!$V:$V,$A35,'2014FC-8and4'!AI:AI)/1000</f>
        <v>0</v>
      </c>
      <c r="K35" s="9">
        <f>SUMIF('2014FC-8and4'!$V:$V,$A35,'2014FC-8and4'!AL:AL)/1000</f>
        <v>0</v>
      </c>
      <c r="L35" s="9">
        <f>SUMIF('2014FC-8and4'!$V:$V,$A35,'2014FC-8and4'!AO:AO)/1000</f>
        <v>0</v>
      </c>
    </row>
    <row r="36" spans="1:12">
      <c r="A36" s="273" t="s">
        <v>3912</v>
      </c>
      <c r="B36" s="9">
        <f>SUMIF('Actuals 2009 - 2013'!$M:$M,$A36,'Actuals 2009 - 2013'!$O:$O)/1000</f>
        <v>0</v>
      </c>
      <c r="C36" s="9">
        <f>SUMIF('Actuals 2009 - 2013'!$M:$M,$A36,'Actuals 2009 - 2013'!$R:$R)/1000</f>
        <v>0</v>
      </c>
      <c r="D36" s="9">
        <f>SUMIF('Actuals 2009 - 2013'!$M:$M,$A36,'Actuals 2009 - 2013'!$U:$U)/1000</f>
        <v>0</v>
      </c>
      <c r="E36" s="9">
        <f>SUMIF('Actuals 2009 - 2013'!$M:$M,$A36,'Actuals 2009 - 2013'!$X:$X)/1000</f>
        <v>0</v>
      </c>
      <c r="F36" s="9">
        <f>SUMIF('Actuals 2009 - 2013'!$M:$M,$A36,'Actuals 2009 - 2013'!$AA:$AA)/1000</f>
        <v>0</v>
      </c>
      <c r="G36" s="9">
        <f>SUMIF('2014FC-8and4'!$V:$V,$A36,'2014FC-8and4'!AF:AF)/1000</f>
        <v>0</v>
      </c>
      <c r="H36" s="9">
        <f>SUMIF('2014FC-8and4'!$V:$V,$A36,'2014FC-8and4'!Z:Z)/1000</f>
        <v>0</v>
      </c>
      <c r="I36" s="9">
        <f>SUMIF('2014FC-8and4'!$V:$V,$A36,'2014FC-8and4'!AC:AC)/1000</f>
        <v>0</v>
      </c>
      <c r="J36" s="9">
        <f>SUMIF('2014FC-8and4'!$V:$V,$A36,'2014FC-8and4'!AI:AI)/1000</f>
        <v>0</v>
      </c>
      <c r="K36" s="9">
        <f>SUMIF('2014FC-8and4'!$V:$V,$A36,'2014FC-8and4'!AL:AL)/1000</f>
        <v>0</v>
      </c>
      <c r="L36" s="9">
        <f>SUMIF('2014FC-8and4'!$V:$V,$A36,'2014FC-8and4'!AO:AO)/1000</f>
        <v>285</v>
      </c>
    </row>
    <row r="37" spans="1:12">
      <c r="A37" t="s">
        <v>3900</v>
      </c>
      <c r="B37" s="9">
        <f>SUMIF('Actuals 2009 - 2013'!$M:$M,$A37,'Actuals 2009 - 2013'!$O:$O)/1000</f>
        <v>104.50184419999999</v>
      </c>
      <c r="C37" s="9">
        <f>SUMIF('Actuals 2009 - 2013'!$M:$M,$A37,'Actuals 2009 - 2013'!$R:$R)/1000</f>
        <v>24.457496299999999</v>
      </c>
      <c r="D37" s="9">
        <f>SUMIF('Actuals 2009 - 2013'!$M:$M,$A37,'Actuals 2009 - 2013'!$U:$U)/1000</f>
        <v>3050.2005426000001</v>
      </c>
      <c r="E37" s="9">
        <f>SUMIF('Actuals 2009 - 2013'!$M:$M,$A37,'Actuals 2009 - 2013'!$X:$X)/1000</f>
        <v>95.486735400000001</v>
      </c>
      <c r="F37" s="9">
        <f>SUMIF('Actuals 2009 - 2013'!$M:$M,$A37,'Actuals 2009 - 2013'!$AA:$AA)/1000</f>
        <v>50.846496300000005</v>
      </c>
      <c r="G37" s="9">
        <f>SUMIF('2014FC-8and4'!$V:$V,$A37,'2014FC-8and4'!AF:AF)/1000</f>
        <v>240.81876630000002</v>
      </c>
      <c r="H37" s="9">
        <f>SUMIF('2014FC-8and4'!$V:$V,$A37,'2014FC-8and4'!Z:Z)/1000</f>
        <v>173.02803420000001</v>
      </c>
      <c r="I37" s="9">
        <f>SUMIF('2014FC-8and4'!$V:$V,$A37,'2014FC-8and4'!AC:AC)/1000</f>
        <v>124.19923000000001</v>
      </c>
      <c r="J37" s="9">
        <f>SUMIF('2014FC-8and4'!$V:$V,$A37,'2014FC-8and4'!AI:AI)/1000</f>
        <v>141.74664999999999</v>
      </c>
      <c r="K37" s="9">
        <f>SUMIF('2014FC-8and4'!$V:$V,$A37,'2014FC-8and4'!AL:AL)/1000</f>
        <v>128.56095399999998</v>
      </c>
      <c r="L37" s="9">
        <f>SUMIF('2014FC-8and4'!$V:$V,$A37,'2014FC-8and4'!AO:AO)/1000</f>
        <v>177.9401072</v>
      </c>
    </row>
    <row r="38" spans="1:12">
      <c r="A38" t="s">
        <v>3901</v>
      </c>
      <c r="B38" s="9">
        <f>SUMIF('Actuals 2009 - 2013'!$M:$M,$A38,'Actuals 2009 - 2013'!$O:$O)/1000</f>
        <v>16.180688799999999</v>
      </c>
      <c r="C38" s="9">
        <f>SUMIF('Actuals 2009 - 2013'!$M:$M,$A38,'Actuals 2009 - 2013'!$R:$R)/1000</f>
        <v>306.08906760000002</v>
      </c>
      <c r="D38" s="9">
        <f>SUMIF('Actuals 2009 - 2013'!$M:$M,$A38,'Actuals 2009 - 2013'!$U:$U)/1000</f>
        <v>94.330577000000005</v>
      </c>
      <c r="E38" s="9">
        <f>SUMIF('Actuals 2009 - 2013'!$M:$M,$A38,'Actuals 2009 - 2013'!$X:$X)/1000</f>
        <v>0</v>
      </c>
      <c r="F38" s="9">
        <f>SUMIF('Actuals 2009 - 2013'!$M:$M,$A38,'Actuals 2009 - 2013'!$AA:$AA)/1000</f>
        <v>3.5531200000000006E-2</v>
      </c>
      <c r="G38" s="9">
        <f>SUMIF('2014FC-8and4'!$V:$V,$A38,'2014FC-8and4'!AF:AF)/1000</f>
        <v>0</v>
      </c>
      <c r="H38" s="9">
        <f>SUMIF('2014FC-8and4'!$V:$V,$A38,'2014FC-8and4'!Z:Z)/1000</f>
        <v>-6.65</v>
      </c>
      <c r="I38" s="9">
        <f>SUMIF('2014FC-8and4'!$V:$V,$A38,'2014FC-8and4'!AC:AC)/1000</f>
        <v>329.29879999999997</v>
      </c>
      <c r="J38" s="9">
        <f>SUMIF('2014FC-8and4'!$V:$V,$A38,'2014FC-8and4'!AI:AI)/1000</f>
        <v>196.7988</v>
      </c>
      <c r="K38" s="9">
        <f>SUMIF('2014FC-8and4'!$V:$V,$A38,'2014FC-8and4'!AL:AL)/1000</f>
        <v>525.59577999999999</v>
      </c>
      <c r="L38" s="9">
        <f>SUMIF('2014FC-8and4'!$V:$V,$A38,'2014FC-8and4'!AO:AO)/1000</f>
        <v>504.10998000000001</v>
      </c>
    </row>
    <row r="39" spans="1:12">
      <c r="A39" t="s">
        <v>3902</v>
      </c>
      <c r="B39" s="9">
        <f>SUMIF('Actuals 2009 - 2013'!$M:$M,$A39,'Actuals 2009 - 2013'!$O:$O)/1000</f>
        <v>0</v>
      </c>
      <c r="C39" s="9">
        <f>SUMIF('Actuals 2009 - 2013'!$M:$M,$A39,'Actuals 2009 - 2013'!$R:$R)/1000</f>
        <v>2427.9229510000005</v>
      </c>
      <c r="D39" s="9">
        <f>SUMIF('Actuals 2009 - 2013'!$M:$M,$A39,'Actuals 2009 - 2013'!$U:$U)/1000</f>
        <v>-2481.1123517999999</v>
      </c>
      <c r="E39" s="9">
        <f>SUMIF('Actuals 2009 - 2013'!$M:$M,$A39,'Actuals 2009 - 2013'!$X:$X)/1000</f>
        <v>0</v>
      </c>
      <c r="F39" s="9">
        <f>SUMIF('Actuals 2009 - 2013'!$M:$M,$A39,'Actuals 2009 - 2013'!$AA:$AA)/1000</f>
        <v>1.4840000000000003E-4</v>
      </c>
      <c r="G39" s="9">
        <f>SUMIF('2014FC-8and4'!$V:$V,$A39,'2014FC-8and4'!AF:AF)/1000</f>
        <v>0</v>
      </c>
      <c r="H39" s="9">
        <f>SUMIF('2014FC-8and4'!$V:$V,$A39,'2014FC-8and4'!Z:Z)/1000</f>
        <v>0</v>
      </c>
      <c r="I39" s="9">
        <f>SUMIF('2014FC-8and4'!$V:$V,$A39,'2014FC-8and4'!AC:AC)/1000</f>
        <v>0</v>
      </c>
      <c r="J39" s="9">
        <f>SUMIF('2014FC-8and4'!$V:$V,$A39,'2014FC-8and4'!AI:AI)/1000</f>
        <v>0</v>
      </c>
      <c r="K39" s="9">
        <f>SUMIF('2014FC-8and4'!$V:$V,$A39,'2014FC-8and4'!AL:AL)/1000</f>
        <v>0</v>
      </c>
      <c r="L39" s="9">
        <f>SUMIF('2014FC-8and4'!$V:$V,$A39,'2014FC-8and4'!AO:AO)/1000</f>
        <v>0</v>
      </c>
    </row>
    <row r="40" spans="1:12" ht="15.75" thickBot="1">
      <c r="A40" t="s">
        <v>3906</v>
      </c>
      <c r="B40" s="272">
        <f>SUM(B28:B39)</f>
        <v>14828.359522999999</v>
      </c>
      <c r="C40" s="272">
        <f t="shared" ref="C40" si="2">SUM(C28:C39)</f>
        <v>16016.273604899998</v>
      </c>
      <c r="D40" s="272">
        <f t="shared" ref="D40" si="3">SUM(D28:D39)</f>
        <v>14871.1319222</v>
      </c>
      <c r="E40" s="272">
        <f t="shared" ref="E40" si="4">SUM(E28:E39)</f>
        <v>15363.345693400001</v>
      </c>
      <c r="F40" s="272">
        <f t="shared" ref="F40:L40" si="5">SUM(F28:F39)</f>
        <v>13235.2390889</v>
      </c>
      <c r="G40" s="272">
        <f t="shared" si="5"/>
        <v>11581.048503700002</v>
      </c>
      <c r="H40" s="272">
        <f t="shared" si="5"/>
        <v>11461.533443100001</v>
      </c>
      <c r="I40" s="272">
        <f t="shared" si="5"/>
        <v>14407.348960000001</v>
      </c>
      <c r="J40" s="272">
        <f t="shared" si="5"/>
        <v>13819.58387</v>
      </c>
      <c r="K40" s="272">
        <f t="shared" si="5"/>
        <v>13394.007914000002</v>
      </c>
      <c r="L40" s="272">
        <f t="shared" si="5"/>
        <v>19293.931937200003</v>
      </c>
    </row>
    <row r="41" spans="1:12" ht="15.75" thickTop="1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</sheetData>
  <sortState ref="A13:A153">
    <sortCondition ref="A13:A153"/>
  </sortState>
  <mergeCells count="1">
    <mergeCell ref="B5:L5"/>
  </mergeCells>
  <printOptions horizontalCentered="1"/>
  <pageMargins left="0.25" right="0.25" top="0.5" bottom="0.5" header="0.3" footer="0.25"/>
  <pageSetup scale="91" orientation="landscape" r:id="rId1"/>
  <headerFooter>
    <oddFooter>&amp;L&amp;8&amp;D
&amp;T&amp;R&amp;8&amp;Z&amp;F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Normal="100" workbookViewId="0">
      <pane xSplit="1" ySplit="5" topLeftCell="B80" activePane="bottomRight" state="frozen"/>
      <selection activeCell="G49" sqref="G49"/>
      <selection pane="topRight" activeCell="G49" sqref="G49"/>
      <selection pane="bottomLeft" activeCell="G49" sqref="G49"/>
      <selection pane="bottomRight" activeCell="G49" sqref="G49"/>
    </sheetView>
  </sheetViews>
  <sheetFormatPr defaultRowHeight="15"/>
  <cols>
    <col min="1" max="1" width="36" customWidth="1"/>
    <col min="2" max="2" width="10.5703125" bestFit="1" customWidth="1"/>
    <col min="3" max="3" width="10.5703125" customWidth="1"/>
    <col min="4" max="7" width="9.140625" customWidth="1"/>
    <col min="8" max="9" width="9.7109375" bestFit="1" customWidth="1"/>
    <col min="10" max="12" width="10.7109375" bestFit="1" customWidth="1"/>
  </cols>
  <sheetData>
    <row r="1" spans="1:12" ht="18.75">
      <c r="A1" s="18" t="s">
        <v>3690</v>
      </c>
    </row>
    <row r="2" spans="1:12">
      <c r="A2" t="s">
        <v>3691</v>
      </c>
    </row>
    <row r="3" spans="1:12" ht="15" customHeight="1">
      <c r="B3" s="291" t="s">
        <v>2753</v>
      </c>
      <c r="C3" s="292"/>
      <c r="D3" s="292"/>
      <c r="E3" s="292"/>
      <c r="F3" s="292"/>
      <c r="G3" s="292"/>
      <c r="H3" s="292"/>
      <c r="I3" s="292"/>
      <c r="J3" s="292"/>
      <c r="K3" s="292"/>
      <c r="L3" s="293"/>
    </row>
    <row r="4" spans="1:12">
      <c r="B4" s="247" t="s">
        <v>3874</v>
      </c>
      <c r="C4" s="247" t="s">
        <v>3874</v>
      </c>
      <c r="D4" s="247" t="s">
        <v>3874</v>
      </c>
      <c r="E4" s="253" t="s">
        <v>3874</v>
      </c>
      <c r="F4" s="253" t="s">
        <v>3874</v>
      </c>
      <c r="G4" s="266" t="s">
        <v>3909</v>
      </c>
      <c r="H4" s="261">
        <v>41699</v>
      </c>
      <c r="I4" s="261">
        <v>42186</v>
      </c>
      <c r="J4" s="247" t="s">
        <v>3886</v>
      </c>
      <c r="K4" s="247" t="s">
        <v>3886</v>
      </c>
      <c r="L4" s="253" t="s">
        <v>3886</v>
      </c>
    </row>
    <row r="5" spans="1:12">
      <c r="B5" s="248">
        <v>40178</v>
      </c>
      <c r="C5" s="248">
        <v>40543</v>
      </c>
      <c r="D5" s="248">
        <v>40908</v>
      </c>
      <c r="E5" s="248">
        <v>41274</v>
      </c>
      <c r="F5" s="248">
        <v>41639</v>
      </c>
      <c r="G5" s="248">
        <v>42004</v>
      </c>
      <c r="H5" s="248">
        <v>42063</v>
      </c>
      <c r="I5" s="248">
        <v>42522</v>
      </c>
      <c r="J5" s="248">
        <v>42369</v>
      </c>
      <c r="K5" s="248">
        <v>42735</v>
      </c>
      <c r="L5" s="248">
        <v>43100</v>
      </c>
    </row>
    <row r="6" spans="1:12" s="275" customFormat="1">
      <c r="A6" s="287" t="s">
        <v>3914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</row>
    <row r="7" spans="1:12">
      <c r="A7" s="1" t="s">
        <v>3694</v>
      </c>
      <c r="B7" s="9">
        <f>SUMIF('Actuals 2009 - 2013'!$D:$D,$A7,'Actuals 2009 - 2013'!N:N)/1000</f>
        <v>0</v>
      </c>
      <c r="C7" s="9">
        <f>SUMIF('Actuals 2009 - 2013'!$D:$D,$A7,'Actuals 2009 - 2013'!Q:Q)/1000</f>
        <v>0</v>
      </c>
      <c r="D7" s="9">
        <f>SUMIF('Actuals 2009 - 2013'!$D:$D,$A7,'Actuals 2009 - 2013'!T:T)/1000</f>
        <v>232.54270559999998</v>
      </c>
      <c r="E7" s="9">
        <f>SUMIF('Actuals 2009 - 2013'!$D:$D,$A7,'Actuals 2009 - 2013'!W:W)/1000</f>
        <v>945.35035200000004</v>
      </c>
      <c r="F7" s="9">
        <f>SUMIF('Actuals 2009 - 2013'!$D:$D,$A7,'Actuals 2009 - 2013'!Z:Z)/1000</f>
        <v>3.1854870000000002</v>
      </c>
      <c r="G7" s="9">
        <f>SUMIF('2014FC-8and4'!$D:$D,$A7,'2014FC-8and4'!AE:AE)/1000</f>
        <v>2931.9233526000003</v>
      </c>
      <c r="H7" s="9">
        <f>SUMIF('2014FC-8and4'!$D:$D,$A7,'2014FC-8and4'!Y:Y)/1000</f>
        <v>2781.0323810999998</v>
      </c>
      <c r="I7" s="9">
        <f>SUMIF('2014FC-8and4'!$D:$D,$A7,'2014FC-8and4'!AB:AB)/1000</f>
        <v>4322.1996900000004</v>
      </c>
      <c r="J7" s="9">
        <f>SUMIF('2014FC-8and4'!$D:$D,$A7,'2014FC-8and4'!AH:AH)/1000</f>
        <v>1215.1620000000003</v>
      </c>
      <c r="K7" s="9">
        <f>SUMIF('2014FC-8and4'!$D:$D,$A7,'2014FC-8and4'!AK:AK)/1000</f>
        <v>4322.1996900000004</v>
      </c>
      <c r="L7" s="9">
        <f>SUMIF('2014FC-8and4'!$D:$D,$A7,'2014FC-8and4'!AN:AN)/1000</f>
        <v>1214.70192</v>
      </c>
    </row>
    <row r="8" spans="1:12">
      <c r="A8" s="19" t="s">
        <v>3692</v>
      </c>
      <c r="B8" s="23">
        <f t="shared" ref="B8:L8" si="0">SUM(B7:B7)</f>
        <v>0</v>
      </c>
      <c r="C8" s="23">
        <f t="shared" si="0"/>
        <v>0</v>
      </c>
      <c r="D8" s="23">
        <f t="shared" si="0"/>
        <v>232.54270559999998</v>
      </c>
      <c r="E8" s="23">
        <f t="shared" si="0"/>
        <v>945.35035200000004</v>
      </c>
      <c r="F8" s="23">
        <f t="shared" si="0"/>
        <v>3.1854870000000002</v>
      </c>
      <c r="G8" s="23">
        <f t="shared" si="0"/>
        <v>2931.9233526000003</v>
      </c>
      <c r="H8" s="23">
        <f t="shared" si="0"/>
        <v>2781.0323810999998</v>
      </c>
      <c r="I8" s="23">
        <f t="shared" si="0"/>
        <v>4322.1996900000004</v>
      </c>
      <c r="J8" s="23">
        <f t="shared" si="0"/>
        <v>1215.1620000000003</v>
      </c>
      <c r="K8" s="23">
        <f t="shared" si="0"/>
        <v>4322.1996900000004</v>
      </c>
      <c r="L8" s="249">
        <f t="shared" si="0"/>
        <v>1214.70192</v>
      </c>
    </row>
    <row r="9" spans="1:12">
      <c r="A9" s="1"/>
    </row>
    <row r="10" spans="1:12">
      <c r="A10" s="1" t="s">
        <v>3682</v>
      </c>
      <c r="B10" s="9">
        <f>SUMIF('Actuals 2009 - 2013'!$D:$D,$A10,'Actuals 2009 - 2013'!N:N)/1000</f>
        <v>2895.5878900000002</v>
      </c>
      <c r="C10" s="9">
        <f>SUMIF('Actuals 2009 - 2013'!$D:$D,$A10,'Actuals 2009 - 2013'!Q:Q)/1000</f>
        <v>2625.00515</v>
      </c>
      <c r="D10" s="9">
        <f>SUMIF('Actuals 2009 - 2013'!$D:$D,$A10,'Actuals 2009 - 2013'!T:T)/1000</f>
        <v>1805.3400200000001</v>
      </c>
      <c r="E10" s="9">
        <f>SUMIF('Actuals 2009 - 2013'!$D:$D,$A10,'Actuals 2009 - 2013'!W:W)/1000</f>
        <v>3471.1877599999998</v>
      </c>
      <c r="F10" s="9">
        <f>SUMIF('Actuals 2009 - 2013'!$D:$D,$A10,'Actuals 2009 - 2013'!Z:Z)/1000</f>
        <v>2427.6513999999997</v>
      </c>
      <c r="G10" s="9">
        <f>SUMIF('2014FC-8and4'!$D:$D,$A10,'2014FC-8and4'!AE:AE)/1000</f>
        <v>3611.57456</v>
      </c>
      <c r="H10" s="9">
        <f>SUMIF('2014FC-8and4'!$D:$D,$A10,'2014FC-8and4'!Y:Y)/1000</f>
        <v>3450.6191300000005</v>
      </c>
      <c r="I10" s="9">
        <f>SUMIF('2014FC-8and4'!$D:$D,$A10,'2014FC-8and4'!AB:AB)/1000</f>
        <v>2600.0010000000002</v>
      </c>
      <c r="J10" s="9">
        <f>SUMIF('2014FC-8and4'!$D:$D,$A10,'2014FC-8and4'!AH:AH)/1000</f>
        <v>9250.01</v>
      </c>
      <c r="K10" s="9">
        <f>SUMIF('2014FC-8and4'!$D:$D,$A10,'2014FC-8and4'!AK:AK)/1000</f>
        <v>2600.0010000000002</v>
      </c>
      <c r="L10" s="9">
        <f>SUMIF('2014FC-8and4'!$D:$D,$A10,'2014FC-8and4'!AN:AN)/1000</f>
        <v>1846.9960000000001</v>
      </c>
    </row>
    <row r="11" spans="1:12">
      <c r="A11" s="1" t="s">
        <v>3685</v>
      </c>
      <c r="B11" s="9">
        <f>SUMIF('Actuals 2009 - 2013'!$D:$D,$A11,'Actuals 2009 - 2013'!N:N)/1000</f>
        <v>3066.5379800000001</v>
      </c>
      <c r="C11" s="9">
        <f>SUMIF('Actuals 2009 - 2013'!$D:$D,$A11,'Actuals 2009 - 2013'!Q:Q)/1000</f>
        <v>1256.6894600000001</v>
      </c>
      <c r="D11" s="9">
        <f>SUMIF('Actuals 2009 - 2013'!$D:$D,$A11,'Actuals 2009 - 2013'!T:T)/1000</f>
        <v>464.92149000000001</v>
      </c>
      <c r="E11" s="9">
        <f>SUMIF('Actuals 2009 - 2013'!$D:$D,$A11,'Actuals 2009 - 2013'!W:W)/1000</f>
        <v>8602.4541199999985</v>
      </c>
      <c r="F11" s="9">
        <f>SUMIF('Actuals 2009 - 2013'!$D:$D,$A11,'Actuals 2009 - 2013'!Z:Z)/1000</f>
        <v>602.80978000000005</v>
      </c>
      <c r="G11" s="9">
        <f>SUMIF('2014FC-8and4'!$D:$D,$A11,'2014FC-8and4'!AE:AE)/1000</f>
        <v>1662.6855700000001</v>
      </c>
      <c r="H11" s="9">
        <f>SUMIF('2014FC-8and4'!$D:$D,$A11,'2014FC-8and4'!Y:Y)/1000</f>
        <v>1482.6067499999999</v>
      </c>
      <c r="I11" s="9">
        <f>SUMIF('2014FC-8and4'!$D:$D,$A11,'2014FC-8and4'!AB:AB)/1000</f>
        <v>4767.0039999999999</v>
      </c>
      <c r="J11" s="9">
        <f>SUMIF('2014FC-8and4'!$D:$D,$A11,'2014FC-8and4'!AH:AH)/1000</f>
        <v>2500.0050000000001</v>
      </c>
      <c r="K11" s="9">
        <f>SUMIF('2014FC-8and4'!$D:$D,$A11,'2014FC-8and4'!AK:AK)/1000</f>
        <v>2996.998</v>
      </c>
      <c r="L11" s="9">
        <f>SUMIF('2014FC-8and4'!$D:$D,$A11,'2014FC-8and4'!AN:AN)/1000</f>
        <v>1496.9970000000001</v>
      </c>
    </row>
    <row r="12" spans="1:12">
      <c r="A12" s="1" t="s">
        <v>3683</v>
      </c>
      <c r="B12" s="9">
        <f>SUMIF('Actuals 2009 - 2013'!$D:$D,$A12,'Actuals 2009 - 2013'!N:N)/1000</f>
        <v>1316.0391400000001</v>
      </c>
      <c r="C12" s="9">
        <f>SUMIF('Actuals 2009 - 2013'!$D:$D,$A12,'Actuals 2009 - 2013'!Q:Q)/1000</f>
        <v>355.80836999999997</v>
      </c>
      <c r="D12" s="9">
        <f>SUMIF('Actuals 2009 - 2013'!$D:$D,$A12,'Actuals 2009 - 2013'!T:T)/1000</f>
        <v>10306.40107</v>
      </c>
      <c r="E12" s="9">
        <f>SUMIF('Actuals 2009 - 2013'!$D:$D,$A12,'Actuals 2009 - 2013'!W:W)/1000</f>
        <v>3313.1937300000004</v>
      </c>
      <c r="F12" s="9">
        <f>SUMIF('Actuals 2009 - 2013'!$D:$D,$A12,'Actuals 2009 - 2013'!Z:Z)/1000</f>
        <v>919.79151999999999</v>
      </c>
      <c r="G12" s="9">
        <f>SUMIF('2014FC-8and4'!$D:$D,$A12,'2014FC-8and4'!AE:AE)/1000</f>
        <v>3829.4512100000002</v>
      </c>
      <c r="H12" s="9">
        <f>SUMIF('2014FC-8and4'!$D:$D,$A12,'2014FC-8and4'!Y:Y)/1000</f>
        <v>3772.4254900000001</v>
      </c>
      <c r="I12" s="9">
        <f>SUMIF('2014FC-8and4'!$D:$D,$A12,'2014FC-8and4'!AB:AB)/1000</f>
        <v>3300.011</v>
      </c>
      <c r="J12" s="9">
        <f>SUMIF('2014FC-8and4'!$D:$D,$A12,'2014FC-8and4'!AH:AH)/1000</f>
        <v>3300.011</v>
      </c>
      <c r="K12" s="9">
        <f>SUMIF('2014FC-8and4'!$D:$D,$A12,'2014FC-8and4'!AK:AK)/1000</f>
        <v>2599.9940000000001</v>
      </c>
      <c r="L12" s="9">
        <f>SUMIF('2014FC-8and4'!$D:$D,$A12,'2014FC-8and4'!AN:AN)/1000</f>
        <v>2200.0010000000002</v>
      </c>
    </row>
    <row r="13" spans="1:12">
      <c r="A13" s="1" t="s">
        <v>3684</v>
      </c>
      <c r="B13" s="9">
        <f>SUMIF('Actuals 2009 - 2013'!$D:$D,$A13,'Actuals 2009 - 2013'!N:N)/1000</f>
        <v>1040.69409</v>
      </c>
      <c r="C13" s="9">
        <f>SUMIF('Actuals 2009 - 2013'!$D:$D,$A13,'Actuals 2009 - 2013'!Q:Q)/1000</f>
        <v>3416.8691599999997</v>
      </c>
      <c r="D13" s="9">
        <f>SUMIF('Actuals 2009 - 2013'!$D:$D,$A13,'Actuals 2009 - 2013'!T:T)/1000</f>
        <v>408.95456000000001</v>
      </c>
      <c r="E13" s="9">
        <f>SUMIF('Actuals 2009 - 2013'!$D:$D,$A13,'Actuals 2009 - 2013'!W:W)/1000</f>
        <v>1090.5641000000001</v>
      </c>
      <c r="F13" s="9">
        <f>SUMIF('Actuals 2009 - 2013'!$D:$D,$A13,'Actuals 2009 - 2013'!Z:Z)/1000</f>
        <v>950.11757999999998</v>
      </c>
      <c r="G13" s="9">
        <f>SUMIF('2014FC-8and4'!$D:$D,$A13,'2014FC-8and4'!AE:AE)/1000</f>
        <v>7391.4497300000012</v>
      </c>
      <c r="H13" s="9">
        <f>SUMIF('2014FC-8and4'!$D:$D,$A13,'2014FC-8and4'!Y:Y)/1000</f>
        <v>7364.0672799999993</v>
      </c>
      <c r="I13" s="9">
        <f>SUMIF('2014FC-8and4'!$D:$D,$A13,'2014FC-8and4'!AB:AB)/1000</f>
        <v>2099.9969999999998</v>
      </c>
      <c r="J13" s="9">
        <f>SUMIF('2014FC-8and4'!$D:$D,$A13,'2014FC-8and4'!AH:AH)/1000</f>
        <v>0</v>
      </c>
      <c r="K13" s="9">
        <f>SUMIF('2014FC-8and4'!$D:$D,$A13,'2014FC-8and4'!AK:AK)/1000</f>
        <v>2099.9969999999998</v>
      </c>
      <c r="L13" s="9">
        <f>SUMIF('2014FC-8and4'!$D:$D,$A13,'2014FC-8and4'!AN:AN)/1000</f>
        <v>1400.009</v>
      </c>
    </row>
    <row r="14" spans="1:12">
      <c r="A14" s="1" t="s">
        <v>3686</v>
      </c>
      <c r="B14" s="9">
        <f>SUMIF('Actuals 2009 - 2013'!$D:$D,$A14,'Actuals 2009 - 2013'!N:N)/1000</f>
        <v>0</v>
      </c>
      <c r="C14" s="9">
        <f>SUMIF('Actuals 2009 - 2013'!$D:$D,$A14,'Actuals 2009 - 2013'!Q:Q)/1000</f>
        <v>0</v>
      </c>
      <c r="D14" s="9">
        <f>SUMIF('Actuals 2009 - 2013'!$D:$D,$A14,'Actuals 2009 - 2013'!T:T)/1000</f>
        <v>0</v>
      </c>
      <c r="E14" s="9">
        <f>SUMIF('Actuals 2009 - 2013'!$D:$D,$A14,'Actuals 2009 - 2013'!W:W)/1000</f>
        <v>0</v>
      </c>
      <c r="F14" s="9">
        <f>SUMIF('Actuals 2009 - 2013'!$D:$D,$A14,'Actuals 2009 - 2013'!Z:Z)/1000</f>
        <v>0</v>
      </c>
      <c r="G14" s="9">
        <f>SUMIF('2014FC-8and4'!$D:$D,$A14,'2014FC-8and4'!AE:AE)/1000</f>
        <v>0</v>
      </c>
      <c r="H14" s="9">
        <f>SUMIF('2014FC-8and4'!$D:$D,$A14,'2014FC-8and4'!Y:Y)/1000</f>
        <v>0</v>
      </c>
      <c r="I14" s="9">
        <f>SUMIF('2014FC-8and4'!$D:$D,$A14,'2014FC-8and4'!AB:AB)/1000</f>
        <v>0</v>
      </c>
      <c r="J14" s="9">
        <f>SUMIF('2014FC-8and4'!$D:$D,$A14,'2014FC-8and4'!AH:AH)/1000</f>
        <v>0</v>
      </c>
      <c r="K14" s="9">
        <f>SUMIF('2014FC-8and4'!$D:$D,$A14,'2014FC-8and4'!AK:AK)/1000</f>
        <v>0</v>
      </c>
      <c r="L14" s="9">
        <f>SUMIF('2014FC-8and4'!$D:$D,$A14,'2014FC-8and4'!AN:AN)/1000</f>
        <v>0</v>
      </c>
    </row>
    <row r="15" spans="1:12">
      <c r="A15" s="19" t="s">
        <v>3692</v>
      </c>
      <c r="B15" s="23">
        <f>SUM(B10:B14)</f>
        <v>8318.8590999999997</v>
      </c>
      <c r="C15" s="23">
        <f>SUM(C10:C14)</f>
        <v>7654.3721399999995</v>
      </c>
      <c r="D15" s="23">
        <f>SUM(D10:D14)</f>
        <v>12985.61714</v>
      </c>
      <c r="E15" s="23">
        <f t="shared" ref="E15:L15" si="1">SUM(E10:E14)</f>
        <v>16477.399710000002</v>
      </c>
      <c r="F15" s="23">
        <f t="shared" si="1"/>
        <v>4900.3702800000001</v>
      </c>
      <c r="G15" s="23">
        <f t="shared" si="1"/>
        <v>16495.161070000002</v>
      </c>
      <c r="H15" s="23">
        <f t="shared" si="1"/>
        <v>16069.718649999999</v>
      </c>
      <c r="I15" s="23">
        <f t="shared" si="1"/>
        <v>12767.012999999999</v>
      </c>
      <c r="J15" s="23">
        <f t="shared" si="1"/>
        <v>15050.026</v>
      </c>
      <c r="K15" s="23">
        <f t="shared" si="1"/>
        <v>10296.99</v>
      </c>
      <c r="L15" s="249">
        <f t="shared" si="1"/>
        <v>6944.0030000000006</v>
      </c>
    </row>
    <row r="16" spans="1:12">
      <c r="A16" s="1"/>
    </row>
    <row r="17" spans="1:12">
      <c r="A17" s="1" t="s">
        <v>3679</v>
      </c>
      <c r="B17" s="9">
        <f>SUMIF('Actuals 2009 - 2013'!$D:$D,$A17,'Actuals 2009 - 2013'!N:N)/1000</f>
        <v>220.08356999999998</v>
      </c>
      <c r="C17" s="9">
        <f>SUMIF('Actuals 2009 - 2013'!$D:$D,$A17,'Actuals 2009 - 2013'!Q:Q)/1000</f>
        <v>733.71629000000007</v>
      </c>
      <c r="D17" s="9">
        <f>SUMIF('Actuals 2009 - 2013'!$D:$D,$A17,'Actuals 2009 - 2013'!T:T)/1000</f>
        <v>346.62155999999999</v>
      </c>
      <c r="E17" s="9">
        <f>SUMIF('Actuals 2009 - 2013'!$D:$D,$A17,'Actuals 2009 - 2013'!W:W)/1000</f>
        <v>692.38432</v>
      </c>
      <c r="F17" s="9">
        <f>SUMIF('Actuals 2009 - 2013'!$D:$D,$A17,'Actuals 2009 - 2013'!Z:Z)/1000</f>
        <v>343.60613000000001</v>
      </c>
      <c r="G17" s="9">
        <f>SUMIF('2014FC-8and4'!$D:$D,$A17,'2014FC-8and4'!AE:AE)/1000</f>
        <v>530</v>
      </c>
      <c r="H17" s="9">
        <f>SUMIF('2014FC-8and4'!$D:$D,$A17,'2014FC-8and4'!Y:Y)/1000</f>
        <v>1008.9915699999999</v>
      </c>
      <c r="I17" s="9">
        <f>SUMIF('2014FC-8and4'!$D:$D,$A17,'2014FC-8and4'!AB:AB)/1000</f>
        <v>800.07299999999998</v>
      </c>
      <c r="J17" s="9">
        <f>SUMIF('2014FC-8and4'!$D:$D,$A17,'2014FC-8and4'!AH:AH)/1000</f>
        <v>4225.8</v>
      </c>
      <c r="K17" s="9">
        <f>SUMIF('2014FC-8and4'!$D:$D,$A17,'2014FC-8and4'!AK:AK)/1000</f>
        <v>800.07299999999998</v>
      </c>
      <c r="L17" s="9">
        <f>SUMIF('2014FC-8and4'!$D:$D,$A17,'2014FC-8and4'!AN:AN)/1000</f>
        <v>485.25799999999998</v>
      </c>
    </row>
    <row r="18" spans="1:12">
      <c r="A18" s="1" t="s">
        <v>3695</v>
      </c>
      <c r="B18" s="9">
        <f>SUMIF('Actuals 2009 - 2013'!$D:$D,$A18,'Actuals 2009 - 2013'!N:N)/1000</f>
        <v>27.958560000000002</v>
      </c>
      <c r="C18" s="9">
        <f>SUMIF('Actuals 2009 - 2013'!$D:$D,$A18,'Actuals 2009 - 2013'!Q:Q)/1000</f>
        <v>0</v>
      </c>
      <c r="D18" s="9">
        <f>SUMIF('Actuals 2009 - 2013'!$D:$D,$A18,'Actuals 2009 - 2013'!T:T)/1000</f>
        <v>79.370329999999996</v>
      </c>
      <c r="E18" s="9">
        <f>SUMIF('Actuals 2009 - 2013'!$D:$D,$A18,'Actuals 2009 - 2013'!W:W)/1000</f>
        <v>6.1387299999999998</v>
      </c>
      <c r="F18" s="9">
        <f>SUMIF('Actuals 2009 - 2013'!$D:$D,$A18,'Actuals 2009 - 2013'!Z:Z)/1000</f>
        <v>1.64E-3</v>
      </c>
      <c r="G18" s="9">
        <f>SUMIF('2014FC-8and4'!$D:$D,$A18,'2014FC-8and4'!AE:AE)/1000</f>
        <v>382.24478999999997</v>
      </c>
      <c r="H18" s="9">
        <f>SUMIF('2014FC-8and4'!$D:$D,$A18,'2014FC-8and4'!Y:Y)/1000</f>
        <v>382.01143999999994</v>
      </c>
      <c r="I18" s="9">
        <f>SUMIF('2014FC-8and4'!$D:$D,$A18,'2014FC-8and4'!AB:AB)/1000</f>
        <v>200</v>
      </c>
      <c r="J18" s="9">
        <f>SUMIF('2014FC-8and4'!$D:$D,$A18,'2014FC-8and4'!AH:AH)/1000</f>
        <v>0</v>
      </c>
      <c r="K18" s="9">
        <f>SUMIF('2014FC-8and4'!$D:$D,$A18,'2014FC-8and4'!AK:AK)/1000</f>
        <v>200</v>
      </c>
      <c r="L18" s="9">
        <f>SUMIF('2014FC-8and4'!$D:$D,$A18,'2014FC-8and4'!AN:AN)/1000</f>
        <v>0</v>
      </c>
    </row>
    <row r="19" spans="1:12">
      <c r="A19" s="1" t="s">
        <v>3680</v>
      </c>
      <c r="B19" s="9">
        <f>SUMIF('Actuals 2009 - 2013'!$D:$D,$A19,'Actuals 2009 - 2013'!N:N)/1000</f>
        <v>3334.9988900000003</v>
      </c>
      <c r="C19" s="9">
        <f>SUMIF('Actuals 2009 - 2013'!$D:$D,$A19,'Actuals 2009 - 2013'!Q:Q)/1000</f>
        <v>615.38876000000005</v>
      </c>
      <c r="D19" s="9">
        <f>SUMIF('Actuals 2009 - 2013'!$D:$D,$A19,'Actuals 2009 - 2013'!T:T)/1000</f>
        <v>1181.6642400000003</v>
      </c>
      <c r="E19" s="9">
        <f>SUMIF('Actuals 2009 - 2013'!$D:$D,$A19,'Actuals 2009 - 2013'!W:W)/1000</f>
        <v>398.47167000000002</v>
      </c>
      <c r="F19" s="9">
        <f>SUMIF('Actuals 2009 - 2013'!$D:$D,$A19,'Actuals 2009 - 2013'!Z:Z)/1000</f>
        <v>1023.60625</v>
      </c>
      <c r="G19" s="9">
        <f>SUMIF('2014FC-8and4'!$D:$D,$A19,'2014FC-8and4'!AE:AE)/1000</f>
        <v>380</v>
      </c>
      <c r="H19" s="9">
        <f>SUMIF('2014FC-8and4'!$D:$D,$A19,'2014FC-8and4'!Y:Y)/1000</f>
        <v>369.11984000000001</v>
      </c>
      <c r="I19" s="9">
        <f>SUMIF('2014FC-8and4'!$D:$D,$A19,'2014FC-8and4'!AB:AB)/1000</f>
        <v>594.67999999999995</v>
      </c>
      <c r="J19" s="9">
        <f>SUMIF('2014FC-8and4'!$D:$D,$A19,'2014FC-8and4'!AH:AH)/1000</f>
        <v>594.67999999999995</v>
      </c>
      <c r="K19" s="9">
        <f>SUMIF('2014FC-8and4'!$D:$D,$A19,'2014FC-8and4'!AK:AK)/1000</f>
        <v>30</v>
      </c>
      <c r="L19" s="9">
        <f>SUMIF('2014FC-8and4'!$D:$D,$A19,'2014FC-8and4'!AN:AN)/1000</f>
        <v>4751.4319999999998</v>
      </c>
    </row>
    <row r="20" spans="1:12">
      <c r="A20" s="1" t="s">
        <v>3681</v>
      </c>
      <c r="B20" s="9">
        <f>SUMIF('Actuals 2009 - 2013'!$D:$D,$A20,'Actuals 2009 - 2013'!N:N)/1000</f>
        <v>1005.3832000000001</v>
      </c>
      <c r="C20" s="9">
        <f>SUMIF('Actuals 2009 - 2013'!$D:$D,$A20,'Actuals 2009 - 2013'!Q:Q)/1000</f>
        <v>2520.3514400000004</v>
      </c>
      <c r="D20" s="9">
        <f>SUMIF('Actuals 2009 - 2013'!$D:$D,$A20,'Actuals 2009 - 2013'!T:T)/1000</f>
        <v>2243.3782799999999</v>
      </c>
      <c r="E20" s="9">
        <f>SUMIF('Actuals 2009 - 2013'!$D:$D,$A20,'Actuals 2009 - 2013'!W:W)/1000</f>
        <v>7900.6252799999993</v>
      </c>
      <c r="F20" s="9">
        <f>SUMIF('Actuals 2009 - 2013'!$D:$D,$A20,'Actuals 2009 - 2013'!Z:Z)/1000</f>
        <v>427.22705000000002</v>
      </c>
      <c r="G20" s="9">
        <f>SUMIF('2014FC-8and4'!$D:$D,$A20,'2014FC-8and4'!AE:AE)/1000</f>
        <v>960</v>
      </c>
      <c r="H20" s="9">
        <f>SUMIF('2014FC-8and4'!$D:$D,$A20,'2014FC-8and4'!Y:Y)/1000</f>
        <v>955.58087999999975</v>
      </c>
      <c r="I20" s="9">
        <f>SUMIF('2014FC-8and4'!$D:$D,$A20,'2014FC-8and4'!AB:AB)/1000</f>
        <v>1721.095</v>
      </c>
      <c r="J20" s="9">
        <f>SUMIF('2014FC-8and4'!$D:$D,$A20,'2014FC-8and4'!AH:AH)/1000</f>
        <v>1125</v>
      </c>
      <c r="K20" s="9">
        <f>SUMIF('2014FC-8and4'!$D:$D,$A20,'2014FC-8and4'!AK:AK)/1000</f>
        <v>596.09500000000003</v>
      </c>
      <c r="L20" s="9">
        <f>SUMIF('2014FC-8and4'!$D:$D,$A20,'2014FC-8and4'!AN:AN)/1000</f>
        <v>810.83699999999999</v>
      </c>
    </row>
    <row r="21" spans="1:12">
      <c r="A21" s="1" t="s">
        <v>3678</v>
      </c>
      <c r="B21" s="9">
        <f>SUMIF('Actuals 2009 - 2013'!$D:$D,$A21,'Actuals 2009 - 2013'!N:N)/1000</f>
        <v>0</v>
      </c>
      <c r="C21" s="9">
        <f>SUMIF('Actuals 2009 - 2013'!$D:$D,$A21,'Actuals 2009 - 2013'!Q:Q)/1000</f>
        <v>0</v>
      </c>
      <c r="D21" s="9">
        <f>SUMIF('Actuals 2009 - 2013'!$D:$D,$A21,'Actuals 2009 - 2013'!T:T)/1000</f>
        <v>0</v>
      </c>
      <c r="E21" s="9">
        <f>SUMIF('Actuals 2009 - 2013'!$D:$D,$A21,'Actuals 2009 - 2013'!W:W)/1000</f>
        <v>0</v>
      </c>
      <c r="F21" s="9">
        <f>SUMIF('Actuals 2009 - 2013'!$D:$D,$A21,'Actuals 2009 - 2013'!Z:Z)/1000</f>
        <v>0</v>
      </c>
      <c r="G21" s="9">
        <f>SUMIF('2014FC-8and4'!$D:$D,$A21,'2014FC-8and4'!AE:AE)/1000</f>
        <v>0</v>
      </c>
      <c r="H21" s="9">
        <f>SUMIF('2014FC-8and4'!$D:$D,$A21,'2014FC-8and4'!Y:Y)/1000</f>
        <v>0</v>
      </c>
      <c r="I21" s="9">
        <f>SUMIF('2014FC-8and4'!$D:$D,$A21,'2014FC-8and4'!AB:AB)/1000</f>
        <v>0</v>
      </c>
      <c r="J21" s="9">
        <f>SUMIF('2014FC-8and4'!$D:$D,$A21,'2014FC-8and4'!AH:AH)/1000</f>
        <v>0</v>
      </c>
      <c r="K21" s="9">
        <f>SUMIF('2014FC-8and4'!$D:$D,$A21,'2014FC-8and4'!AK:AK)/1000</f>
        <v>0</v>
      </c>
      <c r="L21" s="9">
        <f>SUMIF('2014FC-8and4'!$D:$D,$A21,'2014FC-8and4'!AN:AN)/1000</f>
        <v>0</v>
      </c>
    </row>
    <row r="22" spans="1:12">
      <c r="A22" s="19" t="s">
        <v>3692</v>
      </c>
      <c r="B22" s="23">
        <f>SUM(B17:B21)</f>
        <v>4588.4242199999999</v>
      </c>
      <c r="C22" s="23">
        <f>SUM(C17:C21)</f>
        <v>3869.4564900000005</v>
      </c>
      <c r="D22" s="23">
        <f>SUM(D17:D21)</f>
        <v>3851.0344100000002</v>
      </c>
      <c r="E22" s="23">
        <f t="shared" ref="E22:L22" si="2">SUM(E17:E21)</f>
        <v>8997.619999999999</v>
      </c>
      <c r="F22" s="23">
        <f t="shared" si="2"/>
        <v>1794.4410700000001</v>
      </c>
      <c r="G22" s="23">
        <f t="shared" si="2"/>
        <v>2252.2447899999997</v>
      </c>
      <c r="H22" s="23">
        <f t="shared" si="2"/>
        <v>2715.7037299999997</v>
      </c>
      <c r="I22" s="23">
        <f t="shared" si="2"/>
        <v>3315.848</v>
      </c>
      <c r="J22" s="23">
        <f t="shared" si="2"/>
        <v>5945.4800000000005</v>
      </c>
      <c r="K22" s="23">
        <f t="shared" si="2"/>
        <v>1626.1679999999999</v>
      </c>
      <c r="L22" s="249">
        <f t="shared" si="2"/>
        <v>6047.527</v>
      </c>
    </row>
    <row r="23" spans="1:12">
      <c r="A23" s="1"/>
    </row>
    <row r="24" spans="1:12">
      <c r="A24" s="1" t="s">
        <v>3675</v>
      </c>
      <c r="B24" s="9">
        <f>SUMIF('Actuals 2009 - 2013'!$D:$D,$A24,'Actuals 2009 - 2013'!N:N)/1000</f>
        <v>535.21762000000001</v>
      </c>
      <c r="C24" s="9">
        <f>SUMIF('Actuals 2009 - 2013'!$D:$D,$A24,'Actuals 2009 - 2013'!Q:Q)/1000</f>
        <v>1576.2696199999998</v>
      </c>
      <c r="D24" s="9">
        <f>SUMIF('Actuals 2009 - 2013'!$D:$D,$A24,'Actuals 2009 - 2013'!T:T)/1000</f>
        <v>1.1199700000000001</v>
      </c>
      <c r="E24" s="9">
        <f>SUMIF('Actuals 2009 - 2013'!$D:$D,$A24,'Actuals 2009 - 2013'!W:W)/1000</f>
        <v>1080.9893800000002</v>
      </c>
      <c r="F24" s="9">
        <f>SUMIF('Actuals 2009 - 2013'!$D:$D,$A24,'Actuals 2009 - 2013'!Z:Z)/1000</f>
        <v>250.08938000000001</v>
      </c>
      <c r="G24" s="9">
        <f>SUMIF('2014FC-8and4'!$D:$D,$A24,'2014FC-8and4'!AE:AE)/1000</f>
        <v>1010.1695999999999</v>
      </c>
      <c r="H24" s="9">
        <f>SUMIF('2014FC-8and4'!$D:$D,$A24,'2014FC-8and4'!Y:Y)/1000</f>
        <v>1010.1695999999999</v>
      </c>
      <c r="I24" s="9">
        <f>SUMIF('2014FC-8and4'!$D:$D,$A24,'2014FC-8and4'!AB:AB)/1000</f>
        <v>300</v>
      </c>
      <c r="J24" s="9">
        <f>SUMIF('2014FC-8and4'!$D:$D,$A24,'2014FC-8and4'!AH:AH)/1000</f>
        <v>300</v>
      </c>
      <c r="K24" s="9">
        <f>SUMIF('2014FC-8and4'!$D:$D,$A24,'2014FC-8and4'!AK:AK)/1000</f>
        <v>0</v>
      </c>
      <c r="L24" s="9">
        <f>SUMIF('2014FC-8and4'!$D:$D,$A24,'2014FC-8and4'!AN:AN)/1000</f>
        <v>0</v>
      </c>
    </row>
    <row r="25" spans="1:12">
      <c r="A25" s="1" t="s">
        <v>3676</v>
      </c>
      <c r="B25" s="9">
        <f>SUMIF('Actuals 2009 - 2013'!$D:$D,$A25,'Actuals 2009 - 2013'!N:N)/1000</f>
        <v>813.74638000000004</v>
      </c>
      <c r="C25" s="9">
        <f>SUMIF('Actuals 2009 - 2013'!$D:$D,$A25,'Actuals 2009 - 2013'!Q:Q)/1000</f>
        <v>239.88898999999998</v>
      </c>
      <c r="D25" s="9">
        <f>SUMIF('Actuals 2009 - 2013'!$D:$D,$A25,'Actuals 2009 - 2013'!T:T)/1000</f>
        <v>1974.30008</v>
      </c>
      <c r="E25" s="9">
        <f>SUMIF('Actuals 2009 - 2013'!$D:$D,$A25,'Actuals 2009 - 2013'!W:W)/1000</f>
        <v>359.01353</v>
      </c>
      <c r="F25" s="9">
        <f>SUMIF('Actuals 2009 - 2013'!$D:$D,$A25,'Actuals 2009 - 2013'!Z:Z)/1000</f>
        <v>1165.13042</v>
      </c>
      <c r="G25" s="9">
        <f>SUMIF('2014FC-8and4'!$D:$D,$A25,'2014FC-8and4'!AE:AE)/1000</f>
        <v>1144.6461200000001</v>
      </c>
      <c r="H25" s="9">
        <f>SUMIF('2014FC-8and4'!$D:$D,$A25,'2014FC-8and4'!Y:Y)/1000</f>
        <v>1141.4620300000001</v>
      </c>
      <c r="I25" s="9">
        <f>SUMIF('2014FC-8and4'!$D:$D,$A25,'2014FC-8and4'!AB:AB)/1000</f>
        <v>300</v>
      </c>
      <c r="J25" s="9">
        <f>SUMIF('2014FC-8and4'!$D:$D,$A25,'2014FC-8and4'!AH:AH)/1000</f>
        <v>1000</v>
      </c>
      <c r="K25" s="9">
        <f>SUMIF('2014FC-8and4'!$D:$D,$A25,'2014FC-8and4'!AK:AK)/1000</f>
        <v>300</v>
      </c>
      <c r="L25" s="9">
        <f>SUMIF('2014FC-8and4'!$D:$D,$A25,'2014FC-8and4'!AN:AN)/1000</f>
        <v>0</v>
      </c>
    </row>
    <row r="26" spans="1:12">
      <c r="A26" s="1" t="s">
        <v>3677</v>
      </c>
      <c r="B26" s="9">
        <f>SUMIF('Actuals 2009 - 2013'!$D:$D,$A26,'Actuals 2009 - 2013'!N:N)/1000</f>
        <v>0</v>
      </c>
      <c r="C26" s="9">
        <f>SUMIF('Actuals 2009 - 2013'!$D:$D,$A26,'Actuals 2009 - 2013'!Q:Q)/1000</f>
        <v>0</v>
      </c>
      <c r="D26" s="9">
        <f>SUMIF('Actuals 2009 - 2013'!$D:$D,$A26,'Actuals 2009 - 2013'!T:T)/1000</f>
        <v>0</v>
      </c>
      <c r="E26" s="9">
        <f>SUMIF('Actuals 2009 - 2013'!$D:$D,$A26,'Actuals 2009 - 2013'!W:W)/1000</f>
        <v>0</v>
      </c>
      <c r="F26" s="9">
        <f>SUMIF('Actuals 2009 - 2013'!$D:$D,$A26,'Actuals 2009 - 2013'!Z:Z)/1000</f>
        <v>0</v>
      </c>
      <c r="G26" s="9">
        <f>SUMIF('2014FC-8and4'!$D:$D,$A26,'2014FC-8and4'!AE:AE)/1000</f>
        <v>0</v>
      </c>
      <c r="H26" s="9">
        <f>SUMIF('2014FC-8and4'!$D:$D,$A26,'2014FC-8and4'!Y:Y)/1000</f>
        <v>0</v>
      </c>
      <c r="I26" s="9">
        <f>SUMIF('2014FC-8and4'!$D:$D,$A26,'2014FC-8and4'!AB:AB)/1000</f>
        <v>0</v>
      </c>
      <c r="J26" s="9">
        <f>SUMIF('2014FC-8and4'!$D:$D,$A26,'2014FC-8and4'!AH:AH)/1000</f>
        <v>0</v>
      </c>
      <c r="K26" s="9">
        <f>SUMIF('2014FC-8and4'!$D:$D,$A26,'2014FC-8and4'!AK:AK)/1000</f>
        <v>0</v>
      </c>
      <c r="L26" s="9">
        <f>SUMIF('2014FC-8and4'!$D:$D,$A26,'2014FC-8and4'!AN:AN)/1000</f>
        <v>0</v>
      </c>
    </row>
    <row r="27" spans="1:12">
      <c r="A27" s="19" t="s">
        <v>3692</v>
      </c>
      <c r="B27" s="23">
        <f>SUM(B24:B26)</f>
        <v>1348.9639999999999</v>
      </c>
      <c r="C27" s="23">
        <f>SUM(C24:C26)</f>
        <v>1816.1586099999997</v>
      </c>
      <c r="D27" s="23">
        <f>SUM(D24:D26)</f>
        <v>1975.4200499999999</v>
      </c>
      <c r="E27" s="23">
        <f t="shared" ref="E27:L27" si="3">SUM(E24:E26)</f>
        <v>1440.0029100000002</v>
      </c>
      <c r="F27" s="23">
        <f t="shared" si="3"/>
        <v>1415.2197999999999</v>
      </c>
      <c r="G27" s="23">
        <f t="shared" si="3"/>
        <v>2154.8157200000001</v>
      </c>
      <c r="H27" s="23">
        <f t="shared" si="3"/>
        <v>2151.6316299999999</v>
      </c>
      <c r="I27" s="23">
        <f t="shared" si="3"/>
        <v>600</v>
      </c>
      <c r="J27" s="23">
        <f t="shared" si="3"/>
        <v>1300</v>
      </c>
      <c r="K27" s="23">
        <f t="shared" si="3"/>
        <v>300</v>
      </c>
      <c r="L27" s="249">
        <f t="shared" si="3"/>
        <v>0</v>
      </c>
    </row>
    <row r="28" spans="1:12">
      <c r="A28" s="241"/>
      <c r="C28" s="22"/>
      <c r="D28" s="22"/>
      <c r="E28" s="22"/>
      <c r="F28" s="22"/>
      <c r="G28" s="22"/>
    </row>
    <row r="29" spans="1:12">
      <c r="A29" s="1" t="s">
        <v>3696</v>
      </c>
      <c r="B29" s="9">
        <f>SUMIF('Actuals 2009 - 2013'!$D:$D,$A29,'Actuals 2009 - 2013'!N:N)/1000</f>
        <v>0</v>
      </c>
      <c r="C29" s="9">
        <f>SUMIF('Actuals 2009 - 2013'!$D:$D,$A29,'Actuals 2009 - 2013'!Q:Q)/1000</f>
        <v>0</v>
      </c>
      <c r="D29" s="9">
        <f>SUMIF('Actuals 2009 - 2013'!$D:$D,$A29,'Actuals 2009 - 2013'!T:T)/1000</f>
        <v>0</v>
      </c>
      <c r="E29" s="9">
        <f>SUMIF('Actuals 2009 - 2013'!$D:$D,$A29,'Actuals 2009 - 2013'!W:W)/1000</f>
        <v>0</v>
      </c>
      <c r="F29" s="9">
        <f>SUMIF('Actuals 2009 - 2013'!$D:$D,$A29,'Actuals 2009 - 2013'!Z:Z)/1000</f>
        <v>0</v>
      </c>
      <c r="G29" s="9">
        <f>SUMIF('2014FC-8and4'!$D:$D,$A29,'2014FC-8and4'!AE:AE)/1000</f>
        <v>0</v>
      </c>
      <c r="H29" s="9">
        <f>SUMIF('2014FC-8and4'!$D:$D,$A29,'2014FC-8and4'!Y:Y)/1000</f>
        <v>0</v>
      </c>
      <c r="I29" s="9">
        <f>SUMIF('2014FC-8and4'!$D:$D,$A29,'2014FC-8and4'!AB:AB)/1000</f>
        <v>0</v>
      </c>
      <c r="J29" s="9">
        <f>SUMIF('2014FC-8and4'!$D:$D,$A29,'2014FC-8and4'!AH:AH)/1000</f>
        <v>0</v>
      </c>
      <c r="K29" s="9">
        <f>SUMIF('2014FC-8and4'!$D:$D,$A29,'2014FC-8and4'!AK:AK)/1000</f>
        <v>0</v>
      </c>
      <c r="L29" s="9">
        <f>SUMIF('2014FC-8and4'!$D:$D,$A29,'2014FC-8and4'!AN:AN)/1000</f>
        <v>0</v>
      </c>
    </row>
    <row r="30" spans="1:12">
      <c r="A30" s="1" t="s">
        <v>3697</v>
      </c>
      <c r="B30" s="9">
        <f>SUMIF('Actuals 2009 - 2013'!$D:$D,$A30,'Actuals 2009 - 2013'!N:N)/1000</f>
        <v>5.5179399999999994</v>
      </c>
      <c r="C30" s="9">
        <f>SUMIF('Actuals 2009 - 2013'!$D:$D,$A30,'Actuals 2009 - 2013'!Q:Q)/1000</f>
        <v>0.32400000000000001</v>
      </c>
      <c r="D30" s="9">
        <f>SUMIF('Actuals 2009 - 2013'!$D:$D,$A30,'Actuals 2009 - 2013'!T:T)/1000</f>
        <v>0</v>
      </c>
      <c r="E30" s="9">
        <f>SUMIF('Actuals 2009 - 2013'!$D:$D,$A30,'Actuals 2009 - 2013'!W:W)/1000</f>
        <v>0</v>
      </c>
      <c r="F30" s="9">
        <f>SUMIF('Actuals 2009 - 2013'!$D:$D,$A30,'Actuals 2009 - 2013'!Z:Z)/1000</f>
        <v>0</v>
      </c>
      <c r="G30" s="9">
        <f>SUMIF('2014FC-8and4'!$D:$D,$A30,'2014FC-8and4'!AE:AE)/1000</f>
        <v>0</v>
      </c>
      <c r="H30" s="9">
        <f>SUMIF('2014FC-8and4'!$D:$D,$A30,'2014FC-8and4'!Y:Y)/1000</f>
        <v>0</v>
      </c>
      <c r="I30" s="9">
        <f>SUMIF('2014FC-8and4'!$D:$D,$A30,'2014FC-8and4'!AB:AB)/1000</f>
        <v>0</v>
      </c>
      <c r="J30" s="9">
        <f>SUMIF('2014FC-8and4'!$D:$D,$A30,'2014FC-8and4'!AH:AH)/1000</f>
        <v>0</v>
      </c>
      <c r="K30" s="9">
        <f>SUMIF('2014FC-8and4'!$D:$D,$A30,'2014FC-8and4'!AK:AK)/1000</f>
        <v>0</v>
      </c>
      <c r="L30" s="9">
        <f>SUMIF('2014FC-8and4'!$D:$D,$A30,'2014FC-8and4'!AN:AN)/1000</f>
        <v>0</v>
      </c>
    </row>
    <row r="31" spans="1:12">
      <c r="A31" s="19" t="s">
        <v>3692</v>
      </c>
      <c r="B31" s="23">
        <f>SUM(B29:B30)</f>
        <v>5.5179399999999994</v>
      </c>
      <c r="C31" s="23">
        <f>SUM(C29:C30)</f>
        <v>0.32400000000000001</v>
      </c>
      <c r="D31" s="23">
        <f>SUM(D29:D30)</f>
        <v>0</v>
      </c>
      <c r="E31" s="23">
        <f t="shared" ref="E31:L31" si="4">SUM(E29:E30)</f>
        <v>0</v>
      </c>
      <c r="F31" s="23">
        <f t="shared" si="4"/>
        <v>0</v>
      </c>
      <c r="G31" s="23">
        <f t="shared" si="4"/>
        <v>0</v>
      </c>
      <c r="H31" s="23">
        <f t="shared" si="4"/>
        <v>0</v>
      </c>
      <c r="I31" s="23">
        <f t="shared" si="4"/>
        <v>0</v>
      </c>
      <c r="J31" s="23">
        <f t="shared" si="4"/>
        <v>0</v>
      </c>
      <c r="K31" s="23">
        <f t="shared" si="4"/>
        <v>0</v>
      </c>
      <c r="L31" s="249">
        <f t="shared" si="4"/>
        <v>0</v>
      </c>
    </row>
    <row r="32" spans="1:12">
      <c r="A32" s="1"/>
    </row>
    <row r="33" spans="1:12">
      <c r="A33" s="20" t="s">
        <v>3698</v>
      </c>
      <c r="B33" s="25">
        <f>B27+B22+B15+B8+B31</f>
        <v>14261.765259999998</v>
      </c>
      <c r="C33" s="25">
        <f t="shared" ref="C33:L33" si="5">C27+C22+C15+C8+C31</f>
        <v>13340.311239999999</v>
      </c>
      <c r="D33" s="25">
        <f t="shared" si="5"/>
        <v>19044.6143056</v>
      </c>
      <c r="E33" s="25">
        <f t="shared" si="5"/>
        <v>27860.372972000001</v>
      </c>
      <c r="F33" s="25">
        <f t="shared" si="5"/>
        <v>8113.2166369999995</v>
      </c>
      <c r="G33" s="25">
        <f t="shared" si="5"/>
        <v>23834.1449326</v>
      </c>
      <c r="H33" s="25">
        <f t="shared" si="5"/>
        <v>23718.086391099998</v>
      </c>
      <c r="I33" s="25">
        <f t="shared" si="5"/>
        <v>21005.060689999998</v>
      </c>
      <c r="J33" s="25">
        <f t="shared" si="5"/>
        <v>23510.668000000001</v>
      </c>
      <c r="K33" s="25">
        <f t="shared" si="5"/>
        <v>16545.357690000001</v>
      </c>
      <c r="L33" s="250">
        <f t="shared" si="5"/>
        <v>14206.23192</v>
      </c>
    </row>
    <row r="34" spans="1:12">
      <c r="A34" s="1"/>
    </row>
    <row r="35" spans="1:12">
      <c r="A35" s="1" t="s">
        <v>3888</v>
      </c>
      <c r="B35" s="9">
        <f>SUMIF('Actuals 2009 - 2013'!$D:$D,$A35,'Actuals 2009 - 2013'!N:N)/1000</f>
        <v>0</v>
      </c>
      <c r="C35" s="9">
        <f>SUMIF('Actuals 2009 - 2013'!$D:$D,$A35,'Actuals 2009 - 2013'!Q:Q)/1000</f>
        <v>0</v>
      </c>
      <c r="D35" s="9">
        <f>SUMIF('Actuals 2009 - 2013'!$D:$D,$A35,'Actuals 2009 - 2013'!T:T)/1000</f>
        <v>0</v>
      </c>
      <c r="E35" s="9">
        <f>SUMIF('Actuals 2009 - 2013'!$D:$D,$A35,'Actuals 2009 - 2013'!W:W)/1000</f>
        <v>0</v>
      </c>
      <c r="F35" s="9">
        <f>SUMIF('Actuals 2009 - 2013'!$D:$D,$A35,'Actuals 2009 - 2013'!Z:Z)/1000</f>
        <v>0</v>
      </c>
      <c r="G35" s="9">
        <f>SUMIF('2014FC-8and4'!$D:$D,$A35,'2014FC-8and4'!AE:AE)/1000</f>
        <v>0</v>
      </c>
      <c r="H35" s="9">
        <f>SUMIF('2014FC-8and4'!$D:$D,$A35,'2014FC-8and4'!Y:Y)/1000</f>
        <v>0</v>
      </c>
      <c r="I35" s="9">
        <f>SUMIF('2014FC-8and4'!$D:$D,$A35,'2014FC-8and4'!AB:AB)/1000</f>
        <v>697.74120000000005</v>
      </c>
      <c r="J35" s="9">
        <f>SUMIF('2014FC-8and4'!$D:$D,$A35,'2014FC-8and4'!AH:AH)/1000</f>
        <v>697.74120000000005</v>
      </c>
      <c r="K35" s="9">
        <f>SUMIF('2014FC-8and4'!$D:$D,$A35,'2014FC-8and4'!AK:AK)/1000</f>
        <v>1393.7032199999999</v>
      </c>
      <c r="L35" s="9">
        <f>SUMIF('2014FC-8and4'!$D:$D,$A35,'2014FC-8and4'!AN:AN)/1000</f>
        <v>1787.2990199999999</v>
      </c>
    </row>
    <row r="36" spans="1:12">
      <c r="A36" s="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>
      <c r="A37" s="1" t="s">
        <v>3699</v>
      </c>
      <c r="B37" s="9">
        <f>SUMIF('Actuals 2009 - 2013'!$D:$D,$A37,'Actuals 2009 - 2013'!N:N)/1000</f>
        <v>0</v>
      </c>
      <c r="C37" s="9">
        <f>SUMIF('Actuals 2009 - 2013'!$D:$D,$A37,'Actuals 2009 - 2013'!Q:Q)/1000</f>
        <v>0</v>
      </c>
      <c r="D37" s="9">
        <f>SUMIF('Actuals 2009 - 2013'!$D:$D,$A37,'Actuals 2009 - 2013'!T:T)/1000</f>
        <v>0</v>
      </c>
      <c r="E37" s="9">
        <f>SUMIF('Actuals 2009 - 2013'!$D:$D,$A37,'Actuals 2009 - 2013'!W:W)/1000</f>
        <v>0</v>
      </c>
      <c r="F37" s="9">
        <f>SUMIF('Actuals 2009 - 2013'!$D:$D,$A37,'Actuals 2009 - 2013'!Z:Z)/1000</f>
        <v>0</v>
      </c>
      <c r="G37" s="9">
        <f>SUMIF('2014FC-8and4'!$D:$D,$A37,'2014FC-8and4'!AE:AE)/1000</f>
        <v>14.91</v>
      </c>
      <c r="H37" s="9">
        <f>SUMIF('2014FC-8and4'!$D:$D,$A37,'2014FC-8and4'!Y:Y)/1000</f>
        <v>14.91</v>
      </c>
      <c r="I37" s="9">
        <f>SUMIF('2014FC-8and4'!$D:$D,$A37,'2014FC-8and4'!AB:AB)/1000</f>
        <v>10.863</v>
      </c>
      <c r="J37" s="9">
        <f>SUMIF('2014FC-8and4'!$D:$D,$A37,'2014FC-8and4'!AH:AH)/1000</f>
        <v>10.863</v>
      </c>
      <c r="K37" s="9">
        <f>SUMIF('2014FC-8and4'!$D:$D,$A37,'2014FC-8and4'!AK:AK)/1000</f>
        <v>15.512364</v>
      </c>
      <c r="L37" s="9">
        <f>SUMIF('2014FC-8and4'!$D:$D,$A37,'2014FC-8and4'!AN:AN)/1000</f>
        <v>11.3018652</v>
      </c>
    </row>
    <row r="38" spans="1:12">
      <c r="A38" s="1" t="s">
        <v>3700</v>
      </c>
      <c r="B38" s="9">
        <f>SUMIF('Actuals 2009 - 2013'!$D:$D,$A38,'Actuals 2009 - 2013'!N:N)/1000</f>
        <v>0</v>
      </c>
      <c r="C38" s="9">
        <f>SUMIF('Actuals 2009 - 2013'!$D:$D,$A38,'Actuals 2009 - 2013'!Q:Q)/1000</f>
        <v>0</v>
      </c>
      <c r="D38" s="9">
        <f>SUMIF('Actuals 2009 - 2013'!$D:$D,$A38,'Actuals 2009 - 2013'!T:T)/1000</f>
        <v>0</v>
      </c>
      <c r="E38" s="9">
        <f>SUMIF('Actuals 2009 - 2013'!$D:$D,$A38,'Actuals 2009 - 2013'!W:W)/1000</f>
        <v>0</v>
      </c>
      <c r="F38" s="9">
        <f>SUMIF('Actuals 2009 - 2013'!$D:$D,$A38,'Actuals 2009 - 2013'!Z:Z)/1000</f>
        <v>0</v>
      </c>
      <c r="G38" s="9">
        <f>SUMIF('2014FC-8and4'!$D:$D,$A38,'2014FC-8and4'!AE:AE)/1000</f>
        <v>14.91</v>
      </c>
      <c r="H38" s="9">
        <f>SUMIF('2014FC-8and4'!$D:$D,$A38,'2014FC-8and4'!Y:Y)/1000</f>
        <v>14.91</v>
      </c>
      <c r="I38" s="9">
        <f>SUMIF('2014FC-8and4'!$D:$D,$A38,'2014FC-8and4'!AB:AB)/1000</f>
        <v>10.863</v>
      </c>
      <c r="J38" s="9">
        <f>SUMIF('2014FC-8and4'!$D:$D,$A38,'2014FC-8and4'!AH:AH)/1000</f>
        <v>10.863</v>
      </c>
      <c r="K38" s="9">
        <f>SUMIF('2014FC-8and4'!$D:$D,$A38,'2014FC-8and4'!AK:AK)/1000</f>
        <v>15.512364</v>
      </c>
      <c r="L38" s="9">
        <f>SUMIF('2014FC-8and4'!$D:$D,$A38,'2014FC-8and4'!AN:AN)/1000</f>
        <v>11.3018652</v>
      </c>
    </row>
    <row r="39" spans="1:12">
      <c r="A39" s="1" t="s">
        <v>3701</v>
      </c>
      <c r="B39" s="9">
        <f>SUMIF('Actuals 2009 - 2013'!$D:$D,$A39,'Actuals 2009 - 2013'!N:N)/1000</f>
        <v>0</v>
      </c>
      <c r="C39" s="9">
        <f>SUMIF('Actuals 2009 - 2013'!$D:$D,$A39,'Actuals 2009 - 2013'!Q:Q)/1000</f>
        <v>0</v>
      </c>
      <c r="D39" s="9">
        <f>SUMIF('Actuals 2009 - 2013'!$D:$D,$A39,'Actuals 2009 - 2013'!T:T)/1000</f>
        <v>0</v>
      </c>
      <c r="E39" s="9">
        <f>SUMIF('Actuals 2009 - 2013'!$D:$D,$A39,'Actuals 2009 - 2013'!W:W)/1000</f>
        <v>0</v>
      </c>
      <c r="F39" s="9">
        <f>SUMIF('Actuals 2009 - 2013'!$D:$D,$A39,'Actuals 2009 - 2013'!Z:Z)/1000</f>
        <v>0</v>
      </c>
      <c r="G39" s="9">
        <f>SUMIF('2014FC-8and4'!$D:$D,$A39,'2014FC-8and4'!AE:AE)/1000</f>
        <v>13.23</v>
      </c>
      <c r="H39" s="9">
        <f>SUMIF('2014FC-8and4'!$D:$D,$A39,'2014FC-8and4'!Y:Y)/1000</f>
        <v>13.23</v>
      </c>
      <c r="I39" s="9">
        <f>SUMIF('2014FC-8and4'!$D:$D,$A39,'2014FC-8and4'!AB:AB)/1000</f>
        <v>9.6389999999999993</v>
      </c>
      <c r="J39" s="9">
        <f>SUMIF('2014FC-8and4'!$D:$D,$A39,'2014FC-8and4'!AH:AH)/1000</f>
        <v>9.6389999999999993</v>
      </c>
      <c r="K39" s="9">
        <f>SUMIF('2014FC-8and4'!$D:$D,$A39,'2014FC-8and4'!AK:AK)/1000</f>
        <v>13.764492000000001</v>
      </c>
      <c r="L39" s="9">
        <f>SUMIF('2014FC-8and4'!$D:$D,$A39,'2014FC-8and4'!AN:AN)/1000</f>
        <v>10.028415600000001</v>
      </c>
    </row>
    <row r="40" spans="1:12">
      <c r="A40" s="1" t="s">
        <v>3702</v>
      </c>
      <c r="B40" s="9">
        <f>SUMIF('Actuals 2009 - 2013'!$D:$D,$A40,'Actuals 2009 - 2013'!N:N)/1000</f>
        <v>11.7111582</v>
      </c>
      <c r="C40" s="9">
        <f>SUMIF('Actuals 2009 - 2013'!$D:$D,$A40,'Actuals 2009 - 2013'!Q:Q)/1000</f>
        <v>0</v>
      </c>
      <c r="D40" s="9">
        <f>SUMIF('Actuals 2009 - 2013'!$D:$D,$A40,'Actuals 2009 - 2013'!T:T)/1000</f>
        <v>0</v>
      </c>
      <c r="E40" s="9">
        <f>SUMIF('Actuals 2009 - 2013'!$D:$D,$A40,'Actuals 2009 - 2013'!W:W)/1000</f>
        <v>0</v>
      </c>
      <c r="F40" s="9">
        <f>SUMIF('Actuals 2009 - 2013'!$D:$D,$A40,'Actuals 2009 - 2013'!Z:Z)/1000</f>
        <v>0</v>
      </c>
      <c r="G40" s="9">
        <f>SUMIF('2014FC-8and4'!$D:$D,$A40,'2014FC-8and4'!AE:AE)/1000</f>
        <v>13.23</v>
      </c>
      <c r="H40" s="9">
        <f>SUMIF('2014FC-8and4'!$D:$D,$A40,'2014FC-8and4'!Y:Y)/1000</f>
        <v>13.23</v>
      </c>
      <c r="I40" s="9">
        <f>SUMIF('2014FC-8and4'!$D:$D,$A40,'2014FC-8and4'!AB:AB)/1000</f>
        <v>9.6389999999999993</v>
      </c>
      <c r="J40" s="9">
        <f>SUMIF('2014FC-8and4'!$D:$D,$A40,'2014FC-8and4'!AH:AH)/1000</f>
        <v>9.6389999999999993</v>
      </c>
      <c r="K40" s="9">
        <f>SUMIF('2014FC-8and4'!$D:$D,$A40,'2014FC-8and4'!AK:AK)/1000</f>
        <v>13.764492000000001</v>
      </c>
      <c r="L40" s="9">
        <f>SUMIF('2014FC-8and4'!$D:$D,$A40,'2014FC-8and4'!AN:AN)/1000</f>
        <v>10.028415600000001</v>
      </c>
    </row>
    <row r="41" spans="1:12">
      <c r="A41" s="1" t="s">
        <v>3703</v>
      </c>
      <c r="B41" s="9">
        <f>SUMIF('Actuals 2009 - 2013'!$D:$D,$A41,'Actuals 2009 - 2013'!N:N)/1000</f>
        <v>649.29730319999999</v>
      </c>
      <c r="C41" s="9">
        <f>SUMIF('Actuals 2009 - 2013'!$D:$D,$A41,'Actuals 2009 - 2013'!Q:Q)/1000</f>
        <v>0</v>
      </c>
      <c r="D41" s="9">
        <f>SUMIF('Actuals 2009 - 2013'!$D:$D,$A41,'Actuals 2009 - 2013'!T:T)/1000</f>
        <v>-1.7361288000000001</v>
      </c>
      <c r="E41" s="9">
        <f>SUMIF('Actuals 2009 - 2013'!$D:$D,$A41,'Actuals 2009 - 2013'!W:W)/1000</f>
        <v>0</v>
      </c>
      <c r="F41" s="9">
        <f>SUMIF('Actuals 2009 - 2013'!$D:$D,$A41,'Actuals 2009 - 2013'!Z:Z)/1000</f>
        <v>0</v>
      </c>
      <c r="G41" s="9">
        <f>SUMIF('2014FC-8and4'!$D:$D,$A41,'2014FC-8and4'!AE:AE)/1000</f>
        <v>13.23</v>
      </c>
      <c r="H41" s="9">
        <f>SUMIF('2014FC-8and4'!$D:$D,$A41,'2014FC-8and4'!Y:Y)/1000</f>
        <v>13.23</v>
      </c>
      <c r="I41" s="9">
        <f>SUMIF('2014FC-8and4'!$D:$D,$A41,'2014FC-8and4'!AB:AB)/1000</f>
        <v>9.6389999999999993</v>
      </c>
      <c r="J41" s="9">
        <f>SUMIF('2014FC-8and4'!$D:$D,$A41,'2014FC-8and4'!AH:AH)/1000</f>
        <v>9.6389999999999993</v>
      </c>
      <c r="K41" s="9">
        <f>SUMIF('2014FC-8and4'!$D:$D,$A41,'2014FC-8and4'!AK:AK)/1000</f>
        <v>13.764492000000001</v>
      </c>
      <c r="L41" s="9">
        <f>SUMIF('2014FC-8and4'!$D:$D,$A41,'2014FC-8and4'!AN:AN)/1000</f>
        <v>10.028415600000001</v>
      </c>
    </row>
    <row r="42" spans="1:12">
      <c r="A42" s="1" t="s">
        <v>3704</v>
      </c>
      <c r="B42" s="9">
        <f>SUMIF('Actuals 2009 - 2013'!$D:$D,$A42,'Actuals 2009 - 2013'!N:N)/1000</f>
        <v>0</v>
      </c>
      <c r="C42" s="9">
        <f>SUMIF('Actuals 2009 - 2013'!$D:$D,$A42,'Actuals 2009 - 2013'!Q:Q)/1000</f>
        <v>0</v>
      </c>
      <c r="D42" s="9">
        <f>SUMIF('Actuals 2009 - 2013'!$D:$D,$A42,'Actuals 2009 - 2013'!T:T)/1000</f>
        <v>0</v>
      </c>
      <c r="E42" s="9">
        <f>SUMIF('Actuals 2009 - 2013'!$D:$D,$A42,'Actuals 2009 - 2013'!W:W)/1000</f>
        <v>0</v>
      </c>
      <c r="F42" s="9">
        <f>SUMIF('Actuals 2009 - 2013'!$D:$D,$A42,'Actuals 2009 - 2013'!Z:Z)/1000</f>
        <v>0</v>
      </c>
      <c r="G42" s="9">
        <f>SUMIF('2014FC-8and4'!$D:$D,$A42,'2014FC-8and4'!AE:AE)/1000</f>
        <v>13.23</v>
      </c>
      <c r="H42" s="9">
        <f>SUMIF('2014FC-8and4'!$D:$D,$A42,'2014FC-8and4'!Y:Y)/1000</f>
        <v>13.23</v>
      </c>
      <c r="I42" s="9">
        <f>SUMIF('2014FC-8and4'!$D:$D,$A42,'2014FC-8and4'!AB:AB)/1000</f>
        <v>9.6389999999999993</v>
      </c>
      <c r="J42" s="9">
        <f>SUMIF('2014FC-8and4'!$D:$D,$A42,'2014FC-8and4'!AH:AH)/1000</f>
        <v>9.6389999999999993</v>
      </c>
      <c r="K42" s="9">
        <f>SUMIF('2014FC-8and4'!$D:$D,$A42,'2014FC-8and4'!AK:AK)/1000</f>
        <v>13.764492000000001</v>
      </c>
      <c r="L42" s="9">
        <f>SUMIF('2014FC-8and4'!$D:$D,$A42,'2014FC-8and4'!AN:AN)/1000</f>
        <v>10.028415600000001</v>
      </c>
    </row>
    <row r="43" spans="1:12">
      <c r="A43" s="19" t="s">
        <v>3692</v>
      </c>
      <c r="B43" s="24">
        <f>SUM(B37:B42)</f>
        <v>661.00846139999999</v>
      </c>
      <c r="C43" s="24">
        <f>SUM(C37:C42)</f>
        <v>0</v>
      </c>
      <c r="D43" s="24">
        <f>SUM(D37:D42)</f>
        <v>-1.7361288000000001</v>
      </c>
      <c r="E43" s="24">
        <f t="shared" ref="E43:L43" si="6">SUM(E37:E42)</f>
        <v>0</v>
      </c>
      <c r="F43" s="24">
        <f t="shared" si="6"/>
        <v>0</v>
      </c>
      <c r="G43" s="24">
        <f t="shared" si="6"/>
        <v>82.740000000000009</v>
      </c>
      <c r="H43" s="24">
        <f t="shared" si="6"/>
        <v>82.740000000000009</v>
      </c>
      <c r="I43" s="24">
        <f t="shared" si="6"/>
        <v>60.281999999999996</v>
      </c>
      <c r="J43" s="24">
        <f t="shared" si="6"/>
        <v>60.281999999999996</v>
      </c>
      <c r="K43" s="24">
        <f t="shared" si="6"/>
        <v>86.082696000000013</v>
      </c>
      <c r="L43" s="251">
        <f t="shared" si="6"/>
        <v>62.717392800000006</v>
      </c>
    </row>
    <row r="44" spans="1:12">
      <c r="A44" s="1"/>
    </row>
    <row r="45" spans="1:12">
      <c r="A45" s="1" t="s">
        <v>3873</v>
      </c>
      <c r="B45" s="9">
        <f>SUMIF('Actuals 2009 - 2013'!$D:$D,$A45,'Actuals 2009 - 2013'!N:N)/1000</f>
        <v>0</v>
      </c>
      <c r="C45" s="9">
        <f>SUMIF('Actuals 2009 - 2013'!$D:$D,$A45,'Actuals 2009 - 2013'!Q:Q)/1000</f>
        <v>2159.4711931999996</v>
      </c>
      <c r="D45" s="9">
        <f>SUMIF('Actuals 2009 - 2013'!$D:$D,$A45,'Actuals 2009 - 2013'!T:T)/1000</f>
        <v>502.65915320000005</v>
      </c>
      <c r="E45" s="9">
        <f>SUMIF('Actuals 2009 - 2013'!$D:$D,$A45,'Actuals 2009 - 2013'!W:W)/1000</f>
        <v>-5.2912599999999994</v>
      </c>
      <c r="F45" s="9">
        <f>SUMIF('Actuals 2009 - 2013'!$D:$D,$A45,'Actuals 2009 - 2013'!Z:Z)/1000</f>
        <v>33.576428700000001</v>
      </c>
      <c r="G45" s="9">
        <f>SUMIF('2014FC-8and4'!$D:$D,$A45,'2014FC-8and4'!AE:AE)/1000</f>
        <v>80.522143699999987</v>
      </c>
      <c r="H45" s="9">
        <f>SUMIF('2014FC-8and4'!$D:$D,$A45,'2014FC-8and4'!Y:Y)/1000</f>
        <v>11.981305799999998</v>
      </c>
      <c r="I45" s="9">
        <f>SUMIF('2014FC-8and4'!$D:$D,$A45,'2014FC-8and4'!AB:AB)/1000</f>
        <v>57.475829999999995</v>
      </c>
      <c r="J45" s="9">
        <f>SUMIF('2014FC-8and4'!$D:$D,$A45,'2014FC-8and4'!AH:AH)/1000</f>
        <v>56.348769999999995</v>
      </c>
      <c r="K45" s="9">
        <f>SUMIF('2014FC-8and4'!$D:$D,$A45,'2014FC-8and4'!AK:AK)/1000</f>
        <v>57.475829999999995</v>
      </c>
      <c r="L45" s="9">
        <f>SUMIF('2014FC-8and4'!$D:$D,$A45,'2014FC-8and4'!AN:AN)/1000</f>
        <v>94.579979999999992</v>
      </c>
    </row>
    <row r="46" spans="1:12">
      <c r="A46" s="1"/>
      <c r="B46" s="9"/>
      <c r="C46" s="9"/>
      <c r="H46" s="9"/>
      <c r="I46" s="9"/>
      <c r="J46" s="9"/>
      <c r="K46" s="9"/>
      <c r="L46" s="9"/>
    </row>
    <row r="47" spans="1:12">
      <c r="A47" s="1" t="s">
        <v>3706</v>
      </c>
      <c r="B47" s="9">
        <f>SUMIF('Actuals 2009 - 2013'!$D:$D,$A47,'Actuals 2009 - 2013'!N:N)/1000</f>
        <v>0</v>
      </c>
      <c r="C47" s="9">
        <f>SUMIF('Actuals 2009 - 2013'!$D:$D,$A47,'Actuals 2009 - 2013'!Q:Q)/1000</f>
        <v>57.789193099999999</v>
      </c>
      <c r="D47" s="9">
        <f>SUMIF('Actuals 2009 - 2013'!$D:$D,$A47,'Actuals 2009 - 2013'!T:T)/1000</f>
        <v>80.980407799999981</v>
      </c>
      <c r="E47" s="9">
        <f>SUMIF('Actuals 2009 - 2013'!$D:$D,$A47,'Actuals 2009 - 2013'!W:W)/1000</f>
        <v>0</v>
      </c>
      <c r="F47" s="9">
        <f>SUMIF('Actuals 2009 - 2013'!$D:$D,$A47,'Actuals 2009 - 2013'!Z:Z)/1000</f>
        <v>0</v>
      </c>
      <c r="G47" s="9">
        <f>SUMIF('2014FC-8and4'!$D:$D,$A47,'2014FC-8and4'!AE:AE)/1000</f>
        <v>0</v>
      </c>
      <c r="H47" s="9">
        <f>SUMIF('2014FC-8and4'!$D:$D,$A47,'2014FC-8and4'!Y:Y)/1000</f>
        <v>0</v>
      </c>
      <c r="I47" s="9">
        <f>SUMIF('2014FC-8and4'!$D:$D,$A47,'2014FC-8and4'!AB:AB)/1000</f>
        <v>117.5</v>
      </c>
      <c r="J47" s="9">
        <f>SUMIF('2014FC-8and4'!$D:$D,$A47,'2014FC-8and4'!AH:AH)/1000</f>
        <v>0</v>
      </c>
      <c r="K47" s="9">
        <f>SUMIF('2014FC-8and4'!$D:$D,$A47,'2014FC-8and4'!AK:AK)/1000</f>
        <v>117.5</v>
      </c>
      <c r="L47" s="9">
        <f>SUMIF('2014FC-8and4'!$D:$D,$A47,'2014FC-8and4'!AN:AN)/1000</f>
        <v>0</v>
      </c>
    </row>
    <row r="48" spans="1:12">
      <c r="A48" s="1" t="s">
        <v>3707</v>
      </c>
      <c r="B48" s="9">
        <f>SUMIF('Actuals 2009 - 2013'!$D:$D,$A48,'Actuals 2009 - 2013'!N:N)/1000</f>
        <v>92.611266200000003</v>
      </c>
      <c r="C48" s="9">
        <f>SUMIF('Actuals 2009 - 2013'!$D:$D,$A48,'Actuals 2009 - 2013'!Q:Q)/1000</f>
        <v>403.67751119999997</v>
      </c>
      <c r="D48" s="9">
        <f>SUMIF('Actuals 2009 - 2013'!$D:$D,$A48,'Actuals 2009 - 2013'!T:T)/1000</f>
        <v>4.9147151999999998</v>
      </c>
      <c r="E48" s="9">
        <f>SUMIF('Actuals 2009 - 2013'!$D:$D,$A48,'Actuals 2009 - 2013'!W:W)/1000</f>
        <v>16.399582800000001</v>
      </c>
      <c r="F48" s="9">
        <f>SUMIF('Actuals 2009 - 2013'!$D:$D,$A48,'Actuals 2009 - 2013'!Z:Z)/1000</f>
        <v>26.4829838</v>
      </c>
      <c r="G48" s="9">
        <f>SUMIF('2014FC-8and4'!$D:$D,$A48,'2014FC-8and4'!AE:AE)/1000</f>
        <v>101.0228</v>
      </c>
      <c r="H48" s="9">
        <f>SUMIF('2014FC-8and4'!$D:$D,$A48,'2014FC-8and4'!Y:Y)/1000</f>
        <v>105.67280000000001</v>
      </c>
      <c r="I48" s="9">
        <f>SUMIF('2014FC-8and4'!$D:$D,$A48,'2014FC-8and4'!AB:AB)/1000</f>
        <v>15.11374</v>
      </c>
      <c r="J48" s="9">
        <f>SUMIF('2014FC-8and4'!$D:$D,$A48,'2014FC-8and4'!AH:AH)/1000</f>
        <v>45.81738</v>
      </c>
      <c r="K48" s="9">
        <f>SUMIF('2014FC-8and4'!$D:$D,$A48,'2014FC-8and4'!AK:AK)/1000</f>
        <v>15.11374</v>
      </c>
      <c r="L48" s="9">
        <f>SUMIF('2014FC-8and4'!$D:$D,$A48,'2014FC-8and4'!AN:AN)/1000</f>
        <v>496.22568000000001</v>
      </c>
    </row>
    <row r="49" spans="1:12">
      <c r="A49" s="1" t="s">
        <v>3708</v>
      </c>
      <c r="B49" s="9">
        <f>SUMIF('Actuals 2009 - 2013'!$D:$D,$A49,'Actuals 2009 - 2013'!N:N)/1000</f>
        <v>-529.1056006</v>
      </c>
      <c r="C49" s="9">
        <f>SUMIF('Actuals 2009 - 2013'!$D:$D,$A49,'Actuals 2009 - 2013'!Q:Q)/1000</f>
        <v>17.522117600000001</v>
      </c>
      <c r="D49" s="9">
        <f>SUMIF('Actuals 2009 - 2013'!$D:$D,$A49,'Actuals 2009 - 2013'!T:T)/1000</f>
        <v>5.3506248000000003</v>
      </c>
      <c r="E49" s="9">
        <f>SUMIF('Actuals 2009 - 2013'!$D:$D,$A49,'Actuals 2009 - 2013'!W:W)/1000</f>
        <v>149.12977180000001</v>
      </c>
      <c r="F49" s="9">
        <f>SUMIF('Actuals 2009 - 2013'!$D:$D,$A49,'Actuals 2009 - 2013'!Z:Z)/1000</f>
        <v>-40.051578399999997</v>
      </c>
      <c r="G49" s="9">
        <f>SUMIF('2014FC-8and4'!$D:$D,$A49,'2014FC-8and4'!AE:AE)/1000</f>
        <v>73.16</v>
      </c>
      <c r="H49" s="9">
        <f>SUMIF('2014FC-8and4'!$D:$D,$A49,'2014FC-8and4'!Y:Y)/1000</f>
        <v>73.16</v>
      </c>
      <c r="I49" s="9">
        <f>SUMIF('2014FC-8and4'!$D:$D,$A49,'2014FC-8and4'!AB:AB)/1000</f>
        <v>30.3552</v>
      </c>
      <c r="J49" s="9">
        <f>SUMIF('2014FC-8and4'!$D:$D,$A49,'2014FC-8and4'!AH:AH)/1000</f>
        <v>30.3552</v>
      </c>
      <c r="K49" s="9">
        <f>SUMIF('2014FC-8and4'!$D:$D,$A49,'2014FC-8and4'!AK:AK)/1000</f>
        <v>15.46218</v>
      </c>
      <c r="L49" s="9">
        <f>SUMIF('2014FC-8and4'!$D:$D,$A49,'2014FC-8and4'!AN:AN)/1000</f>
        <v>31.58156</v>
      </c>
    </row>
    <row r="50" spans="1:12">
      <c r="A50" s="1" t="s">
        <v>3709</v>
      </c>
      <c r="B50" s="9">
        <f>SUMIF('Actuals 2009 - 2013'!$D:$D,$A50,'Actuals 2009 - 2013'!N:N)/1000</f>
        <v>154.89385000000001</v>
      </c>
      <c r="C50" s="9">
        <f>SUMIF('Actuals 2009 - 2013'!$D:$D,$A50,'Actuals 2009 - 2013'!Q:Q)/1000</f>
        <v>0</v>
      </c>
      <c r="D50" s="9">
        <f>SUMIF('Actuals 2009 - 2013'!$D:$D,$A50,'Actuals 2009 - 2013'!T:T)/1000</f>
        <v>0</v>
      </c>
      <c r="E50" s="9">
        <f>SUMIF('Actuals 2009 - 2013'!$D:$D,$A50,'Actuals 2009 - 2013'!W:W)/1000</f>
        <v>0</v>
      </c>
      <c r="F50" s="9">
        <f>SUMIF('Actuals 2009 - 2013'!$D:$D,$A50,'Actuals 2009 - 2013'!Z:Z)/1000</f>
        <v>0</v>
      </c>
      <c r="G50" s="9">
        <f>SUMIF('2014FC-8and4'!$D:$D,$A50,'2014FC-8and4'!AE:AE)/1000</f>
        <v>0</v>
      </c>
      <c r="H50" s="9">
        <f>SUMIF('2014FC-8and4'!$D:$D,$A50,'2014FC-8and4'!Y:Y)/1000</f>
        <v>0</v>
      </c>
      <c r="I50" s="9">
        <f>SUMIF('2014FC-8and4'!$D:$D,$A50,'2014FC-8and4'!AB:AB)/1000</f>
        <v>65</v>
      </c>
      <c r="J50" s="9">
        <f>SUMIF('2014FC-8and4'!$D:$D,$A50,'2014FC-8and4'!AH:AH)/1000</f>
        <v>65</v>
      </c>
      <c r="K50" s="9">
        <f>SUMIF('2014FC-8and4'!$D:$D,$A50,'2014FC-8and4'!AK:AK)/1000</f>
        <v>65</v>
      </c>
      <c r="L50" s="9">
        <f>SUMIF('2014FC-8and4'!$D:$D,$A50,'2014FC-8and4'!AN:AN)/1000</f>
        <v>65</v>
      </c>
    </row>
    <row r="51" spans="1:12">
      <c r="A51" s="1" t="s">
        <v>3710</v>
      </c>
      <c r="B51" s="9">
        <f>SUMIF('Actuals 2009 - 2013'!$D:$D,$A51,'Actuals 2009 - 2013'!N:N)/1000</f>
        <v>0</v>
      </c>
      <c r="C51" s="9">
        <f>SUMIF('Actuals 2009 - 2013'!$D:$D,$A51,'Actuals 2009 - 2013'!Q:Q)/1000</f>
        <v>0</v>
      </c>
      <c r="D51" s="9">
        <f>SUMIF('Actuals 2009 - 2013'!$D:$D,$A51,'Actuals 2009 - 2013'!T:T)/1000</f>
        <v>0</v>
      </c>
      <c r="E51" s="9">
        <f>SUMIF('Actuals 2009 - 2013'!$D:$D,$A51,'Actuals 2009 - 2013'!W:W)/1000</f>
        <v>0</v>
      </c>
      <c r="F51" s="9">
        <f>SUMIF('Actuals 2009 - 2013'!$D:$D,$A51,'Actuals 2009 - 2013'!Z:Z)/1000</f>
        <v>281.74478999999997</v>
      </c>
      <c r="G51" s="9">
        <f>SUMIF('2014FC-8and4'!$D:$D,$A51,'2014FC-8and4'!AE:AE)/1000</f>
        <v>99.09</v>
      </c>
      <c r="H51" s="9">
        <f>SUMIF('2014FC-8and4'!$D:$D,$A51,'2014FC-8and4'!Y:Y)/1000</f>
        <v>98.041160000000005</v>
      </c>
      <c r="I51" s="9">
        <f>SUMIF('2014FC-8and4'!$D:$D,$A51,'2014FC-8and4'!AB:AB)/1000</f>
        <v>57</v>
      </c>
      <c r="J51" s="9">
        <f>SUMIF('2014FC-8and4'!$D:$D,$A51,'2014FC-8and4'!AH:AH)/1000</f>
        <v>57</v>
      </c>
      <c r="K51" s="9">
        <f>SUMIF('2014FC-8and4'!$D:$D,$A51,'2014FC-8and4'!AK:AK)/1000</f>
        <v>0</v>
      </c>
      <c r="L51" s="9">
        <f>SUMIF('2014FC-8and4'!$D:$D,$A51,'2014FC-8and4'!AN:AN)/1000</f>
        <v>0</v>
      </c>
    </row>
    <row r="52" spans="1:12">
      <c r="A52" s="1" t="s">
        <v>3711</v>
      </c>
      <c r="B52" s="9">
        <f>SUMIF('Actuals 2009 - 2013'!$D:$D,$A52,'Actuals 2009 - 2013'!N:N)/1000</f>
        <v>0</v>
      </c>
      <c r="C52" s="9">
        <f>SUMIF('Actuals 2009 - 2013'!$D:$D,$A52,'Actuals 2009 - 2013'!Q:Q)/1000</f>
        <v>0</v>
      </c>
      <c r="D52" s="9">
        <f>SUMIF('Actuals 2009 - 2013'!$D:$D,$A52,'Actuals 2009 - 2013'!T:T)/1000</f>
        <v>0</v>
      </c>
      <c r="E52" s="9">
        <f>SUMIF('Actuals 2009 - 2013'!$D:$D,$A52,'Actuals 2009 - 2013'!W:W)/1000</f>
        <v>0</v>
      </c>
      <c r="F52" s="9">
        <f>SUMIF('Actuals 2009 - 2013'!$D:$D,$A52,'Actuals 2009 - 2013'!Z:Z)/1000</f>
        <v>0</v>
      </c>
      <c r="G52" s="9">
        <f>SUMIF('2014FC-8and4'!$D:$D,$A52,'2014FC-8and4'!AE:AE)/1000</f>
        <v>0</v>
      </c>
      <c r="H52" s="9">
        <f>SUMIF('2014FC-8and4'!$D:$D,$A52,'2014FC-8and4'!Y:Y)/1000</f>
        <v>0</v>
      </c>
      <c r="I52" s="9">
        <f>SUMIF('2014FC-8and4'!$D:$D,$A52,'2014FC-8and4'!AB:AB)/1000</f>
        <v>596</v>
      </c>
      <c r="J52" s="9">
        <f>SUMIF('2014FC-8and4'!$D:$D,$A52,'2014FC-8and4'!AH:AH)/1000</f>
        <v>596</v>
      </c>
      <c r="K52" s="9">
        <f>SUMIF('2014FC-8and4'!$D:$D,$A52,'2014FC-8and4'!AK:AK)/1000</f>
        <v>0</v>
      </c>
      <c r="L52" s="9">
        <f>SUMIF('2014FC-8and4'!$D:$D,$A52,'2014FC-8and4'!AN:AN)/1000</f>
        <v>0</v>
      </c>
    </row>
    <row r="53" spans="1:12">
      <c r="A53" s="1" t="s">
        <v>3712</v>
      </c>
      <c r="B53" s="9">
        <f>SUMIF('Actuals 2009 - 2013'!$D:$D,$A53,'Actuals 2009 - 2013'!N:N)/1000</f>
        <v>28.235979999999998</v>
      </c>
      <c r="C53" s="9">
        <f>SUMIF('Actuals 2009 - 2013'!$D:$D,$A53,'Actuals 2009 - 2013'!Q:Q)/1000</f>
        <v>39.648209999999999</v>
      </c>
      <c r="D53" s="9">
        <f>SUMIF('Actuals 2009 - 2013'!$D:$D,$A53,'Actuals 2009 - 2013'!T:T)/1000</f>
        <v>2.8170000000000002</v>
      </c>
      <c r="E53" s="9">
        <f>SUMIF('Actuals 2009 - 2013'!$D:$D,$A53,'Actuals 2009 - 2013'!W:W)/1000</f>
        <v>2.2120000000000002</v>
      </c>
      <c r="F53" s="9">
        <f>SUMIF('Actuals 2009 - 2013'!$D:$D,$A53,'Actuals 2009 - 2013'!Z:Z)/1000</f>
        <v>6.9414199999999999</v>
      </c>
      <c r="G53" s="9">
        <f>SUMIF('2014FC-8and4'!$D:$D,$A53,'2014FC-8and4'!AE:AE)/1000</f>
        <v>17</v>
      </c>
      <c r="H53" s="9">
        <f>SUMIF('2014FC-8and4'!$D:$D,$A53,'2014FC-8and4'!Y:Y)/1000</f>
        <v>17</v>
      </c>
      <c r="I53" s="9">
        <f>SUMIF('2014FC-8and4'!$D:$D,$A53,'2014FC-8and4'!AB:AB)/1000</f>
        <v>17.34</v>
      </c>
      <c r="J53" s="9">
        <f>SUMIF('2014FC-8and4'!$D:$D,$A53,'2014FC-8and4'!AH:AH)/1000</f>
        <v>17.34</v>
      </c>
      <c r="K53" s="9">
        <f>SUMIF('2014FC-8and4'!$D:$D,$A53,'2014FC-8and4'!AK:AK)/1000</f>
        <v>17.687000000000001</v>
      </c>
      <c r="L53" s="9">
        <f>SUMIF('2014FC-8and4'!$D:$D,$A53,'2014FC-8and4'!AN:AN)/1000</f>
        <v>18.041</v>
      </c>
    </row>
    <row r="54" spans="1:12">
      <c r="A54" s="1" t="s">
        <v>3713</v>
      </c>
      <c r="B54" s="9">
        <f>SUMIF('Actuals 2009 - 2013'!$D:$D,$A54,'Actuals 2009 - 2013'!N:N)/1000</f>
        <v>19.44698</v>
      </c>
      <c r="C54" s="9">
        <f>SUMIF('Actuals 2009 - 2013'!$D:$D,$A54,'Actuals 2009 - 2013'!Q:Q)/1000</f>
        <v>45.290080000000003</v>
      </c>
      <c r="D54" s="9">
        <f>SUMIF('Actuals 2009 - 2013'!$D:$D,$A54,'Actuals 2009 - 2013'!T:T)/1000</f>
        <v>2.8165</v>
      </c>
      <c r="E54" s="9">
        <f>SUMIF('Actuals 2009 - 2013'!$D:$D,$A54,'Actuals 2009 - 2013'!W:W)/1000</f>
        <v>0</v>
      </c>
      <c r="F54" s="9">
        <f>SUMIF('Actuals 2009 - 2013'!$D:$D,$A54,'Actuals 2009 - 2013'!Z:Z)/1000</f>
        <v>6.9414199999999999</v>
      </c>
      <c r="G54" s="9">
        <f>SUMIF('2014FC-8and4'!$D:$D,$A54,'2014FC-8and4'!AE:AE)/1000</f>
        <v>17</v>
      </c>
      <c r="H54" s="9">
        <f>SUMIF('2014FC-8and4'!$D:$D,$A54,'2014FC-8and4'!Y:Y)/1000</f>
        <v>17</v>
      </c>
      <c r="I54" s="9">
        <f>SUMIF('2014FC-8and4'!$D:$D,$A54,'2014FC-8and4'!AB:AB)/1000</f>
        <v>17.34</v>
      </c>
      <c r="J54" s="9">
        <f>SUMIF('2014FC-8and4'!$D:$D,$A54,'2014FC-8and4'!AH:AH)/1000</f>
        <v>17.34</v>
      </c>
      <c r="K54" s="9">
        <f>SUMIF('2014FC-8and4'!$D:$D,$A54,'2014FC-8and4'!AK:AK)/1000</f>
        <v>17.687000000000001</v>
      </c>
      <c r="L54" s="9">
        <f>SUMIF('2014FC-8and4'!$D:$D,$A54,'2014FC-8and4'!AN:AN)/1000</f>
        <v>18.041</v>
      </c>
    </row>
    <row r="55" spans="1:12">
      <c r="A55" s="1" t="s">
        <v>3689</v>
      </c>
      <c r="B55" s="9">
        <f>SUMIF('Actuals 2009 - 2013'!$D:$D,$A55,'Actuals 2009 - 2013'!N:N)/1000</f>
        <v>35.622930000000004</v>
      </c>
      <c r="C55" s="9">
        <f>SUMIF('Actuals 2009 - 2013'!$D:$D,$A55,'Actuals 2009 - 2013'!Q:Q)/1000</f>
        <v>9.2607499999999998</v>
      </c>
      <c r="D55" s="9">
        <f>SUMIF('Actuals 2009 - 2013'!$D:$D,$A55,'Actuals 2009 - 2013'!T:T)/1000</f>
        <v>2.8165</v>
      </c>
      <c r="E55" s="9">
        <f>SUMIF('Actuals 2009 - 2013'!$D:$D,$A55,'Actuals 2009 - 2013'!W:W)/1000</f>
        <v>0</v>
      </c>
      <c r="F55" s="9">
        <f>SUMIF('Actuals 2009 - 2013'!$D:$D,$A55,'Actuals 2009 - 2013'!Z:Z)/1000</f>
        <v>147.89320000000001</v>
      </c>
      <c r="G55" s="9">
        <f>SUMIF('2014FC-8and4'!$D:$D,$A55,'2014FC-8and4'!AE:AE)/1000</f>
        <v>17</v>
      </c>
      <c r="H55" s="9">
        <f>SUMIF('2014FC-8and4'!$D:$D,$A55,'2014FC-8and4'!Y:Y)/1000</f>
        <v>16.850000000000001</v>
      </c>
      <c r="I55" s="9">
        <f>SUMIF('2014FC-8and4'!$D:$D,$A55,'2014FC-8and4'!AB:AB)/1000</f>
        <v>0</v>
      </c>
      <c r="J55" s="9">
        <f>SUMIF('2014FC-8and4'!$D:$D,$A55,'2014FC-8and4'!AH:AH)/1000</f>
        <v>0</v>
      </c>
      <c r="K55" s="9">
        <f>SUMIF('2014FC-8and4'!$D:$D,$A55,'2014FC-8and4'!AK:AK)/1000</f>
        <v>0</v>
      </c>
      <c r="L55" s="9">
        <f>SUMIF('2014FC-8and4'!$D:$D,$A55,'2014FC-8and4'!AN:AN)/1000</f>
        <v>0</v>
      </c>
    </row>
    <row r="56" spans="1:12">
      <c r="A56" s="19" t="s">
        <v>3692</v>
      </c>
      <c r="B56" s="24">
        <f>SUM(B47:B55)</f>
        <v>-198.29459440000005</v>
      </c>
      <c r="C56" s="24">
        <f>SUM(C47:C55)</f>
        <v>573.18786189999992</v>
      </c>
      <c r="D56" s="24">
        <f>SUM(D47:D55)</f>
        <v>99.695747799999992</v>
      </c>
      <c r="E56" s="24">
        <f t="shared" ref="E56:L56" si="7">SUM(E47:E55)</f>
        <v>167.74135459999999</v>
      </c>
      <c r="F56" s="24">
        <f t="shared" si="7"/>
        <v>429.95223539999995</v>
      </c>
      <c r="G56" s="24">
        <f t="shared" si="7"/>
        <v>324.27279999999996</v>
      </c>
      <c r="H56" s="24">
        <f t="shared" si="7"/>
        <v>327.72396000000003</v>
      </c>
      <c r="I56" s="24">
        <f t="shared" si="7"/>
        <v>915.64894000000004</v>
      </c>
      <c r="J56" s="24">
        <f t="shared" si="7"/>
        <v>828.85257999999999</v>
      </c>
      <c r="K56" s="24">
        <f t="shared" si="7"/>
        <v>248.44992000000002</v>
      </c>
      <c r="L56" s="251">
        <f t="shared" si="7"/>
        <v>628.88924000000009</v>
      </c>
    </row>
    <row r="58" spans="1:12">
      <c r="A58" s="20" t="s">
        <v>3714</v>
      </c>
      <c r="B58" s="25">
        <f>B35+B43+B56+B45</f>
        <v>462.71386699999994</v>
      </c>
      <c r="C58" s="25">
        <f t="shared" ref="C58:L58" si="8">C35+C43+C56+C45</f>
        <v>2732.6590550999995</v>
      </c>
      <c r="D58" s="25">
        <f t="shared" si="8"/>
        <v>600.61877220000008</v>
      </c>
      <c r="E58" s="25">
        <f t="shared" si="8"/>
        <v>162.4500946</v>
      </c>
      <c r="F58" s="25">
        <f t="shared" si="8"/>
        <v>463.52866409999996</v>
      </c>
      <c r="G58" s="25">
        <f t="shared" si="8"/>
        <v>487.53494369999999</v>
      </c>
      <c r="H58" s="25">
        <f t="shared" si="8"/>
        <v>422.44526580000002</v>
      </c>
      <c r="I58" s="25">
        <f t="shared" si="8"/>
        <v>1731.1479700000002</v>
      </c>
      <c r="J58" s="25">
        <f t="shared" si="8"/>
        <v>1643.2245500000001</v>
      </c>
      <c r="K58" s="25">
        <f t="shared" si="8"/>
        <v>1785.7116659999999</v>
      </c>
      <c r="L58" s="250">
        <f t="shared" si="8"/>
        <v>2573.4856328000001</v>
      </c>
    </row>
    <row r="60" spans="1:12">
      <c r="A60" s="1" t="s">
        <v>3715</v>
      </c>
      <c r="B60" s="9">
        <f>SUMIF('Actuals 2009 - 2013'!$D:$D,$A60,'Actuals 2009 - 2013'!N:N)/1000</f>
        <v>0</v>
      </c>
      <c r="C60" s="9">
        <f>SUMIF('Actuals 2009 - 2013'!$D:$D,$A60,'Actuals 2009 - 2013'!Q:Q)/1000</f>
        <v>15.266389999999999</v>
      </c>
      <c r="D60" s="9">
        <f>SUMIF('Actuals 2009 - 2013'!$D:$D,$A60,'Actuals 2009 - 2013'!T:T)/1000</f>
        <v>0</v>
      </c>
      <c r="E60" s="9">
        <f>SUMIF('Actuals 2009 - 2013'!$D:$D,$A60,'Actuals 2009 - 2013'!W:W)/1000</f>
        <v>0</v>
      </c>
      <c r="F60" s="9">
        <f>SUMIF('Actuals 2009 - 2013'!$D:$D,$A60,'Actuals 2009 - 2013'!Z:Z)/1000</f>
        <v>0</v>
      </c>
      <c r="G60" s="9">
        <f>SUMIF('2014FC-8and4'!$D:$D,$A60,'2014FC-8and4'!AE:AE)/1000</f>
        <v>0</v>
      </c>
      <c r="H60" s="9">
        <f>SUMIF('2014FC-8and4'!$D:$D,$A60,'2014FC-8and4'!Y:Y)/1000</f>
        <v>0</v>
      </c>
      <c r="I60" s="9">
        <f>SUMIF('2014FC-8and4'!$D:$D,$A60,'2014FC-8and4'!AB:AB)/1000</f>
        <v>0</v>
      </c>
      <c r="J60" s="9">
        <f>SUMIF('2014FC-8and4'!$D:$D,$A60,'2014FC-8and4'!AH:AH)/1000</f>
        <v>0</v>
      </c>
      <c r="K60" s="9">
        <f>SUMIF('2014FC-8and4'!$D:$D,$A60,'2014FC-8and4'!AK:AK)/1000</f>
        <v>0</v>
      </c>
      <c r="L60" s="9">
        <f>SUMIF('2014FC-8and4'!$D:$D,$A60,'2014FC-8and4'!AN:AN)/1000</f>
        <v>0</v>
      </c>
    </row>
    <row r="62" spans="1:12">
      <c r="A62" s="21" t="s">
        <v>3916</v>
      </c>
      <c r="B62" s="26">
        <f t="shared" ref="B62:L62" si="9">B58+B60+B33</f>
        <v>14724.479126999999</v>
      </c>
      <c r="C62" s="26">
        <f t="shared" si="9"/>
        <v>16088.236685099999</v>
      </c>
      <c r="D62" s="26">
        <f t="shared" si="9"/>
        <v>19645.2330778</v>
      </c>
      <c r="E62" s="26">
        <f t="shared" si="9"/>
        <v>28022.823066600002</v>
      </c>
      <c r="F62" s="26">
        <f t="shared" si="9"/>
        <v>8576.7453010999998</v>
      </c>
      <c r="G62" s="26">
        <f t="shared" si="9"/>
        <v>24321.679876300001</v>
      </c>
      <c r="H62" s="26">
        <f t="shared" si="9"/>
        <v>24140.531656899999</v>
      </c>
      <c r="I62" s="26">
        <f t="shared" si="9"/>
        <v>22736.20866</v>
      </c>
      <c r="J62" s="26">
        <f t="shared" si="9"/>
        <v>25153.89255</v>
      </c>
      <c r="K62" s="26">
        <f t="shared" si="9"/>
        <v>18331.069356</v>
      </c>
      <c r="L62" s="252">
        <f t="shared" si="9"/>
        <v>16779.717552800001</v>
      </c>
    </row>
    <row r="63" spans="1:12" s="275" customFormat="1">
      <c r="A63" s="280"/>
      <c r="B63" s="281"/>
      <c r="C63" s="281"/>
      <c r="D63" s="281"/>
      <c r="E63" s="281"/>
      <c r="F63" s="281"/>
      <c r="G63" s="281"/>
      <c r="H63" s="281"/>
      <c r="I63" s="281"/>
      <c r="J63" s="281"/>
      <c r="K63" s="281"/>
      <c r="L63" s="281"/>
    </row>
    <row r="64" spans="1:12" s="275" customFormat="1">
      <c r="A64" s="280"/>
      <c r="B64" s="281"/>
      <c r="C64" s="281"/>
      <c r="D64" s="281"/>
      <c r="E64" s="281"/>
      <c r="F64" s="281"/>
      <c r="G64" s="281"/>
      <c r="H64" s="281"/>
      <c r="I64" s="281"/>
      <c r="J64" s="281"/>
      <c r="K64" s="281"/>
      <c r="L64" s="281"/>
    </row>
    <row r="65" spans="1:12" s="275" customFormat="1">
      <c r="A65" s="286" t="s">
        <v>3913</v>
      </c>
      <c r="B65" s="279"/>
      <c r="C65" s="279"/>
      <c r="D65" s="279"/>
      <c r="E65" s="279"/>
      <c r="F65" s="279"/>
      <c r="G65" s="279"/>
      <c r="H65" s="279"/>
      <c r="I65" s="279"/>
      <c r="J65" s="279"/>
      <c r="K65" s="279"/>
      <c r="L65" s="279"/>
    </row>
    <row r="66" spans="1:12">
      <c r="A66" s="1" t="s">
        <v>3671</v>
      </c>
      <c r="B66" s="9">
        <f>SUMIF('Actuals 2009 - 2013'!$D:$D,$A66,'Actuals 2009 - 2013'!O:O)/1000</f>
        <v>223.50413</v>
      </c>
      <c r="C66" s="9">
        <f>SUMIF('Actuals 2009 - 2013'!$D:$D,$A66,'Actuals 2009 - 2013'!R:R)/1000</f>
        <v>1799.1135699999998</v>
      </c>
      <c r="D66" s="9">
        <f>SUMIF('Actuals 2009 - 2013'!$D:$D,$A66,'Actuals 2009 - 2013'!U:U)/1000</f>
        <v>592.39870999999994</v>
      </c>
      <c r="E66" s="9">
        <f>SUMIF('Actuals 2009 - 2013'!$D:$D,$A66,'Actuals 2009 - 2013'!X:X)/1000</f>
        <v>68.871750000000006</v>
      </c>
      <c r="F66" s="9">
        <f>SUMIF('Actuals 2009 - 2013'!$D:$D,$A66,'Actuals 2009 - 2013'!AA:AA)/1000</f>
        <v>5322.5365099999999</v>
      </c>
      <c r="G66" s="9">
        <f>SUMIF('2014FC-8and4'!$D:$D,$A66,'2014FC-8and4'!AF:AF)/1000</f>
        <v>350.25471999999996</v>
      </c>
      <c r="H66" s="9">
        <f>SUMIF('2014FC-8and4'!$D:$D,$A66,'2014FC-8and4'!Z:Z)/1000</f>
        <v>332.62085999999999</v>
      </c>
      <c r="I66" s="9">
        <f>SUMIF('2014FC-8and4'!$D:$D,$A66,'2014FC-8and4'!AC:AC)/1000</f>
        <v>750.00130000000001</v>
      </c>
      <c r="J66" s="9">
        <f>SUMIF('2014FC-8and4'!$D:$D,$A66,'2014FC-8and4'!AI:AI)/1000</f>
        <v>3349.9985000000001</v>
      </c>
      <c r="K66" s="9">
        <f>SUMIF('2014FC-8and4'!$D:$D,$A66,'2014FC-8and4'!AL:AL)/1000</f>
        <v>750.00130000000001</v>
      </c>
      <c r="L66" s="9">
        <f>SUMIF('2014FC-8and4'!$D:$D,$A66,'2014FC-8and4'!AO:AO)/1000</f>
        <v>3738.9992599999996</v>
      </c>
    </row>
    <row r="67" spans="1:12">
      <c r="A67" s="1" t="s">
        <v>3672</v>
      </c>
      <c r="B67" s="9">
        <f>SUMIF('Actuals 2009 - 2013'!$D:$D,$A67,'Actuals 2009 - 2013'!O:O)/1000</f>
        <v>2328.1342599999998</v>
      </c>
      <c r="C67" s="9">
        <f>SUMIF('Actuals 2009 - 2013'!$D:$D,$A67,'Actuals 2009 - 2013'!R:R)/1000</f>
        <v>495.01205000000004</v>
      </c>
      <c r="D67" s="9">
        <f>SUMIF('Actuals 2009 - 2013'!$D:$D,$A67,'Actuals 2009 - 2013'!U:U)/1000</f>
        <v>21.916510000000002</v>
      </c>
      <c r="E67" s="9">
        <f>SUMIF('Actuals 2009 - 2013'!$D:$D,$A67,'Actuals 2009 - 2013'!X:X)/1000</f>
        <v>5490.5102799999995</v>
      </c>
      <c r="F67" s="9">
        <f>SUMIF('Actuals 2009 - 2013'!$D:$D,$A67,'Actuals 2009 - 2013'!AA:AA)/1000</f>
        <v>1.6874400000000001</v>
      </c>
      <c r="G67" s="9">
        <f>SUMIF('2014FC-8and4'!$D:$D,$A67,'2014FC-8and4'!AF:AF)/1000</f>
        <v>2001.67995</v>
      </c>
      <c r="H67" s="9">
        <f>SUMIF('2014FC-8and4'!$D:$D,$A67,'2014FC-8and4'!Z:Z)/1000</f>
        <v>2142.6798400000002</v>
      </c>
      <c r="I67" s="9">
        <f>SUMIF('2014FC-8and4'!$D:$D,$A67,'2014FC-8and4'!AC:AC)/1000</f>
        <v>3179.9995199999998</v>
      </c>
      <c r="J67" s="9">
        <f>SUMIF('2014FC-8and4'!$D:$D,$A67,'2014FC-8and4'!AI:AI)/1000</f>
        <v>2710.0003299999998</v>
      </c>
      <c r="K67" s="9">
        <f>SUMIF('2014FC-8and4'!$D:$D,$A67,'2014FC-8and4'!AL:AL)/1000</f>
        <v>3179.9995199999998</v>
      </c>
      <c r="L67" s="9">
        <f>SUMIF('2014FC-8and4'!$D:$D,$A67,'2014FC-8and4'!AO:AO)/1000</f>
        <v>849.99930000000006</v>
      </c>
    </row>
    <row r="68" spans="1:12">
      <c r="A68" s="1" t="s">
        <v>3673</v>
      </c>
      <c r="B68" s="9">
        <f>SUMIF('Actuals 2009 - 2013'!$D:$D,$A68,'Actuals 2009 - 2013'!O:O)/1000</f>
        <v>1678.7914099999998</v>
      </c>
      <c r="C68" s="9">
        <f>SUMIF('Actuals 2009 - 2013'!$D:$D,$A68,'Actuals 2009 - 2013'!R:R)/1000</f>
        <v>545.31761000000006</v>
      </c>
      <c r="D68" s="9">
        <f>SUMIF('Actuals 2009 - 2013'!$D:$D,$A68,'Actuals 2009 - 2013'!U:U)/1000</f>
        <v>5618.2199000000001</v>
      </c>
      <c r="E68" s="9">
        <f>SUMIF('Actuals 2009 - 2013'!$D:$D,$A68,'Actuals 2009 - 2013'!X:X)/1000</f>
        <v>372.20926000000003</v>
      </c>
      <c r="F68" s="9">
        <f>SUMIF('Actuals 2009 - 2013'!$D:$D,$A68,'Actuals 2009 - 2013'!AA:AA)/1000</f>
        <v>3585.9548100000002</v>
      </c>
      <c r="G68" s="9">
        <f>SUMIF('2014FC-8and4'!$D:$D,$A68,'2014FC-8and4'!AF:AF)/1000</f>
        <v>400.46757999999994</v>
      </c>
      <c r="H68" s="9">
        <f>SUMIF('2014FC-8and4'!$D:$D,$A68,'2014FC-8and4'!Z:Z)/1000</f>
        <v>416.51079999999996</v>
      </c>
      <c r="I68" s="9">
        <f>SUMIF('2014FC-8and4'!$D:$D,$A68,'2014FC-8and4'!AC:AC)/1000</f>
        <v>3919.9992699999998</v>
      </c>
      <c r="J68" s="9">
        <f>SUMIF('2014FC-8and4'!$D:$D,$A68,'2014FC-8and4'!AI:AI)/1000</f>
        <v>700.00006000000008</v>
      </c>
      <c r="K68" s="9">
        <f>SUMIF('2014FC-8and4'!$D:$D,$A68,'2014FC-8and4'!AL:AL)/1000</f>
        <v>4119.9999699999998</v>
      </c>
      <c r="L68" s="9">
        <f>SUMIF('2014FC-8and4'!$D:$D,$A68,'2014FC-8and4'!AO:AO)/1000</f>
        <v>3749.9991500000001</v>
      </c>
    </row>
    <row r="69" spans="1:12">
      <c r="A69" s="1" t="s">
        <v>3674</v>
      </c>
      <c r="B69" s="9">
        <f>SUMIF('Actuals 2009 - 2013'!$D:$D,$A69,'Actuals 2009 - 2013'!O:O)/1000</f>
        <v>232.02764000000002</v>
      </c>
      <c r="C69" s="9">
        <f>SUMIF('Actuals 2009 - 2013'!$D:$D,$A69,'Actuals 2009 - 2013'!R:R)/1000</f>
        <v>2359.5482599999996</v>
      </c>
      <c r="D69" s="9">
        <f>SUMIF('Actuals 2009 - 2013'!$D:$D,$A69,'Actuals 2009 - 2013'!U:U)/1000</f>
        <v>626.32561999999996</v>
      </c>
      <c r="E69" s="9">
        <f>SUMIF('Actuals 2009 - 2013'!$D:$D,$A69,'Actuals 2009 - 2013'!X:X)/1000</f>
        <v>2703.4632299999998</v>
      </c>
      <c r="F69" s="9">
        <f>SUMIF('Actuals 2009 - 2013'!$D:$D,$A69,'Actuals 2009 - 2013'!AA:AA)/1000</f>
        <v>1232.1409699999999</v>
      </c>
      <c r="G69" s="9">
        <f>SUMIF('2014FC-8and4'!$D:$D,$A69,'2014FC-8and4'!AF:AF)/1000</f>
        <v>6281.9405700000007</v>
      </c>
      <c r="H69" s="9">
        <f>SUMIF('2014FC-8and4'!$D:$D,$A69,'2014FC-8and4'!Z:Z)/1000</f>
        <v>6281.9405700000007</v>
      </c>
      <c r="I69" s="9">
        <f>SUMIF('2014FC-8and4'!$D:$D,$A69,'2014FC-8and4'!AC:AC)/1000</f>
        <v>850.00153</v>
      </c>
      <c r="J69" s="9">
        <f>SUMIF('2014FC-8and4'!$D:$D,$A69,'2014FC-8and4'!AI:AI)/1000</f>
        <v>2422.00153</v>
      </c>
      <c r="K69" s="9">
        <f>SUMIF('2014FC-8and4'!$D:$D,$A69,'2014FC-8and4'!AL:AL)/1000</f>
        <v>3450.00108</v>
      </c>
      <c r="L69" s="9">
        <f>SUMIF('2014FC-8and4'!$D:$D,$A69,'2014FC-8and4'!AO:AO)/1000</f>
        <v>850.00006000000008</v>
      </c>
    </row>
    <row r="70" spans="1:12">
      <c r="A70" s="19" t="s">
        <v>3692</v>
      </c>
      <c r="B70" s="23">
        <f>SUM(B66:B69)</f>
        <v>4462.4574400000001</v>
      </c>
      <c r="C70" s="23">
        <f>SUM(C66:C69)</f>
        <v>5198.9914899999994</v>
      </c>
      <c r="D70" s="23">
        <f>SUM(D66:D69)</f>
        <v>6858.8607400000001</v>
      </c>
      <c r="E70" s="23">
        <f t="shared" ref="E70:L70" si="10">SUM(E66:E69)</f>
        <v>8635.0545199999997</v>
      </c>
      <c r="F70" s="23">
        <f t="shared" si="10"/>
        <v>10142.319729999999</v>
      </c>
      <c r="G70" s="23">
        <f t="shared" si="10"/>
        <v>9034.3428200000017</v>
      </c>
      <c r="H70" s="23">
        <f t="shared" si="10"/>
        <v>9173.7520700000005</v>
      </c>
      <c r="I70" s="23">
        <f t="shared" si="10"/>
        <v>8700.0016199999991</v>
      </c>
      <c r="J70" s="23">
        <f t="shared" si="10"/>
        <v>9182.0004200000003</v>
      </c>
      <c r="K70" s="23">
        <f t="shared" si="10"/>
        <v>11500.00187</v>
      </c>
      <c r="L70" s="23">
        <f t="shared" si="10"/>
        <v>9188.9977699999999</v>
      </c>
    </row>
    <row r="71" spans="1:12">
      <c r="A71" s="1"/>
    </row>
    <row r="72" spans="1:12">
      <c r="A72" s="1" t="s">
        <v>3693</v>
      </c>
      <c r="B72" s="9">
        <f>SUMIF('Actuals 2009 - 2013'!$D:$D,$A72,'Actuals 2009 - 2013'!O:O)/1000</f>
        <v>7512.8894399999999</v>
      </c>
      <c r="C72" s="9">
        <f>SUMIF('Actuals 2009 - 2013'!$D:$D,$A72,'Actuals 2009 - 2013'!R:R)/1000</f>
        <v>219.24757</v>
      </c>
      <c r="D72" s="9">
        <f>SUMIF('Actuals 2009 - 2013'!$D:$D,$A72,'Actuals 2009 - 2013'!U:U)/1000</f>
        <v>4407.5880299999999</v>
      </c>
      <c r="E72" s="9">
        <f>SUMIF('Actuals 2009 - 2013'!$D:$D,$A72,'Actuals 2009 - 2013'!X:X)/1000</f>
        <v>-93.404190000000028</v>
      </c>
      <c r="F72" s="9">
        <f>SUMIF('Actuals 2009 - 2013'!$D:$D,$A72,'Actuals 2009 - 2013'!AA:AA)/1000</f>
        <v>1382.8423799999998</v>
      </c>
      <c r="G72" s="9">
        <f>SUMIF('2014FC-8and4'!$D:$D,$A72,'2014FC-8and4'!AF:AF)/1000</f>
        <v>6.234</v>
      </c>
      <c r="H72" s="9">
        <f>SUMIF('2014FC-8and4'!$D:$D,$A72,'2014FC-8and4'!Z:Z)/1000</f>
        <v>5.375630000000001</v>
      </c>
      <c r="I72" s="9">
        <f>SUMIF('2014FC-8and4'!$D:$D,$A72,'2014FC-8and4'!AC:AC)/1000</f>
        <v>4240</v>
      </c>
      <c r="J72" s="9">
        <f>SUMIF('2014FC-8and4'!$D:$D,$A72,'2014FC-8and4'!AI:AI)/1000</f>
        <v>4014</v>
      </c>
      <c r="K72" s="9">
        <f>SUMIF('2014FC-8and4'!$D:$D,$A72,'2014FC-8and4'!AL:AL)/1000</f>
        <v>226</v>
      </c>
      <c r="L72" s="9">
        <f>SUMIF('2014FC-8and4'!$D:$D,$A72,'2014FC-8and4'!AO:AO)/1000</f>
        <v>8852.9539999999997</v>
      </c>
    </row>
    <row r="73" spans="1:12">
      <c r="A73" s="1" t="s">
        <v>3694</v>
      </c>
      <c r="B73" s="9">
        <f>SUMIF('Actuals 2009 - 2013'!$D:$D,$A73,'Actuals 2009 - 2013'!O:O)/1000</f>
        <v>0</v>
      </c>
      <c r="C73" s="9">
        <f>SUMIF('Actuals 2009 - 2013'!$D:$D,$A73,'Actuals 2009 - 2013'!R:R)/1000</f>
        <v>0</v>
      </c>
      <c r="D73" s="9">
        <f>SUMIF('Actuals 2009 - 2013'!$D:$D,$A73,'Actuals 2009 - 2013'!U:U)/1000</f>
        <v>54.547054399999993</v>
      </c>
      <c r="E73" s="9">
        <f>SUMIF('Actuals 2009 - 2013'!$D:$D,$A73,'Actuals 2009 - 2013'!X:X)/1000</f>
        <v>221.74884800000001</v>
      </c>
      <c r="F73" s="9">
        <f>SUMIF('Actuals 2009 - 2013'!$D:$D,$A73,'Actuals 2009 - 2013'!AA:AA)/1000</f>
        <v>0.74721300000000013</v>
      </c>
      <c r="G73" s="9">
        <f>SUMIF('2014FC-8and4'!$D:$D,$A73,'2014FC-8and4'!AF:AF)/1000</f>
        <v>687.73510739999995</v>
      </c>
      <c r="H73" s="9">
        <f>SUMIF('2014FC-8and4'!$D:$D,$A73,'2014FC-8and4'!Z:Z)/1000</f>
        <v>652.34092889999999</v>
      </c>
      <c r="I73" s="9">
        <f>SUMIF('2014FC-8and4'!$D:$D,$A73,'2014FC-8and4'!AC:AC)/1000</f>
        <v>1013.8493100000001</v>
      </c>
      <c r="J73" s="9">
        <f>SUMIF('2014FC-8and4'!$D:$D,$A73,'2014FC-8and4'!AI:AI)/1000</f>
        <v>285.03800000000001</v>
      </c>
      <c r="K73" s="9">
        <f>SUMIF('2014FC-8and4'!$D:$D,$A73,'2014FC-8and4'!AL:AL)/1000</f>
        <v>1013.8493100000001</v>
      </c>
      <c r="L73" s="9">
        <f>SUMIF('2014FC-8and4'!$D:$D,$A73,'2014FC-8and4'!AO:AO)/1000</f>
        <v>284.93008000000003</v>
      </c>
    </row>
    <row r="74" spans="1:12">
      <c r="A74" s="19" t="s">
        <v>3692</v>
      </c>
      <c r="B74" s="23">
        <f t="shared" ref="B74:L74" si="11">SUM(B72:B73)</f>
        <v>7512.8894399999999</v>
      </c>
      <c r="C74" s="23">
        <f t="shared" si="11"/>
        <v>219.24757</v>
      </c>
      <c r="D74" s="23">
        <f t="shared" si="11"/>
        <v>4462.1350843999999</v>
      </c>
      <c r="E74" s="23">
        <f t="shared" si="11"/>
        <v>128.34465799999998</v>
      </c>
      <c r="F74" s="23">
        <f t="shared" si="11"/>
        <v>1383.5895929999999</v>
      </c>
      <c r="G74" s="23">
        <f t="shared" si="11"/>
        <v>693.96910739999998</v>
      </c>
      <c r="H74" s="23">
        <f t="shared" si="11"/>
        <v>657.7165589</v>
      </c>
      <c r="I74" s="23">
        <f t="shared" si="11"/>
        <v>5253.8493099999996</v>
      </c>
      <c r="J74" s="23">
        <f t="shared" si="11"/>
        <v>4299.0380000000005</v>
      </c>
      <c r="K74" s="23">
        <f t="shared" si="11"/>
        <v>1239.8493100000001</v>
      </c>
      <c r="L74" s="249">
        <f t="shared" si="11"/>
        <v>9137.8840799999998</v>
      </c>
    </row>
    <row r="75" spans="1:12">
      <c r="A75" s="1"/>
    </row>
    <row r="76" spans="1:12">
      <c r="A76" t="s">
        <v>3668</v>
      </c>
      <c r="B76" s="9">
        <f>SUMIF('Actuals 2009 - 2013'!$D:$D,$A76,'Actuals 2009 - 2013'!O:O)/1000</f>
        <v>809.36031000000003</v>
      </c>
      <c r="C76" s="9">
        <f>SUMIF('Actuals 2009 - 2013'!$D:$D,$A76,'Actuals 2009 - 2013'!R:R)/1000</f>
        <v>1531.69037</v>
      </c>
      <c r="D76" s="9">
        <f>SUMIF('Actuals 2009 - 2013'!$D:$D,$A76,'Actuals 2009 - 2013'!U:U)/1000</f>
        <v>677.81620999999984</v>
      </c>
      <c r="E76" s="9">
        <f>SUMIF('Actuals 2009 - 2013'!$D:$D,$A76,'Actuals 2009 - 2013'!X:X)/1000</f>
        <v>4852.8746500000007</v>
      </c>
      <c r="F76" s="9">
        <f>SUMIF('Actuals 2009 - 2013'!$D:$D,$A76,'Actuals 2009 - 2013'!AA:AA)/1000</f>
        <v>145.01707000000002</v>
      </c>
      <c r="G76" s="9">
        <f>SUMIF('2014FC-8and4'!$D:$D,$A76,'2014FC-8and4'!AF:AF)/1000</f>
        <v>-118.95549000000001</v>
      </c>
      <c r="H76" s="9">
        <f>SUMIF('2014FC-8and4'!$D:$D,$A76,'2014FC-8and4'!Z:Z)/1000</f>
        <v>-119.31426999999992</v>
      </c>
      <c r="I76" s="9">
        <f>SUMIF('2014FC-8and4'!$D:$D,$A76,'2014FC-8and4'!AC:AC)/1000</f>
        <v>0</v>
      </c>
      <c r="J76" s="9">
        <f>SUMIF('2014FC-8and4'!$D:$D,$A76,'2014FC-8and4'!AI:AI)/1000</f>
        <v>0</v>
      </c>
      <c r="K76" s="9">
        <f>SUMIF('2014FC-8and4'!$D:$D,$A76,'2014FC-8and4'!AL:AL)/1000</f>
        <v>0</v>
      </c>
      <c r="L76" s="9">
        <f>SUMIF('2014FC-8and4'!$D:$D,$A76,'2014FC-8and4'!AO:AO)/1000</f>
        <v>0</v>
      </c>
    </row>
    <row r="77" spans="1:12">
      <c r="A77" s="1" t="s">
        <v>3687</v>
      </c>
      <c r="B77" s="9">
        <f>SUMIF('Actuals 2009 - 2013'!$D:$D,$A77,'Actuals 2009 - 2013'!O:O)/1000</f>
        <v>956.3229399999999</v>
      </c>
      <c r="C77" s="9">
        <f>SUMIF('Actuals 2009 - 2013'!$D:$D,$A77,'Actuals 2009 - 2013'!R:R)/1000</f>
        <v>0.79222000000000004</v>
      </c>
      <c r="D77" s="9">
        <f>SUMIF('Actuals 2009 - 2013'!$D:$D,$A77,'Actuals 2009 - 2013'!U:U)/1000</f>
        <v>2231.3397099999997</v>
      </c>
      <c r="E77" s="9">
        <f>SUMIF('Actuals 2009 - 2013'!$D:$D,$A77,'Actuals 2009 - 2013'!X:X)/1000</f>
        <v>0</v>
      </c>
      <c r="F77" s="9">
        <f>SUMIF('Actuals 2009 - 2013'!$D:$D,$A77,'Actuals 2009 - 2013'!AA:AA)/1000</f>
        <v>1052.31366</v>
      </c>
      <c r="G77" s="9">
        <f>SUMIF('2014FC-8and4'!$D:$D,$A77,'2014FC-8and4'!AF:AF)/1000</f>
        <v>259.72111999999998</v>
      </c>
      <c r="H77" s="9">
        <f>SUMIF('2014FC-8and4'!$D:$D,$A77,'2014FC-8and4'!Z:Z)/1000</f>
        <v>239.45886999999999</v>
      </c>
      <c r="I77" s="9">
        <f>SUMIF('2014FC-8and4'!$D:$D,$A77,'2014FC-8and4'!AC:AC)/1000</f>
        <v>0</v>
      </c>
      <c r="J77" s="9">
        <f>SUMIF('2014FC-8and4'!$D:$D,$A77,'2014FC-8and4'!AI:AI)/1000</f>
        <v>0</v>
      </c>
      <c r="K77" s="9">
        <f>SUMIF('2014FC-8and4'!$D:$D,$A77,'2014FC-8and4'!AL:AL)/1000</f>
        <v>0</v>
      </c>
      <c r="L77" s="9">
        <f>SUMIF('2014FC-8and4'!$D:$D,$A77,'2014FC-8and4'!AO:AO)/1000</f>
        <v>0</v>
      </c>
    </row>
    <row r="78" spans="1:12">
      <c r="A78" s="1" t="s">
        <v>3669</v>
      </c>
      <c r="B78" s="9">
        <f>SUMIF('Actuals 2009 - 2013'!$D:$D,$A78,'Actuals 2009 - 2013'!O:O)/1000</f>
        <v>966.64685999999995</v>
      </c>
      <c r="C78" s="9">
        <f>SUMIF('Actuals 2009 - 2013'!$D:$D,$A78,'Actuals 2009 - 2013'!R:R)/1000</f>
        <v>6307.0824400000001</v>
      </c>
      <c r="D78" s="9">
        <f>SUMIF('Actuals 2009 - 2013'!$D:$D,$A78,'Actuals 2009 - 2013'!U:U)/1000</f>
        <v>-22.438590000000005</v>
      </c>
      <c r="E78" s="9">
        <f>SUMIF('Actuals 2009 - 2013'!$D:$D,$A78,'Actuals 2009 - 2013'!X:X)/1000</f>
        <v>1651.5851299999999</v>
      </c>
      <c r="F78" s="9">
        <f>SUMIF('Actuals 2009 - 2013'!$D:$D,$A78,'Actuals 2009 - 2013'!AA:AA)/1000</f>
        <v>461.11685999999997</v>
      </c>
      <c r="G78" s="9">
        <f>SUMIF('2014FC-8and4'!$D:$D,$A78,'2014FC-8and4'!AF:AF)/1000</f>
        <v>1471.15218</v>
      </c>
      <c r="H78" s="9">
        <f>SUMIF('2014FC-8and4'!$D:$D,$A78,'2014FC-8and4'!Z:Z)/1000</f>
        <v>1343.5421800000001</v>
      </c>
      <c r="I78" s="9">
        <f>SUMIF('2014FC-8and4'!$D:$D,$A78,'2014FC-8and4'!AC:AC)/1000</f>
        <v>0</v>
      </c>
      <c r="J78" s="9">
        <f>SUMIF('2014FC-8and4'!$D:$D,$A78,'2014FC-8and4'!AI:AI)/1000</f>
        <v>0</v>
      </c>
      <c r="K78" s="9">
        <f>SUMIF('2014FC-8and4'!$D:$D,$A78,'2014FC-8and4'!AL:AL)/1000</f>
        <v>0</v>
      </c>
      <c r="L78" s="9">
        <f>SUMIF('2014FC-8and4'!$D:$D,$A78,'2014FC-8and4'!AO:AO)/1000</f>
        <v>0</v>
      </c>
    </row>
    <row r="79" spans="1:12">
      <c r="A79" s="19" t="s">
        <v>3692</v>
      </c>
      <c r="B79" s="23">
        <f>SUM(B76:B78)</f>
        <v>2732.3301099999999</v>
      </c>
      <c r="C79" s="23">
        <f>SUM(C76:C78)</f>
        <v>7839.5650299999998</v>
      </c>
      <c r="D79" s="23">
        <f>SUM(D76:D78)</f>
        <v>2886.7173299999995</v>
      </c>
      <c r="E79" s="23">
        <f t="shared" ref="E79:L79" si="12">SUM(E76:E78)</f>
        <v>6504.459780000001</v>
      </c>
      <c r="F79" s="23">
        <f t="shared" si="12"/>
        <v>1658.4475900000002</v>
      </c>
      <c r="G79" s="23">
        <f t="shared" si="12"/>
        <v>1611.9178099999999</v>
      </c>
      <c r="H79" s="23">
        <f t="shared" si="12"/>
        <v>1463.6867800000002</v>
      </c>
      <c r="I79" s="23">
        <f t="shared" si="12"/>
        <v>0</v>
      </c>
      <c r="J79" s="23">
        <f t="shared" si="12"/>
        <v>0</v>
      </c>
      <c r="K79" s="23">
        <f t="shared" si="12"/>
        <v>0</v>
      </c>
      <c r="L79" s="249">
        <f t="shared" si="12"/>
        <v>0</v>
      </c>
    </row>
    <row r="80" spans="1:12">
      <c r="A80" s="1"/>
    </row>
    <row r="81" spans="1:12">
      <c r="A81" s="20" t="s">
        <v>3698</v>
      </c>
      <c r="B81" s="25">
        <f>+B79+B74+B70</f>
        <v>14707.67699</v>
      </c>
      <c r="C81" s="25">
        <f t="shared" ref="C81:L81" si="13">+C79+C74+C70</f>
        <v>13257.804089999998</v>
      </c>
      <c r="D81" s="25">
        <f t="shared" si="13"/>
        <v>14207.7131544</v>
      </c>
      <c r="E81" s="25">
        <f t="shared" si="13"/>
        <v>15267.858958000001</v>
      </c>
      <c r="F81" s="25">
        <f t="shared" si="13"/>
        <v>13184.356913</v>
      </c>
      <c r="G81" s="25">
        <f t="shared" si="13"/>
        <v>11340.229737400001</v>
      </c>
      <c r="H81" s="25">
        <f t="shared" si="13"/>
        <v>11295.1554089</v>
      </c>
      <c r="I81" s="25">
        <f t="shared" si="13"/>
        <v>13953.850929999999</v>
      </c>
      <c r="J81" s="25">
        <f t="shared" si="13"/>
        <v>13481.038420000001</v>
      </c>
      <c r="K81" s="25">
        <f t="shared" si="13"/>
        <v>12739.85118</v>
      </c>
      <c r="L81" s="250">
        <f t="shared" si="13"/>
        <v>18326.881849999998</v>
      </c>
    </row>
    <row r="82" spans="1:12">
      <c r="A82" s="1"/>
    </row>
    <row r="83" spans="1:12">
      <c r="A83" s="1" t="s">
        <v>3888</v>
      </c>
      <c r="B83" s="9">
        <f>SUMIF('Actuals 2009 - 2013'!$D:$D,$A83,'Actuals 2009 - 2013'!O:O)/1000</f>
        <v>0</v>
      </c>
      <c r="C83" s="9">
        <f>SUMIF('Actuals 2009 - 2013'!$D:$D,$A83,'Actuals 2009 - 2013'!R:R)/1000</f>
        <v>0</v>
      </c>
      <c r="D83" s="9">
        <f>SUMIF('Actuals 2009 - 2013'!$D:$D,$A83,'Actuals 2009 - 2013'!U:U)/1000</f>
        <v>0</v>
      </c>
      <c r="E83" s="9">
        <f>SUMIF('Actuals 2009 - 2013'!$D:$D,$A83,'Actuals 2009 - 2013'!X:X)/1000</f>
        <v>0</v>
      </c>
      <c r="F83" s="9">
        <f>SUMIF('Actuals 2009 - 2013'!$D:$D,$A83,'Actuals 2009 - 2013'!AA:AA)/1000</f>
        <v>0</v>
      </c>
      <c r="G83" s="9">
        <f>SUMIF('2014FC-8and4'!$D:$D,$A83,'2014FC-8and4'!AF:AF)/1000</f>
        <v>0</v>
      </c>
      <c r="H83" s="9">
        <f>SUMIF('2014FC-8and4'!$D:$D,$A83,'2014FC-8and4'!Z:Z)/1000</f>
        <v>0</v>
      </c>
      <c r="I83" s="9">
        <f>SUMIF('2014FC-8and4'!$D:$D,$A83,'2014FC-8and4'!AC:AC)/1000</f>
        <v>196.7988</v>
      </c>
      <c r="J83" s="9">
        <f>SUMIF('2014FC-8and4'!$D:$D,$A83,'2014FC-8and4'!AI:AI)/1000</f>
        <v>196.7988</v>
      </c>
      <c r="K83" s="9">
        <f>SUMIF('2014FC-8and4'!$D:$D,$A83,'2014FC-8and4'!AL:AL)/1000</f>
        <v>393.09578000000005</v>
      </c>
      <c r="L83" s="9">
        <f>SUMIF('2014FC-8and4'!$D:$D,$A83,'2014FC-8and4'!AO:AO)/1000</f>
        <v>504.10998000000001</v>
      </c>
    </row>
    <row r="84" spans="1:12">
      <c r="A84" s="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>
      <c r="A85" s="1" t="s">
        <v>3699</v>
      </c>
      <c r="B85" s="9">
        <f>SUMIF('Actuals 2009 - 2013'!$D:$D,$A85,'Actuals 2009 - 2013'!O:O)/1000</f>
        <v>0</v>
      </c>
      <c r="C85" s="9">
        <f>SUMIF('Actuals 2009 - 2013'!$D:$D,$A85,'Actuals 2009 - 2013'!R:R)/1000</f>
        <v>0</v>
      </c>
      <c r="D85" s="9">
        <f>SUMIF('Actuals 2009 - 2013'!$D:$D,$A85,'Actuals 2009 - 2013'!U:U)/1000</f>
        <v>0</v>
      </c>
      <c r="E85" s="9">
        <f>SUMIF('Actuals 2009 - 2013'!$D:$D,$A85,'Actuals 2009 - 2013'!X:X)/1000</f>
        <v>0</v>
      </c>
      <c r="F85" s="9">
        <f>SUMIF('Actuals 2009 - 2013'!$D:$D,$A85,'Actuals 2009 - 2013'!AA:AA)/1000</f>
        <v>0</v>
      </c>
      <c r="G85" s="9">
        <f>SUMIF('2014FC-8and4'!$D:$D,$A85,'2014FC-8and4'!AF:AF)/1000</f>
        <v>6.09</v>
      </c>
      <c r="H85" s="9">
        <f>SUMIF('2014FC-8and4'!$D:$D,$A85,'2014FC-8and4'!Z:Z)/1000</f>
        <v>6.09</v>
      </c>
      <c r="I85" s="9">
        <f>SUMIF('2014FC-8and4'!$D:$D,$A85,'2014FC-8and4'!AC:AC)/1000</f>
        <v>4.4370000000000003</v>
      </c>
      <c r="J85" s="9">
        <f>SUMIF('2014FC-8and4'!$D:$D,$A85,'2014FC-8and4'!AI:AI)/1000</f>
        <v>4.4370000000000003</v>
      </c>
      <c r="K85" s="9">
        <f>SUMIF('2014FC-8and4'!$D:$D,$A85,'2014FC-8and4'!AL:AL)/1000</f>
        <v>6.336036</v>
      </c>
      <c r="L85" s="9">
        <f>SUMIF('2014FC-8and4'!$D:$D,$A85,'2014FC-8and4'!AO:AO)/1000</f>
        <v>4.6162548000000001</v>
      </c>
    </row>
    <row r="86" spans="1:12">
      <c r="A86" s="1" t="s">
        <v>3700</v>
      </c>
      <c r="B86" s="9">
        <f>SUMIF('Actuals 2009 - 2013'!$D:$D,$A86,'Actuals 2009 - 2013'!O:O)/1000</f>
        <v>0</v>
      </c>
      <c r="C86" s="9">
        <f>SUMIF('Actuals 2009 - 2013'!$D:$D,$A86,'Actuals 2009 - 2013'!R:R)/1000</f>
        <v>0</v>
      </c>
      <c r="D86" s="9">
        <f>SUMIF('Actuals 2009 - 2013'!$D:$D,$A86,'Actuals 2009 - 2013'!U:U)/1000</f>
        <v>0</v>
      </c>
      <c r="E86" s="9">
        <f>SUMIF('Actuals 2009 - 2013'!$D:$D,$A86,'Actuals 2009 - 2013'!X:X)/1000</f>
        <v>0</v>
      </c>
      <c r="F86" s="9">
        <f>SUMIF('Actuals 2009 - 2013'!$D:$D,$A86,'Actuals 2009 - 2013'!AA:AA)/1000</f>
        <v>0</v>
      </c>
      <c r="G86" s="9">
        <f>SUMIF('2014FC-8and4'!$D:$D,$A86,'2014FC-8and4'!AF:AF)/1000</f>
        <v>6.09</v>
      </c>
      <c r="H86" s="9">
        <f>SUMIF('2014FC-8and4'!$D:$D,$A86,'2014FC-8and4'!Z:Z)/1000</f>
        <v>6.09</v>
      </c>
      <c r="I86" s="9">
        <f>SUMIF('2014FC-8and4'!$D:$D,$A86,'2014FC-8and4'!AC:AC)/1000</f>
        <v>4.4370000000000003</v>
      </c>
      <c r="J86" s="9">
        <f>SUMIF('2014FC-8and4'!$D:$D,$A86,'2014FC-8and4'!AI:AI)/1000</f>
        <v>4.4370000000000003</v>
      </c>
      <c r="K86" s="9">
        <f>SUMIF('2014FC-8and4'!$D:$D,$A86,'2014FC-8and4'!AL:AL)/1000</f>
        <v>6.336036</v>
      </c>
      <c r="L86" s="9">
        <f>SUMIF('2014FC-8and4'!$D:$D,$A86,'2014FC-8and4'!AO:AO)/1000</f>
        <v>4.6162548000000001</v>
      </c>
    </row>
    <row r="87" spans="1:12">
      <c r="A87" s="1" t="s">
        <v>3701</v>
      </c>
      <c r="B87" s="9">
        <f>SUMIF('Actuals 2009 - 2013'!$D:$D,$A87,'Actuals 2009 - 2013'!O:O)/1000</f>
        <v>0</v>
      </c>
      <c r="C87" s="9">
        <f>SUMIF('Actuals 2009 - 2013'!$D:$D,$A87,'Actuals 2009 - 2013'!R:R)/1000</f>
        <v>0</v>
      </c>
      <c r="D87" s="9">
        <f>SUMIF('Actuals 2009 - 2013'!$D:$D,$A87,'Actuals 2009 - 2013'!U:U)/1000</f>
        <v>0</v>
      </c>
      <c r="E87" s="9">
        <f>SUMIF('Actuals 2009 - 2013'!$D:$D,$A87,'Actuals 2009 - 2013'!X:X)/1000</f>
        <v>0</v>
      </c>
      <c r="F87" s="9">
        <f>SUMIF('Actuals 2009 - 2013'!$D:$D,$A87,'Actuals 2009 - 2013'!AA:AA)/1000</f>
        <v>0</v>
      </c>
      <c r="G87" s="9">
        <f>SUMIF('2014FC-8and4'!$D:$D,$A87,'2014FC-8and4'!AF:AF)/1000</f>
        <v>7.77</v>
      </c>
      <c r="H87" s="9">
        <f>SUMIF('2014FC-8and4'!$D:$D,$A87,'2014FC-8and4'!Z:Z)/1000</f>
        <v>7.77</v>
      </c>
      <c r="I87" s="9">
        <f>SUMIF('2014FC-8and4'!$D:$D,$A87,'2014FC-8and4'!AC:AC)/1000</f>
        <v>5.6609999999999996</v>
      </c>
      <c r="J87" s="9">
        <f>SUMIF('2014FC-8and4'!$D:$D,$A87,'2014FC-8and4'!AI:AI)/1000</f>
        <v>5.6609999999999996</v>
      </c>
      <c r="K87" s="9">
        <f>SUMIF('2014FC-8and4'!$D:$D,$A87,'2014FC-8and4'!AL:AL)/1000</f>
        <v>8.083908000000001</v>
      </c>
      <c r="L87" s="9">
        <f>SUMIF('2014FC-8and4'!$D:$D,$A87,'2014FC-8and4'!AO:AO)/1000</f>
        <v>5.8897044000000003</v>
      </c>
    </row>
    <row r="88" spans="1:12">
      <c r="A88" s="1" t="s">
        <v>3702</v>
      </c>
      <c r="B88" s="9">
        <f>SUMIF('Actuals 2009 - 2013'!$D:$D,$A88,'Actuals 2009 - 2013'!O:O)/1000</f>
        <v>6.8779817999999997</v>
      </c>
      <c r="C88" s="9">
        <f>SUMIF('Actuals 2009 - 2013'!$D:$D,$A88,'Actuals 2009 - 2013'!R:R)/1000</f>
        <v>0</v>
      </c>
      <c r="D88" s="9">
        <f>SUMIF('Actuals 2009 - 2013'!$D:$D,$A88,'Actuals 2009 - 2013'!U:U)/1000</f>
        <v>0</v>
      </c>
      <c r="E88" s="9">
        <f>SUMIF('Actuals 2009 - 2013'!$D:$D,$A88,'Actuals 2009 - 2013'!X:X)/1000</f>
        <v>0</v>
      </c>
      <c r="F88" s="9">
        <f>SUMIF('Actuals 2009 - 2013'!$D:$D,$A88,'Actuals 2009 - 2013'!AA:AA)/1000</f>
        <v>0</v>
      </c>
      <c r="G88" s="9">
        <f>SUMIF('2014FC-8and4'!$D:$D,$A88,'2014FC-8and4'!AF:AF)/1000</f>
        <v>7.77</v>
      </c>
      <c r="H88" s="9">
        <f>SUMIF('2014FC-8and4'!$D:$D,$A88,'2014FC-8and4'!Z:Z)/1000</f>
        <v>7.77</v>
      </c>
      <c r="I88" s="9">
        <f>SUMIF('2014FC-8and4'!$D:$D,$A88,'2014FC-8and4'!AC:AC)/1000</f>
        <v>5.6609999999999996</v>
      </c>
      <c r="J88" s="9">
        <f>SUMIF('2014FC-8and4'!$D:$D,$A88,'2014FC-8and4'!AI:AI)/1000</f>
        <v>5.6609999999999996</v>
      </c>
      <c r="K88" s="9">
        <f>SUMIF('2014FC-8and4'!$D:$D,$A88,'2014FC-8and4'!AL:AL)/1000</f>
        <v>8.083908000000001</v>
      </c>
      <c r="L88" s="9">
        <f>SUMIF('2014FC-8and4'!$D:$D,$A88,'2014FC-8and4'!AO:AO)/1000</f>
        <v>5.8897044000000003</v>
      </c>
    </row>
    <row r="89" spans="1:12">
      <c r="A89" s="1" t="s">
        <v>3703</v>
      </c>
      <c r="B89" s="9">
        <f>SUMIF('Actuals 2009 - 2013'!$D:$D,$A89,'Actuals 2009 - 2013'!O:O)/1000</f>
        <v>381.33333679999998</v>
      </c>
      <c r="C89" s="9">
        <f>SUMIF('Actuals 2009 - 2013'!$D:$D,$A89,'Actuals 2009 - 2013'!R:R)/1000</f>
        <v>0</v>
      </c>
      <c r="D89" s="9">
        <f>SUMIF('Actuals 2009 - 2013'!$D:$D,$A89,'Actuals 2009 - 2013'!U:U)/1000</f>
        <v>-1.0196312000000001</v>
      </c>
      <c r="E89" s="9">
        <f>SUMIF('Actuals 2009 - 2013'!$D:$D,$A89,'Actuals 2009 - 2013'!X:X)/1000</f>
        <v>0</v>
      </c>
      <c r="F89" s="9">
        <f>SUMIF('Actuals 2009 - 2013'!$D:$D,$A89,'Actuals 2009 - 2013'!AA:AA)/1000</f>
        <v>0</v>
      </c>
      <c r="G89" s="9">
        <f>SUMIF('2014FC-8and4'!$D:$D,$A89,'2014FC-8and4'!AF:AF)/1000</f>
        <v>7.77</v>
      </c>
      <c r="H89" s="9">
        <f>SUMIF('2014FC-8and4'!$D:$D,$A89,'2014FC-8and4'!Z:Z)/1000</f>
        <v>7.77</v>
      </c>
      <c r="I89" s="9">
        <f>SUMIF('2014FC-8and4'!$D:$D,$A89,'2014FC-8and4'!AC:AC)/1000</f>
        <v>5.6609999999999996</v>
      </c>
      <c r="J89" s="9">
        <f>SUMIF('2014FC-8and4'!$D:$D,$A89,'2014FC-8and4'!AI:AI)/1000</f>
        <v>5.6609999999999996</v>
      </c>
      <c r="K89" s="9">
        <f>SUMIF('2014FC-8and4'!$D:$D,$A89,'2014FC-8and4'!AL:AL)/1000</f>
        <v>8.083908000000001</v>
      </c>
      <c r="L89" s="9">
        <f>SUMIF('2014FC-8and4'!$D:$D,$A89,'2014FC-8and4'!AO:AO)/1000</f>
        <v>5.8897044000000003</v>
      </c>
    </row>
    <row r="90" spans="1:12">
      <c r="A90" s="1" t="s">
        <v>3704</v>
      </c>
      <c r="B90" s="9">
        <f>SUMIF('Actuals 2009 - 2013'!$D:$D,$A90,'Actuals 2009 - 2013'!O:O)/1000</f>
        <v>0</v>
      </c>
      <c r="C90" s="9">
        <f>SUMIF('Actuals 2009 - 2013'!$D:$D,$A90,'Actuals 2009 - 2013'!R:R)/1000</f>
        <v>0</v>
      </c>
      <c r="D90" s="9">
        <f>SUMIF('Actuals 2009 - 2013'!$D:$D,$A90,'Actuals 2009 - 2013'!U:U)/1000</f>
        <v>0</v>
      </c>
      <c r="E90" s="9">
        <f>SUMIF('Actuals 2009 - 2013'!$D:$D,$A90,'Actuals 2009 - 2013'!X:X)/1000</f>
        <v>0</v>
      </c>
      <c r="F90" s="9">
        <f>SUMIF('Actuals 2009 - 2013'!$D:$D,$A90,'Actuals 2009 - 2013'!AA:AA)/1000</f>
        <v>0</v>
      </c>
      <c r="G90" s="9">
        <f>SUMIF('2014FC-8and4'!$D:$D,$A90,'2014FC-8and4'!AF:AF)/1000</f>
        <v>7.77</v>
      </c>
      <c r="H90" s="9">
        <f>SUMIF('2014FC-8and4'!$D:$D,$A90,'2014FC-8and4'!Z:Z)/1000</f>
        <v>7.77</v>
      </c>
      <c r="I90" s="9">
        <f>SUMIF('2014FC-8and4'!$D:$D,$A90,'2014FC-8and4'!AC:AC)/1000</f>
        <v>5.6609999999999996</v>
      </c>
      <c r="J90" s="9">
        <f>SUMIF('2014FC-8and4'!$D:$D,$A90,'2014FC-8and4'!AI:AI)/1000</f>
        <v>5.6609999999999996</v>
      </c>
      <c r="K90" s="9">
        <f>SUMIF('2014FC-8and4'!$D:$D,$A90,'2014FC-8and4'!AL:AL)/1000</f>
        <v>8.083908000000001</v>
      </c>
      <c r="L90" s="9">
        <f>SUMIF('2014FC-8and4'!$D:$D,$A90,'2014FC-8and4'!AO:AO)/1000</f>
        <v>5.8897044000000003</v>
      </c>
    </row>
    <row r="91" spans="1:12">
      <c r="A91" s="19" t="s">
        <v>3692</v>
      </c>
      <c r="B91" s="24">
        <f>SUM(B85:B90)</f>
        <v>388.21131859999997</v>
      </c>
      <c r="C91" s="24">
        <f>SUM(C85:C90)</f>
        <v>0</v>
      </c>
      <c r="D91" s="24">
        <f>SUM(D85:D90)</f>
        <v>-1.0196312000000001</v>
      </c>
      <c r="E91" s="24">
        <f t="shared" ref="E91:L91" si="14">SUM(E85:E90)</f>
        <v>0</v>
      </c>
      <c r="F91" s="24">
        <f t="shared" si="14"/>
        <v>0</v>
      </c>
      <c r="G91" s="24">
        <f t="shared" si="14"/>
        <v>43.259999999999991</v>
      </c>
      <c r="H91" s="24">
        <f t="shared" si="14"/>
        <v>43.259999999999991</v>
      </c>
      <c r="I91" s="24">
        <f t="shared" si="14"/>
        <v>31.518000000000001</v>
      </c>
      <c r="J91" s="24">
        <f t="shared" si="14"/>
        <v>31.518000000000001</v>
      </c>
      <c r="K91" s="24">
        <f t="shared" si="14"/>
        <v>45.007704000000004</v>
      </c>
      <c r="L91" s="251">
        <f t="shared" si="14"/>
        <v>32.791327199999998</v>
      </c>
    </row>
    <row r="92" spans="1:12">
      <c r="A92" s="1"/>
    </row>
    <row r="93" spans="1:12">
      <c r="A93" s="1" t="s">
        <v>3873</v>
      </c>
      <c r="B93" s="9">
        <f>SUMIF('Actuals 2009 - 2013'!$D:$D,$A93,'Actuals 2009 - 2013'!O:O)/1000</f>
        <v>0</v>
      </c>
      <c r="C93" s="9">
        <f>SUMIF('Actuals 2009 - 2013'!$D:$D,$A93,'Actuals 2009 - 2013'!R:R)/1000</f>
        <v>2435.1483668000005</v>
      </c>
      <c r="D93" s="9">
        <f>SUMIF('Actuals 2009 - 2013'!$D:$D,$A93,'Actuals 2009 - 2013'!U:U)/1000</f>
        <v>566.82840680000049</v>
      </c>
      <c r="E93" s="9">
        <f>SUMIF('Actuals 2009 - 2013'!$D:$D,$A93,'Actuals 2009 - 2013'!X:X)/1000</f>
        <v>-5.9667400000000006</v>
      </c>
      <c r="F93" s="9">
        <f>SUMIF('Actuals 2009 - 2013'!$D:$D,$A93,'Actuals 2009 - 2013'!AA:AA)/1000</f>
        <v>37.862781299999995</v>
      </c>
      <c r="G93" s="9">
        <f>SUMIF('2014FC-8and4'!$D:$D,$A93,'2014FC-8and4'!AF:AF)/1000</f>
        <v>90.801566300000005</v>
      </c>
      <c r="H93" s="9">
        <f>SUMIF('2014FC-8and4'!$D:$D,$A93,'2014FC-8and4'!Z:Z)/1000</f>
        <v>13.510834200000001</v>
      </c>
      <c r="I93" s="9">
        <f>SUMIF('2014FC-8and4'!$D:$D,$A93,'2014FC-8and4'!AC:AC)/1000</f>
        <v>64.81317</v>
      </c>
      <c r="J93" s="9">
        <f>SUMIF('2014FC-8and4'!$D:$D,$A93,'2014FC-8and4'!AI:AI)/1000</f>
        <v>63.542230000000004</v>
      </c>
      <c r="K93" s="9">
        <f>SUMIF('2014FC-8and4'!$D:$D,$A93,'2014FC-8and4'!AL:AL)/1000</f>
        <v>64.81317</v>
      </c>
      <c r="L93" s="9">
        <f>SUMIF('2014FC-8and4'!$D:$D,$A93,'2014FC-8and4'!AO:AO)/1000</f>
        <v>106.65402</v>
      </c>
    </row>
    <row r="94" spans="1:12">
      <c r="A94" s="1" t="s">
        <v>3817</v>
      </c>
      <c r="B94" s="9">
        <f>SUMIF('Actuals 2009 - 2013'!$D:$D,$A94,'Actuals 2009 - 2013'!O:O)/1000</f>
        <v>0</v>
      </c>
      <c r="C94" s="9">
        <f>SUMIF('Actuals 2009 - 2013'!$D:$D,$A94,'Actuals 2009 - 2013'!R:R)/1000</f>
        <v>0</v>
      </c>
      <c r="D94" s="9">
        <f>SUMIF('Actuals 2009 - 2013'!$D:$D,$A94,'Actuals 2009 - 2013'!U:U)/1000</f>
        <v>0</v>
      </c>
      <c r="E94" s="9">
        <f>SUMIF('Actuals 2009 - 2013'!$D:$D,$A94,'Actuals 2009 - 2013'!X:X)/1000</f>
        <v>0</v>
      </c>
      <c r="F94" s="9">
        <f>SUMIF('Actuals 2009 - 2013'!$D:$D,$A94,'Actuals 2009 - 2013'!AA:AA)/1000</f>
        <v>21.335630000000002</v>
      </c>
      <c r="G94" s="9">
        <f>SUMIF('2014FC-8and4'!$D:$D,$A94,'2014FC-8and4'!AF:AF)/1000</f>
        <v>0</v>
      </c>
      <c r="H94" s="9">
        <f>SUMIF('2014FC-8and4'!$D:$D,$A94,'2014FC-8and4'!Z:Z)/1000</f>
        <v>0</v>
      </c>
      <c r="I94" s="9">
        <f>SUMIF('2014FC-8and4'!$D:$D,$A94,'2014FC-8and4'!AC:AC)/1000</f>
        <v>0</v>
      </c>
      <c r="J94" s="9">
        <f>SUMIF('2014FC-8and4'!$D:$D,$A94,'2014FC-8and4'!AI:AI)/1000</f>
        <v>0</v>
      </c>
      <c r="K94" s="9">
        <f>SUMIF('2014FC-8and4'!$D:$D,$A94,'2014FC-8and4'!AL:AL)/1000</f>
        <v>0</v>
      </c>
      <c r="L94" s="9">
        <f>SUMIF('2014FC-8and4'!$D:$D,$A94,'2014FC-8and4'!AO:AO)/1000</f>
        <v>0</v>
      </c>
    </row>
    <row r="95" spans="1:12">
      <c r="A95" s="1"/>
      <c r="B95" s="9"/>
      <c r="C95" s="9"/>
      <c r="H95" s="9"/>
      <c r="I95" s="9"/>
      <c r="J95" s="9"/>
      <c r="K95" s="9"/>
      <c r="L95" s="9"/>
    </row>
    <row r="96" spans="1:12">
      <c r="A96" s="1" t="s">
        <v>3706</v>
      </c>
      <c r="B96" s="9">
        <f>SUMIF('Actuals 2009 - 2013'!$D:$D,$A96,'Actuals 2009 - 2013'!O:O)/1000</f>
        <v>0</v>
      </c>
      <c r="C96" s="9">
        <f>SUMIF('Actuals 2009 - 2013'!$D:$D,$A96,'Actuals 2009 - 2013'!R:R)/1000</f>
        <v>65.166536900000011</v>
      </c>
      <c r="D96" s="9">
        <f>SUMIF('Actuals 2009 - 2013'!$D:$D,$A96,'Actuals 2009 - 2013'!U:U)/1000</f>
        <v>91.3183322</v>
      </c>
      <c r="E96" s="9">
        <f>SUMIF('Actuals 2009 - 2013'!$D:$D,$A96,'Actuals 2009 - 2013'!X:X)/1000</f>
        <v>0</v>
      </c>
      <c r="F96" s="9">
        <f>SUMIF('Actuals 2009 - 2013'!$D:$D,$A96,'Actuals 2009 - 2013'!AA:AA)/1000</f>
        <v>0</v>
      </c>
      <c r="G96" s="9">
        <f>SUMIF('2014FC-8and4'!$D:$D,$A96,'2014FC-8and4'!AF:AF)/1000</f>
        <v>0</v>
      </c>
      <c r="H96" s="9">
        <f>SUMIF('2014FC-8and4'!$D:$D,$A96,'2014FC-8and4'!Z:Z)/1000</f>
        <v>0</v>
      </c>
      <c r="I96" s="9">
        <f>SUMIF('2014FC-8and4'!$D:$D,$A96,'2014FC-8and4'!AC:AC)/1000</f>
        <v>132.5</v>
      </c>
      <c r="J96" s="9">
        <f>SUMIF('2014FC-8and4'!$D:$D,$A96,'2014FC-8and4'!AI:AI)/1000</f>
        <v>0</v>
      </c>
      <c r="K96" s="9">
        <f>SUMIF('2014FC-8and4'!$D:$D,$A96,'2014FC-8and4'!AL:AL)/1000</f>
        <v>132.5</v>
      </c>
      <c r="L96" s="9">
        <f>SUMIF('2014FC-8and4'!$D:$D,$A96,'2014FC-8and4'!AO:AO)/1000</f>
        <v>0</v>
      </c>
    </row>
    <row r="97" spans="1:12">
      <c r="A97" s="1" t="s">
        <v>3707</v>
      </c>
      <c r="B97" s="9">
        <f>SUMIF('Actuals 2009 - 2013'!$D:$D,$A97,'Actuals 2009 - 2013'!O:O)/1000</f>
        <v>56.761743799999998</v>
      </c>
      <c r="C97" s="9">
        <f>SUMIF('Actuals 2009 - 2013'!$D:$D,$A97,'Actuals 2009 - 2013'!R:R)/1000</f>
        <v>247.41524879999997</v>
      </c>
      <c r="D97" s="9">
        <f>SUMIF('Actuals 2009 - 2013'!$D:$D,$A97,'Actuals 2009 - 2013'!U:U)/1000</f>
        <v>3.0122447999999999</v>
      </c>
      <c r="E97" s="9">
        <f>SUMIF('Actuals 2009 - 2013'!$D:$D,$A97,'Actuals 2009 - 2013'!X:X)/1000</f>
        <v>10.0513572</v>
      </c>
      <c r="F97" s="9">
        <f>SUMIF('Actuals 2009 - 2013'!$D:$D,$A97,'Actuals 2009 - 2013'!AA:AA)/1000</f>
        <v>16.231506199999998</v>
      </c>
      <c r="G97" s="9">
        <f>SUMIF('2014FC-8and4'!$D:$D,$A97,'2014FC-8and4'!AF:AF)/1000</f>
        <v>61.917199999999994</v>
      </c>
      <c r="H97" s="9">
        <f>SUMIF('2014FC-8and4'!$D:$D,$A97,'2014FC-8and4'!Z:Z)/1000</f>
        <v>64.767200000000003</v>
      </c>
      <c r="I97" s="9">
        <f>SUMIF('2014FC-8and4'!$D:$D,$A97,'2014FC-8and4'!AC:AC)/1000</f>
        <v>9.2632600000000007</v>
      </c>
      <c r="J97" s="9">
        <f>SUMIF('2014FC-8and4'!$D:$D,$A97,'2014FC-8and4'!AI:AI)/1000</f>
        <v>28.081619999999997</v>
      </c>
      <c r="K97" s="9">
        <f>SUMIF('2014FC-8and4'!$D:$D,$A97,'2014FC-8and4'!AL:AL)/1000</f>
        <v>9.2632600000000007</v>
      </c>
      <c r="L97" s="9">
        <f>SUMIF('2014FC-8and4'!$D:$D,$A97,'2014FC-8and4'!AO:AO)/1000</f>
        <v>304.13832000000002</v>
      </c>
    </row>
    <row r="98" spans="1:12">
      <c r="A98" s="1" t="s">
        <v>3708</v>
      </c>
      <c r="B98" s="9">
        <f>SUMIF('Actuals 2009 - 2013'!$D:$D,$A98,'Actuals 2009 - 2013'!O:O)/1000</f>
        <v>-324.29052940000003</v>
      </c>
      <c r="C98" s="9">
        <f>SUMIF('Actuals 2009 - 2013'!$D:$D,$A98,'Actuals 2009 - 2013'!R:R)/1000</f>
        <v>10.739362399999999</v>
      </c>
      <c r="D98" s="9">
        <f>SUMIF('Actuals 2009 - 2013'!$D:$D,$A98,'Actuals 2009 - 2013'!U:U)/1000</f>
        <v>3.2794152000000003</v>
      </c>
      <c r="E98" s="9">
        <f>SUMIF('Actuals 2009 - 2013'!$D:$D,$A98,'Actuals 2009 - 2013'!X:X)/1000</f>
        <v>91.402118200000018</v>
      </c>
      <c r="F98" s="9">
        <f>SUMIF('Actuals 2009 - 2013'!$D:$D,$A98,'Actuals 2009 - 2013'!AA:AA)/1000</f>
        <v>-24.547741600000002</v>
      </c>
      <c r="G98" s="9">
        <f>SUMIF('2014FC-8and4'!$D:$D,$A98,'2014FC-8and4'!AF:AF)/1000</f>
        <v>44.84</v>
      </c>
      <c r="H98" s="9">
        <f>SUMIF('2014FC-8and4'!$D:$D,$A98,'2014FC-8and4'!Z:Z)/1000</f>
        <v>44.84</v>
      </c>
      <c r="I98" s="9">
        <f>SUMIF('2014FC-8and4'!$D:$D,$A98,'2014FC-8and4'!AC:AC)/1000</f>
        <v>18.604800000000001</v>
      </c>
      <c r="J98" s="9">
        <f>SUMIF('2014FC-8and4'!$D:$D,$A98,'2014FC-8and4'!AI:AI)/1000</f>
        <v>18.604800000000001</v>
      </c>
      <c r="K98" s="9">
        <f>SUMIF('2014FC-8and4'!$D:$D,$A98,'2014FC-8and4'!AL:AL)/1000</f>
        <v>9.47682</v>
      </c>
      <c r="L98" s="9">
        <f>SUMIF('2014FC-8and4'!$D:$D,$A98,'2014FC-8and4'!AO:AO)/1000</f>
        <v>19.356439999999999</v>
      </c>
    </row>
    <row r="99" spans="1:12">
      <c r="A99" s="19" t="s">
        <v>3692</v>
      </c>
      <c r="B99" s="24">
        <f t="shared" ref="B99:L99" si="15">SUM(B96:B98)</f>
        <v>-267.52878560000005</v>
      </c>
      <c r="C99" s="24">
        <f t="shared" si="15"/>
        <v>323.32114809999996</v>
      </c>
      <c r="D99" s="24">
        <f t="shared" si="15"/>
        <v>97.609992200000008</v>
      </c>
      <c r="E99" s="24">
        <f t="shared" si="15"/>
        <v>101.45347540000002</v>
      </c>
      <c r="F99" s="24">
        <f t="shared" si="15"/>
        <v>-8.3162354000000036</v>
      </c>
      <c r="G99" s="24">
        <f t="shared" si="15"/>
        <v>106.7572</v>
      </c>
      <c r="H99" s="24">
        <f t="shared" si="15"/>
        <v>109.60720000000001</v>
      </c>
      <c r="I99" s="24">
        <f t="shared" si="15"/>
        <v>160.36806000000001</v>
      </c>
      <c r="J99" s="24">
        <f t="shared" si="15"/>
        <v>46.686419999999998</v>
      </c>
      <c r="K99" s="24">
        <f t="shared" si="15"/>
        <v>151.24008000000001</v>
      </c>
      <c r="L99" s="251">
        <f t="shared" si="15"/>
        <v>323.49476000000004</v>
      </c>
    </row>
    <row r="101" spans="1:12">
      <c r="A101" s="20" t="s">
        <v>3714</v>
      </c>
      <c r="B101" s="25">
        <f t="shared" ref="B101:L101" si="16">B83+B91+B99+B93+B94</f>
        <v>120.68253299999992</v>
      </c>
      <c r="C101" s="25">
        <f t="shared" si="16"/>
        <v>2758.4695149000004</v>
      </c>
      <c r="D101" s="25">
        <f t="shared" si="16"/>
        <v>663.41876780000052</v>
      </c>
      <c r="E101" s="25">
        <f t="shared" si="16"/>
        <v>95.486735400000015</v>
      </c>
      <c r="F101" s="25">
        <f t="shared" si="16"/>
        <v>50.882175899999993</v>
      </c>
      <c r="G101" s="25">
        <f t="shared" si="16"/>
        <v>240.81876629999999</v>
      </c>
      <c r="H101" s="25">
        <f t="shared" si="16"/>
        <v>166.3780342</v>
      </c>
      <c r="I101" s="25">
        <f t="shared" si="16"/>
        <v>453.49803000000003</v>
      </c>
      <c r="J101" s="25">
        <f t="shared" si="16"/>
        <v>338.54545000000002</v>
      </c>
      <c r="K101" s="25">
        <f t="shared" si="16"/>
        <v>654.15673400000003</v>
      </c>
      <c r="L101" s="250">
        <f t="shared" si="16"/>
        <v>967.05008720000001</v>
      </c>
    </row>
    <row r="103" spans="1:12">
      <c r="A103" s="21" t="s">
        <v>3915</v>
      </c>
      <c r="B103" s="26">
        <f>B101+B81</f>
        <v>14828.359522999999</v>
      </c>
      <c r="C103" s="26">
        <f t="shared" ref="C103:L103" si="17">C101+C81</f>
        <v>16016.273604899998</v>
      </c>
      <c r="D103" s="26">
        <f t="shared" si="17"/>
        <v>14871.1319222</v>
      </c>
      <c r="E103" s="26">
        <f t="shared" si="17"/>
        <v>15363.345693400001</v>
      </c>
      <c r="F103" s="26">
        <f t="shared" si="17"/>
        <v>13235.2390889</v>
      </c>
      <c r="G103" s="26">
        <f t="shared" si="17"/>
        <v>11581.048503700002</v>
      </c>
      <c r="H103" s="26">
        <f t="shared" si="17"/>
        <v>11461.533443100001</v>
      </c>
      <c r="I103" s="26">
        <f t="shared" si="17"/>
        <v>14407.348959999999</v>
      </c>
      <c r="J103" s="26">
        <f t="shared" si="17"/>
        <v>13819.58387</v>
      </c>
      <c r="K103" s="26">
        <f t="shared" si="17"/>
        <v>13394.007914</v>
      </c>
      <c r="L103" s="252">
        <f t="shared" si="17"/>
        <v>19293.931937199999</v>
      </c>
    </row>
    <row r="104" spans="1:12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</sheetData>
  <mergeCells count="1">
    <mergeCell ref="B3:L3"/>
  </mergeCells>
  <printOptions horizontalCentered="1"/>
  <pageMargins left="0.25" right="0.25" top="0.5" bottom="0.5" header="0.3" footer="0.25"/>
  <pageSetup scale="76" orientation="landscape" r:id="rId1"/>
  <headerFooter>
    <oddFooter>&amp;L&amp;8&amp;D
&amp;T&amp;R&amp;8&amp;Z&amp;F</oddFooter>
  </headerFooter>
  <rowBreaks count="1" manualBreakCount="1">
    <brk id="4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3"/>
  <sheetViews>
    <sheetView workbookViewId="0">
      <selection activeCell="A19" sqref="A19"/>
    </sheetView>
  </sheetViews>
  <sheetFormatPr defaultColWidth="9.7109375" defaultRowHeight="15"/>
  <cols>
    <col min="1" max="1" width="11.28515625" customWidth="1"/>
    <col min="2" max="2" width="23.7109375" customWidth="1"/>
    <col min="3" max="3" width="18.28515625" customWidth="1"/>
    <col min="4" max="4" width="15.28515625" customWidth="1"/>
    <col min="5" max="5" width="10.140625" customWidth="1"/>
    <col min="6" max="6" width="33.85546875" customWidth="1"/>
    <col min="7" max="11" width="15.85546875" style="288" customWidth="1"/>
    <col min="12" max="12" width="13.28515625" style="8" bestFit="1" customWidth="1"/>
    <col min="13" max="13" width="13.28515625" style="8" customWidth="1"/>
    <col min="14" max="14" width="10.5703125" style="9" bestFit="1" customWidth="1"/>
    <col min="15" max="15" width="11.42578125" bestFit="1" customWidth="1"/>
    <col min="16" max="16" width="10.5703125" bestFit="1" customWidth="1"/>
    <col min="17" max="17" width="10.5703125" style="9" bestFit="1" customWidth="1"/>
    <col min="18" max="18" width="11.42578125" bestFit="1" customWidth="1"/>
    <col min="19" max="19" width="10.5703125" bestFit="1" customWidth="1"/>
    <col min="20" max="20" width="10.5703125" style="9" bestFit="1" customWidth="1"/>
    <col min="21" max="21" width="11.42578125" bestFit="1" customWidth="1"/>
    <col min="22" max="22" width="10.5703125" bestFit="1" customWidth="1"/>
    <col min="23" max="23" width="10.5703125" style="9" bestFit="1" customWidth="1"/>
    <col min="24" max="24" width="11.42578125" bestFit="1" customWidth="1"/>
    <col min="25" max="25" width="10.5703125" bestFit="1" customWidth="1"/>
    <col min="26" max="26" width="10.5703125" style="9" bestFit="1" customWidth="1"/>
    <col min="27" max="27" width="11.42578125" bestFit="1" customWidth="1"/>
    <col min="28" max="28" width="10.5703125" bestFit="1" customWidth="1"/>
  </cols>
  <sheetData>
    <row r="1" spans="1:28">
      <c r="A1" s="1"/>
      <c r="N1" s="294" t="s">
        <v>3881</v>
      </c>
      <c r="O1" s="295"/>
      <c r="P1" s="295"/>
      <c r="Q1" s="294" t="s">
        <v>3882</v>
      </c>
      <c r="R1" s="295"/>
      <c r="S1" s="295"/>
      <c r="T1" s="294" t="s">
        <v>3883</v>
      </c>
      <c r="U1" s="295"/>
      <c r="V1" s="295"/>
      <c r="W1" s="294" t="s">
        <v>3884</v>
      </c>
      <c r="X1" s="295"/>
      <c r="Y1" s="295"/>
      <c r="Z1" s="294" t="s">
        <v>3885</v>
      </c>
      <c r="AA1" s="295"/>
      <c r="AB1" s="295"/>
    </row>
    <row r="2" spans="1:28">
      <c r="A2" s="1" t="s">
        <v>2755</v>
      </c>
      <c r="B2" t="s">
        <v>1</v>
      </c>
      <c r="C2" t="s">
        <v>3721</v>
      </c>
      <c r="D2" t="s">
        <v>3722</v>
      </c>
      <c r="E2" t="s">
        <v>3891</v>
      </c>
      <c r="F2" t="s">
        <v>3892</v>
      </c>
      <c r="G2" s="288" t="s">
        <v>3875</v>
      </c>
      <c r="H2" s="288" t="s">
        <v>3876</v>
      </c>
      <c r="I2" s="288" t="s">
        <v>3877</v>
      </c>
      <c r="J2" s="288" t="s">
        <v>3878</v>
      </c>
      <c r="K2" s="288" t="s">
        <v>3879</v>
      </c>
      <c r="L2" s="243" t="s">
        <v>3692</v>
      </c>
      <c r="M2" s="243"/>
      <c r="N2" s="267" t="s">
        <v>2751</v>
      </c>
      <c r="O2" s="268" t="s">
        <v>2750</v>
      </c>
      <c r="P2" s="268" t="s">
        <v>3872</v>
      </c>
      <c r="Q2" s="267" t="s">
        <v>2751</v>
      </c>
      <c r="R2" s="268" t="s">
        <v>2750</v>
      </c>
      <c r="S2" s="268" t="s">
        <v>3872</v>
      </c>
      <c r="T2" s="267" t="s">
        <v>2751</v>
      </c>
      <c r="U2" s="268" t="s">
        <v>2750</v>
      </c>
      <c r="V2" s="268" t="s">
        <v>3872</v>
      </c>
      <c r="W2" s="267" t="s">
        <v>2751</v>
      </c>
      <c r="X2" s="268" t="s">
        <v>2750</v>
      </c>
      <c r="Y2" s="268" t="s">
        <v>3872</v>
      </c>
      <c r="Z2" s="267" t="s">
        <v>2751</v>
      </c>
      <c r="AA2" s="268" t="s">
        <v>2750</v>
      </c>
      <c r="AB2" s="268" t="s">
        <v>3872</v>
      </c>
    </row>
    <row r="3" spans="1:28">
      <c r="A3" s="1" t="s">
        <v>2756</v>
      </c>
      <c r="B3" t="s">
        <v>3</v>
      </c>
      <c r="C3" t="s">
        <v>3723</v>
      </c>
      <c r="D3" t="s">
        <v>3650</v>
      </c>
      <c r="E3">
        <v>500900</v>
      </c>
      <c r="F3" t="s">
        <v>3893</v>
      </c>
      <c r="G3" s="288">
        <v>21302.06</v>
      </c>
      <c r="H3" s="288">
        <v>0</v>
      </c>
      <c r="I3" s="288">
        <v>0</v>
      </c>
      <c r="J3" s="288">
        <v>0</v>
      </c>
      <c r="K3" s="288">
        <v>0</v>
      </c>
      <c r="L3" s="243">
        <f t="shared" ref="L3:L46" si="0">SUM(H3:K3)</f>
        <v>0</v>
      </c>
      <c r="M3" s="243" t="str">
        <f>LEFT(E3,3)</f>
        <v>500</v>
      </c>
      <c r="N3" s="269">
        <f>$G3*SUMIF('KU-LGE Rating'!$R:$R,$D3,'KU-LGE Rating'!$F:$F)</f>
        <v>0</v>
      </c>
      <c r="O3" s="270">
        <f>$G3*SUMIF('KU-LGE Rating'!$R:$R,$D3,'KU-LGE Rating'!$G:$G)</f>
        <v>21302.06</v>
      </c>
      <c r="P3" s="271">
        <f>N3+O3</f>
        <v>21302.06</v>
      </c>
      <c r="Q3" s="269">
        <f>$H3*SUMIF('KU-LGE Rating'!$R:$R,$D3,'KU-LGE Rating'!$F:$F)</f>
        <v>0</v>
      </c>
      <c r="R3" s="270">
        <f>$H3*SUMIF('KU-LGE Rating'!$R:$R,$D3,'KU-LGE Rating'!$G:$G)</f>
        <v>0</v>
      </c>
      <c r="S3" s="271">
        <f>Q3+R3</f>
        <v>0</v>
      </c>
      <c r="T3" s="269">
        <f>$I3*SUMIF('KU-LGE Rating'!$R:$R,$D3,'KU-LGE Rating'!$F:$F)</f>
        <v>0</v>
      </c>
      <c r="U3" s="270">
        <f>$I3*SUMIF('KU-LGE Rating'!$R:$R,$D3,'KU-LGE Rating'!$G:$G)</f>
        <v>0</v>
      </c>
      <c r="V3" s="271">
        <f>T3+U3</f>
        <v>0</v>
      </c>
      <c r="W3" s="269">
        <f>$J3*SUMIF('KU-LGE Rating'!$R:$R,$D3,'KU-LGE Rating'!$F:$F)</f>
        <v>0</v>
      </c>
      <c r="X3" s="270">
        <f>$J3*SUMIF('KU-LGE Rating'!$R:$R,$D3,'KU-LGE Rating'!$G:$G)</f>
        <v>0</v>
      </c>
      <c r="Y3" s="271">
        <f>W3+X3</f>
        <v>0</v>
      </c>
      <c r="Z3" s="269">
        <f>$K3*SUMIF('KU-LGE Rating'!$R:$R,$D3,'KU-LGE Rating'!$F:$F)</f>
        <v>0</v>
      </c>
      <c r="AA3" s="270">
        <f>$K3*SUMIF('KU-LGE Rating'!$R:$R,$D3,'KU-LGE Rating'!$G:$G)</f>
        <v>0</v>
      </c>
      <c r="AB3" s="271">
        <f>Z3+AA3</f>
        <v>0</v>
      </c>
    </row>
    <row r="4" spans="1:28">
      <c r="A4" s="1" t="s">
        <v>2756</v>
      </c>
      <c r="B4" t="s">
        <v>3</v>
      </c>
      <c r="C4" t="s">
        <v>3723</v>
      </c>
      <c r="D4" t="s">
        <v>3650</v>
      </c>
      <c r="E4">
        <v>510100</v>
      </c>
      <c r="F4" t="s">
        <v>3893</v>
      </c>
      <c r="G4" s="288">
        <v>10259.82</v>
      </c>
      <c r="H4" s="288">
        <v>0</v>
      </c>
      <c r="I4" s="288">
        <v>0</v>
      </c>
      <c r="J4" s="288">
        <v>0</v>
      </c>
      <c r="K4" s="288">
        <v>0</v>
      </c>
      <c r="L4" s="243">
        <f t="shared" si="0"/>
        <v>0</v>
      </c>
      <c r="M4" s="243" t="str">
        <f t="shared" ref="M4:M67" si="1">LEFT(E4,3)</f>
        <v>510</v>
      </c>
      <c r="N4" s="255">
        <f>$G4*SUMIF('KU-LGE Rating'!$R:$R,$D4,'KU-LGE Rating'!F:F)</f>
        <v>0</v>
      </c>
      <c r="O4" s="256">
        <f>$G4*SUMIF('KU-LGE Rating'!$R:$R,$D4,'KU-LGE Rating'!G:G)</f>
        <v>10259.82</v>
      </c>
      <c r="P4" s="257">
        <f t="shared" ref="P4:P46" si="2">N4+O4</f>
        <v>10259.82</v>
      </c>
      <c r="Q4" s="255">
        <f>$H4*SUMIF('KU-LGE Rating'!$R:$R,$D4,'KU-LGE Rating'!$F:$F)</f>
        <v>0</v>
      </c>
      <c r="R4" s="256">
        <f>$H4*SUMIF('KU-LGE Rating'!$R:$R,$D4,'KU-LGE Rating'!$G:$G)</f>
        <v>0</v>
      </c>
      <c r="S4" s="257">
        <f t="shared" ref="S4:S46" si="3">Q4+R4</f>
        <v>0</v>
      </c>
      <c r="T4" s="255">
        <f>$I4*SUMIF('KU-LGE Rating'!$R:$R,$D4,'KU-LGE Rating'!$F:$F)</f>
        <v>0</v>
      </c>
      <c r="U4" s="256">
        <f>$I4*SUMIF('KU-LGE Rating'!$R:$R,$D4,'KU-LGE Rating'!$G:$G)</f>
        <v>0</v>
      </c>
      <c r="V4" s="257">
        <f t="shared" ref="V4:V46" si="4">T4+U4</f>
        <v>0</v>
      </c>
      <c r="W4" s="255">
        <f>$J4*SUMIF('KU-LGE Rating'!$R:$R,$D4,'KU-LGE Rating'!$F:$F)</f>
        <v>0</v>
      </c>
      <c r="X4" s="256">
        <f>$J4*SUMIF('KU-LGE Rating'!$R:$R,$D4,'KU-LGE Rating'!$G:$G)</f>
        <v>0</v>
      </c>
      <c r="Y4" s="257">
        <f t="shared" ref="Y4:Y46" si="5">W4+X4</f>
        <v>0</v>
      </c>
      <c r="Z4" s="255">
        <f>$K4*SUMIF('KU-LGE Rating'!$R:$R,$D4,'KU-LGE Rating'!$F:$F)</f>
        <v>0</v>
      </c>
      <c r="AA4" s="256">
        <f>$K4*SUMIF('KU-LGE Rating'!$R:$R,$D4,'KU-LGE Rating'!$G:$G)</f>
        <v>0</v>
      </c>
      <c r="AB4" s="257">
        <f t="shared" ref="AB4:AB46" si="6">Z4+AA4</f>
        <v>0</v>
      </c>
    </row>
    <row r="5" spans="1:28">
      <c r="A5" s="1" t="s">
        <v>2756</v>
      </c>
      <c r="B5" t="s">
        <v>3</v>
      </c>
      <c r="C5" t="s">
        <v>3723</v>
      </c>
      <c r="D5" t="s">
        <v>3650</v>
      </c>
      <c r="E5">
        <v>511100</v>
      </c>
      <c r="F5" t="s">
        <v>3893</v>
      </c>
      <c r="G5" s="288">
        <v>15.98</v>
      </c>
      <c r="H5" s="288">
        <v>0.76</v>
      </c>
      <c r="I5" s="288">
        <v>0</v>
      </c>
      <c r="J5" s="288">
        <v>717.51</v>
      </c>
      <c r="K5" s="288">
        <v>0</v>
      </c>
      <c r="L5" s="243">
        <f t="shared" si="0"/>
        <v>718.27</v>
      </c>
      <c r="M5" s="243" t="str">
        <f t="shared" si="1"/>
        <v>511</v>
      </c>
      <c r="N5" s="255">
        <f>$G5*SUMIF('KU-LGE Rating'!$R:$R,$D5,'KU-LGE Rating'!F:F)</f>
        <v>0</v>
      </c>
      <c r="O5" s="256">
        <f>$G5*SUMIF('KU-LGE Rating'!$R:$R,$D5,'KU-LGE Rating'!G:G)</f>
        <v>15.98</v>
      </c>
      <c r="P5" s="257">
        <f t="shared" si="2"/>
        <v>15.98</v>
      </c>
      <c r="Q5" s="255">
        <f>$H5*SUMIF('KU-LGE Rating'!$R:$R,$D5,'KU-LGE Rating'!$F:$F)</f>
        <v>0</v>
      </c>
      <c r="R5" s="256">
        <f>$H5*SUMIF('KU-LGE Rating'!$R:$R,$D5,'KU-LGE Rating'!$G:$G)</f>
        <v>0.76</v>
      </c>
      <c r="S5" s="257">
        <f t="shared" si="3"/>
        <v>0.76</v>
      </c>
      <c r="T5" s="255">
        <f>$I5*SUMIF('KU-LGE Rating'!$R:$R,$D5,'KU-LGE Rating'!$F:$F)</f>
        <v>0</v>
      </c>
      <c r="U5" s="256">
        <f>$I5*SUMIF('KU-LGE Rating'!$R:$R,$D5,'KU-LGE Rating'!$G:$G)</f>
        <v>0</v>
      </c>
      <c r="V5" s="257">
        <f t="shared" si="4"/>
        <v>0</v>
      </c>
      <c r="W5" s="255">
        <f>$J5*SUMIF('KU-LGE Rating'!$R:$R,$D5,'KU-LGE Rating'!$F:$F)</f>
        <v>0</v>
      </c>
      <c r="X5" s="256">
        <f>$J5*SUMIF('KU-LGE Rating'!$R:$R,$D5,'KU-LGE Rating'!$G:$G)</f>
        <v>717.51</v>
      </c>
      <c r="Y5" s="257">
        <f t="shared" si="5"/>
        <v>717.51</v>
      </c>
      <c r="Z5" s="255">
        <f>$K5*SUMIF('KU-LGE Rating'!$R:$R,$D5,'KU-LGE Rating'!$F:$F)</f>
        <v>0</v>
      </c>
      <c r="AA5" s="256">
        <f>$K5*SUMIF('KU-LGE Rating'!$R:$R,$D5,'KU-LGE Rating'!$G:$G)</f>
        <v>0</v>
      </c>
      <c r="AB5" s="257">
        <f t="shared" si="6"/>
        <v>0</v>
      </c>
    </row>
    <row r="6" spans="1:28">
      <c r="A6" s="1" t="s">
        <v>2756</v>
      </c>
      <c r="B6" t="s">
        <v>3</v>
      </c>
      <c r="C6" t="s">
        <v>3723</v>
      </c>
      <c r="D6" t="s">
        <v>3650</v>
      </c>
      <c r="E6">
        <v>512005</v>
      </c>
      <c r="F6" t="s">
        <v>3893</v>
      </c>
      <c r="G6" s="288">
        <v>90632.29</v>
      </c>
      <c r="H6" s="288">
        <v>95736.52</v>
      </c>
      <c r="I6" s="288">
        <v>148283.94</v>
      </c>
      <c r="J6" s="288">
        <v>521314.19</v>
      </c>
      <c r="K6" s="288">
        <v>20825.169999999998</v>
      </c>
      <c r="L6" s="243">
        <f t="shared" si="0"/>
        <v>786159.82000000007</v>
      </c>
      <c r="M6" s="243" t="str">
        <f t="shared" si="1"/>
        <v>512</v>
      </c>
      <c r="N6" s="255">
        <f>$G6*SUMIF('KU-LGE Rating'!$R:$R,$D6,'KU-LGE Rating'!F:F)</f>
        <v>0</v>
      </c>
      <c r="O6" s="256">
        <f>$G6*SUMIF('KU-LGE Rating'!$R:$R,$D6,'KU-LGE Rating'!G:G)</f>
        <v>90632.29</v>
      </c>
      <c r="P6" s="257">
        <f t="shared" si="2"/>
        <v>90632.29</v>
      </c>
      <c r="Q6" s="255">
        <f>$H6*SUMIF('KU-LGE Rating'!$R:$R,$D6,'KU-LGE Rating'!$F:$F)</f>
        <v>0</v>
      </c>
      <c r="R6" s="256">
        <f>$H6*SUMIF('KU-LGE Rating'!$R:$R,$D6,'KU-LGE Rating'!$G:$G)</f>
        <v>95736.52</v>
      </c>
      <c r="S6" s="257">
        <f t="shared" si="3"/>
        <v>95736.52</v>
      </c>
      <c r="T6" s="255">
        <f>$I6*SUMIF('KU-LGE Rating'!$R:$R,$D6,'KU-LGE Rating'!$F:$F)</f>
        <v>0</v>
      </c>
      <c r="U6" s="256">
        <f>$I6*SUMIF('KU-LGE Rating'!$R:$R,$D6,'KU-LGE Rating'!$G:$G)</f>
        <v>148283.94</v>
      </c>
      <c r="V6" s="257">
        <f t="shared" si="4"/>
        <v>148283.94</v>
      </c>
      <c r="W6" s="255">
        <f>$J6*SUMIF('KU-LGE Rating'!$R:$R,$D6,'KU-LGE Rating'!$F:$F)</f>
        <v>0</v>
      </c>
      <c r="X6" s="256">
        <f>$J6*SUMIF('KU-LGE Rating'!$R:$R,$D6,'KU-LGE Rating'!$G:$G)</f>
        <v>521314.19</v>
      </c>
      <c r="Y6" s="257">
        <f t="shared" si="5"/>
        <v>521314.19</v>
      </c>
      <c r="Z6" s="255">
        <f>$K6*SUMIF('KU-LGE Rating'!$R:$R,$D6,'KU-LGE Rating'!$F:$F)</f>
        <v>0</v>
      </c>
      <c r="AA6" s="256">
        <f>$K6*SUMIF('KU-LGE Rating'!$R:$R,$D6,'KU-LGE Rating'!$G:$G)</f>
        <v>20825.169999999998</v>
      </c>
      <c r="AB6" s="257">
        <f t="shared" si="6"/>
        <v>20825.169999999998</v>
      </c>
    </row>
    <row r="7" spans="1:28">
      <c r="A7" s="1" t="s">
        <v>2756</v>
      </c>
      <c r="B7" t="s">
        <v>3</v>
      </c>
      <c r="C7" t="s">
        <v>3723</v>
      </c>
      <c r="D7" t="s">
        <v>3650</v>
      </c>
      <c r="E7">
        <v>512015</v>
      </c>
      <c r="F7" t="s">
        <v>3893</v>
      </c>
      <c r="G7" s="288">
        <v>17.75</v>
      </c>
      <c r="H7" s="288">
        <v>0</v>
      </c>
      <c r="I7" s="288">
        <v>0</v>
      </c>
      <c r="J7" s="288">
        <v>0</v>
      </c>
      <c r="K7" s="288">
        <v>0</v>
      </c>
      <c r="L7" s="243">
        <f t="shared" si="0"/>
        <v>0</v>
      </c>
      <c r="M7" s="243" t="str">
        <f t="shared" si="1"/>
        <v>512</v>
      </c>
      <c r="N7" s="255">
        <f>$G7*SUMIF('KU-LGE Rating'!$R:$R,$D7,'KU-LGE Rating'!F:F)</f>
        <v>0</v>
      </c>
      <c r="O7" s="256">
        <f>$G7*SUMIF('KU-LGE Rating'!$R:$R,$D7,'KU-LGE Rating'!G:G)</f>
        <v>17.75</v>
      </c>
      <c r="P7" s="257">
        <f t="shared" si="2"/>
        <v>17.75</v>
      </c>
      <c r="Q7" s="255">
        <f>$H7*SUMIF('KU-LGE Rating'!$R:$R,$D7,'KU-LGE Rating'!$F:$F)</f>
        <v>0</v>
      </c>
      <c r="R7" s="256">
        <f>$H7*SUMIF('KU-LGE Rating'!$R:$R,$D7,'KU-LGE Rating'!$G:$G)</f>
        <v>0</v>
      </c>
      <c r="S7" s="257">
        <f t="shared" si="3"/>
        <v>0</v>
      </c>
      <c r="T7" s="255">
        <f>$I7*SUMIF('KU-LGE Rating'!$R:$R,$D7,'KU-LGE Rating'!$F:$F)</f>
        <v>0</v>
      </c>
      <c r="U7" s="256">
        <f>$I7*SUMIF('KU-LGE Rating'!$R:$R,$D7,'KU-LGE Rating'!$G:$G)</f>
        <v>0</v>
      </c>
      <c r="V7" s="257">
        <f t="shared" si="4"/>
        <v>0</v>
      </c>
      <c r="W7" s="255">
        <f>$J7*SUMIF('KU-LGE Rating'!$R:$R,$D7,'KU-LGE Rating'!$F:$F)</f>
        <v>0</v>
      </c>
      <c r="X7" s="256">
        <f>$J7*SUMIF('KU-LGE Rating'!$R:$R,$D7,'KU-LGE Rating'!$G:$G)</f>
        <v>0</v>
      </c>
      <c r="Y7" s="257">
        <f t="shared" si="5"/>
        <v>0</v>
      </c>
      <c r="Z7" s="255">
        <f>$K7*SUMIF('KU-LGE Rating'!$R:$R,$D7,'KU-LGE Rating'!$F:$F)</f>
        <v>0</v>
      </c>
      <c r="AA7" s="256">
        <f>$K7*SUMIF('KU-LGE Rating'!$R:$R,$D7,'KU-LGE Rating'!$G:$G)</f>
        <v>0</v>
      </c>
      <c r="AB7" s="257">
        <f t="shared" si="6"/>
        <v>0</v>
      </c>
    </row>
    <row r="8" spans="1:28">
      <c r="A8" s="1" t="s">
        <v>2756</v>
      </c>
      <c r="B8" t="s">
        <v>3</v>
      </c>
      <c r="C8" t="s">
        <v>3723</v>
      </c>
      <c r="D8" t="s">
        <v>3650</v>
      </c>
      <c r="E8">
        <v>512100</v>
      </c>
      <c r="F8" t="s">
        <v>3893</v>
      </c>
      <c r="G8" s="288">
        <v>620246.06000000006</v>
      </c>
      <c r="H8" s="288">
        <v>531040.56999999995</v>
      </c>
      <c r="I8" s="288">
        <v>538692.68999999994</v>
      </c>
      <c r="J8" s="288">
        <v>2510503</v>
      </c>
      <c r="K8" s="288">
        <v>89901.81</v>
      </c>
      <c r="L8" s="243">
        <f t="shared" si="0"/>
        <v>3670138.07</v>
      </c>
      <c r="M8" s="243" t="str">
        <f t="shared" si="1"/>
        <v>512</v>
      </c>
      <c r="N8" s="255">
        <f>$G8*SUMIF('KU-LGE Rating'!$R:$R,$D8,'KU-LGE Rating'!F:F)</f>
        <v>0</v>
      </c>
      <c r="O8" s="256">
        <f>$G8*SUMIF('KU-LGE Rating'!$R:$R,$D8,'KU-LGE Rating'!G:G)</f>
        <v>620246.06000000006</v>
      </c>
      <c r="P8" s="257">
        <f t="shared" si="2"/>
        <v>620246.06000000006</v>
      </c>
      <c r="Q8" s="255">
        <f>$H8*SUMIF('KU-LGE Rating'!$R:$R,$D8,'KU-LGE Rating'!$F:$F)</f>
        <v>0</v>
      </c>
      <c r="R8" s="256">
        <f>$H8*SUMIF('KU-LGE Rating'!$R:$R,$D8,'KU-LGE Rating'!$G:$G)</f>
        <v>531040.56999999995</v>
      </c>
      <c r="S8" s="257">
        <f t="shared" si="3"/>
        <v>531040.56999999995</v>
      </c>
      <c r="T8" s="255">
        <f>$I8*SUMIF('KU-LGE Rating'!$R:$R,$D8,'KU-LGE Rating'!$F:$F)</f>
        <v>0</v>
      </c>
      <c r="U8" s="256">
        <f>$I8*SUMIF('KU-LGE Rating'!$R:$R,$D8,'KU-LGE Rating'!$G:$G)</f>
        <v>538692.68999999994</v>
      </c>
      <c r="V8" s="257">
        <f t="shared" si="4"/>
        <v>538692.68999999994</v>
      </c>
      <c r="W8" s="255">
        <f>$J8*SUMIF('KU-LGE Rating'!$R:$R,$D8,'KU-LGE Rating'!$F:$F)</f>
        <v>0</v>
      </c>
      <c r="X8" s="256">
        <f>$J8*SUMIF('KU-LGE Rating'!$R:$R,$D8,'KU-LGE Rating'!$G:$G)</f>
        <v>2510503</v>
      </c>
      <c r="Y8" s="257">
        <f t="shared" si="5"/>
        <v>2510503</v>
      </c>
      <c r="Z8" s="255">
        <f>$K8*SUMIF('KU-LGE Rating'!$R:$R,$D8,'KU-LGE Rating'!$F:$F)</f>
        <v>0</v>
      </c>
      <c r="AA8" s="256">
        <f>$K8*SUMIF('KU-LGE Rating'!$R:$R,$D8,'KU-LGE Rating'!$G:$G)</f>
        <v>89901.81</v>
      </c>
      <c r="AB8" s="257">
        <f t="shared" si="6"/>
        <v>89901.81</v>
      </c>
    </row>
    <row r="9" spans="1:28">
      <c r="A9" s="1" t="s">
        <v>2756</v>
      </c>
      <c r="B9" t="s">
        <v>3</v>
      </c>
      <c r="C9" t="s">
        <v>3723</v>
      </c>
      <c r="D9" t="s">
        <v>3650</v>
      </c>
      <c r="E9">
        <v>513100</v>
      </c>
      <c r="F9" t="s">
        <v>3893</v>
      </c>
      <c r="G9" s="288">
        <v>66886.350000000006</v>
      </c>
      <c r="H9" s="288">
        <v>904912.52</v>
      </c>
      <c r="I9" s="288">
        <v>-9160.42</v>
      </c>
      <c r="J9" s="288">
        <v>1820339.95</v>
      </c>
      <c r="K9" s="288">
        <v>34290.089999999997</v>
      </c>
      <c r="L9" s="243">
        <f t="shared" si="0"/>
        <v>2750382.1399999997</v>
      </c>
      <c r="M9" s="243" t="str">
        <f t="shared" si="1"/>
        <v>513</v>
      </c>
      <c r="N9" s="255">
        <f>$G9*SUMIF('KU-LGE Rating'!$R:$R,$D9,'KU-LGE Rating'!F:F)</f>
        <v>0</v>
      </c>
      <c r="O9" s="256">
        <f>$G9*SUMIF('KU-LGE Rating'!$R:$R,$D9,'KU-LGE Rating'!G:G)</f>
        <v>66886.350000000006</v>
      </c>
      <c r="P9" s="257">
        <f t="shared" si="2"/>
        <v>66886.350000000006</v>
      </c>
      <c r="Q9" s="255">
        <f>$H9*SUMIF('KU-LGE Rating'!$R:$R,$D9,'KU-LGE Rating'!$F:$F)</f>
        <v>0</v>
      </c>
      <c r="R9" s="256">
        <f>$H9*SUMIF('KU-LGE Rating'!$R:$R,$D9,'KU-LGE Rating'!$G:$G)</f>
        <v>904912.52</v>
      </c>
      <c r="S9" s="257">
        <f t="shared" si="3"/>
        <v>904912.52</v>
      </c>
      <c r="T9" s="255">
        <f>$I9*SUMIF('KU-LGE Rating'!$R:$R,$D9,'KU-LGE Rating'!$F:$F)</f>
        <v>0</v>
      </c>
      <c r="U9" s="256">
        <f>$I9*SUMIF('KU-LGE Rating'!$R:$R,$D9,'KU-LGE Rating'!$G:$G)</f>
        <v>-9160.42</v>
      </c>
      <c r="V9" s="257">
        <f t="shared" si="4"/>
        <v>-9160.42</v>
      </c>
      <c r="W9" s="255">
        <f>$J9*SUMIF('KU-LGE Rating'!$R:$R,$D9,'KU-LGE Rating'!$F:$F)</f>
        <v>0</v>
      </c>
      <c r="X9" s="256">
        <f>$J9*SUMIF('KU-LGE Rating'!$R:$R,$D9,'KU-LGE Rating'!$G:$G)</f>
        <v>1820339.95</v>
      </c>
      <c r="Y9" s="257">
        <f t="shared" si="5"/>
        <v>1820339.95</v>
      </c>
      <c r="Z9" s="255">
        <f>$K9*SUMIF('KU-LGE Rating'!$R:$R,$D9,'KU-LGE Rating'!$F:$F)</f>
        <v>0</v>
      </c>
      <c r="AA9" s="256">
        <f>$K9*SUMIF('KU-LGE Rating'!$R:$R,$D9,'KU-LGE Rating'!$G:$G)</f>
        <v>34290.089999999997</v>
      </c>
      <c r="AB9" s="257">
        <f t="shared" si="6"/>
        <v>34290.089999999997</v>
      </c>
    </row>
    <row r="10" spans="1:28">
      <c r="A10" s="1" t="s">
        <v>2756</v>
      </c>
      <c r="B10" t="s">
        <v>3</v>
      </c>
      <c r="C10" t="s">
        <v>3723</v>
      </c>
      <c r="D10" t="s">
        <v>3651</v>
      </c>
      <c r="E10">
        <v>512005</v>
      </c>
      <c r="F10" t="s">
        <v>3893</v>
      </c>
      <c r="G10" s="288">
        <v>284105.3</v>
      </c>
      <c r="H10" s="288">
        <v>669.2</v>
      </c>
      <c r="I10" s="288">
        <v>431631.56</v>
      </c>
      <c r="J10" s="288">
        <v>0</v>
      </c>
      <c r="K10" s="288">
        <v>133334.57</v>
      </c>
      <c r="L10" s="243">
        <f t="shared" si="0"/>
        <v>565635.33000000007</v>
      </c>
      <c r="M10" s="243" t="str">
        <f t="shared" si="1"/>
        <v>512</v>
      </c>
      <c r="N10" s="255">
        <f>$G10*SUMIF('KU-LGE Rating'!$R:$R,$D10,'KU-LGE Rating'!F:F)</f>
        <v>0</v>
      </c>
      <c r="O10" s="256">
        <f>$G10*SUMIF('KU-LGE Rating'!$R:$R,$D10,'KU-LGE Rating'!G:G)</f>
        <v>284105.3</v>
      </c>
      <c r="P10" s="257">
        <f t="shared" si="2"/>
        <v>284105.3</v>
      </c>
      <c r="Q10" s="255">
        <f>$H10*SUMIF('KU-LGE Rating'!$R:$R,$D10,'KU-LGE Rating'!$F:$F)</f>
        <v>0</v>
      </c>
      <c r="R10" s="256">
        <f>$H10*SUMIF('KU-LGE Rating'!$R:$R,$D10,'KU-LGE Rating'!$G:$G)</f>
        <v>669.2</v>
      </c>
      <c r="S10" s="257">
        <f t="shared" si="3"/>
        <v>669.2</v>
      </c>
      <c r="T10" s="255">
        <f>$I10*SUMIF('KU-LGE Rating'!$R:$R,$D10,'KU-LGE Rating'!$F:$F)</f>
        <v>0</v>
      </c>
      <c r="U10" s="256">
        <f>$I10*SUMIF('KU-LGE Rating'!$R:$R,$D10,'KU-LGE Rating'!$G:$G)</f>
        <v>431631.56</v>
      </c>
      <c r="V10" s="257">
        <f t="shared" si="4"/>
        <v>431631.56</v>
      </c>
      <c r="W10" s="255">
        <f>$J10*SUMIF('KU-LGE Rating'!$R:$R,$D10,'KU-LGE Rating'!$F:$F)</f>
        <v>0</v>
      </c>
      <c r="X10" s="256">
        <f>$J10*SUMIF('KU-LGE Rating'!$R:$R,$D10,'KU-LGE Rating'!$G:$G)</f>
        <v>0</v>
      </c>
      <c r="Y10" s="257">
        <f t="shared" si="5"/>
        <v>0</v>
      </c>
      <c r="Z10" s="255">
        <f>$K10*SUMIF('KU-LGE Rating'!$R:$R,$D10,'KU-LGE Rating'!$F:$F)</f>
        <v>0</v>
      </c>
      <c r="AA10" s="256">
        <f>$K10*SUMIF('KU-LGE Rating'!$R:$R,$D10,'KU-LGE Rating'!$G:$G)</f>
        <v>133334.57</v>
      </c>
      <c r="AB10" s="257">
        <f t="shared" si="6"/>
        <v>133334.57</v>
      </c>
    </row>
    <row r="11" spans="1:28">
      <c r="A11" s="1" t="s">
        <v>2756</v>
      </c>
      <c r="B11" t="s">
        <v>3</v>
      </c>
      <c r="C11" t="s">
        <v>3723</v>
      </c>
      <c r="D11" t="s">
        <v>3651</v>
      </c>
      <c r="E11">
        <v>512015</v>
      </c>
      <c r="F11" t="s">
        <v>3893</v>
      </c>
      <c r="G11" s="288">
        <v>0</v>
      </c>
      <c r="H11" s="288">
        <v>0</v>
      </c>
      <c r="I11" s="288">
        <v>444.52</v>
      </c>
      <c r="J11" s="288">
        <v>0</v>
      </c>
      <c r="K11" s="288">
        <v>0</v>
      </c>
      <c r="L11" s="243">
        <f t="shared" si="0"/>
        <v>444.52</v>
      </c>
      <c r="M11" s="243" t="str">
        <f t="shared" si="1"/>
        <v>512</v>
      </c>
      <c r="N11" s="255">
        <f>$G11*SUMIF('KU-LGE Rating'!$R:$R,$D11,'KU-LGE Rating'!F:F)</f>
        <v>0</v>
      </c>
      <c r="O11" s="256">
        <f>$G11*SUMIF('KU-LGE Rating'!$R:$R,$D11,'KU-LGE Rating'!G:G)</f>
        <v>0</v>
      </c>
      <c r="P11" s="257">
        <f t="shared" si="2"/>
        <v>0</v>
      </c>
      <c r="Q11" s="255">
        <f>$H11*SUMIF('KU-LGE Rating'!$R:$R,$D11,'KU-LGE Rating'!$F:$F)</f>
        <v>0</v>
      </c>
      <c r="R11" s="256">
        <f>$H11*SUMIF('KU-LGE Rating'!$R:$R,$D11,'KU-LGE Rating'!$G:$G)</f>
        <v>0</v>
      </c>
      <c r="S11" s="257">
        <f t="shared" si="3"/>
        <v>0</v>
      </c>
      <c r="T11" s="255">
        <f>$I11*SUMIF('KU-LGE Rating'!$R:$R,$D11,'KU-LGE Rating'!$F:$F)</f>
        <v>0</v>
      </c>
      <c r="U11" s="256">
        <f>$I11*SUMIF('KU-LGE Rating'!$R:$R,$D11,'KU-LGE Rating'!$G:$G)</f>
        <v>444.52</v>
      </c>
      <c r="V11" s="257">
        <f t="shared" si="4"/>
        <v>444.52</v>
      </c>
      <c r="W11" s="255">
        <f>$J11*SUMIF('KU-LGE Rating'!$R:$R,$D11,'KU-LGE Rating'!$F:$F)</f>
        <v>0</v>
      </c>
      <c r="X11" s="256">
        <f>$J11*SUMIF('KU-LGE Rating'!$R:$R,$D11,'KU-LGE Rating'!$G:$G)</f>
        <v>0</v>
      </c>
      <c r="Y11" s="257">
        <f t="shared" si="5"/>
        <v>0</v>
      </c>
      <c r="Z11" s="255">
        <f>$K11*SUMIF('KU-LGE Rating'!$R:$R,$D11,'KU-LGE Rating'!$F:$F)</f>
        <v>0</v>
      </c>
      <c r="AA11" s="256">
        <f>$K11*SUMIF('KU-LGE Rating'!$R:$R,$D11,'KU-LGE Rating'!$G:$G)</f>
        <v>0</v>
      </c>
      <c r="AB11" s="257">
        <f t="shared" si="6"/>
        <v>0</v>
      </c>
    </row>
    <row r="12" spans="1:28">
      <c r="A12" s="1" t="s">
        <v>2756</v>
      </c>
      <c r="B12" t="s">
        <v>3</v>
      </c>
      <c r="C12" t="s">
        <v>3723</v>
      </c>
      <c r="D12" t="s">
        <v>3651</v>
      </c>
      <c r="E12">
        <v>512100</v>
      </c>
      <c r="F12" t="s">
        <v>3893</v>
      </c>
      <c r="G12" s="288">
        <v>556062.41</v>
      </c>
      <c r="H12" s="288">
        <v>0</v>
      </c>
      <c r="I12" s="288">
        <v>1681575.3</v>
      </c>
      <c r="J12" s="288">
        <v>0</v>
      </c>
      <c r="K12" s="288">
        <v>749270.12</v>
      </c>
      <c r="L12" s="243">
        <f t="shared" si="0"/>
        <v>2430845.42</v>
      </c>
      <c r="M12" s="243" t="str">
        <f t="shared" si="1"/>
        <v>512</v>
      </c>
      <c r="N12" s="255">
        <f>$G12*SUMIF('KU-LGE Rating'!$R:$R,$D12,'KU-LGE Rating'!F:F)</f>
        <v>0</v>
      </c>
      <c r="O12" s="256">
        <f>$G12*SUMIF('KU-LGE Rating'!$R:$R,$D12,'KU-LGE Rating'!G:G)</f>
        <v>556062.41</v>
      </c>
      <c r="P12" s="257">
        <f t="shared" si="2"/>
        <v>556062.41</v>
      </c>
      <c r="Q12" s="255">
        <f>$H12*SUMIF('KU-LGE Rating'!$R:$R,$D12,'KU-LGE Rating'!$F:$F)</f>
        <v>0</v>
      </c>
      <c r="R12" s="256">
        <f>$H12*SUMIF('KU-LGE Rating'!$R:$R,$D12,'KU-LGE Rating'!$G:$G)</f>
        <v>0</v>
      </c>
      <c r="S12" s="257">
        <f t="shared" si="3"/>
        <v>0</v>
      </c>
      <c r="T12" s="255">
        <f>$I12*SUMIF('KU-LGE Rating'!$R:$R,$D12,'KU-LGE Rating'!$F:$F)</f>
        <v>0</v>
      </c>
      <c r="U12" s="256">
        <f>$I12*SUMIF('KU-LGE Rating'!$R:$R,$D12,'KU-LGE Rating'!$G:$G)</f>
        <v>1681575.3</v>
      </c>
      <c r="V12" s="257">
        <f t="shared" si="4"/>
        <v>1681575.3</v>
      </c>
      <c r="W12" s="255">
        <f>$J12*SUMIF('KU-LGE Rating'!$R:$R,$D12,'KU-LGE Rating'!$F:$F)</f>
        <v>0</v>
      </c>
      <c r="X12" s="256">
        <f>$J12*SUMIF('KU-LGE Rating'!$R:$R,$D12,'KU-LGE Rating'!$G:$G)</f>
        <v>0</v>
      </c>
      <c r="Y12" s="257">
        <f t="shared" si="5"/>
        <v>0</v>
      </c>
      <c r="Z12" s="255">
        <f>$K12*SUMIF('KU-LGE Rating'!$R:$R,$D12,'KU-LGE Rating'!$F:$F)</f>
        <v>0</v>
      </c>
      <c r="AA12" s="256">
        <f>$K12*SUMIF('KU-LGE Rating'!$R:$R,$D12,'KU-LGE Rating'!$G:$G)</f>
        <v>749270.12</v>
      </c>
      <c r="AB12" s="257">
        <f t="shared" si="6"/>
        <v>749270.12</v>
      </c>
    </row>
    <row r="13" spans="1:28">
      <c r="A13" s="1" t="s">
        <v>2756</v>
      </c>
      <c r="B13" t="s">
        <v>3</v>
      </c>
      <c r="C13" t="s">
        <v>3723</v>
      </c>
      <c r="D13" t="s">
        <v>3651</v>
      </c>
      <c r="E13">
        <v>513100</v>
      </c>
      <c r="F13" t="s">
        <v>3893</v>
      </c>
      <c r="G13" s="288">
        <v>116155.23</v>
      </c>
      <c r="H13" s="288">
        <v>123.02</v>
      </c>
      <c r="I13" s="288">
        <v>117688.33</v>
      </c>
      <c r="J13" s="288">
        <v>0</v>
      </c>
      <c r="K13" s="288">
        <v>169708.97</v>
      </c>
      <c r="L13" s="243">
        <f t="shared" si="0"/>
        <v>287520.32</v>
      </c>
      <c r="M13" s="243" t="str">
        <f t="shared" si="1"/>
        <v>513</v>
      </c>
      <c r="N13" s="255">
        <f>$G13*SUMIF('KU-LGE Rating'!$R:$R,$D13,'KU-LGE Rating'!F:F)</f>
        <v>0</v>
      </c>
      <c r="O13" s="256">
        <f>$G13*SUMIF('KU-LGE Rating'!$R:$R,$D13,'KU-LGE Rating'!G:G)</f>
        <v>116155.23</v>
      </c>
      <c r="P13" s="257">
        <f t="shared" si="2"/>
        <v>116155.23</v>
      </c>
      <c r="Q13" s="255">
        <f>$H13*SUMIF('KU-LGE Rating'!$R:$R,$D13,'KU-LGE Rating'!$F:$F)</f>
        <v>0</v>
      </c>
      <c r="R13" s="256">
        <f>$H13*SUMIF('KU-LGE Rating'!$R:$R,$D13,'KU-LGE Rating'!$G:$G)</f>
        <v>123.02</v>
      </c>
      <c r="S13" s="257">
        <f t="shared" si="3"/>
        <v>123.02</v>
      </c>
      <c r="T13" s="255">
        <f>$I13*SUMIF('KU-LGE Rating'!$R:$R,$D13,'KU-LGE Rating'!$F:$F)</f>
        <v>0</v>
      </c>
      <c r="U13" s="256">
        <f>$I13*SUMIF('KU-LGE Rating'!$R:$R,$D13,'KU-LGE Rating'!$G:$G)</f>
        <v>117688.33</v>
      </c>
      <c r="V13" s="257">
        <f t="shared" si="4"/>
        <v>117688.33</v>
      </c>
      <c r="W13" s="255">
        <f>$J13*SUMIF('KU-LGE Rating'!$R:$R,$D13,'KU-LGE Rating'!$F:$F)</f>
        <v>0</v>
      </c>
      <c r="X13" s="256">
        <f>$J13*SUMIF('KU-LGE Rating'!$R:$R,$D13,'KU-LGE Rating'!$G:$G)</f>
        <v>0</v>
      </c>
      <c r="Y13" s="257">
        <f t="shared" si="5"/>
        <v>0</v>
      </c>
      <c r="Z13" s="255">
        <f>$K13*SUMIF('KU-LGE Rating'!$R:$R,$D13,'KU-LGE Rating'!$F:$F)</f>
        <v>0</v>
      </c>
      <c r="AA13" s="256">
        <f>$K13*SUMIF('KU-LGE Rating'!$R:$R,$D13,'KU-LGE Rating'!$G:$G)</f>
        <v>169708.97</v>
      </c>
      <c r="AB13" s="257">
        <f t="shared" si="6"/>
        <v>169708.97</v>
      </c>
    </row>
    <row r="14" spans="1:28">
      <c r="A14" s="1" t="s">
        <v>2756</v>
      </c>
      <c r="B14" t="s">
        <v>3</v>
      </c>
      <c r="C14" t="s">
        <v>3723</v>
      </c>
      <c r="D14" t="s">
        <v>3652</v>
      </c>
      <c r="E14">
        <v>510100</v>
      </c>
      <c r="F14" t="s">
        <v>3893</v>
      </c>
      <c r="G14" s="288">
        <v>20520</v>
      </c>
      <c r="H14" s="288">
        <v>0</v>
      </c>
      <c r="I14" s="288">
        <v>0</v>
      </c>
      <c r="J14" s="288">
        <v>0</v>
      </c>
      <c r="K14" s="288">
        <v>0</v>
      </c>
      <c r="L14" s="243">
        <f t="shared" si="0"/>
        <v>0</v>
      </c>
      <c r="M14" s="243" t="str">
        <f t="shared" si="1"/>
        <v>510</v>
      </c>
      <c r="N14" s="255">
        <f>$G14*SUMIF('KU-LGE Rating'!$R:$R,$D14,'KU-LGE Rating'!F:F)</f>
        <v>0</v>
      </c>
      <c r="O14" s="256">
        <f>$G14*SUMIF('KU-LGE Rating'!$R:$R,$D14,'KU-LGE Rating'!G:G)</f>
        <v>20520</v>
      </c>
      <c r="P14" s="257">
        <f t="shared" si="2"/>
        <v>20520</v>
      </c>
      <c r="Q14" s="255">
        <f>$H14*SUMIF('KU-LGE Rating'!$R:$R,$D14,'KU-LGE Rating'!$F:$F)</f>
        <v>0</v>
      </c>
      <c r="R14" s="256">
        <f>$H14*SUMIF('KU-LGE Rating'!$R:$R,$D14,'KU-LGE Rating'!$G:$G)</f>
        <v>0</v>
      </c>
      <c r="S14" s="257">
        <f t="shared" si="3"/>
        <v>0</v>
      </c>
      <c r="T14" s="255">
        <f>$I14*SUMIF('KU-LGE Rating'!$R:$R,$D14,'KU-LGE Rating'!$F:$F)</f>
        <v>0</v>
      </c>
      <c r="U14" s="256">
        <f>$I14*SUMIF('KU-LGE Rating'!$R:$R,$D14,'KU-LGE Rating'!$G:$G)</f>
        <v>0</v>
      </c>
      <c r="V14" s="257">
        <f t="shared" si="4"/>
        <v>0</v>
      </c>
      <c r="W14" s="255">
        <f>$J14*SUMIF('KU-LGE Rating'!$R:$R,$D14,'KU-LGE Rating'!$F:$F)</f>
        <v>0</v>
      </c>
      <c r="X14" s="256">
        <f>$J14*SUMIF('KU-LGE Rating'!$R:$R,$D14,'KU-LGE Rating'!$G:$G)</f>
        <v>0</v>
      </c>
      <c r="Y14" s="257">
        <f t="shared" si="5"/>
        <v>0</v>
      </c>
      <c r="Z14" s="255">
        <f>$K14*SUMIF('KU-LGE Rating'!$R:$R,$D14,'KU-LGE Rating'!$F:$F)</f>
        <v>0</v>
      </c>
      <c r="AA14" s="256">
        <f>$K14*SUMIF('KU-LGE Rating'!$R:$R,$D14,'KU-LGE Rating'!$G:$G)</f>
        <v>0</v>
      </c>
      <c r="AB14" s="257">
        <f t="shared" si="6"/>
        <v>0</v>
      </c>
    </row>
    <row r="15" spans="1:28">
      <c r="A15" s="1" t="s">
        <v>2756</v>
      </c>
      <c r="B15" t="s">
        <v>3</v>
      </c>
      <c r="C15" t="s">
        <v>3723</v>
      </c>
      <c r="D15" t="s">
        <v>3652</v>
      </c>
      <c r="E15">
        <v>511100</v>
      </c>
      <c r="F15" t="s">
        <v>3893</v>
      </c>
      <c r="G15" s="288">
        <v>0</v>
      </c>
      <c r="H15" s="288">
        <v>693.28</v>
      </c>
      <c r="I15" s="288">
        <v>0</v>
      </c>
      <c r="J15" s="288">
        <v>0</v>
      </c>
      <c r="K15" s="288">
        <v>0</v>
      </c>
      <c r="L15" s="243">
        <f t="shared" si="0"/>
        <v>693.28</v>
      </c>
      <c r="M15" s="243" t="str">
        <f t="shared" si="1"/>
        <v>511</v>
      </c>
      <c r="N15" s="255">
        <f>$G15*SUMIF('KU-LGE Rating'!$R:$R,$D15,'KU-LGE Rating'!F:F)</f>
        <v>0</v>
      </c>
      <c r="O15" s="256">
        <f>$G15*SUMIF('KU-LGE Rating'!$R:$R,$D15,'KU-LGE Rating'!G:G)</f>
        <v>0</v>
      </c>
      <c r="P15" s="257">
        <f t="shared" si="2"/>
        <v>0</v>
      </c>
      <c r="Q15" s="255">
        <f>$H15*SUMIF('KU-LGE Rating'!$R:$R,$D15,'KU-LGE Rating'!$F:$F)</f>
        <v>0</v>
      </c>
      <c r="R15" s="256">
        <f>$H15*SUMIF('KU-LGE Rating'!$R:$R,$D15,'KU-LGE Rating'!$G:$G)</f>
        <v>693.28</v>
      </c>
      <c r="S15" s="257">
        <f t="shared" si="3"/>
        <v>693.28</v>
      </c>
      <c r="T15" s="255">
        <f>$I15*SUMIF('KU-LGE Rating'!$R:$R,$D15,'KU-LGE Rating'!$F:$F)</f>
        <v>0</v>
      </c>
      <c r="U15" s="256">
        <f>$I15*SUMIF('KU-LGE Rating'!$R:$R,$D15,'KU-LGE Rating'!$G:$G)</f>
        <v>0</v>
      </c>
      <c r="V15" s="257">
        <f t="shared" si="4"/>
        <v>0</v>
      </c>
      <c r="W15" s="255">
        <f>$J15*SUMIF('KU-LGE Rating'!$R:$R,$D15,'KU-LGE Rating'!$F:$F)</f>
        <v>0</v>
      </c>
      <c r="X15" s="256">
        <f>$J15*SUMIF('KU-LGE Rating'!$R:$R,$D15,'KU-LGE Rating'!$G:$G)</f>
        <v>0</v>
      </c>
      <c r="Y15" s="257">
        <f t="shared" si="5"/>
        <v>0</v>
      </c>
      <c r="Z15" s="255">
        <f>$K15*SUMIF('KU-LGE Rating'!$R:$R,$D15,'KU-LGE Rating'!$F:$F)</f>
        <v>0</v>
      </c>
      <c r="AA15" s="256">
        <f>$K15*SUMIF('KU-LGE Rating'!$R:$R,$D15,'KU-LGE Rating'!$G:$G)</f>
        <v>0</v>
      </c>
      <c r="AB15" s="257">
        <f t="shared" si="6"/>
        <v>0</v>
      </c>
    </row>
    <row r="16" spans="1:28">
      <c r="A16" s="1" t="s">
        <v>2756</v>
      </c>
      <c r="B16" t="s">
        <v>3</v>
      </c>
      <c r="C16" t="s">
        <v>3723</v>
      </c>
      <c r="D16" t="s">
        <v>3652</v>
      </c>
      <c r="E16">
        <v>512005</v>
      </c>
      <c r="F16" t="s">
        <v>3893</v>
      </c>
      <c r="G16" s="288">
        <v>22071.02</v>
      </c>
      <c r="H16" s="288">
        <v>526515.75</v>
      </c>
      <c r="I16" s="288">
        <v>1355.28</v>
      </c>
      <c r="J16" s="288">
        <v>161611.29</v>
      </c>
      <c r="K16" s="288">
        <v>101192.68</v>
      </c>
      <c r="L16" s="243">
        <f t="shared" si="0"/>
        <v>790675</v>
      </c>
      <c r="M16" s="243" t="str">
        <f t="shared" si="1"/>
        <v>512</v>
      </c>
      <c r="N16" s="255">
        <f>$G16*SUMIF('KU-LGE Rating'!$R:$R,$D16,'KU-LGE Rating'!F:F)</f>
        <v>0</v>
      </c>
      <c r="O16" s="256">
        <f>$G16*SUMIF('KU-LGE Rating'!$R:$R,$D16,'KU-LGE Rating'!G:G)</f>
        <v>22071.02</v>
      </c>
      <c r="P16" s="257">
        <f t="shared" si="2"/>
        <v>22071.02</v>
      </c>
      <c r="Q16" s="255">
        <f>$H16*SUMIF('KU-LGE Rating'!$R:$R,$D16,'KU-LGE Rating'!$F:$F)</f>
        <v>0</v>
      </c>
      <c r="R16" s="256">
        <f>$H16*SUMIF('KU-LGE Rating'!$R:$R,$D16,'KU-LGE Rating'!$G:$G)</f>
        <v>526515.75</v>
      </c>
      <c r="S16" s="257">
        <f t="shared" si="3"/>
        <v>526515.75</v>
      </c>
      <c r="T16" s="255">
        <f>$I16*SUMIF('KU-LGE Rating'!$R:$R,$D16,'KU-LGE Rating'!$F:$F)</f>
        <v>0</v>
      </c>
      <c r="U16" s="256">
        <f>$I16*SUMIF('KU-LGE Rating'!$R:$R,$D16,'KU-LGE Rating'!$G:$G)</f>
        <v>1355.28</v>
      </c>
      <c r="V16" s="257">
        <f t="shared" si="4"/>
        <v>1355.28</v>
      </c>
      <c r="W16" s="255">
        <f>$J16*SUMIF('KU-LGE Rating'!$R:$R,$D16,'KU-LGE Rating'!$F:$F)</f>
        <v>0</v>
      </c>
      <c r="X16" s="256">
        <f>$J16*SUMIF('KU-LGE Rating'!$R:$R,$D16,'KU-LGE Rating'!$G:$G)</f>
        <v>161611.29</v>
      </c>
      <c r="Y16" s="257">
        <f t="shared" si="5"/>
        <v>161611.29</v>
      </c>
      <c r="Z16" s="255">
        <f>$K16*SUMIF('KU-LGE Rating'!$R:$R,$D16,'KU-LGE Rating'!$F:$F)</f>
        <v>0</v>
      </c>
      <c r="AA16" s="256">
        <f>$K16*SUMIF('KU-LGE Rating'!$R:$R,$D16,'KU-LGE Rating'!$G:$G)</f>
        <v>101192.68</v>
      </c>
      <c r="AB16" s="257">
        <f t="shared" si="6"/>
        <v>101192.68</v>
      </c>
    </row>
    <row r="17" spans="1:28">
      <c r="A17" s="1" t="s">
        <v>2756</v>
      </c>
      <c r="B17" t="s">
        <v>3</v>
      </c>
      <c r="C17" t="s">
        <v>3723</v>
      </c>
      <c r="D17" t="s">
        <v>3652</v>
      </c>
      <c r="E17">
        <v>512015</v>
      </c>
      <c r="F17" t="s">
        <v>3893</v>
      </c>
      <c r="G17" s="288">
        <v>0</v>
      </c>
      <c r="H17" s="288">
        <v>1517.63</v>
      </c>
      <c r="I17" s="288">
        <v>0</v>
      </c>
      <c r="J17" s="288">
        <v>0</v>
      </c>
      <c r="K17" s="288">
        <v>513.15</v>
      </c>
      <c r="L17" s="243">
        <f t="shared" si="0"/>
        <v>2030.7800000000002</v>
      </c>
      <c r="M17" s="243" t="str">
        <f t="shared" si="1"/>
        <v>512</v>
      </c>
      <c r="N17" s="255">
        <f>$G17*SUMIF('KU-LGE Rating'!$R:$R,$D17,'KU-LGE Rating'!F:F)</f>
        <v>0</v>
      </c>
      <c r="O17" s="256">
        <f>$G17*SUMIF('KU-LGE Rating'!$R:$R,$D17,'KU-LGE Rating'!G:G)</f>
        <v>0</v>
      </c>
      <c r="P17" s="257">
        <f t="shared" si="2"/>
        <v>0</v>
      </c>
      <c r="Q17" s="255">
        <f>$H17*SUMIF('KU-LGE Rating'!$R:$R,$D17,'KU-LGE Rating'!$F:$F)</f>
        <v>0</v>
      </c>
      <c r="R17" s="256">
        <f>$H17*SUMIF('KU-LGE Rating'!$R:$R,$D17,'KU-LGE Rating'!$G:$G)</f>
        <v>1517.63</v>
      </c>
      <c r="S17" s="257">
        <f t="shared" si="3"/>
        <v>1517.63</v>
      </c>
      <c r="T17" s="255">
        <f>$I17*SUMIF('KU-LGE Rating'!$R:$R,$D17,'KU-LGE Rating'!$F:$F)</f>
        <v>0</v>
      </c>
      <c r="U17" s="256">
        <f>$I17*SUMIF('KU-LGE Rating'!$R:$R,$D17,'KU-LGE Rating'!$G:$G)</f>
        <v>0</v>
      </c>
      <c r="V17" s="257">
        <f t="shared" si="4"/>
        <v>0</v>
      </c>
      <c r="W17" s="255">
        <f>$J17*SUMIF('KU-LGE Rating'!$R:$R,$D17,'KU-LGE Rating'!$F:$F)</f>
        <v>0</v>
      </c>
      <c r="X17" s="256">
        <f>$J17*SUMIF('KU-LGE Rating'!$R:$R,$D17,'KU-LGE Rating'!$G:$G)</f>
        <v>0</v>
      </c>
      <c r="Y17" s="257">
        <f t="shared" si="5"/>
        <v>0</v>
      </c>
      <c r="Z17" s="255">
        <f>$K17*SUMIF('KU-LGE Rating'!$R:$R,$D17,'KU-LGE Rating'!$F:$F)</f>
        <v>0</v>
      </c>
      <c r="AA17" s="256">
        <f>$K17*SUMIF('KU-LGE Rating'!$R:$R,$D17,'KU-LGE Rating'!$G:$G)</f>
        <v>513.15</v>
      </c>
      <c r="AB17" s="257">
        <f t="shared" si="6"/>
        <v>513.15</v>
      </c>
    </row>
    <row r="18" spans="1:28">
      <c r="A18" s="1" t="s">
        <v>2756</v>
      </c>
      <c r="B18" t="s">
        <v>3</v>
      </c>
      <c r="C18" t="s">
        <v>3723</v>
      </c>
      <c r="D18" t="s">
        <v>3652</v>
      </c>
      <c r="E18">
        <v>512017</v>
      </c>
      <c r="F18" t="s">
        <v>3893</v>
      </c>
      <c r="G18" s="288">
        <v>0</v>
      </c>
      <c r="H18" s="288">
        <v>13650.27</v>
      </c>
      <c r="I18" s="288">
        <v>0</v>
      </c>
      <c r="J18" s="288">
        <v>0</v>
      </c>
      <c r="K18" s="288">
        <v>371.46</v>
      </c>
      <c r="L18" s="243">
        <f t="shared" si="0"/>
        <v>14021.73</v>
      </c>
      <c r="M18" s="243" t="str">
        <f t="shared" si="1"/>
        <v>512</v>
      </c>
      <c r="N18" s="255">
        <f>$G18*SUMIF('KU-LGE Rating'!$R:$R,$D18,'KU-LGE Rating'!F:F)</f>
        <v>0</v>
      </c>
      <c r="O18" s="256">
        <f>$G18*SUMIF('KU-LGE Rating'!$R:$R,$D18,'KU-LGE Rating'!G:G)</f>
        <v>0</v>
      </c>
      <c r="P18" s="257">
        <f t="shared" si="2"/>
        <v>0</v>
      </c>
      <c r="Q18" s="255">
        <f>$H18*SUMIF('KU-LGE Rating'!$R:$R,$D18,'KU-LGE Rating'!$F:$F)</f>
        <v>0</v>
      </c>
      <c r="R18" s="256">
        <f>$H18*SUMIF('KU-LGE Rating'!$R:$R,$D18,'KU-LGE Rating'!$G:$G)</f>
        <v>13650.27</v>
      </c>
      <c r="S18" s="257">
        <f t="shared" si="3"/>
        <v>13650.27</v>
      </c>
      <c r="T18" s="255">
        <f>$I18*SUMIF('KU-LGE Rating'!$R:$R,$D18,'KU-LGE Rating'!$F:$F)</f>
        <v>0</v>
      </c>
      <c r="U18" s="256">
        <f>$I18*SUMIF('KU-LGE Rating'!$R:$R,$D18,'KU-LGE Rating'!$G:$G)</f>
        <v>0</v>
      </c>
      <c r="V18" s="257">
        <f t="shared" si="4"/>
        <v>0</v>
      </c>
      <c r="W18" s="255">
        <f>$J18*SUMIF('KU-LGE Rating'!$R:$R,$D18,'KU-LGE Rating'!$F:$F)</f>
        <v>0</v>
      </c>
      <c r="X18" s="256">
        <f>$J18*SUMIF('KU-LGE Rating'!$R:$R,$D18,'KU-LGE Rating'!$G:$G)</f>
        <v>0</v>
      </c>
      <c r="Y18" s="257">
        <f t="shared" si="5"/>
        <v>0</v>
      </c>
      <c r="Z18" s="255">
        <f>$K18*SUMIF('KU-LGE Rating'!$R:$R,$D18,'KU-LGE Rating'!$F:$F)</f>
        <v>0</v>
      </c>
      <c r="AA18" s="256">
        <f>$K18*SUMIF('KU-LGE Rating'!$R:$R,$D18,'KU-LGE Rating'!$G:$G)</f>
        <v>371.46</v>
      </c>
      <c r="AB18" s="257">
        <f t="shared" si="6"/>
        <v>371.46</v>
      </c>
    </row>
    <row r="19" spans="1:28">
      <c r="A19" s="1" t="s">
        <v>2756</v>
      </c>
      <c r="B19" t="s">
        <v>3</v>
      </c>
      <c r="C19" t="s">
        <v>3723</v>
      </c>
      <c r="D19" t="s">
        <v>3652</v>
      </c>
      <c r="E19">
        <v>512100</v>
      </c>
      <c r="F19" t="s">
        <v>3893</v>
      </c>
      <c r="G19" s="288">
        <v>843267.37</v>
      </c>
      <c r="H19" s="288">
        <v>2312991.12</v>
      </c>
      <c r="I19" s="288">
        <v>-24705.47</v>
      </c>
      <c r="J19" s="288">
        <v>1188488.8799999999</v>
      </c>
      <c r="K19" s="288">
        <v>190270.7</v>
      </c>
      <c r="L19" s="243">
        <f t="shared" si="0"/>
        <v>3667045.23</v>
      </c>
      <c r="M19" s="243" t="str">
        <f t="shared" si="1"/>
        <v>512</v>
      </c>
      <c r="N19" s="255">
        <f>$G19*SUMIF('KU-LGE Rating'!$R:$R,$D19,'KU-LGE Rating'!F:F)</f>
        <v>0</v>
      </c>
      <c r="O19" s="256">
        <f>$G19*SUMIF('KU-LGE Rating'!$R:$R,$D19,'KU-LGE Rating'!G:G)</f>
        <v>843267.37</v>
      </c>
      <c r="P19" s="257">
        <f t="shared" si="2"/>
        <v>843267.37</v>
      </c>
      <c r="Q19" s="255">
        <f>$H19*SUMIF('KU-LGE Rating'!$R:$R,$D19,'KU-LGE Rating'!$F:$F)</f>
        <v>0</v>
      </c>
      <c r="R19" s="256">
        <f>$H19*SUMIF('KU-LGE Rating'!$R:$R,$D19,'KU-LGE Rating'!$G:$G)</f>
        <v>2312991.12</v>
      </c>
      <c r="S19" s="257">
        <f t="shared" si="3"/>
        <v>2312991.12</v>
      </c>
      <c r="T19" s="255">
        <f>$I19*SUMIF('KU-LGE Rating'!$R:$R,$D19,'KU-LGE Rating'!$F:$F)</f>
        <v>0</v>
      </c>
      <c r="U19" s="256">
        <f>$I19*SUMIF('KU-LGE Rating'!$R:$R,$D19,'KU-LGE Rating'!$G:$G)</f>
        <v>-24705.47</v>
      </c>
      <c r="V19" s="257">
        <f t="shared" si="4"/>
        <v>-24705.47</v>
      </c>
      <c r="W19" s="255">
        <f>$J19*SUMIF('KU-LGE Rating'!$R:$R,$D19,'KU-LGE Rating'!$F:$F)</f>
        <v>0</v>
      </c>
      <c r="X19" s="256">
        <f>$J19*SUMIF('KU-LGE Rating'!$R:$R,$D19,'KU-LGE Rating'!$G:$G)</f>
        <v>1188488.8799999999</v>
      </c>
      <c r="Y19" s="257">
        <f t="shared" si="5"/>
        <v>1188488.8799999999</v>
      </c>
      <c r="Z19" s="255">
        <f>$K19*SUMIF('KU-LGE Rating'!$R:$R,$D19,'KU-LGE Rating'!$F:$F)</f>
        <v>0</v>
      </c>
      <c r="AA19" s="256">
        <f>$K19*SUMIF('KU-LGE Rating'!$R:$R,$D19,'KU-LGE Rating'!$G:$G)</f>
        <v>190270.7</v>
      </c>
      <c r="AB19" s="257">
        <f t="shared" si="6"/>
        <v>190270.7</v>
      </c>
    </row>
    <row r="20" spans="1:28">
      <c r="A20" s="1" t="s">
        <v>2756</v>
      </c>
      <c r="B20" t="s">
        <v>3</v>
      </c>
      <c r="C20" t="s">
        <v>3723</v>
      </c>
      <c r="D20" t="s">
        <v>3652</v>
      </c>
      <c r="E20">
        <v>513100</v>
      </c>
      <c r="F20" t="s">
        <v>3893</v>
      </c>
      <c r="G20" s="288">
        <v>80788.47</v>
      </c>
      <c r="H20" s="288">
        <v>3451714.39</v>
      </c>
      <c r="I20" s="288">
        <v>911.6</v>
      </c>
      <c r="J20" s="288">
        <v>301484.96000000002</v>
      </c>
      <c r="K20" s="288">
        <v>168768.87</v>
      </c>
      <c r="L20" s="243">
        <f t="shared" si="0"/>
        <v>3922879.8200000003</v>
      </c>
      <c r="M20" s="243" t="str">
        <f t="shared" si="1"/>
        <v>513</v>
      </c>
      <c r="N20" s="255">
        <f>$G20*SUMIF('KU-LGE Rating'!$R:$R,$D20,'KU-LGE Rating'!F:F)</f>
        <v>0</v>
      </c>
      <c r="O20" s="256">
        <f>$G20*SUMIF('KU-LGE Rating'!$R:$R,$D20,'KU-LGE Rating'!G:G)</f>
        <v>80788.47</v>
      </c>
      <c r="P20" s="257">
        <f t="shared" si="2"/>
        <v>80788.47</v>
      </c>
      <c r="Q20" s="255">
        <f>$H20*SUMIF('KU-LGE Rating'!$R:$R,$D20,'KU-LGE Rating'!$F:$F)</f>
        <v>0</v>
      </c>
      <c r="R20" s="256">
        <f>$H20*SUMIF('KU-LGE Rating'!$R:$R,$D20,'KU-LGE Rating'!$G:$G)</f>
        <v>3451714.39</v>
      </c>
      <c r="S20" s="257">
        <f t="shared" si="3"/>
        <v>3451714.39</v>
      </c>
      <c r="T20" s="255">
        <f>$I20*SUMIF('KU-LGE Rating'!$R:$R,$D20,'KU-LGE Rating'!$F:$F)</f>
        <v>0</v>
      </c>
      <c r="U20" s="256">
        <f>$I20*SUMIF('KU-LGE Rating'!$R:$R,$D20,'KU-LGE Rating'!$G:$G)</f>
        <v>911.6</v>
      </c>
      <c r="V20" s="257">
        <f t="shared" si="4"/>
        <v>911.6</v>
      </c>
      <c r="W20" s="255">
        <f>$J20*SUMIF('KU-LGE Rating'!$R:$R,$D20,'KU-LGE Rating'!$F:$F)</f>
        <v>0</v>
      </c>
      <c r="X20" s="256">
        <f>$J20*SUMIF('KU-LGE Rating'!$R:$R,$D20,'KU-LGE Rating'!$G:$G)</f>
        <v>301484.96000000002</v>
      </c>
      <c r="Y20" s="257">
        <f t="shared" si="5"/>
        <v>301484.96000000002</v>
      </c>
      <c r="Z20" s="255">
        <f>$K20*SUMIF('KU-LGE Rating'!$R:$R,$D20,'KU-LGE Rating'!$F:$F)</f>
        <v>0</v>
      </c>
      <c r="AA20" s="256">
        <f>$K20*SUMIF('KU-LGE Rating'!$R:$R,$D20,'KU-LGE Rating'!$G:$G)</f>
        <v>168768.87</v>
      </c>
      <c r="AB20" s="257">
        <f t="shared" si="6"/>
        <v>168768.87</v>
      </c>
    </row>
    <row r="21" spans="1:28">
      <c r="A21" s="1" t="s">
        <v>2756</v>
      </c>
      <c r="B21" t="s">
        <v>3</v>
      </c>
      <c r="C21" t="s">
        <v>3723</v>
      </c>
      <c r="D21" t="s">
        <v>3654</v>
      </c>
      <c r="E21">
        <v>511100</v>
      </c>
      <c r="F21" t="s">
        <v>3893</v>
      </c>
      <c r="G21" s="288">
        <v>0</v>
      </c>
      <c r="H21" s="288">
        <v>0</v>
      </c>
      <c r="I21" s="288">
        <v>0</v>
      </c>
      <c r="J21" s="288">
        <v>0</v>
      </c>
      <c r="K21" s="288">
        <v>10986.6</v>
      </c>
      <c r="L21" s="243">
        <f t="shared" si="0"/>
        <v>10986.6</v>
      </c>
      <c r="M21" s="243" t="str">
        <f t="shared" si="1"/>
        <v>511</v>
      </c>
      <c r="N21" s="255">
        <f>$G21*SUMIF('KU-LGE Rating'!$R:$R,$D21,'KU-LGE Rating'!F:F)</f>
        <v>0</v>
      </c>
      <c r="O21" s="256">
        <f>$G21*SUMIF('KU-LGE Rating'!$R:$R,$D21,'KU-LGE Rating'!G:G)</f>
        <v>0</v>
      </c>
      <c r="P21" s="257">
        <f t="shared" si="2"/>
        <v>0</v>
      </c>
      <c r="Q21" s="255">
        <f>$H21*SUMIF('KU-LGE Rating'!$R:$R,$D21,'KU-LGE Rating'!$F:$F)</f>
        <v>0</v>
      </c>
      <c r="R21" s="256">
        <f>$H21*SUMIF('KU-LGE Rating'!$R:$R,$D21,'KU-LGE Rating'!$G:$G)</f>
        <v>0</v>
      </c>
      <c r="S21" s="257">
        <f t="shared" si="3"/>
        <v>0</v>
      </c>
      <c r="T21" s="255">
        <f>$I21*SUMIF('KU-LGE Rating'!$R:$R,$D21,'KU-LGE Rating'!$F:$F)</f>
        <v>0</v>
      </c>
      <c r="U21" s="256">
        <f>$I21*SUMIF('KU-LGE Rating'!$R:$R,$D21,'KU-LGE Rating'!$G:$G)</f>
        <v>0</v>
      </c>
      <c r="V21" s="257">
        <f t="shared" si="4"/>
        <v>0</v>
      </c>
      <c r="W21" s="255">
        <f>$J21*SUMIF('KU-LGE Rating'!$R:$R,$D21,'KU-LGE Rating'!$F:$F)</f>
        <v>0</v>
      </c>
      <c r="X21" s="256">
        <f>$J21*SUMIF('KU-LGE Rating'!$R:$R,$D21,'KU-LGE Rating'!$G:$G)</f>
        <v>0</v>
      </c>
      <c r="Y21" s="257">
        <f t="shared" si="5"/>
        <v>0</v>
      </c>
      <c r="Z21" s="255">
        <f>$K21*SUMIF('KU-LGE Rating'!$R:$R,$D21,'KU-LGE Rating'!$F:$F)</f>
        <v>0</v>
      </c>
      <c r="AA21" s="256">
        <f>$K21*SUMIF('KU-LGE Rating'!$R:$R,$D21,'KU-LGE Rating'!$G:$G)</f>
        <v>10986.6</v>
      </c>
      <c r="AB21" s="257">
        <f t="shared" si="6"/>
        <v>10986.6</v>
      </c>
    </row>
    <row r="22" spans="1:28">
      <c r="A22" s="1" t="s">
        <v>2756</v>
      </c>
      <c r="B22" t="s">
        <v>3</v>
      </c>
      <c r="C22" t="s">
        <v>3723</v>
      </c>
      <c r="D22" t="s">
        <v>3654</v>
      </c>
      <c r="E22">
        <v>512005</v>
      </c>
      <c r="F22" t="s">
        <v>3893</v>
      </c>
      <c r="G22" s="288">
        <v>79589.08</v>
      </c>
      <c r="H22" s="288">
        <v>188519.72</v>
      </c>
      <c r="I22" s="288">
        <v>97170.92</v>
      </c>
      <c r="J22" s="288">
        <v>2995.23</v>
      </c>
      <c r="K22" s="288">
        <v>166809.56</v>
      </c>
      <c r="L22" s="243">
        <f t="shared" si="0"/>
        <v>455495.43</v>
      </c>
      <c r="M22" s="243" t="str">
        <f t="shared" si="1"/>
        <v>512</v>
      </c>
      <c r="N22" s="255">
        <f>$G22*SUMIF('KU-LGE Rating'!$R:$R,$D22,'KU-LGE Rating'!F:F)</f>
        <v>0</v>
      </c>
      <c r="O22" s="256">
        <f>$G22*SUMIF('KU-LGE Rating'!$R:$R,$D22,'KU-LGE Rating'!G:G)</f>
        <v>79589.08</v>
      </c>
      <c r="P22" s="257">
        <f t="shared" si="2"/>
        <v>79589.08</v>
      </c>
      <c r="Q22" s="255">
        <f>$H22*SUMIF('KU-LGE Rating'!$R:$R,$D22,'KU-LGE Rating'!$F:$F)</f>
        <v>0</v>
      </c>
      <c r="R22" s="256">
        <f>$H22*SUMIF('KU-LGE Rating'!$R:$R,$D22,'KU-LGE Rating'!$G:$G)</f>
        <v>188519.72</v>
      </c>
      <c r="S22" s="257">
        <f t="shared" si="3"/>
        <v>188519.72</v>
      </c>
      <c r="T22" s="255">
        <f>$I22*SUMIF('KU-LGE Rating'!$R:$R,$D22,'KU-LGE Rating'!$F:$F)</f>
        <v>0</v>
      </c>
      <c r="U22" s="256">
        <f>$I22*SUMIF('KU-LGE Rating'!$R:$R,$D22,'KU-LGE Rating'!$G:$G)</f>
        <v>97170.92</v>
      </c>
      <c r="V22" s="257">
        <f t="shared" si="4"/>
        <v>97170.92</v>
      </c>
      <c r="W22" s="255">
        <f>$J22*SUMIF('KU-LGE Rating'!$R:$R,$D22,'KU-LGE Rating'!$F:$F)</f>
        <v>0</v>
      </c>
      <c r="X22" s="256">
        <f>$J22*SUMIF('KU-LGE Rating'!$R:$R,$D22,'KU-LGE Rating'!$G:$G)</f>
        <v>2995.23</v>
      </c>
      <c r="Y22" s="257">
        <f t="shared" si="5"/>
        <v>2995.23</v>
      </c>
      <c r="Z22" s="255">
        <f>$K22*SUMIF('KU-LGE Rating'!$R:$R,$D22,'KU-LGE Rating'!$F:$F)</f>
        <v>0</v>
      </c>
      <c r="AA22" s="256">
        <f>$K22*SUMIF('KU-LGE Rating'!$R:$R,$D22,'KU-LGE Rating'!$G:$G)</f>
        <v>166809.56</v>
      </c>
      <c r="AB22" s="257">
        <f t="shared" si="6"/>
        <v>166809.56</v>
      </c>
    </row>
    <row r="23" spans="1:28">
      <c r="A23" s="1" t="s">
        <v>2756</v>
      </c>
      <c r="B23" t="s">
        <v>3</v>
      </c>
      <c r="C23" t="s">
        <v>3723</v>
      </c>
      <c r="D23" t="s">
        <v>3654</v>
      </c>
      <c r="E23">
        <v>512100</v>
      </c>
      <c r="F23" t="s">
        <v>3893</v>
      </c>
      <c r="G23" s="288">
        <v>140037.69</v>
      </c>
      <c r="H23" s="288">
        <v>1447050.21</v>
      </c>
      <c r="I23" s="288">
        <v>483107.85</v>
      </c>
      <c r="J23" s="288">
        <v>65414.75</v>
      </c>
      <c r="K23" s="288">
        <v>2293496.16</v>
      </c>
      <c r="L23" s="243">
        <f t="shared" si="0"/>
        <v>4289068.9700000007</v>
      </c>
      <c r="M23" s="243" t="str">
        <f t="shared" si="1"/>
        <v>512</v>
      </c>
      <c r="N23" s="255">
        <f>$G23*SUMIF('KU-LGE Rating'!$R:$R,$D23,'KU-LGE Rating'!F:F)</f>
        <v>0</v>
      </c>
      <c r="O23" s="256">
        <f>$G23*SUMIF('KU-LGE Rating'!$R:$R,$D23,'KU-LGE Rating'!G:G)</f>
        <v>140037.69</v>
      </c>
      <c r="P23" s="257">
        <f t="shared" si="2"/>
        <v>140037.69</v>
      </c>
      <c r="Q23" s="255">
        <f>$H23*SUMIF('KU-LGE Rating'!$R:$R,$D23,'KU-LGE Rating'!$F:$F)</f>
        <v>0</v>
      </c>
      <c r="R23" s="256">
        <f>$H23*SUMIF('KU-LGE Rating'!$R:$R,$D23,'KU-LGE Rating'!$G:$G)</f>
        <v>1447050.21</v>
      </c>
      <c r="S23" s="257">
        <f t="shared" si="3"/>
        <v>1447050.21</v>
      </c>
      <c r="T23" s="255">
        <f>$I23*SUMIF('KU-LGE Rating'!$R:$R,$D23,'KU-LGE Rating'!$F:$F)</f>
        <v>0</v>
      </c>
      <c r="U23" s="256">
        <f>$I23*SUMIF('KU-LGE Rating'!$R:$R,$D23,'KU-LGE Rating'!$G:$G)</f>
        <v>483107.85</v>
      </c>
      <c r="V23" s="257">
        <f t="shared" si="4"/>
        <v>483107.85</v>
      </c>
      <c r="W23" s="255">
        <f>$J23*SUMIF('KU-LGE Rating'!$R:$R,$D23,'KU-LGE Rating'!$F:$F)</f>
        <v>0</v>
      </c>
      <c r="X23" s="256">
        <f>$J23*SUMIF('KU-LGE Rating'!$R:$R,$D23,'KU-LGE Rating'!$G:$G)</f>
        <v>65414.75</v>
      </c>
      <c r="Y23" s="257">
        <f t="shared" si="5"/>
        <v>65414.75</v>
      </c>
      <c r="Z23" s="255">
        <f>$K23*SUMIF('KU-LGE Rating'!$R:$R,$D23,'KU-LGE Rating'!$F:$F)</f>
        <v>0</v>
      </c>
      <c r="AA23" s="256">
        <f>$K23*SUMIF('KU-LGE Rating'!$R:$R,$D23,'KU-LGE Rating'!$G:$G)</f>
        <v>2293496.16</v>
      </c>
      <c r="AB23" s="257">
        <f t="shared" si="6"/>
        <v>2293496.16</v>
      </c>
    </row>
    <row r="24" spans="1:28">
      <c r="A24" s="1" t="s">
        <v>2756</v>
      </c>
      <c r="B24" t="s">
        <v>3</v>
      </c>
      <c r="C24" t="s">
        <v>3723</v>
      </c>
      <c r="D24" t="s">
        <v>3654</v>
      </c>
      <c r="E24">
        <v>513100</v>
      </c>
      <c r="F24" t="s">
        <v>3893</v>
      </c>
      <c r="G24" s="288">
        <v>3877.36</v>
      </c>
      <c r="H24" s="288">
        <v>163513.17000000001</v>
      </c>
      <c r="I24" s="288">
        <v>12119.94</v>
      </c>
      <c r="J24" s="288">
        <v>461.77</v>
      </c>
      <c r="K24" s="288">
        <v>2851244.19</v>
      </c>
      <c r="L24" s="243">
        <f t="shared" si="0"/>
        <v>3027339.07</v>
      </c>
      <c r="M24" s="243" t="str">
        <f t="shared" si="1"/>
        <v>513</v>
      </c>
      <c r="N24" s="255">
        <f>$G24*SUMIF('KU-LGE Rating'!$R:$R,$D24,'KU-LGE Rating'!F:F)</f>
        <v>0</v>
      </c>
      <c r="O24" s="256">
        <f>$G24*SUMIF('KU-LGE Rating'!$R:$R,$D24,'KU-LGE Rating'!G:G)</f>
        <v>3877.36</v>
      </c>
      <c r="P24" s="257">
        <f t="shared" si="2"/>
        <v>3877.36</v>
      </c>
      <c r="Q24" s="255">
        <f>$H24*SUMIF('KU-LGE Rating'!$R:$R,$D24,'KU-LGE Rating'!$F:$F)</f>
        <v>0</v>
      </c>
      <c r="R24" s="256">
        <f>$H24*SUMIF('KU-LGE Rating'!$R:$R,$D24,'KU-LGE Rating'!$G:$G)</f>
        <v>163513.17000000001</v>
      </c>
      <c r="S24" s="257">
        <f t="shared" si="3"/>
        <v>163513.17000000001</v>
      </c>
      <c r="T24" s="255">
        <f>$I24*SUMIF('KU-LGE Rating'!$R:$R,$D24,'KU-LGE Rating'!$F:$F)</f>
        <v>0</v>
      </c>
      <c r="U24" s="256">
        <f>$I24*SUMIF('KU-LGE Rating'!$R:$R,$D24,'KU-LGE Rating'!$G:$G)</f>
        <v>12119.94</v>
      </c>
      <c r="V24" s="257">
        <f t="shared" si="4"/>
        <v>12119.94</v>
      </c>
      <c r="W24" s="255">
        <f>$J24*SUMIF('KU-LGE Rating'!$R:$R,$D24,'KU-LGE Rating'!$F:$F)</f>
        <v>0</v>
      </c>
      <c r="X24" s="256">
        <f>$J24*SUMIF('KU-LGE Rating'!$R:$R,$D24,'KU-LGE Rating'!$G:$G)</f>
        <v>461.77</v>
      </c>
      <c r="Y24" s="257">
        <f t="shared" si="5"/>
        <v>461.77</v>
      </c>
      <c r="Z24" s="255">
        <f>$K24*SUMIF('KU-LGE Rating'!$R:$R,$D24,'KU-LGE Rating'!$F:$F)</f>
        <v>0</v>
      </c>
      <c r="AA24" s="256">
        <f>$K24*SUMIF('KU-LGE Rating'!$R:$R,$D24,'KU-LGE Rating'!$G:$G)</f>
        <v>2851244.19</v>
      </c>
      <c r="AB24" s="257">
        <f t="shared" si="6"/>
        <v>2851244.19</v>
      </c>
    </row>
    <row r="25" spans="1:28">
      <c r="A25" s="1" t="s">
        <v>2756</v>
      </c>
      <c r="B25" t="s">
        <v>3</v>
      </c>
      <c r="C25" t="s">
        <v>3723</v>
      </c>
      <c r="D25" t="s">
        <v>3654</v>
      </c>
      <c r="E25">
        <v>514100</v>
      </c>
      <c r="F25" t="s">
        <v>3893</v>
      </c>
      <c r="G25" s="288">
        <v>0</v>
      </c>
      <c r="H25" s="288">
        <v>30.47</v>
      </c>
      <c r="I25" s="288">
        <v>0</v>
      </c>
      <c r="J25" s="288">
        <v>0</v>
      </c>
      <c r="K25" s="288">
        <v>0</v>
      </c>
      <c r="L25" s="243">
        <f t="shared" si="0"/>
        <v>30.47</v>
      </c>
      <c r="M25" s="243" t="str">
        <f t="shared" si="1"/>
        <v>514</v>
      </c>
      <c r="N25" s="255">
        <f>$G25*SUMIF('KU-LGE Rating'!$R:$R,$D25,'KU-LGE Rating'!F:F)</f>
        <v>0</v>
      </c>
      <c r="O25" s="256">
        <f>$G25*SUMIF('KU-LGE Rating'!$R:$R,$D25,'KU-LGE Rating'!G:G)</f>
        <v>0</v>
      </c>
      <c r="P25" s="257">
        <f t="shared" si="2"/>
        <v>0</v>
      </c>
      <c r="Q25" s="255">
        <f>$H25*SUMIF('KU-LGE Rating'!$R:$R,$D25,'KU-LGE Rating'!$F:$F)</f>
        <v>0</v>
      </c>
      <c r="R25" s="256">
        <f>$H25*SUMIF('KU-LGE Rating'!$R:$R,$D25,'KU-LGE Rating'!$G:$G)</f>
        <v>30.47</v>
      </c>
      <c r="S25" s="257">
        <f t="shared" si="3"/>
        <v>30.47</v>
      </c>
      <c r="T25" s="255">
        <f>$I25*SUMIF('KU-LGE Rating'!$R:$R,$D25,'KU-LGE Rating'!$F:$F)</f>
        <v>0</v>
      </c>
      <c r="U25" s="256">
        <f>$I25*SUMIF('KU-LGE Rating'!$R:$R,$D25,'KU-LGE Rating'!$G:$G)</f>
        <v>0</v>
      </c>
      <c r="V25" s="257">
        <f t="shared" si="4"/>
        <v>0</v>
      </c>
      <c r="W25" s="255">
        <f>$J25*SUMIF('KU-LGE Rating'!$R:$R,$D25,'KU-LGE Rating'!$F:$F)</f>
        <v>0</v>
      </c>
      <c r="X25" s="256">
        <f>$J25*SUMIF('KU-LGE Rating'!$R:$R,$D25,'KU-LGE Rating'!$G:$G)</f>
        <v>0</v>
      </c>
      <c r="Y25" s="257">
        <f t="shared" si="5"/>
        <v>0</v>
      </c>
      <c r="Z25" s="255">
        <f>$K25*SUMIF('KU-LGE Rating'!$R:$R,$D25,'KU-LGE Rating'!$F:$F)</f>
        <v>0</v>
      </c>
      <c r="AA25" s="256">
        <f>$K25*SUMIF('KU-LGE Rating'!$R:$R,$D25,'KU-LGE Rating'!$G:$G)</f>
        <v>0</v>
      </c>
      <c r="AB25" s="257">
        <f t="shared" si="6"/>
        <v>0</v>
      </c>
    </row>
    <row r="26" spans="1:28">
      <c r="A26" s="1" t="s">
        <v>2756</v>
      </c>
      <c r="B26" t="s">
        <v>3</v>
      </c>
      <c r="C26" t="s">
        <v>3723</v>
      </c>
      <c r="D26" t="s">
        <v>3655</v>
      </c>
      <c r="E26">
        <v>512005</v>
      </c>
      <c r="F26" t="s">
        <v>3893</v>
      </c>
      <c r="G26" s="288">
        <v>209398.73</v>
      </c>
      <c r="H26" s="288">
        <v>91281.52</v>
      </c>
      <c r="I26" s="288">
        <v>921.94</v>
      </c>
      <c r="J26" s="288">
        <v>199674.3</v>
      </c>
      <c r="K26" s="288">
        <v>0</v>
      </c>
      <c r="L26" s="243">
        <f t="shared" si="0"/>
        <v>291877.76000000001</v>
      </c>
      <c r="M26" s="243" t="str">
        <f t="shared" si="1"/>
        <v>512</v>
      </c>
      <c r="N26" s="255">
        <f>$G26*SUMIF('KU-LGE Rating'!$R:$R,$D26,'KU-LGE Rating'!F:F)</f>
        <v>0</v>
      </c>
      <c r="O26" s="256">
        <f>$G26*SUMIF('KU-LGE Rating'!$R:$R,$D26,'KU-LGE Rating'!G:G)</f>
        <v>209398.73</v>
      </c>
      <c r="P26" s="257">
        <f t="shared" si="2"/>
        <v>209398.73</v>
      </c>
      <c r="Q26" s="255">
        <f>$H26*SUMIF('KU-LGE Rating'!$R:$R,$D26,'KU-LGE Rating'!$F:$F)</f>
        <v>0</v>
      </c>
      <c r="R26" s="256">
        <f>$H26*SUMIF('KU-LGE Rating'!$R:$R,$D26,'KU-LGE Rating'!$G:$G)</f>
        <v>91281.52</v>
      </c>
      <c r="S26" s="257">
        <f t="shared" si="3"/>
        <v>91281.52</v>
      </c>
      <c r="T26" s="255">
        <f>$I26*SUMIF('KU-LGE Rating'!$R:$R,$D26,'KU-LGE Rating'!$F:$F)</f>
        <v>0</v>
      </c>
      <c r="U26" s="256">
        <f>$I26*SUMIF('KU-LGE Rating'!$R:$R,$D26,'KU-LGE Rating'!$G:$G)</f>
        <v>921.94</v>
      </c>
      <c r="V26" s="257">
        <f t="shared" si="4"/>
        <v>921.94</v>
      </c>
      <c r="W26" s="255">
        <f>$J26*SUMIF('KU-LGE Rating'!$R:$R,$D26,'KU-LGE Rating'!$F:$F)</f>
        <v>0</v>
      </c>
      <c r="X26" s="256">
        <f>$J26*SUMIF('KU-LGE Rating'!$R:$R,$D26,'KU-LGE Rating'!$G:$G)</f>
        <v>199674.3</v>
      </c>
      <c r="Y26" s="257">
        <f t="shared" si="5"/>
        <v>199674.3</v>
      </c>
      <c r="Z26" s="255">
        <f>$K26*SUMIF('KU-LGE Rating'!$R:$R,$D26,'KU-LGE Rating'!$F:$F)</f>
        <v>0</v>
      </c>
      <c r="AA26" s="256">
        <f>$K26*SUMIF('KU-LGE Rating'!$R:$R,$D26,'KU-LGE Rating'!$G:$G)</f>
        <v>0</v>
      </c>
      <c r="AB26" s="257">
        <f t="shared" si="6"/>
        <v>0</v>
      </c>
    </row>
    <row r="27" spans="1:28">
      <c r="A27" s="1" t="s">
        <v>2756</v>
      </c>
      <c r="B27" t="s">
        <v>3</v>
      </c>
      <c r="C27" t="s">
        <v>3723</v>
      </c>
      <c r="D27" t="s">
        <v>3655</v>
      </c>
      <c r="E27">
        <v>512100</v>
      </c>
      <c r="F27" t="s">
        <v>3893</v>
      </c>
      <c r="G27" s="288">
        <v>1630747.63</v>
      </c>
      <c r="H27" s="288">
        <v>368798.45</v>
      </c>
      <c r="I27" s="288">
        <v>13838.54</v>
      </c>
      <c r="J27" s="288">
        <v>2399689.41</v>
      </c>
      <c r="K27" s="288">
        <v>1687.44</v>
      </c>
      <c r="L27" s="243">
        <f t="shared" si="0"/>
        <v>2784013.8400000003</v>
      </c>
      <c r="M27" s="243" t="str">
        <f t="shared" si="1"/>
        <v>512</v>
      </c>
      <c r="N27" s="255">
        <f>$G27*SUMIF('KU-LGE Rating'!$R:$R,$D27,'KU-LGE Rating'!F:F)</f>
        <v>0</v>
      </c>
      <c r="O27" s="256">
        <f>$G27*SUMIF('KU-LGE Rating'!$R:$R,$D27,'KU-LGE Rating'!G:G)</f>
        <v>1630747.63</v>
      </c>
      <c r="P27" s="257">
        <f t="shared" si="2"/>
        <v>1630747.63</v>
      </c>
      <c r="Q27" s="255">
        <f>$H27*SUMIF('KU-LGE Rating'!$R:$R,$D27,'KU-LGE Rating'!$F:$F)</f>
        <v>0</v>
      </c>
      <c r="R27" s="256">
        <f>$H27*SUMIF('KU-LGE Rating'!$R:$R,$D27,'KU-LGE Rating'!$G:$G)</f>
        <v>368798.45</v>
      </c>
      <c r="S27" s="257">
        <f t="shared" si="3"/>
        <v>368798.45</v>
      </c>
      <c r="T27" s="255">
        <f>$I27*SUMIF('KU-LGE Rating'!$R:$R,$D27,'KU-LGE Rating'!$F:$F)</f>
        <v>0</v>
      </c>
      <c r="U27" s="256">
        <f>$I27*SUMIF('KU-LGE Rating'!$R:$R,$D27,'KU-LGE Rating'!$G:$G)</f>
        <v>13838.54</v>
      </c>
      <c r="V27" s="257">
        <f t="shared" si="4"/>
        <v>13838.54</v>
      </c>
      <c r="W27" s="255">
        <f>$J27*SUMIF('KU-LGE Rating'!$R:$R,$D27,'KU-LGE Rating'!$F:$F)</f>
        <v>0</v>
      </c>
      <c r="X27" s="256">
        <f>$J27*SUMIF('KU-LGE Rating'!$R:$R,$D27,'KU-LGE Rating'!$G:$G)</f>
        <v>2399689.41</v>
      </c>
      <c r="Y27" s="257">
        <f t="shared" si="5"/>
        <v>2399689.41</v>
      </c>
      <c r="Z27" s="255">
        <f>$K27*SUMIF('KU-LGE Rating'!$R:$R,$D27,'KU-LGE Rating'!$F:$F)</f>
        <v>0</v>
      </c>
      <c r="AA27" s="256">
        <f>$K27*SUMIF('KU-LGE Rating'!$R:$R,$D27,'KU-LGE Rating'!$G:$G)</f>
        <v>1687.44</v>
      </c>
      <c r="AB27" s="257">
        <f t="shared" si="6"/>
        <v>1687.44</v>
      </c>
    </row>
    <row r="28" spans="1:28">
      <c r="A28" s="1" t="s">
        <v>2756</v>
      </c>
      <c r="B28" t="s">
        <v>3</v>
      </c>
      <c r="C28" t="s">
        <v>3723</v>
      </c>
      <c r="D28" t="s">
        <v>3655</v>
      </c>
      <c r="E28">
        <v>513100</v>
      </c>
      <c r="F28" t="s">
        <v>3893</v>
      </c>
      <c r="G28" s="288">
        <v>487987.9</v>
      </c>
      <c r="H28" s="288">
        <v>34790.33</v>
      </c>
      <c r="I28" s="288">
        <v>7156.03</v>
      </c>
      <c r="J28" s="288">
        <v>2891146.57</v>
      </c>
      <c r="K28" s="288">
        <v>0</v>
      </c>
      <c r="L28" s="243">
        <f t="shared" si="0"/>
        <v>2933092.9299999997</v>
      </c>
      <c r="M28" s="243" t="str">
        <f t="shared" si="1"/>
        <v>513</v>
      </c>
      <c r="N28" s="255">
        <f>$G28*SUMIF('KU-LGE Rating'!$R:$R,$D28,'KU-LGE Rating'!F:F)</f>
        <v>0</v>
      </c>
      <c r="O28" s="256">
        <f>$G28*SUMIF('KU-LGE Rating'!$R:$R,$D28,'KU-LGE Rating'!G:G)</f>
        <v>487987.9</v>
      </c>
      <c r="P28" s="257">
        <f t="shared" si="2"/>
        <v>487987.9</v>
      </c>
      <c r="Q28" s="255">
        <f>$H28*SUMIF('KU-LGE Rating'!$R:$R,$D28,'KU-LGE Rating'!$F:$F)</f>
        <v>0</v>
      </c>
      <c r="R28" s="256">
        <f>$H28*SUMIF('KU-LGE Rating'!$R:$R,$D28,'KU-LGE Rating'!$G:$G)</f>
        <v>34790.33</v>
      </c>
      <c r="S28" s="257">
        <f t="shared" si="3"/>
        <v>34790.33</v>
      </c>
      <c r="T28" s="255">
        <f>$I28*SUMIF('KU-LGE Rating'!$R:$R,$D28,'KU-LGE Rating'!$F:$F)</f>
        <v>0</v>
      </c>
      <c r="U28" s="256">
        <f>$I28*SUMIF('KU-LGE Rating'!$R:$R,$D28,'KU-LGE Rating'!$G:$G)</f>
        <v>7156.03</v>
      </c>
      <c r="V28" s="257">
        <f t="shared" si="4"/>
        <v>7156.03</v>
      </c>
      <c r="W28" s="255">
        <f>$J28*SUMIF('KU-LGE Rating'!$R:$R,$D28,'KU-LGE Rating'!$F:$F)</f>
        <v>0</v>
      </c>
      <c r="X28" s="256">
        <f>$J28*SUMIF('KU-LGE Rating'!$R:$R,$D28,'KU-LGE Rating'!$G:$G)</f>
        <v>2891146.57</v>
      </c>
      <c r="Y28" s="257">
        <f t="shared" si="5"/>
        <v>2891146.57</v>
      </c>
      <c r="Z28" s="255">
        <f>$K28*SUMIF('KU-LGE Rating'!$R:$R,$D28,'KU-LGE Rating'!$F:$F)</f>
        <v>0</v>
      </c>
      <c r="AA28" s="256">
        <f>$K28*SUMIF('KU-LGE Rating'!$R:$R,$D28,'KU-LGE Rating'!$G:$G)</f>
        <v>0</v>
      </c>
      <c r="AB28" s="257">
        <f t="shared" si="6"/>
        <v>0</v>
      </c>
    </row>
    <row r="29" spans="1:28">
      <c r="A29" s="1" t="s">
        <v>2756</v>
      </c>
      <c r="B29" t="s">
        <v>3</v>
      </c>
      <c r="C29" t="s">
        <v>3723</v>
      </c>
      <c r="D29" t="s">
        <v>3655</v>
      </c>
      <c r="E29">
        <v>514100</v>
      </c>
      <c r="F29" t="s">
        <v>3893</v>
      </c>
      <c r="G29" s="288">
        <v>0</v>
      </c>
      <c r="H29" s="288">
        <v>141.75</v>
      </c>
      <c r="I29" s="288">
        <v>0</v>
      </c>
      <c r="J29" s="288">
        <v>0</v>
      </c>
      <c r="K29" s="288">
        <v>0</v>
      </c>
      <c r="L29" s="243">
        <f t="shared" si="0"/>
        <v>141.75</v>
      </c>
      <c r="M29" s="243" t="str">
        <f t="shared" si="1"/>
        <v>514</v>
      </c>
      <c r="N29" s="255">
        <f>$G29*SUMIF('KU-LGE Rating'!$R:$R,$D29,'KU-LGE Rating'!F:F)</f>
        <v>0</v>
      </c>
      <c r="O29" s="256">
        <f>$G29*SUMIF('KU-LGE Rating'!$R:$R,$D29,'KU-LGE Rating'!G:G)</f>
        <v>0</v>
      </c>
      <c r="P29" s="257">
        <f t="shared" si="2"/>
        <v>0</v>
      </c>
      <c r="Q29" s="255">
        <f>$H29*SUMIF('KU-LGE Rating'!$R:$R,$D29,'KU-LGE Rating'!$F:$F)</f>
        <v>0</v>
      </c>
      <c r="R29" s="256">
        <f>$H29*SUMIF('KU-LGE Rating'!$R:$R,$D29,'KU-LGE Rating'!$G:$G)</f>
        <v>141.75</v>
      </c>
      <c r="S29" s="257">
        <f t="shared" si="3"/>
        <v>141.75</v>
      </c>
      <c r="T29" s="255">
        <f>$I29*SUMIF('KU-LGE Rating'!$R:$R,$D29,'KU-LGE Rating'!$F:$F)</f>
        <v>0</v>
      </c>
      <c r="U29" s="256">
        <f>$I29*SUMIF('KU-LGE Rating'!$R:$R,$D29,'KU-LGE Rating'!$G:$G)</f>
        <v>0</v>
      </c>
      <c r="V29" s="257">
        <f t="shared" si="4"/>
        <v>0</v>
      </c>
      <c r="W29" s="255">
        <f>$J29*SUMIF('KU-LGE Rating'!$R:$R,$D29,'KU-LGE Rating'!$F:$F)</f>
        <v>0</v>
      </c>
      <c r="X29" s="256">
        <f>$J29*SUMIF('KU-LGE Rating'!$R:$R,$D29,'KU-LGE Rating'!$G:$G)</f>
        <v>0</v>
      </c>
      <c r="Y29" s="257">
        <f t="shared" si="5"/>
        <v>0</v>
      </c>
      <c r="Z29" s="255">
        <f>$K29*SUMIF('KU-LGE Rating'!$R:$R,$D29,'KU-LGE Rating'!$F:$F)</f>
        <v>0</v>
      </c>
      <c r="AA29" s="256">
        <f>$K29*SUMIF('KU-LGE Rating'!$R:$R,$D29,'KU-LGE Rating'!$G:$G)</f>
        <v>0</v>
      </c>
      <c r="AB29" s="257">
        <f t="shared" si="6"/>
        <v>0</v>
      </c>
    </row>
    <row r="30" spans="1:28">
      <c r="A30" s="1" t="s">
        <v>2756</v>
      </c>
      <c r="B30" t="s">
        <v>3</v>
      </c>
      <c r="C30" t="s">
        <v>3723</v>
      </c>
      <c r="D30" t="s">
        <v>3656</v>
      </c>
      <c r="E30">
        <v>500900</v>
      </c>
      <c r="F30" t="s">
        <v>3893</v>
      </c>
      <c r="G30" s="288">
        <v>10553.91</v>
      </c>
      <c r="H30" s="288">
        <v>0</v>
      </c>
      <c r="I30" s="288">
        <v>0</v>
      </c>
      <c r="J30" s="288">
        <v>0</v>
      </c>
      <c r="K30" s="288">
        <v>0</v>
      </c>
      <c r="L30" s="243">
        <f t="shared" si="0"/>
        <v>0</v>
      </c>
      <c r="M30" s="243" t="str">
        <f t="shared" si="1"/>
        <v>500</v>
      </c>
      <c r="N30" s="255">
        <f>$G30*SUMIF('KU-LGE Rating'!$R:$R,$D30,'KU-LGE Rating'!F:F)</f>
        <v>0</v>
      </c>
      <c r="O30" s="256">
        <f>$G30*SUMIF('KU-LGE Rating'!$R:$R,$D30,'KU-LGE Rating'!G:G)</f>
        <v>10553.91</v>
      </c>
      <c r="P30" s="257">
        <f t="shared" si="2"/>
        <v>10553.91</v>
      </c>
      <c r="Q30" s="255">
        <f>$H30*SUMIF('KU-LGE Rating'!$R:$R,$D30,'KU-LGE Rating'!$F:$F)</f>
        <v>0</v>
      </c>
      <c r="R30" s="256">
        <f>$H30*SUMIF('KU-LGE Rating'!$R:$R,$D30,'KU-LGE Rating'!$G:$G)</f>
        <v>0</v>
      </c>
      <c r="S30" s="257">
        <f t="shared" si="3"/>
        <v>0</v>
      </c>
      <c r="T30" s="255">
        <f>$I30*SUMIF('KU-LGE Rating'!$R:$R,$D30,'KU-LGE Rating'!$F:$F)</f>
        <v>0</v>
      </c>
      <c r="U30" s="256">
        <f>$I30*SUMIF('KU-LGE Rating'!$R:$R,$D30,'KU-LGE Rating'!$G:$G)</f>
        <v>0</v>
      </c>
      <c r="V30" s="257">
        <f t="shared" si="4"/>
        <v>0</v>
      </c>
      <c r="W30" s="255">
        <f>$J30*SUMIF('KU-LGE Rating'!$R:$R,$D30,'KU-LGE Rating'!$F:$F)</f>
        <v>0</v>
      </c>
      <c r="X30" s="256">
        <f>$J30*SUMIF('KU-LGE Rating'!$R:$R,$D30,'KU-LGE Rating'!$G:$G)</f>
        <v>0</v>
      </c>
      <c r="Y30" s="257">
        <f t="shared" si="5"/>
        <v>0</v>
      </c>
      <c r="Z30" s="255">
        <f>$K30*SUMIF('KU-LGE Rating'!$R:$R,$D30,'KU-LGE Rating'!$F:$F)</f>
        <v>0</v>
      </c>
      <c r="AA30" s="256">
        <f>$K30*SUMIF('KU-LGE Rating'!$R:$R,$D30,'KU-LGE Rating'!$G:$G)</f>
        <v>0</v>
      </c>
      <c r="AB30" s="257">
        <f t="shared" si="6"/>
        <v>0</v>
      </c>
    </row>
    <row r="31" spans="1:28">
      <c r="A31" s="1" t="s">
        <v>2756</v>
      </c>
      <c r="B31" t="s">
        <v>3</v>
      </c>
      <c r="C31" t="s">
        <v>3723</v>
      </c>
      <c r="D31" t="s">
        <v>3656</v>
      </c>
      <c r="E31">
        <v>510100</v>
      </c>
      <c r="F31" t="s">
        <v>3893</v>
      </c>
      <c r="G31" s="288">
        <v>33862.58</v>
      </c>
      <c r="H31" s="288">
        <v>0</v>
      </c>
      <c r="I31" s="288">
        <v>0</v>
      </c>
      <c r="J31" s="288">
        <v>0</v>
      </c>
      <c r="K31" s="288">
        <v>0</v>
      </c>
      <c r="L31" s="243">
        <f t="shared" si="0"/>
        <v>0</v>
      </c>
      <c r="M31" s="243" t="str">
        <f t="shared" si="1"/>
        <v>510</v>
      </c>
      <c r="N31" s="255">
        <f>$G31*SUMIF('KU-LGE Rating'!$R:$R,$D31,'KU-LGE Rating'!F:F)</f>
        <v>0</v>
      </c>
      <c r="O31" s="256">
        <f>$G31*SUMIF('KU-LGE Rating'!$R:$R,$D31,'KU-LGE Rating'!G:G)</f>
        <v>33862.58</v>
      </c>
      <c r="P31" s="257">
        <f t="shared" si="2"/>
        <v>33862.58</v>
      </c>
      <c r="Q31" s="255">
        <f>$H31*SUMIF('KU-LGE Rating'!$R:$R,$D31,'KU-LGE Rating'!$F:$F)</f>
        <v>0</v>
      </c>
      <c r="R31" s="256">
        <f>$H31*SUMIF('KU-LGE Rating'!$R:$R,$D31,'KU-LGE Rating'!$G:$G)</f>
        <v>0</v>
      </c>
      <c r="S31" s="257">
        <f t="shared" si="3"/>
        <v>0</v>
      </c>
      <c r="T31" s="255">
        <f>$I31*SUMIF('KU-LGE Rating'!$R:$R,$D31,'KU-LGE Rating'!$F:$F)</f>
        <v>0</v>
      </c>
      <c r="U31" s="256">
        <f>$I31*SUMIF('KU-LGE Rating'!$R:$R,$D31,'KU-LGE Rating'!$G:$G)</f>
        <v>0</v>
      </c>
      <c r="V31" s="257">
        <f t="shared" si="4"/>
        <v>0</v>
      </c>
      <c r="W31" s="255">
        <f>$J31*SUMIF('KU-LGE Rating'!$R:$R,$D31,'KU-LGE Rating'!$F:$F)</f>
        <v>0</v>
      </c>
      <c r="X31" s="256">
        <f>$J31*SUMIF('KU-LGE Rating'!$R:$R,$D31,'KU-LGE Rating'!$G:$G)</f>
        <v>0</v>
      </c>
      <c r="Y31" s="257">
        <f t="shared" si="5"/>
        <v>0</v>
      </c>
      <c r="Z31" s="255">
        <f>$K31*SUMIF('KU-LGE Rating'!$R:$R,$D31,'KU-LGE Rating'!$F:$F)</f>
        <v>0</v>
      </c>
      <c r="AA31" s="256">
        <f>$K31*SUMIF('KU-LGE Rating'!$R:$R,$D31,'KU-LGE Rating'!$G:$G)</f>
        <v>0</v>
      </c>
      <c r="AB31" s="257">
        <f t="shared" si="6"/>
        <v>0</v>
      </c>
    </row>
    <row r="32" spans="1:28">
      <c r="A32" s="1" t="s">
        <v>2756</v>
      </c>
      <c r="B32" t="s">
        <v>3</v>
      </c>
      <c r="C32" t="s">
        <v>3723</v>
      </c>
      <c r="D32" t="s">
        <v>3656</v>
      </c>
      <c r="E32">
        <v>512005</v>
      </c>
      <c r="F32" t="s">
        <v>3893</v>
      </c>
      <c r="G32" s="288">
        <v>222648.23</v>
      </c>
      <c r="H32" s="288">
        <v>127271.53</v>
      </c>
      <c r="I32" s="288">
        <v>267921.15000000002</v>
      </c>
      <c r="J32" s="288">
        <v>87402.77</v>
      </c>
      <c r="K32" s="288">
        <v>309327.38</v>
      </c>
      <c r="L32" s="243">
        <f t="shared" si="0"/>
        <v>791922.83000000007</v>
      </c>
      <c r="M32" s="243" t="str">
        <f t="shared" si="1"/>
        <v>512</v>
      </c>
      <c r="N32" s="255">
        <f>$G32*SUMIF('KU-LGE Rating'!$R:$R,$D32,'KU-LGE Rating'!F:F)</f>
        <v>0</v>
      </c>
      <c r="O32" s="256">
        <f>$G32*SUMIF('KU-LGE Rating'!$R:$R,$D32,'KU-LGE Rating'!G:G)</f>
        <v>222648.23</v>
      </c>
      <c r="P32" s="257">
        <f t="shared" si="2"/>
        <v>222648.23</v>
      </c>
      <c r="Q32" s="255">
        <f>$H32*SUMIF('KU-LGE Rating'!$R:$R,$D32,'KU-LGE Rating'!$F:$F)</f>
        <v>0</v>
      </c>
      <c r="R32" s="256">
        <f>$H32*SUMIF('KU-LGE Rating'!$R:$R,$D32,'KU-LGE Rating'!$G:$G)</f>
        <v>127271.53</v>
      </c>
      <c r="S32" s="257">
        <f t="shared" si="3"/>
        <v>127271.53</v>
      </c>
      <c r="T32" s="255">
        <f>$I32*SUMIF('KU-LGE Rating'!$R:$R,$D32,'KU-LGE Rating'!$F:$F)</f>
        <v>0</v>
      </c>
      <c r="U32" s="256">
        <f>$I32*SUMIF('KU-LGE Rating'!$R:$R,$D32,'KU-LGE Rating'!$G:$G)</f>
        <v>267921.15000000002</v>
      </c>
      <c r="V32" s="257">
        <f t="shared" si="4"/>
        <v>267921.15000000002</v>
      </c>
      <c r="W32" s="255">
        <f>$J32*SUMIF('KU-LGE Rating'!$R:$R,$D32,'KU-LGE Rating'!$F:$F)</f>
        <v>0</v>
      </c>
      <c r="X32" s="256">
        <f>$J32*SUMIF('KU-LGE Rating'!$R:$R,$D32,'KU-LGE Rating'!$G:$G)</f>
        <v>87402.77</v>
      </c>
      <c r="Y32" s="257">
        <f t="shared" si="5"/>
        <v>87402.77</v>
      </c>
      <c r="Z32" s="255">
        <f>$K32*SUMIF('KU-LGE Rating'!$R:$R,$D32,'KU-LGE Rating'!$F:$F)</f>
        <v>0</v>
      </c>
      <c r="AA32" s="256">
        <f>$K32*SUMIF('KU-LGE Rating'!$R:$R,$D32,'KU-LGE Rating'!$G:$G)</f>
        <v>309327.38</v>
      </c>
      <c r="AB32" s="257">
        <f t="shared" si="6"/>
        <v>309327.38</v>
      </c>
    </row>
    <row r="33" spans="1:28">
      <c r="A33" s="1" t="s">
        <v>2756</v>
      </c>
      <c r="B33" t="s">
        <v>3</v>
      </c>
      <c r="C33" t="s">
        <v>3723</v>
      </c>
      <c r="D33" t="s">
        <v>3656</v>
      </c>
      <c r="E33">
        <v>512100</v>
      </c>
      <c r="F33" t="s">
        <v>3893</v>
      </c>
      <c r="G33" s="288">
        <v>1298508.76</v>
      </c>
      <c r="H33" s="288">
        <v>306892.77</v>
      </c>
      <c r="I33" s="288">
        <v>2260443.5099999998</v>
      </c>
      <c r="J33" s="288">
        <v>134631.79</v>
      </c>
      <c r="K33" s="288">
        <v>2771582.5</v>
      </c>
      <c r="L33" s="243">
        <f t="shared" si="0"/>
        <v>5473550.5700000003</v>
      </c>
      <c r="M33" s="243" t="str">
        <f t="shared" si="1"/>
        <v>512</v>
      </c>
      <c r="N33" s="255">
        <f>$G33*SUMIF('KU-LGE Rating'!$R:$R,$D33,'KU-LGE Rating'!F:F)</f>
        <v>0</v>
      </c>
      <c r="O33" s="256">
        <f>$G33*SUMIF('KU-LGE Rating'!$R:$R,$D33,'KU-LGE Rating'!G:G)</f>
        <v>1298508.76</v>
      </c>
      <c r="P33" s="257">
        <f t="shared" si="2"/>
        <v>1298508.76</v>
      </c>
      <c r="Q33" s="255">
        <f>$H33*SUMIF('KU-LGE Rating'!$R:$R,$D33,'KU-LGE Rating'!$F:$F)</f>
        <v>0</v>
      </c>
      <c r="R33" s="256">
        <f>$H33*SUMIF('KU-LGE Rating'!$R:$R,$D33,'KU-LGE Rating'!$G:$G)</f>
        <v>306892.77</v>
      </c>
      <c r="S33" s="257">
        <f t="shared" si="3"/>
        <v>306892.77</v>
      </c>
      <c r="T33" s="255">
        <f>$I33*SUMIF('KU-LGE Rating'!$R:$R,$D33,'KU-LGE Rating'!$F:$F)</f>
        <v>0</v>
      </c>
      <c r="U33" s="256">
        <f>$I33*SUMIF('KU-LGE Rating'!$R:$R,$D33,'KU-LGE Rating'!$G:$G)</f>
        <v>2260443.5099999998</v>
      </c>
      <c r="V33" s="257">
        <f t="shared" si="4"/>
        <v>2260443.5099999998</v>
      </c>
      <c r="W33" s="255">
        <f>$J33*SUMIF('KU-LGE Rating'!$R:$R,$D33,'KU-LGE Rating'!$F:$F)</f>
        <v>0</v>
      </c>
      <c r="X33" s="256">
        <f>$J33*SUMIF('KU-LGE Rating'!$R:$R,$D33,'KU-LGE Rating'!$G:$G)</f>
        <v>134631.79</v>
      </c>
      <c r="Y33" s="257">
        <f t="shared" si="5"/>
        <v>134631.79</v>
      </c>
      <c r="Z33" s="255">
        <f>$K33*SUMIF('KU-LGE Rating'!$R:$R,$D33,'KU-LGE Rating'!$F:$F)</f>
        <v>0</v>
      </c>
      <c r="AA33" s="256">
        <f>$K33*SUMIF('KU-LGE Rating'!$R:$R,$D33,'KU-LGE Rating'!$G:$G)</f>
        <v>2771582.5</v>
      </c>
      <c r="AB33" s="257">
        <f t="shared" si="6"/>
        <v>2771582.5</v>
      </c>
    </row>
    <row r="34" spans="1:28">
      <c r="A34" s="1" t="s">
        <v>2756</v>
      </c>
      <c r="B34" t="s">
        <v>3</v>
      </c>
      <c r="C34" t="s">
        <v>3723</v>
      </c>
      <c r="D34" t="s">
        <v>3656</v>
      </c>
      <c r="E34">
        <v>512101</v>
      </c>
      <c r="F34" t="s">
        <v>3893</v>
      </c>
      <c r="G34" s="288">
        <v>560.47</v>
      </c>
      <c r="H34" s="288">
        <v>34567.75</v>
      </c>
      <c r="I34" s="288">
        <v>30111.93</v>
      </c>
      <c r="J34" s="288">
        <v>2504.5100000000002</v>
      </c>
      <c r="K34" s="288">
        <v>30762.74</v>
      </c>
      <c r="L34" s="243">
        <f t="shared" si="0"/>
        <v>97946.930000000008</v>
      </c>
      <c r="M34" s="243" t="str">
        <f t="shared" si="1"/>
        <v>512</v>
      </c>
      <c r="N34" s="255">
        <f>$G34*SUMIF('KU-LGE Rating'!$R:$R,$D34,'KU-LGE Rating'!F:F)</f>
        <v>0</v>
      </c>
      <c r="O34" s="256">
        <f>$G34*SUMIF('KU-LGE Rating'!$R:$R,$D34,'KU-LGE Rating'!G:G)</f>
        <v>560.47</v>
      </c>
      <c r="P34" s="257">
        <f t="shared" si="2"/>
        <v>560.47</v>
      </c>
      <c r="Q34" s="255">
        <f>$H34*SUMIF('KU-LGE Rating'!$R:$R,$D34,'KU-LGE Rating'!$F:$F)</f>
        <v>0</v>
      </c>
      <c r="R34" s="256">
        <f>$H34*SUMIF('KU-LGE Rating'!$R:$R,$D34,'KU-LGE Rating'!$G:$G)</f>
        <v>34567.75</v>
      </c>
      <c r="S34" s="257">
        <f t="shared" si="3"/>
        <v>34567.75</v>
      </c>
      <c r="T34" s="255">
        <f>$I34*SUMIF('KU-LGE Rating'!$R:$R,$D34,'KU-LGE Rating'!$F:$F)</f>
        <v>0</v>
      </c>
      <c r="U34" s="256">
        <f>$I34*SUMIF('KU-LGE Rating'!$R:$R,$D34,'KU-LGE Rating'!$G:$G)</f>
        <v>30111.93</v>
      </c>
      <c r="V34" s="257">
        <f t="shared" si="4"/>
        <v>30111.93</v>
      </c>
      <c r="W34" s="255">
        <f>$J34*SUMIF('KU-LGE Rating'!$R:$R,$D34,'KU-LGE Rating'!$F:$F)</f>
        <v>0</v>
      </c>
      <c r="X34" s="256">
        <f>$J34*SUMIF('KU-LGE Rating'!$R:$R,$D34,'KU-LGE Rating'!$G:$G)</f>
        <v>2504.5100000000002</v>
      </c>
      <c r="Y34" s="257">
        <f t="shared" si="5"/>
        <v>2504.5100000000002</v>
      </c>
      <c r="Z34" s="255">
        <f>$K34*SUMIF('KU-LGE Rating'!$R:$R,$D34,'KU-LGE Rating'!$F:$F)</f>
        <v>0</v>
      </c>
      <c r="AA34" s="256">
        <f>$K34*SUMIF('KU-LGE Rating'!$R:$R,$D34,'KU-LGE Rating'!$G:$G)</f>
        <v>30762.74</v>
      </c>
      <c r="AB34" s="257">
        <f t="shared" si="6"/>
        <v>30762.74</v>
      </c>
    </row>
    <row r="35" spans="1:28">
      <c r="A35" s="1" t="s">
        <v>2756</v>
      </c>
      <c r="B35" t="s">
        <v>3</v>
      </c>
      <c r="C35" t="s">
        <v>3723</v>
      </c>
      <c r="D35" t="s">
        <v>3656</v>
      </c>
      <c r="E35">
        <v>513100</v>
      </c>
      <c r="F35" t="s">
        <v>3893</v>
      </c>
      <c r="G35" s="288">
        <v>112657.46</v>
      </c>
      <c r="H35" s="288">
        <v>76585.56</v>
      </c>
      <c r="I35" s="288">
        <v>3059743.31</v>
      </c>
      <c r="J35" s="288">
        <v>147670.19</v>
      </c>
      <c r="K35" s="288">
        <v>474158.25</v>
      </c>
      <c r="L35" s="243">
        <f t="shared" si="0"/>
        <v>3758157.31</v>
      </c>
      <c r="M35" s="243" t="str">
        <f t="shared" si="1"/>
        <v>513</v>
      </c>
      <c r="N35" s="255">
        <f>$G35*SUMIF('KU-LGE Rating'!$R:$R,$D35,'KU-LGE Rating'!F:F)</f>
        <v>0</v>
      </c>
      <c r="O35" s="256">
        <f>$G35*SUMIF('KU-LGE Rating'!$R:$R,$D35,'KU-LGE Rating'!G:G)</f>
        <v>112657.46</v>
      </c>
      <c r="P35" s="257">
        <f t="shared" si="2"/>
        <v>112657.46</v>
      </c>
      <c r="Q35" s="255">
        <f>$H35*SUMIF('KU-LGE Rating'!$R:$R,$D35,'KU-LGE Rating'!$F:$F)</f>
        <v>0</v>
      </c>
      <c r="R35" s="256">
        <f>$H35*SUMIF('KU-LGE Rating'!$R:$R,$D35,'KU-LGE Rating'!$G:$G)</f>
        <v>76585.56</v>
      </c>
      <c r="S35" s="257">
        <f t="shared" si="3"/>
        <v>76585.56</v>
      </c>
      <c r="T35" s="255">
        <f>$I35*SUMIF('KU-LGE Rating'!$R:$R,$D35,'KU-LGE Rating'!$F:$F)</f>
        <v>0</v>
      </c>
      <c r="U35" s="256">
        <f>$I35*SUMIF('KU-LGE Rating'!$R:$R,$D35,'KU-LGE Rating'!$G:$G)</f>
        <v>3059743.31</v>
      </c>
      <c r="V35" s="257">
        <f t="shared" si="4"/>
        <v>3059743.31</v>
      </c>
      <c r="W35" s="255">
        <f>$J35*SUMIF('KU-LGE Rating'!$R:$R,$D35,'KU-LGE Rating'!$F:$F)</f>
        <v>0</v>
      </c>
      <c r="X35" s="256">
        <f>$J35*SUMIF('KU-LGE Rating'!$R:$R,$D35,'KU-LGE Rating'!$G:$G)</f>
        <v>147670.19</v>
      </c>
      <c r="Y35" s="257">
        <f t="shared" si="5"/>
        <v>147670.19</v>
      </c>
      <c r="Z35" s="255">
        <f>$K35*SUMIF('KU-LGE Rating'!$R:$R,$D35,'KU-LGE Rating'!$F:$F)</f>
        <v>0</v>
      </c>
      <c r="AA35" s="256">
        <f>$K35*SUMIF('KU-LGE Rating'!$R:$R,$D35,'KU-LGE Rating'!$G:$G)</f>
        <v>474158.25</v>
      </c>
      <c r="AB35" s="257">
        <f t="shared" si="6"/>
        <v>474158.25</v>
      </c>
    </row>
    <row r="36" spans="1:28">
      <c r="A36" s="1" t="s">
        <v>2756</v>
      </c>
      <c r="B36" t="s">
        <v>3</v>
      </c>
      <c r="C36" t="s">
        <v>3723</v>
      </c>
      <c r="D36" t="s">
        <v>3656</v>
      </c>
      <c r="E36">
        <v>514100</v>
      </c>
      <c r="F36" t="s">
        <v>3893</v>
      </c>
      <c r="G36" s="288">
        <v>0</v>
      </c>
      <c r="H36" s="288">
        <v>0</v>
      </c>
      <c r="I36" s="288">
        <v>0</v>
      </c>
      <c r="J36" s="288">
        <v>0</v>
      </c>
      <c r="K36" s="288">
        <v>123.94</v>
      </c>
      <c r="L36" s="243">
        <f t="shared" si="0"/>
        <v>123.94</v>
      </c>
      <c r="M36" s="243" t="str">
        <f t="shared" si="1"/>
        <v>514</v>
      </c>
      <c r="N36" s="255">
        <f>$G36*SUMIF('KU-LGE Rating'!$R:$R,$D36,'KU-LGE Rating'!F:F)</f>
        <v>0</v>
      </c>
      <c r="O36" s="256">
        <f>$G36*SUMIF('KU-LGE Rating'!$R:$R,$D36,'KU-LGE Rating'!G:G)</f>
        <v>0</v>
      </c>
      <c r="P36" s="257">
        <f t="shared" si="2"/>
        <v>0</v>
      </c>
      <c r="Q36" s="255">
        <f>$H36*SUMIF('KU-LGE Rating'!$R:$R,$D36,'KU-LGE Rating'!$F:$F)</f>
        <v>0</v>
      </c>
      <c r="R36" s="256">
        <f>$H36*SUMIF('KU-LGE Rating'!$R:$R,$D36,'KU-LGE Rating'!$G:$G)</f>
        <v>0</v>
      </c>
      <c r="S36" s="257">
        <f t="shared" si="3"/>
        <v>0</v>
      </c>
      <c r="T36" s="255">
        <f>$I36*SUMIF('KU-LGE Rating'!$R:$R,$D36,'KU-LGE Rating'!$F:$F)</f>
        <v>0</v>
      </c>
      <c r="U36" s="256">
        <f>$I36*SUMIF('KU-LGE Rating'!$R:$R,$D36,'KU-LGE Rating'!$G:$G)</f>
        <v>0</v>
      </c>
      <c r="V36" s="257">
        <f t="shared" si="4"/>
        <v>0</v>
      </c>
      <c r="W36" s="255">
        <f>$J36*SUMIF('KU-LGE Rating'!$R:$R,$D36,'KU-LGE Rating'!$F:$F)</f>
        <v>0</v>
      </c>
      <c r="X36" s="256">
        <f>$J36*SUMIF('KU-LGE Rating'!$R:$R,$D36,'KU-LGE Rating'!$G:$G)</f>
        <v>0</v>
      </c>
      <c r="Y36" s="257">
        <f t="shared" si="5"/>
        <v>0</v>
      </c>
      <c r="Z36" s="255">
        <f>$K36*SUMIF('KU-LGE Rating'!$R:$R,$D36,'KU-LGE Rating'!$F:$F)</f>
        <v>0</v>
      </c>
      <c r="AA36" s="256">
        <f>$K36*SUMIF('KU-LGE Rating'!$R:$R,$D36,'KU-LGE Rating'!$G:$G)</f>
        <v>123.94</v>
      </c>
      <c r="AB36" s="257">
        <f t="shared" si="6"/>
        <v>123.94</v>
      </c>
    </row>
    <row r="37" spans="1:28">
      <c r="A37" s="1" t="s">
        <v>2756</v>
      </c>
      <c r="B37" t="s">
        <v>3</v>
      </c>
      <c r="C37" t="s">
        <v>3723</v>
      </c>
      <c r="D37" t="s">
        <v>3657</v>
      </c>
      <c r="E37">
        <v>512005</v>
      </c>
      <c r="F37" t="s">
        <v>3893</v>
      </c>
      <c r="G37" s="288">
        <v>61273.16</v>
      </c>
      <c r="H37" s="288">
        <v>285444.77</v>
      </c>
      <c r="I37" s="288">
        <v>111689.58</v>
      </c>
      <c r="J37" s="288">
        <v>174506.37</v>
      </c>
      <c r="K37" s="288">
        <v>181377.47</v>
      </c>
      <c r="L37" s="243">
        <f t="shared" si="0"/>
        <v>753018.19</v>
      </c>
      <c r="M37" s="243" t="str">
        <f t="shared" si="1"/>
        <v>512</v>
      </c>
      <c r="N37" s="255">
        <f>$G37*SUMIF('KU-LGE Rating'!$R:$R,$D37,'KU-LGE Rating'!F:F)</f>
        <v>0</v>
      </c>
      <c r="O37" s="256">
        <f>$G37*SUMIF('KU-LGE Rating'!$R:$R,$D37,'KU-LGE Rating'!G:G)</f>
        <v>61273.16</v>
      </c>
      <c r="P37" s="257">
        <f t="shared" si="2"/>
        <v>61273.16</v>
      </c>
      <c r="Q37" s="255">
        <f>$H37*SUMIF('KU-LGE Rating'!$R:$R,$D37,'KU-LGE Rating'!$F:$F)</f>
        <v>0</v>
      </c>
      <c r="R37" s="256">
        <f>$H37*SUMIF('KU-LGE Rating'!$R:$R,$D37,'KU-LGE Rating'!$G:$G)</f>
        <v>285444.77</v>
      </c>
      <c r="S37" s="257">
        <f t="shared" si="3"/>
        <v>285444.77</v>
      </c>
      <c r="T37" s="255">
        <f>$I37*SUMIF('KU-LGE Rating'!$R:$R,$D37,'KU-LGE Rating'!$F:$F)</f>
        <v>0</v>
      </c>
      <c r="U37" s="256">
        <f>$I37*SUMIF('KU-LGE Rating'!$R:$R,$D37,'KU-LGE Rating'!$G:$G)</f>
        <v>111689.58</v>
      </c>
      <c r="V37" s="257">
        <f t="shared" si="4"/>
        <v>111689.58</v>
      </c>
      <c r="W37" s="255">
        <f>$J37*SUMIF('KU-LGE Rating'!$R:$R,$D37,'KU-LGE Rating'!$F:$F)</f>
        <v>0</v>
      </c>
      <c r="X37" s="256">
        <f>$J37*SUMIF('KU-LGE Rating'!$R:$R,$D37,'KU-LGE Rating'!$G:$G)</f>
        <v>174506.37</v>
      </c>
      <c r="Y37" s="257">
        <f t="shared" si="5"/>
        <v>174506.37</v>
      </c>
      <c r="Z37" s="255">
        <f>$K37*SUMIF('KU-LGE Rating'!$R:$R,$D37,'KU-LGE Rating'!$F:$F)</f>
        <v>0</v>
      </c>
      <c r="AA37" s="256">
        <f>$K37*SUMIF('KU-LGE Rating'!$R:$R,$D37,'KU-LGE Rating'!$G:$G)</f>
        <v>181377.47</v>
      </c>
      <c r="AB37" s="257">
        <f t="shared" si="6"/>
        <v>181377.47</v>
      </c>
    </row>
    <row r="38" spans="1:28">
      <c r="A38" s="1" t="s">
        <v>2756</v>
      </c>
      <c r="B38" t="s">
        <v>3</v>
      </c>
      <c r="C38" t="s">
        <v>3723</v>
      </c>
      <c r="D38" t="s">
        <v>3657</v>
      </c>
      <c r="E38">
        <v>512100</v>
      </c>
      <c r="F38" t="s">
        <v>3893</v>
      </c>
      <c r="G38" s="288">
        <v>123899.53</v>
      </c>
      <c r="H38" s="288">
        <v>1123106.46</v>
      </c>
      <c r="I38" s="288">
        <v>401150.53</v>
      </c>
      <c r="J38" s="288">
        <v>1761060.26</v>
      </c>
      <c r="K38" s="288">
        <v>943856.98</v>
      </c>
      <c r="L38" s="243">
        <f t="shared" si="0"/>
        <v>4229174.2300000004</v>
      </c>
      <c r="M38" s="243" t="str">
        <f t="shared" si="1"/>
        <v>512</v>
      </c>
      <c r="N38" s="255">
        <f>$G38*SUMIF('KU-LGE Rating'!$R:$R,$D38,'KU-LGE Rating'!F:F)</f>
        <v>0</v>
      </c>
      <c r="O38" s="256">
        <f>$G38*SUMIF('KU-LGE Rating'!$R:$R,$D38,'KU-LGE Rating'!G:G)</f>
        <v>123899.53</v>
      </c>
      <c r="P38" s="257">
        <f t="shared" si="2"/>
        <v>123899.53</v>
      </c>
      <c r="Q38" s="255">
        <f>$H38*SUMIF('KU-LGE Rating'!$R:$R,$D38,'KU-LGE Rating'!$F:$F)</f>
        <v>0</v>
      </c>
      <c r="R38" s="256">
        <f>$H38*SUMIF('KU-LGE Rating'!$R:$R,$D38,'KU-LGE Rating'!$G:$G)</f>
        <v>1123106.46</v>
      </c>
      <c r="S38" s="257">
        <f t="shared" si="3"/>
        <v>1123106.46</v>
      </c>
      <c r="T38" s="255">
        <f>$I38*SUMIF('KU-LGE Rating'!$R:$R,$D38,'KU-LGE Rating'!$F:$F)</f>
        <v>0</v>
      </c>
      <c r="U38" s="256">
        <f>$I38*SUMIF('KU-LGE Rating'!$R:$R,$D38,'KU-LGE Rating'!$G:$G)</f>
        <v>401150.53</v>
      </c>
      <c r="V38" s="257">
        <f t="shared" si="4"/>
        <v>401150.53</v>
      </c>
      <c r="W38" s="255">
        <f>$J38*SUMIF('KU-LGE Rating'!$R:$R,$D38,'KU-LGE Rating'!$F:$F)</f>
        <v>0</v>
      </c>
      <c r="X38" s="256">
        <f>$J38*SUMIF('KU-LGE Rating'!$R:$R,$D38,'KU-LGE Rating'!$G:$G)</f>
        <v>1761060.26</v>
      </c>
      <c r="Y38" s="257">
        <f t="shared" si="5"/>
        <v>1761060.26</v>
      </c>
      <c r="Z38" s="255">
        <f>$K38*SUMIF('KU-LGE Rating'!$R:$R,$D38,'KU-LGE Rating'!$F:$F)</f>
        <v>0</v>
      </c>
      <c r="AA38" s="256">
        <f>$K38*SUMIF('KU-LGE Rating'!$R:$R,$D38,'KU-LGE Rating'!$G:$G)</f>
        <v>943856.98</v>
      </c>
      <c r="AB38" s="257">
        <f t="shared" si="6"/>
        <v>943856.98</v>
      </c>
    </row>
    <row r="39" spans="1:28">
      <c r="A39" s="1" t="s">
        <v>2756</v>
      </c>
      <c r="B39" t="s">
        <v>3</v>
      </c>
      <c r="C39" t="s">
        <v>3723</v>
      </c>
      <c r="D39" t="s">
        <v>3657</v>
      </c>
      <c r="E39">
        <v>512101</v>
      </c>
      <c r="F39" t="s">
        <v>3893</v>
      </c>
      <c r="G39" s="288">
        <v>29072.2</v>
      </c>
      <c r="H39" s="288">
        <v>0</v>
      </c>
      <c r="I39" s="288">
        <v>59421.78</v>
      </c>
      <c r="J39" s="288">
        <v>177636.97</v>
      </c>
      <c r="K39" s="288">
        <v>20465.93</v>
      </c>
      <c r="L39" s="243">
        <f t="shared" si="0"/>
        <v>257524.68</v>
      </c>
      <c r="M39" s="243" t="str">
        <f t="shared" si="1"/>
        <v>512</v>
      </c>
      <c r="N39" s="255">
        <f>$G39*SUMIF('KU-LGE Rating'!$R:$R,$D39,'KU-LGE Rating'!F:F)</f>
        <v>0</v>
      </c>
      <c r="O39" s="256">
        <f>$G39*SUMIF('KU-LGE Rating'!$R:$R,$D39,'KU-LGE Rating'!G:G)</f>
        <v>29072.2</v>
      </c>
      <c r="P39" s="257">
        <f t="shared" si="2"/>
        <v>29072.2</v>
      </c>
      <c r="Q39" s="255">
        <f>$H39*SUMIF('KU-LGE Rating'!$R:$R,$D39,'KU-LGE Rating'!$F:$F)</f>
        <v>0</v>
      </c>
      <c r="R39" s="256">
        <f>$H39*SUMIF('KU-LGE Rating'!$R:$R,$D39,'KU-LGE Rating'!$G:$G)</f>
        <v>0</v>
      </c>
      <c r="S39" s="257">
        <f t="shared" si="3"/>
        <v>0</v>
      </c>
      <c r="T39" s="255">
        <f>$I39*SUMIF('KU-LGE Rating'!$R:$R,$D39,'KU-LGE Rating'!$F:$F)</f>
        <v>0</v>
      </c>
      <c r="U39" s="256">
        <f>$I39*SUMIF('KU-LGE Rating'!$R:$R,$D39,'KU-LGE Rating'!$G:$G)</f>
        <v>59421.78</v>
      </c>
      <c r="V39" s="257">
        <f t="shared" si="4"/>
        <v>59421.78</v>
      </c>
      <c r="W39" s="255">
        <f>$J39*SUMIF('KU-LGE Rating'!$R:$R,$D39,'KU-LGE Rating'!$F:$F)</f>
        <v>0</v>
      </c>
      <c r="X39" s="256">
        <f>$J39*SUMIF('KU-LGE Rating'!$R:$R,$D39,'KU-LGE Rating'!$G:$G)</f>
        <v>177636.97</v>
      </c>
      <c r="Y39" s="257">
        <f t="shared" si="5"/>
        <v>177636.97</v>
      </c>
      <c r="Z39" s="255">
        <f>$K39*SUMIF('KU-LGE Rating'!$R:$R,$D39,'KU-LGE Rating'!$F:$F)</f>
        <v>0</v>
      </c>
      <c r="AA39" s="256">
        <f>$K39*SUMIF('KU-LGE Rating'!$R:$R,$D39,'KU-LGE Rating'!$G:$G)</f>
        <v>20465.93</v>
      </c>
      <c r="AB39" s="257">
        <f t="shared" si="6"/>
        <v>20465.93</v>
      </c>
    </row>
    <row r="40" spans="1:28">
      <c r="A40" s="1" t="s">
        <v>2756</v>
      </c>
      <c r="B40" t="s">
        <v>3</v>
      </c>
      <c r="C40" t="s">
        <v>3723</v>
      </c>
      <c r="D40" t="s">
        <v>3657</v>
      </c>
      <c r="E40">
        <v>513100</v>
      </c>
      <c r="F40" t="s">
        <v>3893</v>
      </c>
      <c r="G40" s="288">
        <v>17782.75</v>
      </c>
      <c r="H40" s="288">
        <v>950997.03</v>
      </c>
      <c r="I40" s="288">
        <v>54063.73</v>
      </c>
      <c r="J40" s="288">
        <v>590259.63</v>
      </c>
      <c r="K40" s="288">
        <v>86440.59</v>
      </c>
      <c r="L40" s="243">
        <f t="shared" si="0"/>
        <v>1681760.9800000002</v>
      </c>
      <c r="M40" s="243" t="str">
        <f t="shared" si="1"/>
        <v>513</v>
      </c>
      <c r="N40" s="255">
        <f>$G40*SUMIF('KU-LGE Rating'!$R:$R,$D40,'KU-LGE Rating'!F:F)</f>
        <v>0</v>
      </c>
      <c r="O40" s="256">
        <f>$G40*SUMIF('KU-LGE Rating'!$R:$R,$D40,'KU-LGE Rating'!G:G)</f>
        <v>17782.75</v>
      </c>
      <c r="P40" s="257">
        <f t="shared" si="2"/>
        <v>17782.75</v>
      </c>
      <c r="Q40" s="255">
        <f>$H40*SUMIF('KU-LGE Rating'!$R:$R,$D40,'KU-LGE Rating'!$F:$F)</f>
        <v>0</v>
      </c>
      <c r="R40" s="256">
        <f>$H40*SUMIF('KU-LGE Rating'!$R:$R,$D40,'KU-LGE Rating'!$G:$G)</f>
        <v>950997.03</v>
      </c>
      <c r="S40" s="257">
        <f t="shared" si="3"/>
        <v>950997.03</v>
      </c>
      <c r="T40" s="255">
        <f>$I40*SUMIF('KU-LGE Rating'!$R:$R,$D40,'KU-LGE Rating'!$F:$F)</f>
        <v>0</v>
      </c>
      <c r="U40" s="256">
        <f>$I40*SUMIF('KU-LGE Rating'!$R:$R,$D40,'KU-LGE Rating'!$G:$G)</f>
        <v>54063.73</v>
      </c>
      <c r="V40" s="257">
        <f t="shared" si="4"/>
        <v>54063.73</v>
      </c>
      <c r="W40" s="255">
        <f>$J40*SUMIF('KU-LGE Rating'!$R:$R,$D40,'KU-LGE Rating'!$F:$F)</f>
        <v>0</v>
      </c>
      <c r="X40" s="256">
        <f>$J40*SUMIF('KU-LGE Rating'!$R:$R,$D40,'KU-LGE Rating'!$G:$G)</f>
        <v>590259.63</v>
      </c>
      <c r="Y40" s="257">
        <f t="shared" si="5"/>
        <v>590259.63</v>
      </c>
      <c r="Z40" s="255">
        <f>$K40*SUMIF('KU-LGE Rating'!$R:$R,$D40,'KU-LGE Rating'!$F:$F)</f>
        <v>0</v>
      </c>
      <c r="AA40" s="256">
        <f>$K40*SUMIF('KU-LGE Rating'!$R:$R,$D40,'KU-LGE Rating'!$G:$G)</f>
        <v>86440.59</v>
      </c>
      <c r="AB40" s="257">
        <f t="shared" si="6"/>
        <v>86440.59</v>
      </c>
    </row>
    <row r="41" spans="1:28">
      <c r="A41" s="1" t="s">
        <v>2756</v>
      </c>
      <c r="B41" t="s">
        <v>3</v>
      </c>
      <c r="C41" t="s">
        <v>3723</v>
      </c>
      <c r="D41" t="s">
        <v>3732</v>
      </c>
      <c r="E41">
        <v>553100</v>
      </c>
      <c r="F41" t="s">
        <v>3893</v>
      </c>
      <c r="G41" s="288">
        <v>0</v>
      </c>
      <c r="H41" s="288">
        <v>0</v>
      </c>
      <c r="I41" s="288">
        <v>0</v>
      </c>
      <c r="J41" s="288">
        <v>0</v>
      </c>
      <c r="K41" s="288">
        <v>21335.63</v>
      </c>
      <c r="L41" s="243">
        <f t="shared" si="0"/>
        <v>21335.63</v>
      </c>
      <c r="M41" s="243" t="str">
        <f t="shared" si="1"/>
        <v>553</v>
      </c>
      <c r="N41" s="255">
        <f>$G41*SUMIF('KU-LGE Rating'!$R:$R,$D41,'KU-LGE Rating'!F:F)</f>
        <v>0</v>
      </c>
      <c r="O41" s="256">
        <f>$G41*SUMIF('KU-LGE Rating'!$R:$R,$D41,'KU-LGE Rating'!G:G)</f>
        <v>0</v>
      </c>
      <c r="P41" s="257">
        <f t="shared" si="2"/>
        <v>0</v>
      </c>
      <c r="Q41" s="255">
        <f>$H41*SUMIF('KU-LGE Rating'!$R:$R,$D41,'KU-LGE Rating'!$F:$F)</f>
        <v>0</v>
      </c>
      <c r="R41" s="256">
        <f>$H41*SUMIF('KU-LGE Rating'!$R:$R,$D41,'KU-LGE Rating'!$G:$G)</f>
        <v>0</v>
      </c>
      <c r="S41" s="257">
        <f t="shared" si="3"/>
        <v>0</v>
      </c>
      <c r="T41" s="255">
        <f>$I41*SUMIF('KU-LGE Rating'!$R:$R,$D41,'KU-LGE Rating'!$F:$F)</f>
        <v>0</v>
      </c>
      <c r="U41" s="256">
        <f>$I41*SUMIF('KU-LGE Rating'!$R:$R,$D41,'KU-LGE Rating'!$G:$G)</f>
        <v>0</v>
      </c>
      <c r="V41" s="257">
        <f t="shared" si="4"/>
        <v>0</v>
      </c>
      <c r="W41" s="255">
        <f>$J41*SUMIF('KU-LGE Rating'!$R:$R,$D41,'KU-LGE Rating'!$F:$F)</f>
        <v>0</v>
      </c>
      <c r="X41" s="256">
        <f>$J41*SUMIF('KU-LGE Rating'!$R:$R,$D41,'KU-LGE Rating'!$G:$G)</f>
        <v>0</v>
      </c>
      <c r="Y41" s="257">
        <f t="shared" si="5"/>
        <v>0</v>
      </c>
      <c r="Z41" s="255">
        <f>$K41*SUMIF('KU-LGE Rating'!$R:$R,$D41,'KU-LGE Rating'!$F:$F)</f>
        <v>0</v>
      </c>
      <c r="AA41" s="256">
        <f>$K41*SUMIF('KU-LGE Rating'!$R:$R,$D41,'KU-LGE Rating'!$G:$G)</f>
        <v>21335.63</v>
      </c>
      <c r="AB41" s="257">
        <f t="shared" si="6"/>
        <v>21335.63</v>
      </c>
    </row>
    <row r="42" spans="1:28">
      <c r="A42" s="1" t="s">
        <v>2756</v>
      </c>
      <c r="B42" t="s">
        <v>3</v>
      </c>
      <c r="C42" t="s">
        <v>3723</v>
      </c>
      <c r="D42" t="s">
        <v>3733</v>
      </c>
      <c r="E42">
        <v>553100</v>
      </c>
      <c r="F42" t="s">
        <v>3893</v>
      </c>
      <c r="G42" s="288">
        <v>0</v>
      </c>
      <c r="H42" s="288">
        <v>13632.86</v>
      </c>
      <c r="I42" s="288">
        <v>5750831.6200000001</v>
      </c>
      <c r="J42" s="288">
        <v>-11258</v>
      </c>
      <c r="K42" s="288">
        <v>71371.89</v>
      </c>
      <c r="L42" s="243">
        <f t="shared" si="0"/>
        <v>5824578.3700000001</v>
      </c>
      <c r="M42" s="243" t="str">
        <f t="shared" si="1"/>
        <v>553</v>
      </c>
      <c r="N42" s="255">
        <f>$G42*SUMIF('KU-LGE Rating'!$R:$R,$D42,'KU-LGE Rating'!F:F)</f>
        <v>0</v>
      </c>
      <c r="O42" s="256">
        <f>$G42*SUMIF('KU-LGE Rating'!$R:$R,$D42,'KU-LGE Rating'!G:G)</f>
        <v>0</v>
      </c>
      <c r="P42" s="257">
        <f t="shared" si="2"/>
        <v>0</v>
      </c>
      <c r="Q42" s="255">
        <f>$H42*SUMIF('KU-LGE Rating'!$R:$R,$D42,'KU-LGE Rating'!$F:$F)</f>
        <v>6407.4441999999999</v>
      </c>
      <c r="R42" s="256">
        <f>$H42*SUMIF('KU-LGE Rating'!$R:$R,$D42,'KU-LGE Rating'!$G:$G)</f>
        <v>7225.4158000000007</v>
      </c>
      <c r="S42" s="257">
        <f t="shared" si="3"/>
        <v>13632.86</v>
      </c>
      <c r="T42" s="255">
        <f>$I42*SUMIF('KU-LGE Rating'!$R:$R,$D42,'KU-LGE Rating'!$F:$F)</f>
        <v>2702890.8613999998</v>
      </c>
      <c r="U42" s="256">
        <f>$I42*SUMIF('KU-LGE Rating'!$R:$R,$D42,'KU-LGE Rating'!$G:$G)</f>
        <v>3047940.7586000003</v>
      </c>
      <c r="V42" s="257">
        <f t="shared" si="4"/>
        <v>5750831.6200000001</v>
      </c>
      <c r="W42" s="255">
        <f>$J42*SUMIF('KU-LGE Rating'!$R:$R,$D42,'KU-LGE Rating'!$F:$F)</f>
        <v>-5291.2599999999993</v>
      </c>
      <c r="X42" s="256">
        <f>$J42*SUMIF('KU-LGE Rating'!$R:$R,$D42,'KU-LGE Rating'!$G:$G)</f>
        <v>-5966.7400000000007</v>
      </c>
      <c r="Y42" s="257">
        <f t="shared" si="5"/>
        <v>-11258</v>
      </c>
      <c r="Z42" s="255">
        <f>$K42*SUMIF('KU-LGE Rating'!$R:$R,$D42,'KU-LGE Rating'!$F:$F)</f>
        <v>33544.7883</v>
      </c>
      <c r="AA42" s="256">
        <f>$K42*SUMIF('KU-LGE Rating'!$R:$R,$D42,'KU-LGE Rating'!$G:$G)</f>
        <v>37827.101699999999</v>
      </c>
      <c r="AB42" s="257">
        <f t="shared" si="6"/>
        <v>71371.89</v>
      </c>
    </row>
    <row r="43" spans="1:28">
      <c r="A43" s="1" t="s">
        <v>2756</v>
      </c>
      <c r="B43" t="s">
        <v>3</v>
      </c>
      <c r="C43" t="s">
        <v>3723</v>
      </c>
      <c r="D43" t="s">
        <v>3733</v>
      </c>
      <c r="E43">
        <v>554100</v>
      </c>
      <c r="F43" t="s">
        <v>3893</v>
      </c>
      <c r="G43" s="288">
        <v>0</v>
      </c>
      <c r="H43" s="288">
        <v>0</v>
      </c>
      <c r="I43" s="288">
        <v>0</v>
      </c>
      <c r="J43" s="288">
        <v>0</v>
      </c>
      <c r="K43" s="288">
        <v>67.040000000000006</v>
      </c>
      <c r="L43" s="243">
        <f t="shared" si="0"/>
        <v>67.040000000000006</v>
      </c>
      <c r="M43" s="243" t="str">
        <f t="shared" si="1"/>
        <v>554</v>
      </c>
      <c r="N43" s="255">
        <f>$G43*SUMIF('KU-LGE Rating'!$R:$R,$D43,'KU-LGE Rating'!F:F)</f>
        <v>0</v>
      </c>
      <c r="O43" s="256">
        <f>$G43*SUMIF('KU-LGE Rating'!$R:$R,$D43,'KU-LGE Rating'!G:G)</f>
        <v>0</v>
      </c>
      <c r="P43" s="257">
        <f t="shared" si="2"/>
        <v>0</v>
      </c>
      <c r="Q43" s="255">
        <f>$H43*SUMIF('KU-LGE Rating'!$R:$R,$D43,'KU-LGE Rating'!$F:$F)</f>
        <v>0</v>
      </c>
      <c r="R43" s="256">
        <f>$H43*SUMIF('KU-LGE Rating'!$R:$R,$D43,'KU-LGE Rating'!$G:$G)</f>
        <v>0</v>
      </c>
      <c r="S43" s="257">
        <f t="shared" si="3"/>
        <v>0</v>
      </c>
      <c r="T43" s="255">
        <f>$I43*SUMIF('KU-LGE Rating'!$R:$R,$D43,'KU-LGE Rating'!$F:$F)</f>
        <v>0</v>
      </c>
      <c r="U43" s="256">
        <f>$I43*SUMIF('KU-LGE Rating'!$R:$R,$D43,'KU-LGE Rating'!$G:$G)</f>
        <v>0</v>
      </c>
      <c r="V43" s="257">
        <f t="shared" si="4"/>
        <v>0</v>
      </c>
      <c r="W43" s="255">
        <f>$J43*SUMIF('KU-LGE Rating'!$R:$R,$D43,'KU-LGE Rating'!$F:$F)</f>
        <v>0</v>
      </c>
      <c r="X43" s="256">
        <f>$J43*SUMIF('KU-LGE Rating'!$R:$R,$D43,'KU-LGE Rating'!$G:$G)</f>
        <v>0</v>
      </c>
      <c r="Y43" s="257">
        <f t="shared" si="5"/>
        <v>0</v>
      </c>
      <c r="Z43" s="255">
        <f>$K43*SUMIF('KU-LGE Rating'!$R:$R,$D43,'KU-LGE Rating'!$F:$F)</f>
        <v>31.508800000000001</v>
      </c>
      <c r="AA43" s="256">
        <f>$K43*SUMIF('KU-LGE Rating'!$R:$R,$D43,'KU-LGE Rating'!$G:$G)</f>
        <v>35.531200000000005</v>
      </c>
      <c r="AB43" s="257">
        <f t="shared" si="6"/>
        <v>67.040000000000006</v>
      </c>
    </row>
    <row r="44" spans="1:28">
      <c r="A44" s="1" t="s">
        <v>2756</v>
      </c>
      <c r="B44" t="s">
        <v>3</v>
      </c>
      <c r="C44" t="s">
        <v>3723</v>
      </c>
      <c r="D44" t="s">
        <v>3733</v>
      </c>
      <c r="E44">
        <v>562100</v>
      </c>
      <c r="F44" t="s">
        <v>3893</v>
      </c>
      <c r="G44" s="288">
        <v>0</v>
      </c>
      <c r="H44" s="288">
        <v>4580986.7</v>
      </c>
      <c r="I44" s="288">
        <v>-4681344.0599999996</v>
      </c>
      <c r="J44" s="288">
        <v>0</v>
      </c>
      <c r="K44" s="288">
        <v>0.28000000000000003</v>
      </c>
      <c r="L44" s="243">
        <f t="shared" si="0"/>
        <v>-100357.07999999941</v>
      </c>
      <c r="M44" s="243" t="str">
        <f t="shared" si="1"/>
        <v>562</v>
      </c>
      <c r="N44" s="255">
        <f>$G44*SUMIF('KU-LGE Rating'!$R:$R,$D44,'KU-LGE Rating'!F:F)</f>
        <v>0</v>
      </c>
      <c r="O44" s="256">
        <f>$G44*SUMIF('KU-LGE Rating'!$R:$R,$D44,'KU-LGE Rating'!G:G)</f>
        <v>0</v>
      </c>
      <c r="P44" s="257">
        <f t="shared" si="2"/>
        <v>0</v>
      </c>
      <c r="Q44" s="255">
        <f>$H44*SUMIF('KU-LGE Rating'!$R:$R,$D44,'KU-LGE Rating'!$F:$F)</f>
        <v>2153063.7489999998</v>
      </c>
      <c r="R44" s="256">
        <f>$H44*SUMIF('KU-LGE Rating'!$R:$R,$D44,'KU-LGE Rating'!$G:$G)</f>
        <v>2427922.9510000004</v>
      </c>
      <c r="S44" s="257">
        <f t="shared" si="3"/>
        <v>4580986.7</v>
      </c>
      <c r="T44" s="255">
        <f>$I44*SUMIF('KU-LGE Rating'!$R:$R,$D44,'KU-LGE Rating'!$F:$F)</f>
        <v>-2200231.7081999998</v>
      </c>
      <c r="U44" s="256">
        <f>$I44*SUMIF('KU-LGE Rating'!$R:$R,$D44,'KU-LGE Rating'!$G:$G)</f>
        <v>-2481112.3517999998</v>
      </c>
      <c r="V44" s="257">
        <f t="shared" si="4"/>
        <v>-4681344.0599999996</v>
      </c>
      <c r="W44" s="255">
        <f>$J44*SUMIF('KU-LGE Rating'!$R:$R,$D44,'KU-LGE Rating'!$F:$F)</f>
        <v>0</v>
      </c>
      <c r="X44" s="256">
        <f>$J44*SUMIF('KU-LGE Rating'!$R:$R,$D44,'KU-LGE Rating'!$G:$G)</f>
        <v>0</v>
      </c>
      <c r="Y44" s="257">
        <f t="shared" si="5"/>
        <v>0</v>
      </c>
      <c r="Z44" s="255">
        <f>$K44*SUMIF('KU-LGE Rating'!$R:$R,$D44,'KU-LGE Rating'!$F:$F)</f>
        <v>0.13159999999999999</v>
      </c>
      <c r="AA44" s="256">
        <f>$K44*SUMIF('KU-LGE Rating'!$R:$R,$D44,'KU-LGE Rating'!$G:$G)</f>
        <v>0.14840000000000003</v>
      </c>
      <c r="AB44" s="257">
        <f t="shared" si="6"/>
        <v>0.28000000000000003</v>
      </c>
    </row>
    <row r="45" spans="1:28">
      <c r="A45" s="1" t="s">
        <v>2756</v>
      </c>
      <c r="B45" t="s">
        <v>3</v>
      </c>
      <c r="C45" t="s">
        <v>3723</v>
      </c>
      <c r="D45" t="s">
        <v>3734</v>
      </c>
      <c r="E45">
        <v>511100</v>
      </c>
      <c r="F45" t="s">
        <v>3893</v>
      </c>
      <c r="G45" s="288">
        <v>14060</v>
      </c>
      <c r="H45" s="288">
        <v>2.62</v>
      </c>
      <c r="I45" s="288">
        <v>0</v>
      </c>
      <c r="J45" s="288">
        <v>0</v>
      </c>
      <c r="K45" s="288">
        <v>8347.74</v>
      </c>
      <c r="L45" s="243">
        <f t="shared" si="0"/>
        <v>8350.36</v>
      </c>
      <c r="M45" s="243" t="str">
        <f t="shared" si="1"/>
        <v>511</v>
      </c>
      <c r="N45" s="255">
        <f>$G45*SUMIF('KU-LGE Rating'!$R:$R,$D45,'KU-LGE Rating'!F:F)</f>
        <v>0</v>
      </c>
      <c r="O45" s="256">
        <f>$G45*SUMIF('KU-LGE Rating'!$R:$R,$D45,'KU-LGE Rating'!G:G)</f>
        <v>14060</v>
      </c>
      <c r="P45" s="257">
        <f t="shared" si="2"/>
        <v>14060</v>
      </c>
      <c r="Q45" s="255">
        <f>$H45*SUMIF('KU-LGE Rating'!$R:$R,$D45,'KU-LGE Rating'!$F:$F)</f>
        <v>0</v>
      </c>
      <c r="R45" s="256">
        <f>$H45*SUMIF('KU-LGE Rating'!$R:$R,$D45,'KU-LGE Rating'!$G:$G)</f>
        <v>2.62</v>
      </c>
      <c r="S45" s="257">
        <f t="shared" si="3"/>
        <v>2.62</v>
      </c>
      <c r="T45" s="255">
        <f>$I45*SUMIF('KU-LGE Rating'!$R:$R,$D45,'KU-LGE Rating'!$F:$F)</f>
        <v>0</v>
      </c>
      <c r="U45" s="256">
        <f>$I45*SUMIF('KU-LGE Rating'!$R:$R,$D45,'KU-LGE Rating'!$G:$G)</f>
        <v>0</v>
      </c>
      <c r="V45" s="257">
        <f t="shared" si="4"/>
        <v>0</v>
      </c>
      <c r="W45" s="255">
        <f>$J45*SUMIF('KU-LGE Rating'!$R:$R,$D45,'KU-LGE Rating'!$F:$F)</f>
        <v>0</v>
      </c>
      <c r="X45" s="256">
        <f>$J45*SUMIF('KU-LGE Rating'!$R:$R,$D45,'KU-LGE Rating'!$G:$G)</f>
        <v>0</v>
      </c>
      <c r="Y45" s="257">
        <f t="shared" si="5"/>
        <v>0</v>
      </c>
      <c r="Z45" s="255">
        <f>$K45*SUMIF('KU-LGE Rating'!$R:$R,$D45,'KU-LGE Rating'!$F:$F)</f>
        <v>0</v>
      </c>
      <c r="AA45" s="256">
        <f>$K45*SUMIF('KU-LGE Rating'!$R:$R,$D45,'KU-LGE Rating'!$G:$G)</f>
        <v>8347.74</v>
      </c>
      <c r="AB45" s="257">
        <f t="shared" si="6"/>
        <v>8347.74</v>
      </c>
    </row>
    <row r="46" spans="1:28">
      <c r="A46" s="1" t="s">
        <v>2756</v>
      </c>
      <c r="B46" t="s">
        <v>3</v>
      </c>
      <c r="C46" t="s">
        <v>3723</v>
      </c>
      <c r="D46" t="s">
        <v>3734</v>
      </c>
      <c r="E46">
        <v>512005</v>
      </c>
      <c r="F46" t="s">
        <v>3893</v>
      </c>
      <c r="G46" s="288">
        <v>582708.13</v>
      </c>
      <c r="H46" s="288">
        <v>108074.62</v>
      </c>
      <c r="I46" s="288">
        <v>360849.5</v>
      </c>
      <c r="J46" s="288">
        <v>14554.5</v>
      </c>
      <c r="K46" s="288">
        <v>170189.96</v>
      </c>
      <c r="L46" s="243">
        <f t="shared" si="0"/>
        <v>653668.57999999996</v>
      </c>
      <c r="M46" s="243" t="str">
        <f t="shared" si="1"/>
        <v>512</v>
      </c>
      <c r="N46" s="255">
        <f>$G46*SUMIF('KU-LGE Rating'!$R:$R,$D46,'KU-LGE Rating'!F:F)</f>
        <v>0</v>
      </c>
      <c r="O46" s="256">
        <f>$G46*SUMIF('KU-LGE Rating'!$R:$R,$D46,'KU-LGE Rating'!G:G)</f>
        <v>582708.13</v>
      </c>
      <c r="P46" s="257">
        <f t="shared" si="2"/>
        <v>582708.13</v>
      </c>
      <c r="Q46" s="255">
        <f>$H46*SUMIF('KU-LGE Rating'!$R:$R,$D46,'KU-LGE Rating'!$F:$F)</f>
        <v>0</v>
      </c>
      <c r="R46" s="256">
        <f>$H46*SUMIF('KU-LGE Rating'!$R:$R,$D46,'KU-LGE Rating'!$G:$G)</f>
        <v>108074.62</v>
      </c>
      <c r="S46" s="257">
        <f t="shared" si="3"/>
        <v>108074.62</v>
      </c>
      <c r="T46" s="255">
        <f>$I46*SUMIF('KU-LGE Rating'!$R:$R,$D46,'KU-LGE Rating'!$F:$F)</f>
        <v>0</v>
      </c>
      <c r="U46" s="256">
        <f>$I46*SUMIF('KU-LGE Rating'!$R:$R,$D46,'KU-LGE Rating'!$G:$G)</f>
        <v>360849.5</v>
      </c>
      <c r="V46" s="257">
        <f t="shared" si="4"/>
        <v>360849.5</v>
      </c>
      <c r="W46" s="255">
        <f>$J46*SUMIF('KU-LGE Rating'!$R:$R,$D46,'KU-LGE Rating'!$F:$F)</f>
        <v>0</v>
      </c>
      <c r="X46" s="256">
        <f>$J46*SUMIF('KU-LGE Rating'!$R:$R,$D46,'KU-LGE Rating'!$G:$G)</f>
        <v>14554.5</v>
      </c>
      <c r="Y46" s="257">
        <f t="shared" si="5"/>
        <v>14554.5</v>
      </c>
      <c r="Z46" s="255">
        <f>$K46*SUMIF('KU-LGE Rating'!$R:$R,$D46,'KU-LGE Rating'!$F:$F)</f>
        <v>0</v>
      </c>
      <c r="AA46" s="256">
        <f>$K46*SUMIF('KU-LGE Rating'!$R:$R,$D46,'KU-LGE Rating'!$G:$G)</f>
        <v>170189.96</v>
      </c>
      <c r="AB46" s="257">
        <f t="shared" si="6"/>
        <v>170189.96</v>
      </c>
    </row>
    <row r="47" spans="1:28">
      <c r="A47" s="1" t="s">
        <v>2756</v>
      </c>
      <c r="B47" t="s">
        <v>3</v>
      </c>
      <c r="C47" t="s">
        <v>3723</v>
      </c>
      <c r="D47" t="s">
        <v>3734</v>
      </c>
      <c r="E47">
        <v>512015</v>
      </c>
      <c r="F47" t="s">
        <v>3893</v>
      </c>
      <c r="G47" s="288">
        <v>861.31</v>
      </c>
      <c r="H47" s="288">
        <v>0</v>
      </c>
      <c r="I47" s="288">
        <v>176.95</v>
      </c>
      <c r="J47" s="288">
        <v>1068.68</v>
      </c>
      <c r="K47" s="288">
        <v>0</v>
      </c>
      <c r="L47" s="243">
        <f t="shared" ref="L47:L110" si="7">SUM(H47:K47)</f>
        <v>1245.6300000000001</v>
      </c>
      <c r="M47" s="243" t="str">
        <f t="shared" si="1"/>
        <v>512</v>
      </c>
      <c r="N47" s="255">
        <f>$G47*SUMIF('KU-LGE Rating'!$R:$R,$D47,'KU-LGE Rating'!F:F)</f>
        <v>0</v>
      </c>
      <c r="O47" s="256">
        <f>$G47*SUMIF('KU-LGE Rating'!$R:$R,$D47,'KU-LGE Rating'!G:G)</f>
        <v>861.31</v>
      </c>
      <c r="P47" s="257">
        <f t="shared" ref="P47:P110" si="8">N47+O47</f>
        <v>861.31</v>
      </c>
      <c r="Q47" s="255">
        <f>$H47*SUMIF('KU-LGE Rating'!$R:$R,$D47,'KU-LGE Rating'!$F:$F)</f>
        <v>0</v>
      </c>
      <c r="R47" s="256">
        <f>$H47*SUMIF('KU-LGE Rating'!$R:$R,$D47,'KU-LGE Rating'!$G:$G)</f>
        <v>0</v>
      </c>
      <c r="S47" s="257">
        <f t="shared" ref="S47:S110" si="9">Q47+R47</f>
        <v>0</v>
      </c>
      <c r="T47" s="255">
        <f>$I47*SUMIF('KU-LGE Rating'!$R:$R,$D47,'KU-LGE Rating'!$F:$F)</f>
        <v>0</v>
      </c>
      <c r="U47" s="256">
        <f>$I47*SUMIF('KU-LGE Rating'!$R:$R,$D47,'KU-LGE Rating'!$G:$G)</f>
        <v>176.95</v>
      </c>
      <c r="V47" s="257">
        <f t="shared" ref="V47:V110" si="10">T47+U47</f>
        <v>176.95</v>
      </c>
      <c r="W47" s="255">
        <f>$J47*SUMIF('KU-LGE Rating'!$R:$R,$D47,'KU-LGE Rating'!$F:$F)</f>
        <v>0</v>
      </c>
      <c r="X47" s="256">
        <f>$J47*SUMIF('KU-LGE Rating'!$R:$R,$D47,'KU-LGE Rating'!$G:$G)</f>
        <v>1068.68</v>
      </c>
      <c r="Y47" s="257">
        <f t="shared" ref="Y47:Y110" si="11">W47+X47</f>
        <v>1068.68</v>
      </c>
      <c r="Z47" s="255">
        <f>$K47*SUMIF('KU-LGE Rating'!$R:$R,$D47,'KU-LGE Rating'!$F:$F)</f>
        <v>0</v>
      </c>
      <c r="AA47" s="256">
        <f>$K47*SUMIF('KU-LGE Rating'!$R:$R,$D47,'KU-LGE Rating'!$G:$G)</f>
        <v>0</v>
      </c>
      <c r="AB47" s="257">
        <f t="shared" ref="AB47:AB110" si="12">Z47+AA47</f>
        <v>0</v>
      </c>
    </row>
    <row r="48" spans="1:28">
      <c r="A48" s="1" t="s">
        <v>2756</v>
      </c>
      <c r="B48" t="s">
        <v>3</v>
      </c>
      <c r="C48" t="s">
        <v>3723</v>
      </c>
      <c r="D48" t="s">
        <v>3734</v>
      </c>
      <c r="E48">
        <v>512100</v>
      </c>
      <c r="F48" t="s">
        <v>3893</v>
      </c>
      <c r="G48" s="288">
        <v>4511319.76</v>
      </c>
      <c r="H48" s="288">
        <v>122643.41</v>
      </c>
      <c r="I48" s="288">
        <v>3724458.93</v>
      </c>
      <c r="J48" s="288">
        <v>-145435.39000000001</v>
      </c>
      <c r="K48" s="288">
        <v>968695.03</v>
      </c>
      <c r="L48" s="243">
        <f t="shared" si="7"/>
        <v>4670361.9800000004</v>
      </c>
      <c r="M48" s="243" t="str">
        <f t="shared" si="1"/>
        <v>512</v>
      </c>
      <c r="N48" s="255">
        <f>$G48*SUMIF('KU-LGE Rating'!$R:$R,$D48,'KU-LGE Rating'!F:F)</f>
        <v>0</v>
      </c>
      <c r="O48" s="256">
        <f>$G48*SUMIF('KU-LGE Rating'!$R:$R,$D48,'KU-LGE Rating'!G:G)</f>
        <v>4511319.76</v>
      </c>
      <c r="P48" s="257">
        <f t="shared" si="8"/>
        <v>4511319.76</v>
      </c>
      <c r="Q48" s="255">
        <f>$H48*SUMIF('KU-LGE Rating'!$R:$R,$D48,'KU-LGE Rating'!$F:$F)</f>
        <v>0</v>
      </c>
      <c r="R48" s="256">
        <f>$H48*SUMIF('KU-LGE Rating'!$R:$R,$D48,'KU-LGE Rating'!$G:$G)</f>
        <v>122643.41</v>
      </c>
      <c r="S48" s="257">
        <f t="shared" si="9"/>
        <v>122643.41</v>
      </c>
      <c r="T48" s="255">
        <f>$I48*SUMIF('KU-LGE Rating'!$R:$R,$D48,'KU-LGE Rating'!$F:$F)</f>
        <v>0</v>
      </c>
      <c r="U48" s="256">
        <f>$I48*SUMIF('KU-LGE Rating'!$R:$R,$D48,'KU-LGE Rating'!$G:$G)</f>
        <v>3724458.93</v>
      </c>
      <c r="V48" s="257">
        <f t="shared" si="10"/>
        <v>3724458.93</v>
      </c>
      <c r="W48" s="255">
        <f>$J48*SUMIF('KU-LGE Rating'!$R:$R,$D48,'KU-LGE Rating'!$F:$F)</f>
        <v>0</v>
      </c>
      <c r="X48" s="256">
        <f>$J48*SUMIF('KU-LGE Rating'!$R:$R,$D48,'KU-LGE Rating'!$G:$G)</f>
        <v>-145435.39000000001</v>
      </c>
      <c r="Y48" s="257">
        <f t="shared" si="11"/>
        <v>-145435.39000000001</v>
      </c>
      <c r="Z48" s="255">
        <f>$K48*SUMIF('KU-LGE Rating'!$R:$R,$D48,'KU-LGE Rating'!$F:$F)</f>
        <v>0</v>
      </c>
      <c r="AA48" s="256">
        <f>$K48*SUMIF('KU-LGE Rating'!$R:$R,$D48,'KU-LGE Rating'!$G:$G)</f>
        <v>968695.03</v>
      </c>
      <c r="AB48" s="257">
        <f t="shared" si="12"/>
        <v>968695.03</v>
      </c>
    </row>
    <row r="49" spans="1:28">
      <c r="A49" s="1" t="s">
        <v>2756</v>
      </c>
      <c r="B49" t="s">
        <v>3</v>
      </c>
      <c r="C49" t="s">
        <v>3723</v>
      </c>
      <c r="D49" t="s">
        <v>3734</v>
      </c>
      <c r="E49">
        <v>512101</v>
      </c>
      <c r="F49" t="s">
        <v>3893</v>
      </c>
      <c r="G49" s="288">
        <v>42107.67</v>
      </c>
      <c r="H49" s="288">
        <v>-15016.87</v>
      </c>
      <c r="I49" s="288">
        <v>18063.97</v>
      </c>
      <c r="J49" s="288">
        <v>4.87</v>
      </c>
      <c r="K49" s="288">
        <v>53464.74</v>
      </c>
      <c r="L49" s="243">
        <f t="shared" si="7"/>
        <v>56516.71</v>
      </c>
      <c r="M49" s="243" t="str">
        <f t="shared" si="1"/>
        <v>512</v>
      </c>
      <c r="N49" s="255">
        <f>$G49*SUMIF('KU-LGE Rating'!$R:$R,$D49,'KU-LGE Rating'!F:F)</f>
        <v>0</v>
      </c>
      <c r="O49" s="256">
        <f>$G49*SUMIF('KU-LGE Rating'!$R:$R,$D49,'KU-LGE Rating'!G:G)</f>
        <v>42107.67</v>
      </c>
      <c r="P49" s="257">
        <f t="shared" si="8"/>
        <v>42107.67</v>
      </c>
      <c r="Q49" s="255">
        <f>$H49*SUMIF('KU-LGE Rating'!$R:$R,$D49,'KU-LGE Rating'!$F:$F)</f>
        <v>0</v>
      </c>
      <c r="R49" s="256">
        <f>$H49*SUMIF('KU-LGE Rating'!$R:$R,$D49,'KU-LGE Rating'!$G:$G)</f>
        <v>-15016.87</v>
      </c>
      <c r="S49" s="257">
        <f t="shared" si="9"/>
        <v>-15016.87</v>
      </c>
      <c r="T49" s="255">
        <f>$I49*SUMIF('KU-LGE Rating'!$R:$R,$D49,'KU-LGE Rating'!$F:$F)</f>
        <v>0</v>
      </c>
      <c r="U49" s="256">
        <f>$I49*SUMIF('KU-LGE Rating'!$R:$R,$D49,'KU-LGE Rating'!$G:$G)</f>
        <v>18063.97</v>
      </c>
      <c r="V49" s="257">
        <f t="shared" si="10"/>
        <v>18063.97</v>
      </c>
      <c r="W49" s="255">
        <f>$J49*SUMIF('KU-LGE Rating'!$R:$R,$D49,'KU-LGE Rating'!$F:$F)</f>
        <v>0</v>
      </c>
      <c r="X49" s="256">
        <f>$J49*SUMIF('KU-LGE Rating'!$R:$R,$D49,'KU-LGE Rating'!$G:$G)</f>
        <v>4.87</v>
      </c>
      <c r="Y49" s="257">
        <f t="shared" si="11"/>
        <v>4.87</v>
      </c>
      <c r="Z49" s="255">
        <f>$K49*SUMIF('KU-LGE Rating'!$R:$R,$D49,'KU-LGE Rating'!$F:$F)</f>
        <v>0</v>
      </c>
      <c r="AA49" s="256">
        <f>$K49*SUMIF('KU-LGE Rating'!$R:$R,$D49,'KU-LGE Rating'!$G:$G)</f>
        <v>53464.74</v>
      </c>
      <c r="AB49" s="257">
        <f t="shared" si="12"/>
        <v>53464.74</v>
      </c>
    </row>
    <row r="50" spans="1:28">
      <c r="A50" s="1" t="s">
        <v>2756</v>
      </c>
      <c r="B50" t="s">
        <v>3</v>
      </c>
      <c r="C50" t="s">
        <v>3723</v>
      </c>
      <c r="D50" t="s">
        <v>3734</v>
      </c>
      <c r="E50">
        <v>513100</v>
      </c>
      <c r="F50" t="s">
        <v>3893</v>
      </c>
      <c r="G50" s="288">
        <v>2361832.5699999998</v>
      </c>
      <c r="H50" s="288">
        <v>3543.79</v>
      </c>
      <c r="I50" s="288">
        <v>304038.68</v>
      </c>
      <c r="J50" s="288">
        <v>36403.15</v>
      </c>
      <c r="K50" s="288">
        <v>182144.91</v>
      </c>
      <c r="L50" s="243">
        <f t="shared" si="7"/>
        <v>526130.53</v>
      </c>
      <c r="M50" s="243" t="str">
        <f t="shared" si="1"/>
        <v>513</v>
      </c>
      <c r="N50" s="255">
        <f>$G50*SUMIF('KU-LGE Rating'!$R:$R,$D50,'KU-LGE Rating'!F:F)</f>
        <v>0</v>
      </c>
      <c r="O50" s="256">
        <f>$G50*SUMIF('KU-LGE Rating'!$R:$R,$D50,'KU-LGE Rating'!G:G)</f>
        <v>2361832.5699999998</v>
      </c>
      <c r="P50" s="257">
        <f t="shared" si="8"/>
        <v>2361832.5699999998</v>
      </c>
      <c r="Q50" s="255">
        <f>$H50*SUMIF('KU-LGE Rating'!$R:$R,$D50,'KU-LGE Rating'!$F:$F)</f>
        <v>0</v>
      </c>
      <c r="R50" s="256">
        <f>$H50*SUMIF('KU-LGE Rating'!$R:$R,$D50,'KU-LGE Rating'!$G:$G)</f>
        <v>3543.79</v>
      </c>
      <c r="S50" s="257">
        <f t="shared" si="9"/>
        <v>3543.79</v>
      </c>
      <c r="T50" s="255">
        <f>$I50*SUMIF('KU-LGE Rating'!$R:$R,$D50,'KU-LGE Rating'!$F:$F)</f>
        <v>0</v>
      </c>
      <c r="U50" s="256">
        <f>$I50*SUMIF('KU-LGE Rating'!$R:$R,$D50,'KU-LGE Rating'!$G:$G)</f>
        <v>304038.68</v>
      </c>
      <c r="V50" s="257">
        <f t="shared" si="10"/>
        <v>304038.68</v>
      </c>
      <c r="W50" s="255">
        <f>$J50*SUMIF('KU-LGE Rating'!$R:$R,$D50,'KU-LGE Rating'!$F:$F)</f>
        <v>0</v>
      </c>
      <c r="X50" s="256">
        <f>$J50*SUMIF('KU-LGE Rating'!$R:$R,$D50,'KU-LGE Rating'!$G:$G)</f>
        <v>36403.15</v>
      </c>
      <c r="Y50" s="257">
        <f t="shared" si="11"/>
        <v>36403.15</v>
      </c>
      <c r="Z50" s="255">
        <f>$K50*SUMIF('KU-LGE Rating'!$R:$R,$D50,'KU-LGE Rating'!$F:$F)</f>
        <v>0</v>
      </c>
      <c r="AA50" s="256">
        <f>$K50*SUMIF('KU-LGE Rating'!$R:$R,$D50,'KU-LGE Rating'!$G:$G)</f>
        <v>182144.91</v>
      </c>
      <c r="AB50" s="257">
        <f t="shared" si="12"/>
        <v>182144.91</v>
      </c>
    </row>
    <row r="51" spans="1:28">
      <c r="A51" s="1" t="s">
        <v>2756</v>
      </c>
      <c r="B51" t="s">
        <v>3</v>
      </c>
      <c r="C51" t="s">
        <v>3723</v>
      </c>
      <c r="D51" t="s">
        <v>3736</v>
      </c>
      <c r="E51">
        <v>512005</v>
      </c>
      <c r="F51" t="s">
        <v>3893</v>
      </c>
      <c r="G51" s="288">
        <v>0</v>
      </c>
      <c r="H51" s="288">
        <v>0</v>
      </c>
      <c r="I51" s="288">
        <v>9459.08</v>
      </c>
      <c r="J51" s="288">
        <v>0</v>
      </c>
      <c r="K51" s="288">
        <v>0</v>
      </c>
      <c r="L51" s="243">
        <f t="shared" si="7"/>
        <v>9459.08</v>
      </c>
      <c r="M51" s="243" t="str">
        <f t="shared" si="1"/>
        <v>512</v>
      </c>
      <c r="N51" s="255">
        <f>$G51*SUMIF('KU-LGE Rating'!$R:$R,$D51,'KU-LGE Rating'!F:F)</f>
        <v>0</v>
      </c>
      <c r="O51" s="256">
        <f>$G51*SUMIF('KU-LGE Rating'!$R:$R,$D51,'KU-LGE Rating'!G:G)</f>
        <v>0</v>
      </c>
      <c r="P51" s="257">
        <f t="shared" si="8"/>
        <v>0</v>
      </c>
      <c r="Q51" s="255">
        <f>$H51*SUMIF('KU-LGE Rating'!$R:$R,$D51,'KU-LGE Rating'!$F:$F)</f>
        <v>0</v>
      </c>
      <c r="R51" s="256">
        <f>$H51*SUMIF('KU-LGE Rating'!$R:$R,$D51,'KU-LGE Rating'!$G:$G)</f>
        <v>0</v>
      </c>
      <c r="S51" s="257">
        <f t="shared" si="9"/>
        <v>0</v>
      </c>
      <c r="T51" s="255">
        <f>$I51*SUMIF('KU-LGE Rating'!$R:$R,$D51,'KU-LGE Rating'!$F:$F)</f>
        <v>7661.8548000000001</v>
      </c>
      <c r="U51" s="256">
        <f>$I51*SUMIF('KU-LGE Rating'!$R:$R,$D51,'KU-LGE Rating'!$G:$G)</f>
        <v>1797.2252000000001</v>
      </c>
      <c r="V51" s="257">
        <f t="shared" si="10"/>
        <v>9459.08</v>
      </c>
      <c r="W51" s="255">
        <f>$J51*SUMIF('KU-LGE Rating'!$R:$R,$D51,'KU-LGE Rating'!$F:$F)</f>
        <v>0</v>
      </c>
      <c r="X51" s="256">
        <f>$J51*SUMIF('KU-LGE Rating'!$R:$R,$D51,'KU-LGE Rating'!$G:$G)</f>
        <v>0</v>
      </c>
      <c r="Y51" s="257">
        <f t="shared" si="11"/>
        <v>0</v>
      </c>
      <c r="Z51" s="255">
        <f>$K51*SUMIF('KU-LGE Rating'!$R:$R,$D51,'KU-LGE Rating'!$F:$F)</f>
        <v>0</v>
      </c>
      <c r="AA51" s="256">
        <f>$K51*SUMIF('KU-LGE Rating'!$R:$R,$D51,'KU-LGE Rating'!$G:$G)</f>
        <v>0</v>
      </c>
      <c r="AB51" s="257">
        <f t="shared" si="12"/>
        <v>0</v>
      </c>
    </row>
    <row r="52" spans="1:28">
      <c r="A52" s="1" t="s">
        <v>2756</v>
      </c>
      <c r="B52" t="s">
        <v>3</v>
      </c>
      <c r="C52" t="s">
        <v>3723</v>
      </c>
      <c r="D52" t="s">
        <v>3736</v>
      </c>
      <c r="E52">
        <v>512011</v>
      </c>
      <c r="F52" t="s">
        <v>3893</v>
      </c>
      <c r="G52" s="288">
        <v>0</v>
      </c>
      <c r="H52" s="288">
        <v>0</v>
      </c>
      <c r="I52" s="288">
        <v>-4303.3999999999996</v>
      </c>
      <c r="J52" s="288">
        <v>0</v>
      </c>
      <c r="K52" s="288">
        <v>0</v>
      </c>
      <c r="L52" s="243">
        <f t="shared" si="7"/>
        <v>-4303.3999999999996</v>
      </c>
      <c r="M52" s="243" t="str">
        <f t="shared" si="1"/>
        <v>512</v>
      </c>
      <c r="N52" s="255">
        <f>$G52*SUMIF('KU-LGE Rating'!$R:$R,$D52,'KU-LGE Rating'!F:F)</f>
        <v>0</v>
      </c>
      <c r="O52" s="256">
        <f>$G52*SUMIF('KU-LGE Rating'!$R:$R,$D52,'KU-LGE Rating'!G:G)</f>
        <v>0</v>
      </c>
      <c r="P52" s="257">
        <f t="shared" si="8"/>
        <v>0</v>
      </c>
      <c r="Q52" s="255">
        <f>$H52*SUMIF('KU-LGE Rating'!$R:$R,$D52,'KU-LGE Rating'!$F:$F)</f>
        <v>0</v>
      </c>
      <c r="R52" s="256">
        <f>$H52*SUMIF('KU-LGE Rating'!$R:$R,$D52,'KU-LGE Rating'!$G:$G)</f>
        <v>0</v>
      </c>
      <c r="S52" s="257">
        <f t="shared" si="9"/>
        <v>0</v>
      </c>
      <c r="T52" s="255">
        <f>$I52*SUMIF('KU-LGE Rating'!$R:$R,$D52,'KU-LGE Rating'!$F:$F)</f>
        <v>-3485.7539999999999</v>
      </c>
      <c r="U52" s="256">
        <f>$I52*SUMIF('KU-LGE Rating'!$R:$R,$D52,'KU-LGE Rating'!$G:$G)</f>
        <v>-817.64599999999996</v>
      </c>
      <c r="V52" s="257">
        <f t="shared" si="10"/>
        <v>-4303.3999999999996</v>
      </c>
      <c r="W52" s="255">
        <f>$J52*SUMIF('KU-LGE Rating'!$R:$R,$D52,'KU-LGE Rating'!$F:$F)</f>
        <v>0</v>
      </c>
      <c r="X52" s="256">
        <f>$J52*SUMIF('KU-LGE Rating'!$R:$R,$D52,'KU-LGE Rating'!$G:$G)</f>
        <v>0</v>
      </c>
      <c r="Y52" s="257">
        <f t="shared" si="11"/>
        <v>0</v>
      </c>
      <c r="Z52" s="255">
        <f>$K52*SUMIF('KU-LGE Rating'!$R:$R,$D52,'KU-LGE Rating'!$F:$F)</f>
        <v>0</v>
      </c>
      <c r="AA52" s="256">
        <f>$K52*SUMIF('KU-LGE Rating'!$R:$R,$D52,'KU-LGE Rating'!$G:$G)</f>
        <v>0</v>
      </c>
      <c r="AB52" s="257">
        <f t="shared" si="12"/>
        <v>0</v>
      </c>
    </row>
    <row r="53" spans="1:28">
      <c r="A53" s="1" t="s">
        <v>2756</v>
      </c>
      <c r="B53" t="s">
        <v>3</v>
      </c>
      <c r="C53" t="s">
        <v>3723</v>
      </c>
      <c r="D53" t="s">
        <v>3736</v>
      </c>
      <c r="E53">
        <v>512017</v>
      </c>
      <c r="F53" t="s">
        <v>3893</v>
      </c>
      <c r="G53" s="288">
        <v>0</v>
      </c>
      <c r="H53" s="288">
        <v>0</v>
      </c>
      <c r="I53" s="288">
        <v>0</v>
      </c>
      <c r="J53" s="288">
        <v>5403.61</v>
      </c>
      <c r="K53" s="288">
        <v>0</v>
      </c>
      <c r="L53" s="243">
        <f t="shared" si="7"/>
        <v>5403.61</v>
      </c>
      <c r="M53" s="243" t="str">
        <f t="shared" si="1"/>
        <v>512</v>
      </c>
      <c r="N53" s="255">
        <f>$G53*SUMIF('KU-LGE Rating'!$R:$R,$D53,'KU-LGE Rating'!F:F)</f>
        <v>0</v>
      </c>
      <c r="O53" s="256">
        <f>$G53*SUMIF('KU-LGE Rating'!$R:$R,$D53,'KU-LGE Rating'!G:G)</f>
        <v>0</v>
      </c>
      <c r="P53" s="257">
        <f t="shared" si="8"/>
        <v>0</v>
      </c>
      <c r="Q53" s="255">
        <f>$H53*SUMIF('KU-LGE Rating'!$R:$R,$D53,'KU-LGE Rating'!$F:$F)</f>
        <v>0</v>
      </c>
      <c r="R53" s="256">
        <f>$H53*SUMIF('KU-LGE Rating'!$R:$R,$D53,'KU-LGE Rating'!$G:$G)</f>
        <v>0</v>
      </c>
      <c r="S53" s="257">
        <f t="shared" si="9"/>
        <v>0</v>
      </c>
      <c r="T53" s="255">
        <f>$I53*SUMIF('KU-LGE Rating'!$R:$R,$D53,'KU-LGE Rating'!$F:$F)</f>
        <v>0</v>
      </c>
      <c r="U53" s="256">
        <f>$I53*SUMIF('KU-LGE Rating'!$R:$R,$D53,'KU-LGE Rating'!$G:$G)</f>
        <v>0</v>
      </c>
      <c r="V53" s="257">
        <f t="shared" si="10"/>
        <v>0</v>
      </c>
      <c r="W53" s="255">
        <f>$J53*SUMIF('KU-LGE Rating'!$R:$R,$D53,'KU-LGE Rating'!$F:$F)</f>
        <v>4376.9241000000002</v>
      </c>
      <c r="X53" s="256">
        <f>$J53*SUMIF('KU-LGE Rating'!$R:$R,$D53,'KU-LGE Rating'!$G:$G)</f>
        <v>1026.6858999999999</v>
      </c>
      <c r="Y53" s="257">
        <f t="shared" si="11"/>
        <v>5403.6100000000006</v>
      </c>
      <c r="Z53" s="255">
        <f>$K53*SUMIF('KU-LGE Rating'!$R:$R,$D53,'KU-LGE Rating'!$F:$F)</f>
        <v>0</v>
      </c>
      <c r="AA53" s="256">
        <f>$K53*SUMIF('KU-LGE Rating'!$R:$R,$D53,'KU-LGE Rating'!$G:$G)</f>
        <v>0</v>
      </c>
      <c r="AB53" s="257">
        <f t="shared" si="12"/>
        <v>0</v>
      </c>
    </row>
    <row r="54" spans="1:28">
      <c r="A54" s="1" t="s">
        <v>2756</v>
      </c>
      <c r="B54" t="s">
        <v>3</v>
      </c>
      <c r="C54" t="s">
        <v>3723</v>
      </c>
      <c r="D54" t="s">
        <v>3736</v>
      </c>
      <c r="E54">
        <v>512100</v>
      </c>
      <c r="F54" t="s">
        <v>3893</v>
      </c>
      <c r="G54" s="288">
        <v>0</v>
      </c>
      <c r="H54" s="288">
        <v>0</v>
      </c>
      <c r="I54" s="288">
        <v>275189.78999999998</v>
      </c>
      <c r="J54" s="288">
        <v>598495.71</v>
      </c>
      <c r="K54" s="288">
        <v>3737.33</v>
      </c>
      <c r="L54" s="243">
        <f t="shared" si="7"/>
        <v>877422.83</v>
      </c>
      <c r="M54" s="243" t="str">
        <f t="shared" si="1"/>
        <v>512</v>
      </c>
      <c r="N54" s="255">
        <f>$G54*SUMIF('KU-LGE Rating'!$R:$R,$D54,'KU-LGE Rating'!F:F)</f>
        <v>0</v>
      </c>
      <c r="O54" s="256">
        <f>$G54*SUMIF('KU-LGE Rating'!$R:$R,$D54,'KU-LGE Rating'!G:G)</f>
        <v>0</v>
      </c>
      <c r="P54" s="257">
        <f t="shared" si="8"/>
        <v>0</v>
      </c>
      <c r="Q54" s="255">
        <f>$H54*SUMIF('KU-LGE Rating'!$R:$R,$D54,'KU-LGE Rating'!$F:$F)</f>
        <v>0</v>
      </c>
      <c r="R54" s="256">
        <f>$H54*SUMIF('KU-LGE Rating'!$R:$R,$D54,'KU-LGE Rating'!$G:$G)</f>
        <v>0</v>
      </c>
      <c r="S54" s="257">
        <f t="shared" si="9"/>
        <v>0</v>
      </c>
      <c r="T54" s="255">
        <f>$I54*SUMIF('KU-LGE Rating'!$R:$R,$D54,'KU-LGE Rating'!$F:$F)</f>
        <v>222903.72990000001</v>
      </c>
      <c r="U54" s="256">
        <f>$I54*SUMIF('KU-LGE Rating'!$R:$R,$D54,'KU-LGE Rating'!$G:$G)</f>
        <v>52286.060099999995</v>
      </c>
      <c r="V54" s="257">
        <f t="shared" si="10"/>
        <v>275189.78999999998</v>
      </c>
      <c r="W54" s="255">
        <f>$J54*SUMIF('KU-LGE Rating'!$R:$R,$D54,'KU-LGE Rating'!$F:$F)</f>
        <v>484781.52510000003</v>
      </c>
      <c r="X54" s="256">
        <f>$J54*SUMIF('KU-LGE Rating'!$R:$R,$D54,'KU-LGE Rating'!$G:$G)</f>
        <v>113714.18489999999</v>
      </c>
      <c r="Y54" s="257">
        <f t="shared" si="11"/>
        <v>598495.71</v>
      </c>
      <c r="Z54" s="255">
        <f>$K54*SUMIF('KU-LGE Rating'!$R:$R,$D54,'KU-LGE Rating'!$F:$F)</f>
        <v>3027.2373000000002</v>
      </c>
      <c r="AA54" s="256">
        <f>$K54*SUMIF('KU-LGE Rating'!$R:$R,$D54,'KU-LGE Rating'!$G:$G)</f>
        <v>710.09270000000004</v>
      </c>
      <c r="AB54" s="257">
        <f t="shared" si="12"/>
        <v>3737.3300000000004</v>
      </c>
    </row>
    <row r="55" spans="1:28">
      <c r="A55" s="1" t="s">
        <v>2756</v>
      </c>
      <c r="B55" t="s">
        <v>3</v>
      </c>
      <c r="C55" t="s">
        <v>3723</v>
      </c>
      <c r="D55" t="s">
        <v>3736</v>
      </c>
      <c r="E55">
        <v>513100</v>
      </c>
      <c r="F55" t="s">
        <v>3893</v>
      </c>
      <c r="G55" s="288">
        <v>0</v>
      </c>
      <c r="H55" s="288">
        <v>0</v>
      </c>
      <c r="I55" s="288">
        <v>6744.29</v>
      </c>
      <c r="J55" s="288">
        <v>563199.88</v>
      </c>
      <c r="K55" s="288">
        <v>195.37</v>
      </c>
      <c r="L55" s="243">
        <f t="shared" si="7"/>
        <v>570139.54</v>
      </c>
      <c r="M55" s="243" t="str">
        <f t="shared" si="1"/>
        <v>513</v>
      </c>
      <c r="N55" s="255">
        <f>$G55*SUMIF('KU-LGE Rating'!$R:$R,$D55,'KU-LGE Rating'!F:F)</f>
        <v>0</v>
      </c>
      <c r="O55" s="256">
        <f>$G55*SUMIF('KU-LGE Rating'!$R:$R,$D55,'KU-LGE Rating'!G:G)</f>
        <v>0</v>
      </c>
      <c r="P55" s="257">
        <f t="shared" si="8"/>
        <v>0</v>
      </c>
      <c r="Q55" s="255">
        <f>$H55*SUMIF('KU-LGE Rating'!$R:$R,$D55,'KU-LGE Rating'!$F:$F)</f>
        <v>0</v>
      </c>
      <c r="R55" s="256">
        <f>$H55*SUMIF('KU-LGE Rating'!$R:$R,$D55,'KU-LGE Rating'!$G:$G)</f>
        <v>0</v>
      </c>
      <c r="S55" s="257">
        <f t="shared" si="9"/>
        <v>0</v>
      </c>
      <c r="T55" s="255">
        <f>$I55*SUMIF('KU-LGE Rating'!$R:$R,$D55,'KU-LGE Rating'!$F:$F)</f>
        <v>5462.8749000000007</v>
      </c>
      <c r="U55" s="256">
        <f>$I55*SUMIF('KU-LGE Rating'!$R:$R,$D55,'KU-LGE Rating'!$G:$G)</f>
        <v>1281.4150999999999</v>
      </c>
      <c r="V55" s="257">
        <f t="shared" si="10"/>
        <v>6744.2900000000009</v>
      </c>
      <c r="W55" s="255">
        <f>$J55*SUMIF('KU-LGE Rating'!$R:$R,$D55,'KU-LGE Rating'!$F:$F)</f>
        <v>456191.90280000004</v>
      </c>
      <c r="X55" s="256">
        <f>$J55*SUMIF('KU-LGE Rating'!$R:$R,$D55,'KU-LGE Rating'!$G:$G)</f>
        <v>107007.97720000001</v>
      </c>
      <c r="Y55" s="257">
        <f t="shared" si="11"/>
        <v>563199.88</v>
      </c>
      <c r="Z55" s="255">
        <f>$K55*SUMIF('KU-LGE Rating'!$R:$R,$D55,'KU-LGE Rating'!$F:$F)</f>
        <v>158.24970000000002</v>
      </c>
      <c r="AA55" s="256">
        <f>$K55*SUMIF('KU-LGE Rating'!$R:$R,$D55,'KU-LGE Rating'!$G:$G)</f>
        <v>37.1203</v>
      </c>
      <c r="AB55" s="257">
        <f t="shared" si="12"/>
        <v>195.37</v>
      </c>
    </row>
    <row r="56" spans="1:28">
      <c r="A56" s="1" t="s">
        <v>2756</v>
      </c>
      <c r="B56" t="s">
        <v>3</v>
      </c>
      <c r="C56" t="s">
        <v>3723</v>
      </c>
      <c r="D56" t="s">
        <v>3740</v>
      </c>
      <c r="E56">
        <v>553100</v>
      </c>
      <c r="F56" t="s">
        <v>3893</v>
      </c>
      <c r="G56" s="288">
        <v>18589.14</v>
      </c>
      <c r="H56" s="288">
        <v>0</v>
      </c>
      <c r="I56" s="288">
        <v>0</v>
      </c>
      <c r="J56" s="288">
        <v>0</v>
      </c>
      <c r="K56" s="288">
        <v>0</v>
      </c>
      <c r="L56" s="243">
        <f t="shared" si="7"/>
        <v>0</v>
      </c>
      <c r="M56" s="243" t="str">
        <f t="shared" si="1"/>
        <v>553</v>
      </c>
      <c r="N56" s="255">
        <f>$G56*SUMIF('KU-LGE Rating'!$R:$R,$D56,'KU-LGE Rating'!F:F)</f>
        <v>11711.1582</v>
      </c>
      <c r="O56" s="256">
        <f>$G56*SUMIF('KU-LGE Rating'!$R:$R,$D56,'KU-LGE Rating'!G:G)</f>
        <v>6877.9817999999996</v>
      </c>
      <c r="P56" s="257">
        <f t="shared" si="8"/>
        <v>18589.14</v>
      </c>
      <c r="Q56" s="255">
        <f>$H56*SUMIF('KU-LGE Rating'!$R:$R,$D56,'KU-LGE Rating'!$F:$F)</f>
        <v>0</v>
      </c>
      <c r="R56" s="256">
        <f>$H56*SUMIF('KU-LGE Rating'!$R:$R,$D56,'KU-LGE Rating'!$G:$G)</f>
        <v>0</v>
      </c>
      <c r="S56" s="257">
        <f t="shared" si="9"/>
        <v>0</v>
      </c>
      <c r="T56" s="255">
        <f>$I56*SUMIF('KU-LGE Rating'!$R:$R,$D56,'KU-LGE Rating'!$F:$F)</f>
        <v>0</v>
      </c>
      <c r="U56" s="256">
        <f>$I56*SUMIF('KU-LGE Rating'!$R:$R,$D56,'KU-LGE Rating'!$G:$G)</f>
        <v>0</v>
      </c>
      <c r="V56" s="257">
        <f t="shared" si="10"/>
        <v>0</v>
      </c>
      <c r="W56" s="255">
        <f>$J56*SUMIF('KU-LGE Rating'!$R:$R,$D56,'KU-LGE Rating'!$F:$F)</f>
        <v>0</v>
      </c>
      <c r="X56" s="256">
        <f>$J56*SUMIF('KU-LGE Rating'!$R:$R,$D56,'KU-LGE Rating'!$G:$G)</f>
        <v>0</v>
      </c>
      <c r="Y56" s="257">
        <f t="shared" si="11"/>
        <v>0</v>
      </c>
      <c r="Z56" s="255">
        <f>$K56*SUMIF('KU-LGE Rating'!$R:$R,$D56,'KU-LGE Rating'!$F:$F)</f>
        <v>0</v>
      </c>
      <c r="AA56" s="256">
        <f>$K56*SUMIF('KU-LGE Rating'!$R:$R,$D56,'KU-LGE Rating'!$G:$G)</f>
        <v>0</v>
      </c>
      <c r="AB56" s="257">
        <f t="shared" si="12"/>
        <v>0</v>
      </c>
    </row>
    <row r="57" spans="1:28">
      <c r="A57" s="1" t="s">
        <v>2756</v>
      </c>
      <c r="B57" t="s">
        <v>3</v>
      </c>
      <c r="C57" t="s">
        <v>3723</v>
      </c>
      <c r="D57" t="s">
        <v>3741</v>
      </c>
      <c r="E57">
        <v>512100</v>
      </c>
      <c r="F57" t="s">
        <v>3893</v>
      </c>
      <c r="G57" s="288">
        <v>0</v>
      </c>
      <c r="H57" s="288">
        <v>0</v>
      </c>
      <c r="I57" s="288">
        <v>0</v>
      </c>
      <c r="J57" s="288">
        <v>0</v>
      </c>
      <c r="K57" s="288">
        <v>0</v>
      </c>
      <c r="L57" s="243">
        <f t="shared" si="7"/>
        <v>0</v>
      </c>
      <c r="M57" s="243" t="str">
        <f t="shared" si="1"/>
        <v>512</v>
      </c>
      <c r="N57" s="255">
        <f>$G57*SUMIF('KU-LGE Rating'!$R:$R,$D57,'KU-LGE Rating'!F:F)</f>
        <v>0</v>
      </c>
      <c r="O57" s="256">
        <f>$G57*SUMIF('KU-LGE Rating'!$R:$R,$D57,'KU-LGE Rating'!G:G)</f>
        <v>0</v>
      </c>
      <c r="P57" s="257">
        <f t="shared" si="8"/>
        <v>0</v>
      </c>
      <c r="Q57" s="255">
        <f>$H57*SUMIF('KU-LGE Rating'!$R:$R,$D57,'KU-LGE Rating'!$F:$F)</f>
        <v>0</v>
      </c>
      <c r="R57" s="256">
        <f>$H57*SUMIF('KU-LGE Rating'!$R:$R,$D57,'KU-LGE Rating'!$G:$G)</f>
        <v>0</v>
      </c>
      <c r="S57" s="257">
        <f t="shared" si="9"/>
        <v>0</v>
      </c>
      <c r="T57" s="255">
        <f>$I57*SUMIF('KU-LGE Rating'!$R:$R,$D57,'KU-LGE Rating'!$F:$F)</f>
        <v>0</v>
      </c>
      <c r="U57" s="256">
        <f>$I57*SUMIF('KU-LGE Rating'!$R:$R,$D57,'KU-LGE Rating'!$G:$G)</f>
        <v>0</v>
      </c>
      <c r="V57" s="257">
        <f t="shared" si="10"/>
        <v>0</v>
      </c>
      <c r="W57" s="255">
        <f>$J57*SUMIF('KU-LGE Rating'!$R:$R,$D57,'KU-LGE Rating'!$F:$F)</f>
        <v>0</v>
      </c>
      <c r="X57" s="256">
        <f>$J57*SUMIF('KU-LGE Rating'!$R:$R,$D57,'KU-LGE Rating'!$G:$G)</f>
        <v>0</v>
      </c>
      <c r="Y57" s="257">
        <f t="shared" si="11"/>
        <v>0</v>
      </c>
      <c r="Z57" s="255">
        <f>$K57*SUMIF('KU-LGE Rating'!$R:$R,$D57,'KU-LGE Rating'!$F:$F)</f>
        <v>0</v>
      </c>
      <c r="AA57" s="256">
        <f>$K57*SUMIF('KU-LGE Rating'!$R:$R,$D57,'KU-LGE Rating'!$G:$G)</f>
        <v>0</v>
      </c>
      <c r="AB57" s="257">
        <f t="shared" si="12"/>
        <v>0</v>
      </c>
    </row>
    <row r="58" spans="1:28">
      <c r="A58" s="1" t="s">
        <v>2756</v>
      </c>
      <c r="B58" t="s">
        <v>3</v>
      </c>
      <c r="C58" t="s">
        <v>3723</v>
      </c>
      <c r="D58" t="s">
        <v>3741</v>
      </c>
      <c r="E58">
        <v>553100</v>
      </c>
      <c r="F58" t="s">
        <v>3893</v>
      </c>
      <c r="G58" s="288">
        <v>1030630.64</v>
      </c>
      <c r="H58" s="288">
        <v>0</v>
      </c>
      <c r="I58" s="288">
        <v>-2755.76</v>
      </c>
      <c r="J58" s="288">
        <v>0</v>
      </c>
      <c r="K58" s="288">
        <v>0</v>
      </c>
      <c r="L58" s="243">
        <f t="shared" si="7"/>
        <v>-2755.76</v>
      </c>
      <c r="M58" s="243" t="str">
        <f t="shared" si="1"/>
        <v>553</v>
      </c>
      <c r="N58" s="255">
        <f>$G58*SUMIF('KU-LGE Rating'!$R:$R,$D58,'KU-LGE Rating'!F:F)</f>
        <v>649297.30319999997</v>
      </c>
      <c r="O58" s="256">
        <f>$G58*SUMIF('KU-LGE Rating'!$R:$R,$D58,'KU-LGE Rating'!G:G)</f>
        <v>381333.33679999999</v>
      </c>
      <c r="P58" s="257">
        <f t="shared" si="8"/>
        <v>1030630.6399999999</v>
      </c>
      <c r="Q58" s="255">
        <f>$H58*SUMIF('KU-LGE Rating'!$R:$R,$D58,'KU-LGE Rating'!$F:$F)</f>
        <v>0</v>
      </c>
      <c r="R58" s="256">
        <f>$H58*SUMIF('KU-LGE Rating'!$R:$R,$D58,'KU-LGE Rating'!$G:$G)</f>
        <v>0</v>
      </c>
      <c r="S58" s="257">
        <f t="shared" si="9"/>
        <v>0</v>
      </c>
      <c r="T58" s="255">
        <f>$I58*SUMIF('KU-LGE Rating'!$R:$R,$D58,'KU-LGE Rating'!$F:$F)</f>
        <v>-1736.1288000000002</v>
      </c>
      <c r="U58" s="256">
        <f>$I58*SUMIF('KU-LGE Rating'!$R:$R,$D58,'KU-LGE Rating'!$G:$G)</f>
        <v>-1019.6312</v>
      </c>
      <c r="V58" s="257">
        <f t="shared" si="10"/>
        <v>-2755.76</v>
      </c>
      <c r="W58" s="255">
        <f>$J58*SUMIF('KU-LGE Rating'!$R:$R,$D58,'KU-LGE Rating'!$F:$F)</f>
        <v>0</v>
      </c>
      <c r="X58" s="256">
        <f>$J58*SUMIF('KU-LGE Rating'!$R:$R,$D58,'KU-LGE Rating'!$G:$G)</f>
        <v>0</v>
      </c>
      <c r="Y58" s="257">
        <f t="shared" si="11"/>
        <v>0</v>
      </c>
      <c r="Z58" s="255">
        <f>$K58*SUMIF('KU-LGE Rating'!$R:$R,$D58,'KU-LGE Rating'!$F:$F)</f>
        <v>0</v>
      </c>
      <c r="AA58" s="256">
        <f>$K58*SUMIF('KU-LGE Rating'!$R:$R,$D58,'KU-LGE Rating'!$G:$G)</f>
        <v>0</v>
      </c>
      <c r="AB58" s="257">
        <f t="shared" si="12"/>
        <v>0</v>
      </c>
    </row>
    <row r="59" spans="1:28">
      <c r="A59" s="1" t="s">
        <v>2769</v>
      </c>
      <c r="B59" t="s">
        <v>3</v>
      </c>
      <c r="C59" t="s">
        <v>3723</v>
      </c>
      <c r="D59" t="s">
        <v>3742</v>
      </c>
      <c r="E59">
        <v>511100</v>
      </c>
      <c r="F59" t="s">
        <v>3893</v>
      </c>
      <c r="G59" s="288">
        <v>140.44999999999999</v>
      </c>
      <c r="H59" s="288">
        <v>0</v>
      </c>
      <c r="I59" s="288">
        <v>0</v>
      </c>
      <c r="J59" s="288">
        <v>0</v>
      </c>
      <c r="K59" s="288">
        <v>0</v>
      </c>
      <c r="L59" s="243">
        <f t="shared" si="7"/>
        <v>0</v>
      </c>
      <c r="M59" s="243" t="str">
        <f t="shared" si="1"/>
        <v>511</v>
      </c>
      <c r="N59" s="255">
        <f>$G59*SUMIF('KU-LGE Rating'!$R:$R,$D59,'KU-LGE Rating'!F:F)</f>
        <v>140.44999999999999</v>
      </c>
      <c r="O59" s="256">
        <f>$G59*SUMIF('KU-LGE Rating'!$R:$R,$D59,'KU-LGE Rating'!G:G)</f>
        <v>0</v>
      </c>
      <c r="P59" s="257">
        <f t="shared" si="8"/>
        <v>140.44999999999999</v>
      </c>
      <c r="Q59" s="255">
        <f>$H59*SUMIF('KU-LGE Rating'!$R:$R,$D59,'KU-LGE Rating'!$F:$F)</f>
        <v>0</v>
      </c>
      <c r="R59" s="256">
        <f>$H59*SUMIF('KU-LGE Rating'!$R:$R,$D59,'KU-LGE Rating'!$G:$G)</f>
        <v>0</v>
      </c>
      <c r="S59" s="257">
        <f t="shared" si="9"/>
        <v>0</v>
      </c>
      <c r="T59" s="255">
        <f>$I59*SUMIF('KU-LGE Rating'!$R:$R,$D59,'KU-LGE Rating'!$F:$F)</f>
        <v>0</v>
      </c>
      <c r="U59" s="256">
        <f>$I59*SUMIF('KU-LGE Rating'!$R:$R,$D59,'KU-LGE Rating'!$G:$G)</f>
        <v>0</v>
      </c>
      <c r="V59" s="257">
        <f t="shared" si="10"/>
        <v>0</v>
      </c>
      <c r="W59" s="255">
        <f>$J59*SUMIF('KU-LGE Rating'!$R:$R,$D59,'KU-LGE Rating'!$F:$F)</f>
        <v>0</v>
      </c>
      <c r="X59" s="256">
        <f>$J59*SUMIF('KU-LGE Rating'!$R:$R,$D59,'KU-LGE Rating'!$G:$G)</f>
        <v>0</v>
      </c>
      <c r="Y59" s="257">
        <f t="shared" si="11"/>
        <v>0</v>
      </c>
      <c r="Z59" s="255">
        <f>$K59*SUMIF('KU-LGE Rating'!$R:$R,$D59,'KU-LGE Rating'!$F:$F)</f>
        <v>0</v>
      </c>
      <c r="AA59" s="256">
        <f>$K59*SUMIF('KU-LGE Rating'!$R:$R,$D59,'KU-LGE Rating'!$G:$G)</f>
        <v>0</v>
      </c>
      <c r="AB59" s="257">
        <f t="shared" si="12"/>
        <v>0</v>
      </c>
    </row>
    <row r="60" spans="1:28">
      <c r="A60" s="1" t="s">
        <v>2769</v>
      </c>
      <c r="B60" t="s">
        <v>3</v>
      </c>
      <c r="C60" t="s">
        <v>3723</v>
      </c>
      <c r="D60" t="s">
        <v>3742</v>
      </c>
      <c r="E60">
        <v>512011</v>
      </c>
      <c r="F60" t="s">
        <v>3893</v>
      </c>
      <c r="G60" s="288">
        <v>1555.95</v>
      </c>
      <c r="H60" s="288">
        <v>3525.12</v>
      </c>
      <c r="I60" s="288">
        <v>52000.22</v>
      </c>
      <c r="J60" s="288">
        <v>31238.02</v>
      </c>
      <c r="K60" s="288">
        <v>0</v>
      </c>
      <c r="L60" s="243">
        <f t="shared" si="7"/>
        <v>86763.36</v>
      </c>
      <c r="M60" s="243" t="str">
        <f t="shared" si="1"/>
        <v>512</v>
      </c>
      <c r="N60" s="255">
        <f>$G60*SUMIF('KU-LGE Rating'!$R:$R,$D60,'KU-LGE Rating'!F:F)</f>
        <v>1555.95</v>
      </c>
      <c r="O60" s="256">
        <f>$G60*SUMIF('KU-LGE Rating'!$R:$R,$D60,'KU-LGE Rating'!G:G)</f>
        <v>0</v>
      </c>
      <c r="P60" s="257">
        <f t="shared" si="8"/>
        <v>1555.95</v>
      </c>
      <c r="Q60" s="255">
        <f>$H60*SUMIF('KU-LGE Rating'!$R:$R,$D60,'KU-LGE Rating'!$F:$F)</f>
        <v>3525.12</v>
      </c>
      <c r="R60" s="256">
        <f>$H60*SUMIF('KU-LGE Rating'!$R:$R,$D60,'KU-LGE Rating'!$G:$G)</f>
        <v>0</v>
      </c>
      <c r="S60" s="257">
        <f t="shared" si="9"/>
        <v>3525.12</v>
      </c>
      <c r="T60" s="255">
        <f>$I60*SUMIF('KU-LGE Rating'!$R:$R,$D60,'KU-LGE Rating'!$F:$F)</f>
        <v>52000.22</v>
      </c>
      <c r="U60" s="256">
        <f>$I60*SUMIF('KU-LGE Rating'!$R:$R,$D60,'KU-LGE Rating'!$G:$G)</f>
        <v>0</v>
      </c>
      <c r="V60" s="257">
        <f t="shared" si="10"/>
        <v>52000.22</v>
      </c>
      <c r="W60" s="255">
        <f>$J60*SUMIF('KU-LGE Rating'!$R:$R,$D60,'KU-LGE Rating'!$F:$F)</f>
        <v>31238.02</v>
      </c>
      <c r="X60" s="256">
        <f>$J60*SUMIF('KU-LGE Rating'!$R:$R,$D60,'KU-LGE Rating'!$G:$G)</f>
        <v>0</v>
      </c>
      <c r="Y60" s="257">
        <f t="shared" si="11"/>
        <v>31238.02</v>
      </c>
      <c r="Z60" s="255">
        <f>$K60*SUMIF('KU-LGE Rating'!$R:$R,$D60,'KU-LGE Rating'!$F:$F)</f>
        <v>0</v>
      </c>
      <c r="AA60" s="256">
        <f>$K60*SUMIF('KU-LGE Rating'!$R:$R,$D60,'KU-LGE Rating'!$G:$G)</f>
        <v>0</v>
      </c>
      <c r="AB60" s="257">
        <f t="shared" si="12"/>
        <v>0</v>
      </c>
    </row>
    <row r="61" spans="1:28">
      <c r="A61" s="1" t="s">
        <v>2769</v>
      </c>
      <c r="B61" t="s">
        <v>3</v>
      </c>
      <c r="C61" t="s">
        <v>3723</v>
      </c>
      <c r="D61" t="s">
        <v>3742</v>
      </c>
      <c r="E61">
        <v>512017</v>
      </c>
      <c r="F61" t="s">
        <v>3893</v>
      </c>
      <c r="G61" s="288">
        <v>845.87</v>
      </c>
      <c r="H61" s="288">
        <v>19741.080000000002</v>
      </c>
      <c r="I61" s="288">
        <v>2475.3200000000002</v>
      </c>
      <c r="J61" s="288">
        <v>17041.68</v>
      </c>
      <c r="K61" s="288">
        <v>381.24</v>
      </c>
      <c r="L61" s="243">
        <f t="shared" si="7"/>
        <v>39639.32</v>
      </c>
      <c r="M61" s="243" t="str">
        <f t="shared" si="1"/>
        <v>512</v>
      </c>
      <c r="N61" s="255">
        <f>$G61*SUMIF('KU-LGE Rating'!$R:$R,$D61,'KU-LGE Rating'!F:F)</f>
        <v>845.87</v>
      </c>
      <c r="O61" s="256">
        <f>$G61*SUMIF('KU-LGE Rating'!$R:$R,$D61,'KU-LGE Rating'!G:G)</f>
        <v>0</v>
      </c>
      <c r="P61" s="257">
        <f t="shared" si="8"/>
        <v>845.87</v>
      </c>
      <c r="Q61" s="255">
        <f>$H61*SUMIF('KU-LGE Rating'!$R:$R,$D61,'KU-LGE Rating'!$F:$F)</f>
        <v>19741.080000000002</v>
      </c>
      <c r="R61" s="256">
        <f>$H61*SUMIF('KU-LGE Rating'!$R:$R,$D61,'KU-LGE Rating'!$G:$G)</f>
        <v>0</v>
      </c>
      <c r="S61" s="257">
        <f t="shared" si="9"/>
        <v>19741.080000000002</v>
      </c>
      <c r="T61" s="255">
        <f>$I61*SUMIF('KU-LGE Rating'!$R:$R,$D61,'KU-LGE Rating'!$F:$F)</f>
        <v>2475.3200000000002</v>
      </c>
      <c r="U61" s="256">
        <f>$I61*SUMIF('KU-LGE Rating'!$R:$R,$D61,'KU-LGE Rating'!$G:$G)</f>
        <v>0</v>
      </c>
      <c r="V61" s="257">
        <f t="shared" si="10"/>
        <v>2475.3200000000002</v>
      </c>
      <c r="W61" s="255">
        <f>$J61*SUMIF('KU-LGE Rating'!$R:$R,$D61,'KU-LGE Rating'!$F:$F)</f>
        <v>17041.68</v>
      </c>
      <c r="X61" s="256">
        <f>$J61*SUMIF('KU-LGE Rating'!$R:$R,$D61,'KU-LGE Rating'!$G:$G)</f>
        <v>0</v>
      </c>
      <c r="Y61" s="257">
        <f t="shared" si="11"/>
        <v>17041.68</v>
      </c>
      <c r="Z61" s="255">
        <f>$K61*SUMIF('KU-LGE Rating'!$R:$R,$D61,'KU-LGE Rating'!$F:$F)</f>
        <v>381.24</v>
      </c>
      <c r="AA61" s="256">
        <f>$K61*SUMIF('KU-LGE Rating'!$R:$R,$D61,'KU-LGE Rating'!$G:$G)</f>
        <v>0</v>
      </c>
      <c r="AB61" s="257">
        <f t="shared" si="12"/>
        <v>381.24</v>
      </c>
    </row>
    <row r="62" spans="1:28">
      <c r="A62" s="1" t="s">
        <v>2769</v>
      </c>
      <c r="B62" t="s">
        <v>3</v>
      </c>
      <c r="C62" t="s">
        <v>3723</v>
      </c>
      <c r="D62" t="s">
        <v>3742</v>
      </c>
      <c r="E62">
        <v>512100</v>
      </c>
      <c r="F62" t="s">
        <v>3893</v>
      </c>
      <c r="G62" s="288">
        <v>161100.71</v>
      </c>
      <c r="H62" s="288">
        <v>656053.78</v>
      </c>
      <c r="I62" s="288">
        <v>252454.44</v>
      </c>
      <c r="J62" s="288">
        <v>523505.37</v>
      </c>
      <c r="K62" s="288">
        <v>314192.14</v>
      </c>
      <c r="L62" s="243">
        <f t="shared" si="7"/>
        <v>1746205.73</v>
      </c>
      <c r="M62" s="243" t="str">
        <f t="shared" si="1"/>
        <v>512</v>
      </c>
      <c r="N62" s="255">
        <f>$G62*SUMIF('KU-LGE Rating'!$R:$R,$D62,'KU-LGE Rating'!F:F)</f>
        <v>161100.71</v>
      </c>
      <c r="O62" s="256">
        <f>$G62*SUMIF('KU-LGE Rating'!$R:$R,$D62,'KU-LGE Rating'!G:G)</f>
        <v>0</v>
      </c>
      <c r="P62" s="257">
        <f t="shared" si="8"/>
        <v>161100.71</v>
      </c>
      <c r="Q62" s="255">
        <f>$H62*SUMIF('KU-LGE Rating'!$R:$R,$D62,'KU-LGE Rating'!$F:$F)</f>
        <v>656053.78</v>
      </c>
      <c r="R62" s="256">
        <f>$H62*SUMIF('KU-LGE Rating'!$R:$R,$D62,'KU-LGE Rating'!$G:$G)</f>
        <v>0</v>
      </c>
      <c r="S62" s="257">
        <f t="shared" si="9"/>
        <v>656053.78</v>
      </c>
      <c r="T62" s="255">
        <f>$I62*SUMIF('KU-LGE Rating'!$R:$R,$D62,'KU-LGE Rating'!$F:$F)</f>
        <v>252454.44</v>
      </c>
      <c r="U62" s="256">
        <f>$I62*SUMIF('KU-LGE Rating'!$R:$R,$D62,'KU-LGE Rating'!$G:$G)</f>
        <v>0</v>
      </c>
      <c r="V62" s="257">
        <f t="shared" si="10"/>
        <v>252454.44</v>
      </c>
      <c r="W62" s="255">
        <f>$J62*SUMIF('KU-LGE Rating'!$R:$R,$D62,'KU-LGE Rating'!$F:$F)</f>
        <v>523505.37</v>
      </c>
      <c r="X62" s="256">
        <f>$J62*SUMIF('KU-LGE Rating'!$R:$R,$D62,'KU-LGE Rating'!$G:$G)</f>
        <v>0</v>
      </c>
      <c r="Y62" s="257">
        <f t="shared" si="11"/>
        <v>523505.37</v>
      </c>
      <c r="Z62" s="255">
        <f>$K62*SUMIF('KU-LGE Rating'!$R:$R,$D62,'KU-LGE Rating'!$F:$F)</f>
        <v>314192.14</v>
      </c>
      <c r="AA62" s="256">
        <f>$K62*SUMIF('KU-LGE Rating'!$R:$R,$D62,'KU-LGE Rating'!$G:$G)</f>
        <v>0</v>
      </c>
      <c r="AB62" s="257">
        <f t="shared" si="12"/>
        <v>314192.14</v>
      </c>
    </row>
    <row r="63" spans="1:28">
      <c r="A63" s="1" t="s">
        <v>2769</v>
      </c>
      <c r="B63" t="s">
        <v>3</v>
      </c>
      <c r="C63" t="s">
        <v>3723</v>
      </c>
      <c r="D63" t="s">
        <v>3742</v>
      </c>
      <c r="E63">
        <v>513100</v>
      </c>
      <c r="F63" t="s">
        <v>3893</v>
      </c>
      <c r="G63" s="288">
        <v>56112.09</v>
      </c>
      <c r="H63" s="288">
        <v>54396.31</v>
      </c>
      <c r="I63" s="288">
        <v>39691.58</v>
      </c>
      <c r="J63" s="288">
        <v>120540.9</v>
      </c>
      <c r="K63" s="288">
        <v>29032.75</v>
      </c>
      <c r="L63" s="243">
        <f t="shared" si="7"/>
        <v>243661.53999999998</v>
      </c>
      <c r="M63" s="243" t="str">
        <f t="shared" si="1"/>
        <v>513</v>
      </c>
      <c r="N63" s="255">
        <f>$G63*SUMIF('KU-LGE Rating'!$R:$R,$D63,'KU-LGE Rating'!F:F)</f>
        <v>56112.09</v>
      </c>
      <c r="O63" s="256">
        <f>$G63*SUMIF('KU-LGE Rating'!$R:$R,$D63,'KU-LGE Rating'!G:G)</f>
        <v>0</v>
      </c>
      <c r="P63" s="257">
        <f t="shared" si="8"/>
        <v>56112.09</v>
      </c>
      <c r="Q63" s="255">
        <f>$H63*SUMIF('KU-LGE Rating'!$R:$R,$D63,'KU-LGE Rating'!$F:$F)</f>
        <v>54396.31</v>
      </c>
      <c r="R63" s="256">
        <f>$H63*SUMIF('KU-LGE Rating'!$R:$R,$D63,'KU-LGE Rating'!$G:$G)</f>
        <v>0</v>
      </c>
      <c r="S63" s="257">
        <f t="shared" si="9"/>
        <v>54396.31</v>
      </c>
      <c r="T63" s="255">
        <f>$I63*SUMIF('KU-LGE Rating'!$R:$R,$D63,'KU-LGE Rating'!$F:$F)</f>
        <v>39691.58</v>
      </c>
      <c r="U63" s="256">
        <f>$I63*SUMIF('KU-LGE Rating'!$R:$R,$D63,'KU-LGE Rating'!$G:$G)</f>
        <v>0</v>
      </c>
      <c r="V63" s="257">
        <f t="shared" si="10"/>
        <v>39691.58</v>
      </c>
      <c r="W63" s="255">
        <f>$J63*SUMIF('KU-LGE Rating'!$R:$R,$D63,'KU-LGE Rating'!$F:$F)</f>
        <v>120540.9</v>
      </c>
      <c r="X63" s="256">
        <f>$J63*SUMIF('KU-LGE Rating'!$R:$R,$D63,'KU-LGE Rating'!$G:$G)</f>
        <v>0</v>
      </c>
      <c r="Y63" s="257">
        <f t="shared" si="11"/>
        <v>120540.9</v>
      </c>
      <c r="Z63" s="255">
        <f>$K63*SUMIF('KU-LGE Rating'!$R:$R,$D63,'KU-LGE Rating'!$F:$F)</f>
        <v>29032.75</v>
      </c>
      <c r="AA63" s="256">
        <f>$K63*SUMIF('KU-LGE Rating'!$R:$R,$D63,'KU-LGE Rating'!$G:$G)</f>
        <v>0</v>
      </c>
      <c r="AB63" s="257">
        <f t="shared" si="12"/>
        <v>29032.75</v>
      </c>
    </row>
    <row r="64" spans="1:28">
      <c r="A64" s="1" t="s">
        <v>2769</v>
      </c>
      <c r="B64" t="s">
        <v>3</v>
      </c>
      <c r="C64" t="s">
        <v>3723</v>
      </c>
      <c r="D64" t="s">
        <v>3742</v>
      </c>
      <c r="E64">
        <v>514100</v>
      </c>
      <c r="F64" t="s">
        <v>3893</v>
      </c>
      <c r="G64" s="288">
        <v>0</v>
      </c>
      <c r="H64" s="288">
        <v>0</v>
      </c>
      <c r="I64" s="288">
        <v>0</v>
      </c>
      <c r="J64" s="288">
        <v>58.35</v>
      </c>
      <c r="K64" s="288">
        <v>0</v>
      </c>
      <c r="L64" s="243">
        <f t="shared" si="7"/>
        <v>58.35</v>
      </c>
      <c r="M64" s="243" t="str">
        <f t="shared" si="1"/>
        <v>514</v>
      </c>
      <c r="N64" s="255">
        <f>$G64*SUMIF('KU-LGE Rating'!$R:$R,$D64,'KU-LGE Rating'!F:F)</f>
        <v>0</v>
      </c>
      <c r="O64" s="256">
        <f>$G64*SUMIF('KU-LGE Rating'!$R:$R,$D64,'KU-LGE Rating'!G:G)</f>
        <v>0</v>
      </c>
      <c r="P64" s="257">
        <f t="shared" si="8"/>
        <v>0</v>
      </c>
      <c r="Q64" s="255">
        <f>$H64*SUMIF('KU-LGE Rating'!$R:$R,$D64,'KU-LGE Rating'!$F:$F)</f>
        <v>0</v>
      </c>
      <c r="R64" s="256">
        <f>$H64*SUMIF('KU-LGE Rating'!$R:$R,$D64,'KU-LGE Rating'!$G:$G)</f>
        <v>0</v>
      </c>
      <c r="S64" s="257">
        <f t="shared" si="9"/>
        <v>0</v>
      </c>
      <c r="T64" s="255">
        <f>$I64*SUMIF('KU-LGE Rating'!$R:$R,$D64,'KU-LGE Rating'!$F:$F)</f>
        <v>0</v>
      </c>
      <c r="U64" s="256">
        <f>$I64*SUMIF('KU-LGE Rating'!$R:$R,$D64,'KU-LGE Rating'!$G:$G)</f>
        <v>0</v>
      </c>
      <c r="V64" s="257">
        <f t="shared" si="10"/>
        <v>0</v>
      </c>
      <c r="W64" s="255">
        <f>$J64*SUMIF('KU-LGE Rating'!$R:$R,$D64,'KU-LGE Rating'!$F:$F)</f>
        <v>58.35</v>
      </c>
      <c r="X64" s="256">
        <f>$J64*SUMIF('KU-LGE Rating'!$R:$R,$D64,'KU-LGE Rating'!$G:$G)</f>
        <v>0</v>
      </c>
      <c r="Y64" s="257">
        <f t="shared" si="11"/>
        <v>58.35</v>
      </c>
      <c r="Z64" s="255">
        <f>$K64*SUMIF('KU-LGE Rating'!$R:$R,$D64,'KU-LGE Rating'!$F:$F)</f>
        <v>0</v>
      </c>
      <c r="AA64" s="256">
        <f>$K64*SUMIF('KU-LGE Rating'!$R:$R,$D64,'KU-LGE Rating'!$G:$G)</f>
        <v>0</v>
      </c>
      <c r="AB64" s="257">
        <f t="shared" si="12"/>
        <v>0</v>
      </c>
    </row>
    <row r="65" spans="1:28">
      <c r="A65" s="1" t="s">
        <v>2769</v>
      </c>
      <c r="B65" t="s">
        <v>3</v>
      </c>
      <c r="C65" t="s">
        <v>3723</v>
      </c>
      <c r="D65" t="s">
        <v>3742</v>
      </c>
      <c r="E65">
        <v>553100</v>
      </c>
      <c r="F65" t="s">
        <v>3893</v>
      </c>
      <c r="G65" s="288">
        <v>328.5</v>
      </c>
      <c r="H65" s="288">
        <v>0</v>
      </c>
      <c r="I65" s="288">
        <v>0</v>
      </c>
      <c r="J65" s="288">
        <v>0</v>
      </c>
      <c r="K65" s="288">
        <v>0</v>
      </c>
      <c r="L65" s="243">
        <f t="shared" si="7"/>
        <v>0</v>
      </c>
      <c r="M65" s="243" t="str">
        <f t="shared" si="1"/>
        <v>553</v>
      </c>
      <c r="N65" s="255">
        <f>$G65*SUMIF('KU-LGE Rating'!$R:$R,$D65,'KU-LGE Rating'!F:F)</f>
        <v>328.5</v>
      </c>
      <c r="O65" s="256">
        <f>$G65*SUMIF('KU-LGE Rating'!$R:$R,$D65,'KU-LGE Rating'!G:G)</f>
        <v>0</v>
      </c>
      <c r="P65" s="257">
        <f t="shared" si="8"/>
        <v>328.5</v>
      </c>
      <c r="Q65" s="255">
        <f>$H65*SUMIF('KU-LGE Rating'!$R:$R,$D65,'KU-LGE Rating'!$F:$F)</f>
        <v>0</v>
      </c>
      <c r="R65" s="256">
        <f>$H65*SUMIF('KU-LGE Rating'!$R:$R,$D65,'KU-LGE Rating'!$G:$G)</f>
        <v>0</v>
      </c>
      <c r="S65" s="257">
        <f t="shared" si="9"/>
        <v>0</v>
      </c>
      <c r="T65" s="255">
        <f>$I65*SUMIF('KU-LGE Rating'!$R:$R,$D65,'KU-LGE Rating'!$F:$F)</f>
        <v>0</v>
      </c>
      <c r="U65" s="256">
        <f>$I65*SUMIF('KU-LGE Rating'!$R:$R,$D65,'KU-LGE Rating'!$G:$G)</f>
        <v>0</v>
      </c>
      <c r="V65" s="257">
        <f t="shared" si="10"/>
        <v>0</v>
      </c>
      <c r="W65" s="255">
        <f>$J65*SUMIF('KU-LGE Rating'!$R:$R,$D65,'KU-LGE Rating'!$F:$F)</f>
        <v>0</v>
      </c>
      <c r="X65" s="256">
        <f>$J65*SUMIF('KU-LGE Rating'!$R:$R,$D65,'KU-LGE Rating'!$G:$G)</f>
        <v>0</v>
      </c>
      <c r="Y65" s="257">
        <f t="shared" si="11"/>
        <v>0</v>
      </c>
      <c r="Z65" s="255">
        <f>$K65*SUMIF('KU-LGE Rating'!$R:$R,$D65,'KU-LGE Rating'!$F:$F)</f>
        <v>0</v>
      </c>
      <c r="AA65" s="256">
        <f>$K65*SUMIF('KU-LGE Rating'!$R:$R,$D65,'KU-LGE Rating'!$G:$G)</f>
        <v>0</v>
      </c>
      <c r="AB65" s="257">
        <f t="shared" si="12"/>
        <v>0</v>
      </c>
    </row>
    <row r="66" spans="1:28">
      <c r="A66" s="1" t="s">
        <v>2769</v>
      </c>
      <c r="B66" t="s">
        <v>3</v>
      </c>
      <c r="C66" t="s">
        <v>3723</v>
      </c>
      <c r="D66" t="s">
        <v>3743</v>
      </c>
      <c r="E66">
        <v>511100</v>
      </c>
      <c r="F66" t="s">
        <v>3893</v>
      </c>
      <c r="G66" s="288">
        <v>0</v>
      </c>
      <c r="H66" s="288">
        <v>0</v>
      </c>
      <c r="I66" s="288">
        <v>0.28999999999999998</v>
      </c>
      <c r="J66" s="288">
        <v>0</v>
      </c>
      <c r="K66" s="288">
        <v>0</v>
      </c>
      <c r="L66" s="243">
        <f t="shared" si="7"/>
        <v>0.28999999999999998</v>
      </c>
      <c r="M66" s="243" t="str">
        <f t="shared" si="1"/>
        <v>511</v>
      </c>
      <c r="N66" s="255">
        <f>$G66*SUMIF('KU-LGE Rating'!$R:$R,$D66,'KU-LGE Rating'!F:F)</f>
        <v>0</v>
      </c>
      <c r="O66" s="256">
        <f>$G66*SUMIF('KU-LGE Rating'!$R:$R,$D66,'KU-LGE Rating'!G:G)</f>
        <v>0</v>
      </c>
      <c r="P66" s="257">
        <f t="shared" si="8"/>
        <v>0</v>
      </c>
      <c r="Q66" s="255">
        <f>$H66*SUMIF('KU-LGE Rating'!$R:$R,$D66,'KU-LGE Rating'!$F:$F)</f>
        <v>0</v>
      </c>
      <c r="R66" s="256">
        <f>$H66*SUMIF('KU-LGE Rating'!$R:$R,$D66,'KU-LGE Rating'!$G:$G)</f>
        <v>0</v>
      </c>
      <c r="S66" s="257">
        <f t="shared" si="9"/>
        <v>0</v>
      </c>
      <c r="T66" s="255">
        <f>$I66*SUMIF('KU-LGE Rating'!$R:$R,$D66,'KU-LGE Rating'!$F:$F)</f>
        <v>0.28999999999999998</v>
      </c>
      <c r="U66" s="256">
        <f>$I66*SUMIF('KU-LGE Rating'!$R:$R,$D66,'KU-LGE Rating'!$G:$G)</f>
        <v>0</v>
      </c>
      <c r="V66" s="257">
        <f t="shared" si="10"/>
        <v>0.28999999999999998</v>
      </c>
      <c r="W66" s="255">
        <f>$J66*SUMIF('KU-LGE Rating'!$R:$R,$D66,'KU-LGE Rating'!$F:$F)</f>
        <v>0</v>
      </c>
      <c r="X66" s="256">
        <f>$J66*SUMIF('KU-LGE Rating'!$R:$R,$D66,'KU-LGE Rating'!$G:$G)</f>
        <v>0</v>
      </c>
      <c r="Y66" s="257">
        <f t="shared" si="11"/>
        <v>0</v>
      </c>
      <c r="Z66" s="255">
        <f>$K66*SUMIF('KU-LGE Rating'!$R:$R,$D66,'KU-LGE Rating'!$F:$F)</f>
        <v>0</v>
      </c>
      <c r="AA66" s="256">
        <f>$K66*SUMIF('KU-LGE Rating'!$R:$R,$D66,'KU-LGE Rating'!$G:$G)</f>
        <v>0</v>
      </c>
      <c r="AB66" s="257">
        <f t="shared" si="12"/>
        <v>0</v>
      </c>
    </row>
    <row r="67" spans="1:28">
      <c r="A67" s="1" t="s">
        <v>2769</v>
      </c>
      <c r="B67" t="s">
        <v>3</v>
      </c>
      <c r="C67" t="s">
        <v>3723</v>
      </c>
      <c r="D67" t="s">
        <v>3743</v>
      </c>
      <c r="E67">
        <v>512005</v>
      </c>
      <c r="F67" t="s">
        <v>3893</v>
      </c>
      <c r="G67" s="288">
        <v>0</v>
      </c>
      <c r="H67" s="288">
        <v>0</v>
      </c>
      <c r="I67" s="288">
        <v>79369.820000000007</v>
      </c>
      <c r="J67" s="288">
        <v>6138.73</v>
      </c>
      <c r="K67" s="288">
        <v>1.64</v>
      </c>
      <c r="L67" s="243">
        <f t="shared" si="7"/>
        <v>85510.19</v>
      </c>
      <c r="M67" s="243" t="str">
        <f t="shared" si="1"/>
        <v>512</v>
      </c>
      <c r="N67" s="255">
        <f>$G67*SUMIF('KU-LGE Rating'!$R:$R,$D67,'KU-LGE Rating'!F:F)</f>
        <v>0</v>
      </c>
      <c r="O67" s="256">
        <f>$G67*SUMIF('KU-LGE Rating'!$R:$R,$D67,'KU-LGE Rating'!G:G)</f>
        <v>0</v>
      </c>
      <c r="P67" s="257">
        <f t="shared" si="8"/>
        <v>0</v>
      </c>
      <c r="Q67" s="255">
        <f>$H67*SUMIF('KU-LGE Rating'!$R:$R,$D67,'KU-LGE Rating'!$F:$F)</f>
        <v>0</v>
      </c>
      <c r="R67" s="256">
        <f>$H67*SUMIF('KU-LGE Rating'!$R:$R,$D67,'KU-LGE Rating'!$G:$G)</f>
        <v>0</v>
      </c>
      <c r="S67" s="257">
        <f t="shared" si="9"/>
        <v>0</v>
      </c>
      <c r="T67" s="255">
        <f>$I67*SUMIF('KU-LGE Rating'!$R:$R,$D67,'KU-LGE Rating'!$F:$F)</f>
        <v>79369.820000000007</v>
      </c>
      <c r="U67" s="256">
        <f>$I67*SUMIF('KU-LGE Rating'!$R:$R,$D67,'KU-LGE Rating'!$G:$G)</f>
        <v>0</v>
      </c>
      <c r="V67" s="257">
        <f t="shared" si="10"/>
        <v>79369.820000000007</v>
      </c>
      <c r="W67" s="255">
        <f>$J67*SUMIF('KU-LGE Rating'!$R:$R,$D67,'KU-LGE Rating'!$F:$F)</f>
        <v>6138.73</v>
      </c>
      <c r="X67" s="256">
        <f>$J67*SUMIF('KU-LGE Rating'!$R:$R,$D67,'KU-LGE Rating'!$G:$G)</f>
        <v>0</v>
      </c>
      <c r="Y67" s="257">
        <f t="shared" si="11"/>
        <v>6138.73</v>
      </c>
      <c r="Z67" s="255">
        <f>$K67*SUMIF('KU-LGE Rating'!$R:$R,$D67,'KU-LGE Rating'!$F:$F)</f>
        <v>1.64</v>
      </c>
      <c r="AA67" s="256">
        <f>$K67*SUMIF('KU-LGE Rating'!$R:$R,$D67,'KU-LGE Rating'!$G:$G)</f>
        <v>0</v>
      </c>
      <c r="AB67" s="257">
        <f t="shared" si="12"/>
        <v>1.64</v>
      </c>
    </row>
    <row r="68" spans="1:28">
      <c r="A68" s="1" t="s">
        <v>2769</v>
      </c>
      <c r="B68" t="s">
        <v>3</v>
      </c>
      <c r="C68" t="s">
        <v>3723</v>
      </c>
      <c r="D68" t="s">
        <v>3743</v>
      </c>
      <c r="E68">
        <v>512100</v>
      </c>
      <c r="F68" t="s">
        <v>3893</v>
      </c>
      <c r="G68" s="288">
        <v>27958.560000000001</v>
      </c>
      <c r="H68" s="288">
        <v>0</v>
      </c>
      <c r="I68" s="288">
        <v>0</v>
      </c>
      <c r="J68" s="288">
        <v>0</v>
      </c>
      <c r="K68" s="288">
        <v>0</v>
      </c>
      <c r="L68" s="243">
        <f t="shared" si="7"/>
        <v>0</v>
      </c>
      <c r="M68" s="243" t="str">
        <f t="shared" ref="M68:M131" si="13">LEFT(E68,3)</f>
        <v>512</v>
      </c>
      <c r="N68" s="255">
        <f>$G68*SUMIF('KU-LGE Rating'!$R:$R,$D68,'KU-LGE Rating'!F:F)</f>
        <v>27958.560000000001</v>
      </c>
      <c r="O68" s="256">
        <f>$G68*SUMIF('KU-LGE Rating'!$R:$R,$D68,'KU-LGE Rating'!G:G)</f>
        <v>0</v>
      </c>
      <c r="P68" s="257">
        <f t="shared" si="8"/>
        <v>27958.560000000001</v>
      </c>
      <c r="Q68" s="255">
        <f>$H68*SUMIF('KU-LGE Rating'!$R:$R,$D68,'KU-LGE Rating'!$F:$F)</f>
        <v>0</v>
      </c>
      <c r="R68" s="256">
        <f>$H68*SUMIF('KU-LGE Rating'!$R:$R,$D68,'KU-LGE Rating'!$G:$G)</f>
        <v>0</v>
      </c>
      <c r="S68" s="257">
        <f t="shared" si="9"/>
        <v>0</v>
      </c>
      <c r="T68" s="255">
        <f>$I68*SUMIF('KU-LGE Rating'!$R:$R,$D68,'KU-LGE Rating'!$F:$F)</f>
        <v>0</v>
      </c>
      <c r="U68" s="256">
        <f>$I68*SUMIF('KU-LGE Rating'!$R:$R,$D68,'KU-LGE Rating'!$G:$G)</f>
        <v>0</v>
      </c>
      <c r="V68" s="257">
        <f t="shared" si="10"/>
        <v>0</v>
      </c>
      <c r="W68" s="255">
        <f>$J68*SUMIF('KU-LGE Rating'!$R:$R,$D68,'KU-LGE Rating'!$F:$F)</f>
        <v>0</v>
      </c>
      <c r="X68" s="256">
        <f>$J68*SUMIF('KU-LGE Rating'!$R:$R,$D68,'KU-LGE Rating'!$G:$G)</f>
        <v>0</v>
      </c>
      <c r="Y68" s="257">
        <f t="shared" si="11"/>
        <v>0</v>
      </c>
      <c r="Z68" s="255">
        <f>$K68*SUMIF('KU-LGE Rating'!$R:$R,$D68,'KU-LGE Rating'!$F:$F)</f>
        <v>0</v>
      </c>
      <c r="AA68" s="256">
        <f>$K68*SUMIF('KU-LGE Rating'!$R:$R,$D68,'KU-LGE Rating'!$G:$G)</f>
        <v>0</v>
      </c>
      <c r="AB68" s="257">
        <f t="shared" si="12"/>
        <v>0</v>
      </c>
    </row>
    <row r="69" spans="1:28">
      <c r="A69" s="1" t="s">
        <v>2769</v>
      </c>
      <c r="B69" t="s">
        <v>3</v>
      </c>
      <c r="C69" t="s">
        <v>3723</v>
      </c>
      <c r="D69" t="s">
        <v>3743</v>
      </c>
      <c r="E69">
        <v>514100</v>
      </c>
      <c r="F69" t="s">
        <v>3893</v>
      </c>
      <c r="G69" s="288">
        <v>0</v>
      </c>
      <c r="H69" s="288">
        <v>0</v>
      </c>
      <c r="I69" s="288">
        <v>0.22</v>
      </c>
      <c r="J69" s="288">
        <v>0</v>
      </c>
      <c r="K69" s="288">
        <v>0</v>
      </c>
      <c r="L69" s="243">
        <f t="shared" si="7"/>
        <v>0.22</v>
      </c>
      <c r="M69" s="243" t="str">
        <f t="shared" si="13"/>
        <v>514</v>
      </c>
      <c r="N69" s="255">
        <f>$G69*SUMIF('KU-LGE Rating'!$R:$R,$D69,'KU-LGE Rating'!F:F)</f>
        <v>0</v>
      </c>
      <c r="O69" s="256">
        <f>$G69*SUMIF('KU-LGE Rating'!$R:$R,$D69,'KU-LGE Rating'!G:G)</f>
        <v>0</v>
      </c>
      <c r="P69" s="257">
        <f t="shared" si="8"/>
        <v>0</v>
      </c>
      <c r="Q69" s="255">
        <f>$H69*SUMIF('KU-LGE Rating'!$R:$R,$D69,'KU-LGE Rating'!$F:$F)</f>
        <v>0</v>
      </c>
      <c r="R69" s="256">
        <f>$H69*SUMIF('KU-LGE Rating'!$R:$R,$D69,'KU-LGE Rating'!$G:$G)</f>
        <v>0</v>
      </c>
      <c r="S69" s="257">
        <f t="shared" si="9"/>
        <v>0</v>
      </c>
      <c r="T69" s="255">
        <f>$I69*SUMIF('KU-LGE Rating'!$R:$R,$D69,'KU-LGE Rating'!$F:$F)</f>
        <v>0.22</v>
      </c>
      <c r="U69" s="256">
        <f>$I69*SUMIF('KU-LGE Rating'!$R:$R,$D69,'KU-LGE Rating'!$G:$G)</f>
        <v>0</v>
      </c>
      <c r="V69" s="257">
        <f t="shared" si="10"/>
        <v>0.22</v>
      </c>
      <c r="W69" s="255">
        <f>$J69*SUMIF('KU-LGE Rating'!$R:$R,$D69,'KU-LGE Rating'!$F:$F)</f>
        <v>0</v>
      </c>
      <c r="X69" s="256">
        <f>$J69*SUMIF('KU-LGE Rating'!$R:$R,$D69,'KU-LGE Rating'!$G:$G)</f>
        <v>0</v>
      </c>
      <c r="Y69" s="257">
        <f t="shared" si="11"/>
        <v>0</v>
      </c>
      <c r="Z69" s="255">
        <f>$K69*SUMIF('KU-LGE Rating'!$R:$R,$D69,'KU-LGE Rating'!$F:$F)</f>
        <v>0</v>
      </c>
      <c r="AA69" s="256">
        <f>$K69*SUMIF('KU-LGE Rating'!$R:$R,$D69,'KU-LGE Rating'!$G:$G)</f>
        <v>0</v>
      </c>
      <c r="AB69" s="257">
        <f t="shared" si="12"/>
        <v>0</v>
      </c>
    </row>
    <row r="70" spans="1:28">
      <c r="A70" s="1" t="s">
        <v>2769</v>
      </c>
      <c r="B70" t="s">
        <v>3</v>
      </c>
      <c r="C70" t="s">
        <v>3723</v>
      </c>
      <c r="D70" t="s">
        <v>3725</v>
      </c>
      <c r="E70">
        <v>510100</v>
      </c>
      <c r="F70" t="s">
        <v>3893</v>
      </c>
      <c r="G70" s="288">
        <v>1747903.91</v>
      </c>
      <c r="H70" s="288">
        <v>1106.96</v>
      </c>
      <c r="I70" s="288">
        <v>0</v>
      </c>
      <c r="J70" s="288">
        <v>0</v>
      </c>
      <c r="K70" s="288">
        <v>0</v>
      </c>
      <c r="L70" s="243">
        <f t="shared" si="7"/>
        <v>1106.96</v>
      </c>
      <c r="M70" s="243" t="str">
        <f t="shared" si="13"/>
        <v>510</v>
      </c>
      <c r="N70" s="255">
        <f>$G70*SUMIF('KU-LGE Rating'!$R:$R,$D70,'KU-LGE Rating'!F:F)</f>
        <v>1747903.91</v>
      </c>
      <c r="O70" s="256">
        <f>$G70*SUMIF('KU-LGE Rating'!$R:$R,$D70,'KU-LGE Rating'!G:G)</f>
        <v>0</v>
      </c>
      <c r="P70" s="257">
        <f t="shared" si="8"/>
        <v>1747903.91</v>
      </c>
      <c r="Q70" s="255">
        <f>$H70*SUMIF('KU-LGE Rating'!$R:$R,$D70,'KU-LGE Rating'!$F:$F)</f>
        <v>1106.96</v>
      </c>
      <c r="R70" s="256">
        <f>$H70*SUMIF('KU-LGE Rating'!$R:$R,$D70,'KU-LGE Rating'!$G:$G)</f>
        <v>0</v>
      </c>
      <c r="S70" s="257">
        <f t="shared" si="9"/>
        <v>1106.96</v>
      </c>
      <c r="T70" s="255">
        <f>$I70*SUMIF('KU-LGE Rating'!$R:$R,$D70,'KU-LGE Rating'!$F:$F)</f>
        <v>0</v>
      </c>
      <c r="U70" s="256">
        <f>$I70*SUMIF('KU-LGE Rating'!$R:$R,$D70,'KU-LGE Rating'!$G:$G)</f>
        <v>0</v>
      </c>
      <c r="V70" s="257">
        <f t="shared" si="10"/>
        <v>0</v>
      </c>
      <c r="W70" s="255">
        <f>$J70*SUMIF('KU-LGE Rating'!$R:$R,$D70,'KU-LGE Rating'!$F:$F)</f>
        <v>0</v>
      </c>
      <c r="X70" s="256">
        <f>$J70*SUMIF('KU-LGE Rating'!$R:$R,$D70,'KU-LGE Rating'!$G:$G)</f>
        <v>0</v>
      </c>
      <c r="Y70" s="257">
        <f t="shared" si="11"/>
        <v>0</v>
      </c>
      <c r="Z70" s="255">
        <f>$K70*SUMIF('KU-LGE Rating'!$R:$R,$D70,'KU-LGE Rating'!$F:$F)</f>
        <v>0</v>
      </c>
      <c r="AA70" s="256">
        <f>$K70*SUMIF('KU-LGE Rating'!$R:$R,$D70,'KU-LGE Rating'!$G:$G)</f>
        <v>0</v>
      </c>
      <c r="AB70" s="257">
        <f t="shared" si="12"/>
        <v>0</v>
      </c>
    </row>
    <row r="71" spans="1:28">
      <c r="A71" s="1" t="s">
        <v>2769</v>
      </c>
      <c r="B71" t="s">
        <v>3</v>
      </c>
      <c r="C71" t="s">
        <v>3723</v>
      </c>
      <c r="D71" t="s">
        <v>3725</v>
      </c>
      <c r="E71">
        <v>511100</v>
      </c>
      <c r="F71" t="s">
        <v>3893</v>
      </c>
      <c r="G71" s="288">
        <v>1627.81</v>
      </c>
      <c r="H71" s="288">
        <v>0</v>
      </c>
      <c r="I71" s="288">
        <v>0.6</v>
      </c>
      <c r="J71" s="288">
        <v>0</v>
      </c>
      <c r="K71" s="288">
        <v>0</v>
      </c>
      <c r="L71" s="243">
        <f t="shared" si="7"/>
        <v>0.6</v>
      </c>
      <c r="M71" s="243" t="str">
        <f t="shared" si="13"/>
        <v>511</v>
      </c>
      <c r="N71" s="255">
        <f>$G71*SUMIF('KU-LGE Rating'!$R:$R,$D71,'KU-LGE Rating'!F:F)</f>
        <v>1627.81</v>
      </c>
      <c r="O71" s="256">
        <f>$G71*SUMIF('KU-LGE Rating'!$R:$R,$D71,'KU-LGE Rating'!G:G)</f>
        <v>0</v>
      </c>
      <c r="P71" s="257">
        <f t="shared" si="8"/>
        <v>1627.81</v>
      </c>
      <c r="Q71" s="255">
        <f>$H71*SUMIF('KU-LGE Rating'!$R:$R,$D71,'KU-LGE Rating'!$F:$F)</f>
        <v>0</v>
      </c>
      <c r="R71" s="256">
        <f>$H71*SUMIF('KU-LGE Rating'!$R:$R,$D71,'KU-LGE Rating'!$G:$G)</f>
        <v>0</v>
      </c>
      <c r="S71" s="257">
        <f t="shared" si="9"/>
        <v>0</v>
      </c>
      <c r="T71" s="255">
        <f>$I71*SUMIF('KU-LGE Rating'!$R:$R,$D71,'KU-LGE Rating'!$F:$F)</f>
        <v>0.6</v>
      </c>
      <c r="U71" s="256">
        <f>$I71*SUMIF('KU-LGE Rating'!$R:$R,$D71,'KU-LGE Rating'!$G:$G)</f>
        <v>0</v>
      </c>
      <c r="V71" s="257">
        <f t="shared" si="10"/>
        <v>0.6</v>
      </c>
      <c r="W71" s="255">
        <f>$J71*SUMIF('KU-LGE Rating'!$R:$R,$D71,'KU-LGE Rating'!$F:$F)</f>
        <v>0</v>
      </c>
      <c r="X71" s="256">
        <f>$J71*SUMIF('KU-LGE Rating'!$R:$R,$D71,'KU-LGE Rating'!$G:$G)</f>
        <v>0</v>
      </c>
      <c r="Y71" s="257">
        <f t="shared" si="11"/>
        <v>0</v>
      </c>
      <c r="Z71" s="255">
        <f>$K71*SUMIF('KU-LGE Rating'!$R:$R,$D71,'KU-LGE Rating'!$F:$F)</f>
        <v>0</v>
      </c>
      <c r="AA71" s="256">
        <f>$K71*SUMIF('KU-LGE Rating'!$R:$R,$D71,'KU-LGE Rating'!$G:$G)</f>
        <v>0</v>
      </c>
      <c r="AB71" s="257">
        <f t="shared" si="12"/>
        <v>0</v>
      </c>
    </row>
    <row r="72" spans="1:28">
      <c r="A72" s="1" t="s">
        <v>2769</v>
      </c>
      <c r="B72" t="s">
        <v>3</v>
      </c>
      <c r="C72" t="s">
        <v>3723</v>
      </c>
      <c r="D72" t="s">
        <v>3725</v>
      </c>
      <c r="E72">
        <v>512011</v>
      </c>
      <c r="F72" t="s">
        <v>3893</v>
      </c>
      <c r="G72" s="288">
        <v>20633.98</v>
      </c>
      <c r="H72" s="288">
        <v>0</v>
      </c>
      <c r="I72" s="288">
        <v>0</v>
      </c>
      <c r="J72" s="288">
        <v>57458.52</v>
      </c>
      <c r="K72" s="288">
        <v>128453.38</v>
      </c>
      <c r="L72" s="243">
        <f t="shared" si="7"/>
        <v>185911.9</v>
      </c>
      <c r="M72" s="243" t="str">
        <f t="shared" si="13"/>
        <v>512</v>
      </c>
      <c r="N72" s="255">
        <f>$G72*SUMIF('KU-LGE Rating'!$R:$R,$D72,'KU-LGE Rating'!F:F)</f>
        <v>20633.98</v>
      </c>
      <c r="O72" s="256">
        <f>$G72*SUMIF('KU-LGE Rating'!$R:$R,$D72,'KU-LGE Rating'!G:G)</f>
        <v>0</v>
      </c>
      <c r="P72" s="257">
        <f t="shared" si="8"/>
        <v>20633.98</v>
      </c>
      <c r="Q72" s="255">
        <f>$H72*SUMIF('KU-LGE Rating'!$R:$R,$D72,'KU-LGE Rating'!$F:$F)</f>
        <v>0</v>
      </c>
      <c r="R72" s="256">
        <f>$H72*SUMIF('KU-LGE Rating'!$R:$R,$D72,'KU-LGE Rating'!$G:$G)</f>
        <v>0</v>
      </c>
      <c r="S72" s="257">
        <f t="shared" si="9"/>
        <v>0</v>
      </c>
      <c r="T72" s="255">
        <f>$I72*SUMIF('KU-LGE Rating'!$R:$R,$D72,'KU-LGE Rating'!$F:$F)</f>
        <v>0</v>
      </c>
      <c r="U72" s="256">
        <f>$I72*SUMIF('KU-LGE Rating'!$R:$R,$D72,'KU-LGE Rating'!$G:$G)</f>
        <v>0</v>
      </c>
      <c r="V72" s="257">
        <f t="shared" si="10"/>
        <v>0</v>
      </c>
      <c r="W72" s="255">
        <f>$J72*SUMIF('KU-LGE Rating'!$R:$R,$D72,'KU-LGE Rating'!$F:$F)</f>
        <v>57458.52</v>
      </c>
      <c r="X72" s="256">
        <f>$J72*SUMIF('KU-LGE Rating'!$R:$R,$D72,'KU-LGE Rating'!$G:$G)</f>
        <v>0</v>
      </c>
      <c r="Y72" s="257">
        <f t="shared" si="11"/>
        <v>57458.52</v>
      </c>
      <c r="Z72" s="255">
        <f>$K72*SUMIF('KU-LGE Rating'!$R:$R,$D72,'KU-LGE Rating'!$F:$F)</f>
        <v>128453.38</v>
      </c>
      <c r="AA72" s="256">
        <f>$K72*SUMIF('KU-LGE Rating'!$R:$R,$D72,'KU-LGE Rating'!$G:$G)</f>
        <v>0</v>
      </c>
      <c r="AB72" s="257">
        <f t="shared" si="12"/>
        <v>128453.38</v>
      </c>
    </row>
    <row r="73" spans="1:28">
      <c r="A73" s="1" t="s">
        <v>2769</v>
      </c>
      <c r="B73" t="s">
        <v>3</v>
      </c>
      <c r="C73" t="s">
        <v>3723</v>
      </c>
      <c r="D73" t="s">
        <v>3725</v>
      </c>
      <c r="E73">
        <v>512017</v>
      </c>
      <c r="F73" t="s">
        <v>3893</v>
      </c>
      <c r="G73" s="288">
        <v>22234.62</v>
      </c>
      <c r="H73" s="288">
        <v>7944.03</v>
      </c>
      <c r="I73" s="288">
        <v>47690.92</v>
      </c>
      <c r="J73" s="288">
        <v>88546.82</v>
      </c>
      <c r="K73" s="288">
        <v>2502.39</v>
      </c>
      <c r="L73" s="243">
        <f t="shared" si="7"/>
        <v>146684.16000000003</v>
      </c>
      <c r="M73" s="243" t="str">
        <f t="shared" si="13"/>
        <v>512</v>
      </c>
      <c r="N73" s="255">
        <f>$G73*SUMIF('KU-LGE Rating'!$R:$R,$D73,'KU-LGE Rating'!F:F)</f>
        <v>22234.62</v>
      </c>
      <c r="O73" s="256">
        <f>$G73*SUMIF('KU-LGE Rating'!$R:$R,$D73,'KU-LGE Rating'!G:G)</f>
        <v>0</v>
      </c>
      <c r="P73" s="257">
        <f t="shared" si="8"/>
        <v>22234.62</v>
      </c>
      <c r="Q73" s="255">
        <f>$H73*SUMIF('KU-LGE Rating'!$R:$R,$D73,'KU-LGE Rating'!$F:$F)</f>
        <v>7944.03</v>
      </c>
      <c r="R73" s="256">
        <f>$H73*SUMIF('KU-LGE Rating'!$R:$R,$D73,'KU-LGE Rating'!$G:$G)</f>
        <v>0</v>
      </c>
      <c r="S73" s="257">
        <f t="shared" si="9"/>
        <v>7944.03</v>
      </c>
      <c r="T73" s="255">
        <f>$I73*SUMIF('KU-LGE Rating'!$R:$R,$D73,'KU-LGE Rating'!$F:$F)</f>
        <v>47690.92</v>
      </c>
      <c r="U73" s="256">
        <f>$I73*SUMIF('KU-LGE Rating'!$R:$R,$D73,'KU-LGE Rating'!$G:$G)</f>
        <v>0</v>
      </c>
      <c r="V73" s="257">
        <f t="shared" si="10"/>
        <v>47690.92</v>
      </c>
      <c r="W73" s="255">
        <f>$J73*SUMIF('KU-LGE Rating'!$R:$R,$D73,'KU-LGE Rating'!$F:$F)</f>
        <v>88546.82</v>
      </c>
      <c r="X73" s="256">
        <f>$J73*SUMIF('KU-LGE Rating'!$R:$R,$D73,'KU-LGE Rating'!$G:$G)</f>
        <v>0</v>
      </c>
      <c r="Y73" s="257">
        <f t="shared" si="11"/>
        <v>88546.82</v>
      </c>
      <c r="Z73" s="255">
        <f>$K73*SUMIF('KU-LGE Rating'!$R:$R,$D73,'KU-LGE Rating'!$F:$F)</f>
        <v>2502.39</v>
      </c>
      <c r="AA73" s="256">
        <f>$K73*SUMIF('KU-LGE Rating'!$R:$R,$D73,'KU-LGE Rating'!$G:$G)</f>
        <v>0</v>
      </c>
      <c r="AB73" s="257">
        <f t="shared" si="12"/>
        <v>2502.39</v>
      </c>
    </row>
    <row r="74" spans="1:28">
      <c r="A74" s="1" t="s">
        <v>2769</v>
      </c>
      <c r="B74" t="s">
        <v>3</v>
      </c>
      <c r="C74" t="s">
        <v>3723</v>
      </c>
      <c r="D74" t="s">
        <v>3725</v>
      </c>
      <c r="E74">
        <v>512100</v>
      </c>
      <c r="F74" t="s">
        <v>3893</v>
      </c>
      <c r="G74" s="288">
        <v>795655.38</v>
      </c>
      <c r="H74" s="288">
        <v>507757.07</v>
      </c>
      <c r="I74" s="288">
        <v>1067553.3600000001</v>
      </c>
      <c r="J74" s="288">
        <v>227693.56</v>
      </c>
      <c r="K74" s="288">
        <v>555721.18000000005</v>
      </c>
      <c r="L74" s="243">
        <f t="shared" si="7"/>
        <v>2358725.1700000004</v>
      </c>
      <c r="M74" s="243" t="str">
        <f t="shared" si="13"/>
        <v>512</v>
      </c>
      <c r="N74" s="255">
        <f>$G74*SUMIF('KU-LGE Rating'!$R:$R,$D74,'KU-LGE Rating'!F:F)</f>
        <v>795655.38</v>
      </c>
      <c r="O74" s="256">
        <f>$G74*SUMIF('KU-LGE Rating'!$R:$R,$D74,'KU-LGE Rating'!G:G)</f>
        <v>0</v>
      </c>
      <c r="P74" s="257">
        <f t="shared" si="8"/>
        <v>795655.38</v>
      </c>
      <c r="Q74" s="255">
        <f>$H74*SUMIF('KU-LGE Rating'!$R:$R,$D74,'KU-LGE Rating'!$F:$F)</f>
        <v>507757.07</v>
      </c>
      <c r="R74" s="256">
        <f>$H74*SUMIF('KU-LGE Rating'!$R:$R,$D74,'KU-LGE Rating'!$G:$G)</f>
        <v>0</v>
      </c>
      <c r="S74" s="257">
        <f t="shared" si="9"/>
        <v>507757.07</v>
      </c>
      <c r="T74" s="255">
        <f>$I74*SUMIF('KU-LGE Rating'!$R:$R,$D74,'KU-LGE Rating'!$F:$F)</f>
        <v>1067553.3600000001</v>
      </c>
      <c r="U74" s="256">
        <f>$I74*SUMIF('KU-LGE Rating'!$R:$R,$D74,'KU-LGE Rating'!$G:$G)</f>
        <v>0</v>
      </c>
      <c r="V74" s="257">
        <f t="shared" si="10"/>
        <v>1067553.3600000001</v>
      </c>
      <c r="W74" s="255">
        <f>$J74*SUMIF('KU-LGE Rating'!$R:$R,$D74,'KU-LGE Rating'!$F:$F)</f>
        <v>227693.56</v>
      </c>
      <c r="X74" s="256">
        <f>$J74*SUMIF('KU-LGE Rating'!$R:$R,$D74,'KU-LGE Rating'!$G:$G)</f>
        <v>0</v>
      </c>
      <c r="Y74" s="257">
        <f t="shared" si="11"/>
        <v>227693.56</v>
      </c>
      <c r="Z74" s="255">
        <f>$K74*SUMIF('KU-LGE Rating'!$R:$R,$D74,'KU-LGE Rating'!$F:$F)</f>
        <v>555721.18000000005</v>
      </c>
      <c r="AA74" s="256">
        <f>$K74*SUMIF('KU-LGE Rating'!$R:$R,$D74,'KU-LGE Rating'!$G:$G)</f>
        <v>0</v>
      </c>
      <c r="AB74" s="257">
        <f t="shared" si="12"/>
        <v>555721.18000000005</v>
      </c>
    </row>
    <row r="75" spans="1:28">
      <c r="A75" s="1" t="s">
        <v>2769</v>
      </c>
      <c r="B75" t="s">
        <v>3</v>
      </c>
      <c r="C75" t="s">
        <v>3723</v>
      </c>
      <c r="D75" t="s">
        <v>3725</v>
      </c>
      <c r="E75">
        <v>513100</v>
      </c>
      <c r="F75" t="s">
        <v>3893</v>
      </c>
      <c r="G75" s="288">
        <v>674224.07</v>
      </c>
      <c r="H75" s="288">
        <v>98419.96</v>
      </c>
      <c r="I75" s="288">
        <v>66419.360000000001</v>
      </c>
      <c r="J75" s="288">
        <v>24772.77</v>
      </c>
      <c r="K75" s="288">
        <v>336928.56</v>
      </c>
      <c r="L75" s="243">
        <f t="shared" si="7"/>
        <v>526540.65</v>
      </c>
      <c r="M75" s="243" t="str">
        <f t="shared" si="13"/>
        <v>513</v>
      </c>
      <c r="N75" s="255">
        <f>$G75*SUMIF('KU-LGE Rating'!$R:$R,$D75,'KU-LGE Rating'!F:F)</f>
        <v>674224.07</v>
      </c>
      <c r="O75" s="256">
        <f>$G75*SUMIF('KU-LGE Rating'!$R:$R,$D75,'KU-LGE Rating'!G:G)</f>
        <v>0</v>
      </c>
      <c r="P75" s="257">
        <f t="shared" si="8"/>
        <v>674224.07</v>
      </c>
      <c r="Q75" s="255">
        <f>$H75*SUMIF('KU-LGE Rating'!$R:$R,$D75,'KU-LGE Rating'!$F:$F)</f>
        <v>98419.96</v>
      </c>
      <c r="R75" s="256">
        <f>$H75*SUMIF('KU-LGE Rating'!$R:$R,$D75,'KU-LGE Rating'!$G:$G)</f>
        <v>0</v>
      </c>
      <c r="S75" s="257">
        <f t="shared" si="9"/>
        <v>98419.96</v>
      </c>
      <c r="T75" s="255">
        <f>$I75*SUMIF('KU-LGE Rating'!$R:$R,$D75,'KU-LGE Rating'!$F:$F)</f>
        <v>66419.360000000001</v>
      </c>
      <c r="U75" s="256">
        <f>$I75*SUMIF('KU-LGE Rating'!$R:$R,$D75,'KU-LGE Rating'!$G:$G)</f>
        <v>0</v>
      </c>
      <c r="V75" s="257">
        <f t="shared" si="10"/>
        <v>66419.360000000001</v>
      </c>
      <c r="W75" s="255">
        <f>$J75*SUMIF('KU-LGE Rating'!$R:$R,$D75,'KU-LGE Rating'!$F:$F)</f>
        <v>24772.77</v>
      </c>
      <c r="X75" s="256">
        <f>$J75*SUMIF('KU-LGE Rating'!$R:$R,$D75,'KU-LGE Rating'!$G:$G)</f>
        <v>0</v>
      </c>
      <c r="Y75" s="257">
        <f t="shared" si="11"/>
        <v>24772.77</v>
      </c>
      <c r="Z75" s="255">
        <f>$K75*SUMIF('KU-LGE Rating'!$R:$R,$D75,'KU-LGE Rating'!$F:$F)</f>
        <v>336928.56</v>
      </c>
      <c r="AA75" s="256">
        <f>$K75*SUMIF('KU-LGE Rating'!$R:$R,$D75,'KU-LGE Rating'!$G:$G)</f>
        <v>0</v>
      </c>
      <c r="AB75" s="257">
        <f t="shared" si="12"/>
        <v>336928.56</v>
      </c>
    </row>
    <row r="76" spans="1:28">
      <c r="A76" s="1" t="s">
        <v>2769</v>
      </c>
      <c r="B76" t="s">
        <v>3</v>
      </c>
      <c r="C76" t="s">
        <v>3723</v>
      </c>
      <c r="D76" t="s">
        <v>3725</v>
      </c>
      <c r="E76">
        <v>514100</v>
      </c>
      <c r="F76" t="s">
        <v>3893</v>
      </c>
      <c r="G76" s="288">
        <v>72719.12</v>
      </c>
      <c r="H76" s="288">
        <v>160.74</v>
      </c>
      <c r="I76" s="288">
        <v>0</v>
      </c>
      <c r="J76" s="288">
        <v>0</v>
      </c>
      <c r="K76" s="288">
        <v>0.74</v>
      </c>
      <c r="L76" s="243">
        <f t="shared" si="7"/>
        <v>161.48000000000002</v>
      </c>
      <c r="M76" s="243" t="str">
        <f t="shared" si="13"/>
        <v>514</v>
      </c>
      <c r="N76" s="255">
        <f>$G76*SUMIF('KU-LGE Rating'!$R:$R,$D76,'KU-LGE Rating'!F:F)</f>
        <v>72719.12</v>
      </c>
      <c r="O76" s="256">
        <f>$G76*SUMIF('KU-LGE Rating'!$R:$R,$D76,'KU-LGE Rating'!G:G)</f>
        <v>0</v>
      </c>
      <c r="P76" s="257">
        <f t="shared" si="8"/>
        <v>72719.12</v>
      </c>
      <c r="Q76" s="255">
        <f>$H76*SUMIF('KU-LGE Rating'!$R:$R,$D76,'KU-LGE Rating'!$F:$F)</f>
        <v>160.74</v>
      </c>
      <c r="R76" s="256">
        <f>$H76*SUMIF('KU-LGE Rating'!$R:$R,$D76,'KU-LGE Rating'!$G:$G)</f>
        <v>0</v>
      </c>
      <c r="S76" s="257">
        <f t="shared" si="9"/>
        <v>160.74</v>
      </c>
      <c r="T76" s="255">
        <f>$I76*SUMIF('KU-LGE Rating'!$R:$R,$D76,'KU-LGE Rating'!$F:$F)</f>
        <v>0</v>
      </c>
      <c r="U76" s="256">
        <f>$I76*SUMIF('KU-LGE Rating'!$R:$R,$D76,'KU-LGE Rating'!$G:$G)</f>
        <v>0</v>
      </c>
      <c r="V76" s="257">
        <f t="shared" si="10"/>
        <v>0</v>
      </c>
      <c r="W76" s="255">
        <f>$J76*SUMIF('KU-LGE Rating'!$R:$R,$D76,'KU-LGE Rating'!$F:$F)</f>
        <v>0</v>
      </c>
      <c r="X76" s="256">
        <f>$J76*SUMIF('KU-LGE Rating'!$R:$R,$D76,'KU-LGE Rating'!$G:$G)</f>
        <v>0</v>
      </c>
      <c r="Y76" s="257">
        <f t="shared" si="11"/>
        <v>0</v>
      </c>
      <c r="Z76" s="255">
        <f>$K76*SUMIF('KU-LGE Rating'!$R:$R,$D76,'KU-LGE Rating'!$F:$F)</f>
        <v>0.74</v>
      </c>
      <c r="AA76" s="256">
        <f>$K76*SUMIF('KU-LGE Rating'!$R:$R,$D76,'KU-LGE Rating'!$G:$G)</f>
        <v>0</v>
      </c>
      <c r="AB76" s="257">
        <f t="shared" si="12"/>
        <v>0.74</v>
      </c>
    </row>
    <row r="77" spans="1:28">
      <c r="A77" s="1" t="s">
        <v>2769</v>
      </c>
      <c r="B77" t="s">
        <v>3</v>
      </c>
      <c r="C77" t="s">
        <v>3723</v>
      </c>
      <c r="D77" t="s">
        <v>3726</v>
      </c>
      <c r="E77">
        <v>511100</v>
      </c>
      <c r="F77" t="s">
        <v>3893</v>
      </c>
      <c r="G77" s="288">
        <v>1002.48</v>
      </c>
      <c r="H77" s="288">
        <v>0</v>
      </c>
      <c r="I77" s="288">
        <v>38408.639999999999</v>
      </c>
      <c r="J77" s="288">
        <v>135.71</v>
      </c>
      <c r="K77" s="288">
        <v>0</v>
      </c>
      <c r="L77" s="243">
        <f t="shared" si="7"/>
        <v>38544.35</v>
      </c>
      <c r="M77" s="243" t="str">
        <f t="shared" si="13"/>
        <v>511</v>
      </c>
      <c r="N77" s="255">
        <f>$G77*SUMIF('KU-LGE Rating'!$R:$R,$D77,'KU-LGE Rating'!F:F)</f>
        <v>1002.48</v>
      </c>
      <c r="O77" s="256">
        <f>$G77*SUMIF('KU-LGE Rating'!$R:$R,$D77,'KU-LGE Rating'!G:G)</f>
        <v>0</v>
      </c>
      <c r="P77" s="257">
        <f t="shared" si="8"/>
        <v>1002.48</v>
      </c>
      <c r="Q77" s="255">
        <f>$H77*SUMIF('KU-LGE Rating'!$R:$R,$D77,'KU-LGE Rating'!$F:$F)</f>
        <v>0</v>
      </c>
      <c r="R77" s="256">
        <f>$H77*SUMIF('KU-LGE Rating'!$R:$R,$D77,'KU-LGE Rating'!$G:$G)</f>
        <v>0</v>
      </c>
      <c r="S77" s="257">
        <f t="shared" si="9"/>
        <v>0</v>
      </c>
      <c r="T77" s="255">
        <f>$I77*SUMIF('KU-LGE Rating'!$R:$R,$D77,'KU-LGE Rating'!$F:$F)</f>
        <v>38408.639999999999</v>
      </c>
      <c r="U77" s="256">
        <f>$I77*SUMIF('KU-LGE Rating'!$R:$R,$D77,'KU-LGE Rating'!$G:$G)</f>
        <v>0</v>
      </c>
      <c r="V77" s="257">
        <f t="shared" si="10"/>
        <v>38408.639999999999</v>
      </c>
      <c r="W77" s="255">
        <f>$J77*SUMIF('KU-LGE Rating'!$R:$R,$D77,'KU-LGE Rating'!$F:$F)</f>
        <v>135.71</v>
      </c>
      <c r="X77" s="256">
        <f>$J77*SUMIF('KU-LGE Rating'!$R:$R,$D77,'KU-LGE Rating'!$G:$G)</f>
        <v>0</v>
      </c>
      <c r="Y77" s="257">
        <f t="shared" si="11"/>
        <v>135.71</v>
      </c>
      <c r="Z77" s="255">
        <f>$K77*SUMIF('KU-LGE Rating'!$R:$R,$D77,'KU-LGE Rating'!$F:$F)</f>
        <v>0</v>
      </c>
      <c r="AA77" s="256">
        <f>$K77*SUMIF('KU-LGE Rating'!$R:$R,$D77,'KU-LGE Rating'!$G:$G)</f>
        <v>0</v>
      </c>
      <c r="AB77" s="257">
        <f t="shared" si="12"/>
        <v>0</v>
      </c>
    </row>
    <row r="78" spans="1:28">
      <c r="A78" s="1" t="s">
        <v>2769</v>
      </c>
      <c r="B78" t="s">
        <v>3</v>
      </c>
      <c r="C78" t="s">
        <v>3723</v>
      </c>
      <c r="D78" t="s">
        <v>3726</v>
      </c>
      <c r="E78">
        <v>512011</v>
      </c>
      <c r="F78" t="s">
        <v>3893</v>
      </c>
      <c r="G78" s="288">
        <v>24641.91</v>
      </c>
      <c r="H78" s="288">
        <v>189916.92</v>
      </c>
      <c r="I78" s="288">
        <v>1481.79</v>
      </c>
      <c r="J78" s="288">
        <v>199146.39</v>
      </c>
      <c r="K78" s="288">
        <v>69055.95</v>
      </c>
      <c r="L78" s="243">
        <f t="shared" si="7"/>
        <v>459601.05000000005</v>
      </c>
      <c r="M78" s="243" t="str">
        <f t="shared" si="13"/>
        <v>512</v>
      </c>
      <c r="N78" s="255">
        <f>$G78*SUMIF('KU-LGE Rating'!$R:$R,$D78,'KU-LGE Rating'!F:F)</f>
        <v>24641.91</v>
      </c>
      <c r="O78" s="256">
        <f>$G78*SUMIF('KU-LGE Rating'!$R:$R,$D78,'KU-LGE Rating'!G:G)</f>
        <v>0</v>
      </c>
      <c r="P78" s="257">
        <f t="shared" si="8"/>
        <v>24641.91</v>
      </c>
      <c r="Q78" s="255">
        <f>$H78*SUMIF('KU-LGE Rating'!$R:$R,$D78,'KU-LGE Rating'!$F:$F)</f>
        <v>189916.92</v>
      </c>
      <c r="R78" s="256">
        <f>$H78*SUMIF('KU-LGE Rating'!$R:$R,$D78,'KU-LGE Rating'!$G:$G)</f>
        <v>0</v>
      </c>
      <c r="S78" s="257">
        <f t="shared" si="9"/>
        <v>189916.92</v>
      </c>
      <c r="T78" s="255">
        <f>$I78*SUMIF('KU-LGE Rating'!$R:$R,$D78,'KU-LGE Rating'!$F:$F)</f>
        <v>1481.79</v>
      </c>
      <c r="U78" s="256">
        <f>$I78*SUMIF('KU-LGE Rating'!$R:$R,$D78,'KU-LGE Rating'!$G:$G)</f>
        <v>0</v>
      </c>
      <c r="V78" s="257">
        <f t="shared" si="10"/>
        <v>1481.79</v>
      </c>
      <c r="W78" s="255">
        <f>$J78*SUMIF('KU-LGE Rating'!$R:$R,$D78,'KU-LGE Rating'!$F:$F)</f>
        <v>199146.39</v>
      </c>
      <c r="X78" s="256">
        <f>$J78*SUMIF('KU-LGE Rating'!$R:$R,$D78,'KU-LGE Rating'!$G:$G)</f>
        <v>0</v>
      </c>
      <c r="Y78" s="257">
        <f t="shared" si="11"/>
        <v>199146.39</v>
      </c>
      <c r="Z78" s="255">
        <f>$K78*SUMIF('KU-LGE Rating'!$R:$R,$D78,'KU-LGE Rating'!$F:$F)</f>
        <v>69055.95</v>
      </c>
      <c r="AA78" s="256">
        <f>$K78*SUMIF('KU-LGE Rating'!$R:$R,$D78,'KU-LGE Rating'!$G:$G)</f>
        <v>0</v>
      </c>
      <c r="AB78" s="257">
        <f t="shared" si="12"/>
        <v>69055.95</v>
      </c>
    </row>
    <row r="79" spans="1:28">
      <c r="A79" s="1" t="s">
        <v>2769</v>
      </c>
      <c r="B79" t="s">
        <v>3</v>
      </c>
      <c r="C79" t="s">
        <v>3723</v>
      </c>
      <c r="D79" t="s">
        <v>3726</v>
      </c>
      <c r="E79">
        <v>512017</v>
      </c>
      <c r="F79" t="s">
        <v>3893</v>
      </c>
      <c r="G79" s="288">
        <v>73592.509999999995</v>
      </c>
      <c r="H79" s="288">
        <v>9898.76</v>
      </c>
      <c r="I79" s="288">
        <v>20870.66</v>
      </c>
      <c r="J79" s="288">
        <v>27802.799999999999</v>
      </c>
      <c r="K79" s="288">
        <v>6565.35</v>
      </c>
      <c r="L79" s="243">
        <f t="shared" si="7"/>
        <v>65137.57</v>
      </c>
      <c r="M79" s="243" t="str">
        <f t="shared" si="13"/>
        <v>512</v>
      </c>
      <c r="N79" s="255">
        <f>$G79*SUMIF('KU-LGE Rating'!$R:$R,$D79,'KU-LGE Rating'!F:F)</f>
        <v>73592.509999999995</v>
      </c>
      <c r="O79" s="256">
        <f>$G79*SUMIF('KU-LGE Rating'!$R:$R,$D79,'KU-LGE Rating'!G:G)</f>
        <v>0</v>
      </c>
      <c r="P79" s="257">
        <f t="shared" si="8"/>
        <v>73592.509999999995</v>
      </c>
      <c r="Q79" s="255">
        <f>$H79*SUMIF('KU-LGE Rating'!$R:$R,$D79,'KU-LGE Rating'!$F:$F)</f>
        <v>9898.76</v>
      </c>
      <c r="R79" s="256">
        <f>$H79*SUMIF('KU-LGE Rating'!$R:$R,$D79,'KU-LGE Rating'!$G:$G)</f>
        <v>0</v>
      </c>
      <c r="S79" s="257">
        <f t="shared" si="9"/>
        <v>9898.76</v>
      </c>
      <c r="T79" s="255">
        <f>$I79*SUMIF('KU-LGE Rating'!$R:$R,$D79,'KU-LGE Rating'!$F:$F)</f>
        <v>20870.66</v>
      </c>
      <c r="U79" s="256">
        <f>$I79*SUMIF('KU-LGE Rating'!$R:$R,$D79,'KU-LGE Rating'!$G:$G)</f>
        <v>0</v>
      </c>
      <c r="V79" s="257">
        <f t="shared" si="10"/>
        <v>20870.66</v>
      </c>
      <c r="W79" s="255">
        <f>$J79*SUMIF('KU-LGE Rating'!$R:$R,$D79,'KU-LGE Rating'!$F:$F)</f>
        <v>27802.799999999999</v>
      </c>
      <c r="X79" s="256">
        <f>$J79*SUMIF('KU-LGE Rating'!$R:$R,$D79,'KU-LGE Rating'!$G:$G)</f>
        <v>0</v>
      </c>
      <c r="Y79" s="257">
        <f t="shared" si="11"/>
        <v>27802.799999999999</v>
      </c>
      <c r="Z79" s="255">
        <f>$K79*SUMIF('KU-LGE Rating'!$R:$R,$D79,'KU-LGE Rating'!$F:$F)</f>
        <v>6565.35</v>
      </c>
      <c r="AA79" s="256">
        <f>$K79*SUMIF('KU-LGE Rating'!$R:$R,$D79,'KU-LGE Rating'!$G:$G)</f>
        <v>0</v>
      </c>
      <c r="AB79" s="257">
        <f t="shared" si="12"/>
        <v>6565.35</v>
      </c>
    </row>
    <row r="80" spans="1:28">
      <c r="A80" s="1" t="s">
        <v>2769</v>
      </c>
      <c r="B80" t="s">
        <v>3</v>
      </c>
      <c r="C80" t="s">
        <v>3723</v>
      </c>
      <c r="D80" t="s">
        <v>3726</v>
      </c>
      <c r="E80">
        <v>512100</v>
      </c>
      <c r="F80" t="s">
        <v>3893</v>
      </c>
      <c r="G80" s="288">
        <v>281127.84999999998</v>
      </c>
      <c r="H80" s="288">
        <v>2048327.75</v>
      </c>
      <c r="I80" s="288">
        <v>1951076.76</v>
      </c>
      <c r="J80" s="288">
        <v>1681587.48</v>
      </c>
      <c r="K80" s="288">
        <v>294958.83</v>
      </c>
      <c r="L80" s="243">
        <f t="shared" si="7"/>
        <v>5975950.8200000003</v>
      </c>
      <c r="M80" s="243" t="str">
        <f t="shared" si="13"/>
        <v>512</v>
      </c>
      <c r="N80" s="255">
        <f>$G80*SUMIF('KU-LGE Rating'!$R:$R,$D80,'KU-LGE Rating'!F:F)</f>
        <v>281127.84999999998</v>
      </c>
      <c r="O80" s="256">
        <f>$G80*SUMIF('KU-LGE Rating'!$R:$R,$D80,'KU-LGE Rating'!G:G)</f>
        <v>0</v>
      </c>
      <c r="P80" s="257">
        <f t="shared" si="8"/>
        <v>281127.84999999998</v>
      </c>
      <c r="Q80" s="255">
        <f>$H80*SUMIF('KU-LGE Rating'!$R:$R,$D80,'KU-LGE Rating'!$F:$F)</f>
        <v>2048327.75</v>
      </c>
      <c r="R80" s="256">
        <f>$H80*SUMIF('KU-LGE Rating'!$R:$R,$D80,'KU-LGE Rating'!$G:$G)</f>
        <v>0</v>
      </c>
      <c r="S80" s="257">
        <f t="shared" si="9"/>
        <v>2048327.75</v>
      </c>
      <c r="T80" s="255">
        <f>$I80*SUMIF('KU-LGE Rating'!$R:$R,$D80,'KU-LGE Rating'!$F:$F)</f>
        <v>1951076.76</v>
      </c>
      <c r="U80" s="256">
        <f>$I80*SUMIF('KU-LGE Rating'!$R:$R,$D80,'KU-LGE Rating'!$G:$G)</f>
        <v>0</v>
      </c>
      <c r="V80" s="257">
        <f t="shared" si="10"/>
        <v>1951076.76</v>
      </c>
      <c r="W80" s="255">
        <f>$J80*SUMIF('KU-LGE Rating'!$R:$R,$D80,'KU-LGE Rating'!$F:$F)</f>
        <v>1681587.48</v>
      </c>
      <c r="X80" s="256">
        <f>$J80*SUMIF('KU-LGE Rating'!$R:$R,$D80,'KU-LGE Rating'!$G:$G)</f>
        <v>0</v>
      </c>
      <c r="Y80" s="257">
        <f t="shared" si="11"/>
        <v>1681587.48</v>
      </c>
      <c r="Z80" s="255">
        <f>$K80*SUMIF('KU-LGE Rating'!$R:$R,$D80,'KU-LGE Rating'!$F:$F)</f>
        <v>294958.83</v>
      </c>
      <c r="AA80" s="256">
        <f>$K80*SUMIF('KU-LGE Rating'!$R:$R,$D80,'KU-LGE Rating'!$G:$G)</f>
        <v>0</v>
      </c>
      <c r="AB80" s="257">
        <f t="shared" si="12"/>
        <v>294958.83</v>
      </c>
    </row>
    <row r="81" spans="1:28">
      <c r="A81" s="1" t="s">
        <v>2769</v>
      </c>
      <c r="B81" t="s">
        <v>3</v>
      </c>
      <c r="C81" t="s">
        <v>3723</v>
      </c>
      <c r="D81" t="s">
        <v>3726</v>
      </c>
      <c r="E81">
        <v>513100</v>
      </c>
      <c r="F81" t="s">
        <v>3893</v>
      </c>
      <c r="G81" s="288">
        <v>623515.81000000006</v>
      </c>
      <c r="H81" s="288">
        <v>167197.6</v>
      </c>
      <c r="I81" s="288">
        <v>229052.11</v>
      </c>
      <c r="J81" s="288">
        <v>5991856.3399999999</v>
      </c>
      <c r="K81" s="288">
        <v>55438.52</v>
      </c>
      <c r="L81" s="243">
        <f t="shared" si="7"/>
        <v>6443544.5699999994</v>
      </c>
      <c r="M81" s="243" t="str">
        <f t="shared" si="13"/>
        <v>513</v>
      </c>
      <c r="N81" s="255">
        <f>$G81*SUMIF('KU-LGE Rating'!$R:$R,$D81,'KU-LGE Rating'!F:F)</f>
        <v>623515.81000000006</v>
      </c>
      <c r="O81" s="256">
        <f>$G81*SUMIF('KU-LGE Rating'!$R:$R,$D81,'KU-LGE Rating'!G:G)</f>
        <v>0</v>
      </c>
      <c r="P81" s="257">
        <f t="shared" si="8"/>
        <v>623515.81000000006</v>
      </c>
      <c r="Q81" s="255">
        <f>$H81*SUMIF('KU-LGE Rating'!$R:$R,$D81,'KU-LGE Rating'!$F:$F)</f>
        <v>167197.6</v>
      </c>
      <c r="R81" s="256">
        <f>$H81*SUMIF('KU-LGE Rating'!$R:$R,$D81,'KU-LGE Rating'!$G:$G)</f>
        <v>0</v>
      </c>
      <c r="S81" s="257">
        <f t="shared" si="9"/>
        <v>167197.6</v>
      </c>
      <c r="T81" s="255">
        <f>$I81*SUMIF('KU-LGE Rating'!$R:$R,$D81,'KU-LGE Rating'!$F:$F)</f>
        <v>229052.11</v>
      </c>
      <c r="U81" s="256">
        <f>$I81*SUMIF('KU-LGE Rating'!$R:$R,$D81,'KU-LGE Rating'!$G:$G)</f>
        <v>0</v>
      </c>
      <c r="V81" s="257">
        <f t="shared" si="10"/>
        <v>229052.11</v>
      </c>
      <c r="W81" s="255">
        <f>$J81*SUMIF('KU-LGE Rating'!$R:$R,$D81,'KU-LGE Rating'!$F:$F)</f>
        <v>5991856.3399999999</v>
      </c>
      <c r="X81" s="256">
        <f>$J81*SUMIF('KU-LGE Rating'!$R:$R,$D81,'KU-LGE Rating'!$G:$G)</f>
        <v>0</v>
      </c>
      <c r="Y81" s="257">
        <f t="shared" si="11"/>
        <v>5991856.3399999999</v>
      </c>
      <c r="Z81" s="255">
        <f>$K81*SUMIF('KU-LGE Rating'!$R:$R,$D81,'KU-LGE Rating'!$F:$F)</f>
        <v>55438.52</v>
      </c>
      <c r="AA81" s="256">
        <f>$K81*SUMIF('KU-LGE Rating'!$R:$R,$D81,'KU-LGE Rating'!$G:$G)</f>
        <v>0</v>
      </c>
      <c r="AB81" s="257">
        <f t="shared" si="12"/>
        <v>55438.52</v>
      </c>
    </row>
    <row r="82" spans="1:28">
      <c r="A82" s="1" t="s">
        <v>2769</v>
      </c>
      <c r="B82" t="s">
        <v>3</v>
      </c>
      <c r="C82" t="s">
        <v>3723</v>
      </c>
      <c r="D82" t="s">
        <v>3726</v>
      </c>
      <c r="E82">
        <v>514100</v>
      </c>
      <c r="F82" t="s">
        <v>3893</v>
      </c>
      <c r="G82" s="288">
        <v>1502.64</v>
      </c>
      <c r="H82" s="288">
        <v>105010.41</v>
      </c>
      <c r="I82" s="288">
        <v>2488.3200000000002</v>
      </c>
      <c r="J82" s="288">
        <v>96.56</v>
      </c>
      <c r="K82" s="288">
        <v>1208.4000000000001</v>
      </c>
      <c r="L82" s="243">
        <f t="shared" si="7"/>
        <v>108803.69</v>
      </c>
      <c r="M82" s="243" t="str">
        <f t="shared" si="13"/>
        <v>514</v>
      </c>
      <c r="N82" s="255">
        <f>$G82*SUMIF('KU-LGE Rating'!$R:$R,$D82,'KU-LGE Rating'!F:F)</f>
        <v>1502.64</v>
      </c>
      <c r="O82" s="256">
        <f>$G82*SUMIF('KU-LGE Rating'!$R:$R,$D82,'KU-LGE Rating'!G:G)</f>
        <v>0</v>
      </c>
      <c r="P82" s="257">
        <f t="shared" si="8"/>
        <v>1502.64</v>
      </c>
      <c r="Q82" s="255">
        <f>$H82*SUMIF('KU-LGE Rating'!$R:$R,$D82,'KU-LGE Rating'!$F:$F)</f>
        <v>105010.41</v>
      </c>
      <c r="R82" s="256">
        <f>$H82*SUMIF('KU-LGE Rating'!$R:$R,$D82,'KU-LGE Rating'!$G:$G)</f>
        <v>0</v>
      </c>
      <c r="S82" s="257">
        <f t="shared" si="9"/>
        <v>105010.41</v>
      </c>
      <c r="T82" s="255">
        <f>$I82*SUMIF('KU-LGE Rating'!$R:$R,$D82,'KU-LGE Rating'!$F:$F)</f>
        <v>2488.3200000000002</v>
      </c>
      <c r="U82" s="256">
        <f>$I82*SUMIF('KU-LGE Rating'!$R:$R,$D82,'KU-LGE Rating'!$G:$G)</f>
        <v>0</v>
      </c>
      <c r="V82" s="257">
        <f t="shared" si="10"/>
        <v>2488.3200000000002</v>
      </c>
      <c r="W82" s="255">
        <f>$J82*SUMIF('KU-LGE Rating'!$R:$R,$D82,'KU-LGE Rating'!$F:$F)</f>
        <v>96.56</v>
      </c>
      <c r="X82" s="256">
        <f>$J82*SUMIF('KU-LGE Rating'!$R:$R,$D82,'KU-LGE Rating'!$G:$G)</f>
        <v>0</v>
      </c>
      <c r="Y82" s="257">
        <f t="shared" si="11"/>
        <v>96.56</v>
      </c>
      <c r="Z82" s="255">
        <f>$K82*SUMIF('KU-LGE Rating'!$R:$R,$D82,'KU-LGE Rating'!$F:$F)</f>
        <v>1208.4000000000001</v>
      </c>
      <c r="AA82" s="256">
        <f>$K82*SUMIF('KU-LGE Rating'!$R:$R,$D82,'KU-LGE Rating'!$G:$G)</f>
        <v>0</v>
      </c>
      <c r="AB82" s="257">
        <f t="shared" si="12"/>
        <v>1208.4000000000001</v>
      </c>
    </row>
    <row r="83" spans="1:28">
      <c r="A83" s="1" t="s">
        <v>2769</v>
      </c>
      <c r="B83" t="s">
        <v>3</v>
      </c>
      <c r="C83" t="s">
        <v>3723</v>
      </c>
      <c r="D83" t="s">
        <v>3744</v>
      </c>
      <c r="E83">
        <v>553100</v>
      </c>
      <c r="F83" t="s">
        <v>3893</v>
      </c>
      <c r="G83" s="288">
        <v>0</v>
      </c>
      <c r="H83" s="288">
        <v>47.45</v>
      </c>
      <c r="I83" s="288">
        <v>0</v>
      </c>
      <c r="J83" s="288">
        <v>0</v>
      </c>
      <c r="K83" s="288">
        <v>0</v>
      </c>
      <c r="L83" s="243">
        <f t="shared" si="7"/>
        <v>47.45</v>
      </c>
      <c r="M83" s="243" t="str">
        <f t="shared" si="13"/>
        <v>553</v>
      </c>
      <c r="N83" s="255">
        <f>$G83*SUMIF('KU-LGE Rating'!$R:$R,$D83,'KU-LGE Rating'!F:F)</f>
        <v>0</v>
      </c>
      <c r="O83" s="256">
        <f>$G83*SUMIF('KU-LGE Rating'!$R:$R,$D83,'KU-LGE Rating'!G:G)</f>
        <v>0</v>
      </c>
      <c r="P83" s="257">
        <f t="shared" si="8"/>
        <v>0</v>
      </c>
      <c r="Q83" s="255">
        <f>$H83*SUMIF('KU-LGE Rating'!$R:$R,$D83,'KU-LGE Rating'!$F:$F)</f>
        <v>22.301500000000001</v>
      </c>
      <c r="R83" s="256">
        <f>$H83*SUMIF('KU-LGE Rating'!$R:$R,$D83,'KU-LGE Rating'!$G:$G)</f>
        <v>25.148500000000002</v>
      </c>
      <c r="S83" s="257">
        <f t="shared" si="9"/>
        <v>47.45</v>
      </c>
      <c r="T83" s="255">
        <f>$I83*SUMIF('KU-LGE Rating'!$R:$R,$D83,'KU-LGE Rating'!$F:$F)</f>
        <v>0</v>
      </c>
      <c r="U83" s="256">
        <f>$I83*SUMIF('KU-LGE Rating'!$R:$R,$D83,'KU-LGE Rating'!$G:$G)</f>
        <v>0</v>
      </c>
      <c r="V83" s="257">
        <f t="shared" si="10"/>
        <v>0</v>
      </c>
      <c r="W83" s="255">
        <f>$J83*SUMIF('KU-LGE Rating'!$R:$R,$D83,'KU-LGE Rating'!$F:$F)</f>
        <v>0</v>
      </c>
      <c r="X83" s="256">
        <f>$J83*SUMIF('KU-LGE Rating'!$R:$R,$D83,'KU-LGE Rating'!$G:$G)</f>
        <v>0</v>
      </c>
      <c r="Y83" s="257">
        <f t="shared" si="11"/>
        <v>0</v>
      </c>
      <c r="Z83" s="255">
        <f>$K83*SUMIF('KU-LGE Rating'!$R:$R,$D83,'KU-LGE Rating'!$F:$F)</f>
        <v>0</v>
      </c>
      <c r="AA83" s="256">
        <f>$K83*SUMIF('KU-LGE Rating'!$R:$R,$D83,'KU-LGE Rating'!$G:$G)</f>
        <v>0</v>
      </c>
      <c r="AB83" s="257">
        <f t="shared" si="12"/>
        <v>0</v>
      </c>
    </row>
    <row r="84" spans="1:28">
      <c r="A84" s="1" t="s">
        <v>2769</v>
      </c>
      <c r="B84" t="s">
        <v>3</v>
      </c>
      <c r="C84" t="s">
        <v>3723</v>
      </c>
      <c r="D84" t="s">
        <v>3744</v>
      </c>
      <c r="E84">
        <v>554100</v>
      </c>
      <c r="F84" t="s">
        <v>3893</v>
      </c>
      <c r="G84" s="288">
        <v>0</v>
      </c>
      <c r="H84" s="288">
        <v>122908.28</v>
      </c>
      <c r="I84" s="288">
        <v>172298.74</v>
      </c>
      <c r="J84" s="288">
        <v>0</v>
      </c>
      <c r="K84" s="288">
        <v>0</v>
      </c>
      <c r="L84" s="243">
        <f t="shared" si="7"/>
        <v>295207.02</v>
      </c>
      <c r="M84" s="243" t="str">
        <f t="shared" si="13"/>
        <v>554</v>
      </c>
      <c r="N84" s="255">
        <f>$G84*SUMIF('KU-LGE Rating'!$R:$R,$D84,'KU-LGE Rating'!F:F)</f>
        <v>0</v>
      </c>
      <c r="O84" s="256">
        <f>$G84*SUMIF('KU-LGE Rating'!$R:$R,$D84,'KU-LGE Rating'!G:G)</f>
        <v>0</v>
      </c>
      <c r="P84" s="257">
        <f t="shared" si="8"/>
        <v>0</v>
      </c>
      <c r="Q84" s="255">
        <f>$H84*SUMIF('KU-LGE Rating'!$R:$R,$D84,'KU-LGE Rating'!$F:$F)</f>
        <v>57766.891599999995</v>
      </c>
      <c r="R84" s="256">
        <f>$H84*SUMIF('KU-LGE Rating'!$R:$R,$D84,'KU-LGE Rating'!$G:$G)</f>
        <v>65141.388400000003</v>
      </c>
      <c r="S84" s="257">
        <f t="shared" si="9"/>
        <v>122908.28</v>
      </c>
      <c r="T84" s="255">
        <f>$I84*SUMIF('KU-LGE Rating'!$R:$R,$D84,'KU-LGE Rating'!$F:$F)</f>
        <v>80980.407799999986</v>
      </c>
      <c r="U84" s="256">
        <f>$I84*SUMIF('KU-LGE Rating'!$R:$R,$D84,'KU-LGE Rating'!$G:$G)</f>
        <v>91318.332200000004</v>
      </c>
      <c r="V84" s="257">
        <f t="shared" si="10"/>
        <v>172298.74</v>
      </c>
      <c r="W84" s="255">
        <f>$J84*SUMIF('KU-LGE Rating'!$R:$R,$D84,'KU-LGE Rating'!$F:$F)</f>
        <v>0</v>
      </c>
      <c r="X84" s="256">
        <f>$J84*SUMIF('KU-LGE Rating'!$R:$R,$D84,'KU-LGE Rating'!$G:$G)</f>
        <v>0</v>
      </c>
      <c r="Y84" s="257">
        <f t="shared" si="11"/>
        <v>0</v>
      </c>
      <c r="Z84" s="255">
        <f>$K84*SUMIF('KU-LGE Rating'!$R:$R,$D84,'KU-LGE Rating'!$F:$F)</f>
        <v>0</v>
      </c>
      <c r="AA84" s="256">
        <f>$K84*SUMIF('KU-LGE Rating'!$R:$R,$D84,'KU-LGE Rating'!$G:$G)</f>
        <v>0</v>
      </c>
      <c r="AB84" s="257">
        <f t="shared" si="12"/>
        <v>0</v>
      </c>
    </row>
    <row r="85" spans="1:28">
      <c r="A85" s="1" t="s">
        <v>2769</v>
      </c>
      <c r="B85" t="s">
        <v>3</v>
      </c>
      <c r="C85" t="s">
        <v>3723</v>
      </c>
      <c r="D85" t="s">
        <v>3724</v>
      </c>
      <c r="E85">
        <v>553100</v>
      </c>
      <c r="F85" t="s">
        <v>3893</v>
      </c>
      <c r="G85" s="288">
        <v>107802.65</v>
      </c>
      <c r="H85" s="288">
        <v>17019.919999999998</v>
      </c>
      <c r="I85" s="288">
        <v>0</v>
      </c>
      <c r="J85" s="288">
        <v>26450.94</v>
      </c>
      <c r="K85" s="288">
        <v>42714.49</v>
      </c>
      <c r="L85" s="243">
        <f t="shared" si="7"/>
        <v>86185.35</v>
      </c>
      <c r="M85" s="243" t="str">
        <f t="shared" si="13"/>
        <v>553</v>
      </c>
      <c r="N85" s="255">
        <f>$G85*SUMIF('KU-LGE Rating'!$R:$R,$D85,'KU-LGE Rating'!F:F)</f>
        <v>66837.642999999996</v>
      </c>
      <c r="O85" s="256">
        <f>$G85*SUMIF('KU-LGE Rating'!$R:$R,$D85,'KU-LGE Rating'!G:G)</f>
        <v>40965.006999999998</v>
      </c>
      <c r="P85" s="257">
        <f t="shared" si="8"/>
        <v>107802.65</v>
      </c>
      <c r="Q85" s="255">
        <f>$H85*SUMIF('KU-LGE Rating'!$R:$R,$D85,'KU-LGE Rating'!$F:$F)</f>
        <v>10552.350399999999</v>
      </c>
      <c r="R85" s="256">
        <f>$H85*SUMIF('KU-LGE Rating'!$R:$R,$D85,'KU-LGE Rating'!$G:$G)</f>
        <v>6467.5695999999998</v>
      </c>
      <c r="S85" s="257">
        <f t="shared" si="9"/>
        <v>17019.919999999998</v>
      </c>
      <c r="T85" s="255">
        <f>$I85*SUMIF('KU-LGE Rating'!$R:$R,$D85,'KU-LGE Rating'!$F:$F)</f>
        <v>0</v>
      </c>
      <c r="U85" s="256">
        <f>$I85*SUMIF('KU-LGE Rating'!$R:$R,$D85,'KU-LGE Rating'!$G:$G)</f>
        <v>0</v>
      </c>
      <c r="V85" s="257">
        <f t="shared" si="10"/>
        <v>0</v>
      </c>
      <c r="W85" s="255">
        <f>$J85*SUMIF('KU-LGE Rating'!$R:$R,$D85,'KU-LGE Rating'!$F:$F)</f>
        <v>16399.5828</v>
      </c>
      <c r="X85" s="256">
        <f>$J85*SUMIF('KU-LGE Rating'!$R:$R,$D85,'KU-LGE Rating'!$G:$G)</f>
        <v>10051.3572</v>
      </c>
      <c r="Y85" s="257">
        <f t="shared" si="11"/>
        <v>26450.940000000002</v>
      </c>
      <c r="Z85" s="255">
        <f>$K85*SUMIF('KU-LGE Rating'!$R:$R,$D85,'KU-LGE Rating'!$F:$F)</f>
        <v>26482.983799999998</v>
      </c>
      <c r="AA85" s="256">
        <f>$K85*SUMIF('KU-LGE Rating'!$R:$R,$D85,'KU-LGE Rating'!$G:$G)</f>
        <v>16231.5062</v>
      </c>
      <c r="AB85" s="257">
        <f t="shared" si="12"/>
        <v>42714.49</v>
      </c>
    </row>
    <row r="86" spans="1:28">
      <c r="A86" s="1" t="s">
        <v>2769</v>
      </c>
      <c r="B86" t="s">
        <v>3</v>
      </c>
      <c r="C86" t="s">
        <v>3723</v>
      </c>
      <c r="D86" t="s">
        <v>3724</v>
      </c>
      <c r="E86">
        <v>554100</v>
      </c>
      <c r="F86" t="s">
        <v>3893</v>
      </c>
      <c r="G86" s="288">
        <v>41570.36</v>
      </c>
      <c r="H86" s="288">
        <v>634072.84</v>
      </c>
      <c r="I86" s="288">
        <v>7926.96</v>
      </c>
      <c r="J86" s="288">
        <v>0</v>
      </c>
      <c r="K86" s="288">
        <v>0</v>
      </c>
      <c r="L86" s="243">
        <f t="shared" si="7"/>
        <v>641999.79999999993</v>
      </c>
      <c r="M86" s="243" t="str">
        <f t="shared" si="13"/>
        <v>554</v>
      </c>
      <c r="N86" s="255">
        <f>$G86*SUMIF('KU-LGE Rating'!$R:$R,$D86,'KU-LGE Rating'!F:F)</f>
        <v>25773.623200000002</v>
      </c>
      <c r="O86" s="256">
        <f>$G86*SUMIF('KU-LGE Rating'!$R:$R,$D86,'KU-LGE Rating'!G:G)</f>
        <v>15796.736800000001</v>
      </c>
      <c r="P86" s="257">
        <f t="shared" si="8"/>
        <v>41570.36</v>
      </c>
      <c r="Q86" s="255">
        <f>$H86*SUMIF('KU-LGE Rating'!$R:$R,$D86,'KU-LGE Rating'!$F:$F)</f>
        <v>393125.16079999995</v>
      </c>
      <c r="R86" s="256">
        <f>$H86*SUMIF('KU-LGE Rating'!$R:$R,$D86,'KU-LGE Rating'!$G:$G)</f>
        <v>240947.67919999998</v>
      </c>
      <c r="S86" s="257">
        <f t="shared" si="9"/>
        <v>634072.84</v>
      </c>
      <c r="T86" s="255">
        <f>$I86*SUMIF('KU-LGE Rating'!$R:$R,$D86,'KU-LGE Rating'!$F:$F)</f>
        <v>4914.7151999999996</v>
      </c>
      <c r="U86" s="256">
        <f>$I86*SUMIF('KU-LGE Rating'!$R:$R,$D86,'KU-LGE Rating'!$G:$G)</f>
        <v>3012.2447999999999</v>
      </c>
      <c r="V86" s="257">
        <f t="shared" si="10"/>
        <v>7926.9599999999991</v>
      </c>
      <c r="W86" s="255">
        <f>$J86*SUMIF('KU-LGE Rating'!$R:$R,$D86,'KU-LGE Rating'!$F:$F)</f>
        <v>0</v>
      </c>
      <c r="X86" s="256">
        <f>$J86*SUMIF('KU-LGE Rating'!$R:$R,$D86,'KU-LGE Rating'!$G:$G)</f>
        <v>0</v>
      </c>
      <c r="Y86" s="257">
        <f t="shared" si="11"/>
        <v>0</v>
      </c>
      <c r="Z86" s="255">
        <f>$K86*SUMIF('KU-LGE Rating'!$R:$R,$D86,'KU-LGE Rating'!$F:$F)</f>
        <v>0</v>
      </c>
      <c r="AA86" s="256">
        <f>$K86*SUMIF('KU-LGE Rating'!$R:$R,$D86,'KU-LGE Rating'!$G:$G)</f>
        <v>0</v>
      </c>
      <c r="AB86" s="257">
        <f t="shared" si="12"/>
        <v>0</v>
      </c>
    </row>
    <row r="87" spans="1:28">
      <c r="A87" s="1" t="s">
        <v>2769</v>
      </c>
      <c r="B87" t="s">
        <v>3</v>
      </c>
      <c r="C87" t="s">
        <v>3723</v>
      </c>
      <c r="D87" t="s">
        <v>3745</v>
      </c>
      <c r="E87">
        <v>553100</v>
      </c>
      <c r="F87" t="s">
        <v>3893</v>
      </c>
      <c r="G87" s="288">
        <v>-854406.53</v>
      </c>
      <c r="H87" s="288">
        <v>28261.48</v>
      </c>
      <c r="I87" s="288">
        <v>8630.0400000000009</v>
      </c>
      <c r="J87" s="288">
        <v>240531.89</v>
      </c>
      <c r="K87" s="288">
        <v>-64599.32</v>
      </c>
      <c r="L87" s="243">
        <f t="shared" si="7"/>
        <v>212824.09000000003</v>
      </c>
      <c r="M87" s="243" t="str">
        <f t="shared" si="13"/>
        <v>553</v>
      </c>
      <c r="N87" s="255">
        <f>$G87*SUMIF('KU-LGE Rating'!$R:$R,$D87,'KU-LGE Rating'!F:F)</f>
        <v>-529732.04859999998</v>
      </c>
      <c r="O87" s="256">
        <f>$G87*SUMIF('KU-LGE Rating'!$R:$R,$D87,'KU-LGE Rating'!G:G)</f>
        <v>-324674.48139999999</v>
      </c>
      <c r="P87" s="257">
        <f t="shared" si="8"/>
        <v>-854406.53</v>
      </c>
      <c r="Q87" s="255">
        <f>$H87*SUMIF('KU-LGE Rating'!$R:$R,$D87,'KU-LGE Rating'!$F:$F)</f>
        <v>17522.117600000001</v>
      </c>
      <c r="R87" s="256">
        <f>$H87*SUMIF('KU-LGE Rating'!$R:$R,$D87,'KU-LGE Rating'!$G:$G)</f>
        <v>10739.3624</v>
      </c>
      <c r="S87" s="257">
        <f t="shared" si="9"/>
        <v>28261.480000000003</v>
      </c>
      <c r="T87" s="255">
        <f>$I87*SUMIF('KU-LGE Rating'!$R:$R,$D87,'KU-LGE Rating'!$F:$F)</f>
        <v>5350.6248000000005</v>
      </c>
      <c r="U87" s="256">
        <f>$I87*SUMIF('KU-LGE Rating'!$R:$R,$D87,'KU-LGE Rating'!$G:$G)</f>
        <v>3279.4152000000004</v>
      </c>
      <c r="V87" s="257">
        <f t="shared" si="10"/>
        <v>8630.0400000000009</v>
      </c>
      <c r="W87" s="255">
        <f>$J87*SUMIF('KU-LGE Rating'!$R:$R,$D87,'KU-LGE Rating'!$F:$F)</f>
        <v>149129.77180000002</v>
      </c>
      <c r="X87" s="256">
        <f>$J87*SUMIF('KU-LGE Rating'!$R:$R,$D87,'KU-LGE Rating'!$G:$G)</f>
        <v>91402.118200000012</v>
      </c>
      <c r="Y87" s="257">
        <f t="shared" si="11"/>
        <v>240531.89</v>
      </c>
      <c r="Z87" s="255">
        <f>$K87*SUMIF('KU-LGE Rating'!$R:$R,$D87,'KU-LGE Rating'!$F:$F)</f>
        <v>-40051.578399999999</v>
      </c>
      <c r="AA87" s="256">
        <f>$K87*SUMIF('KU-LGE Rating'!$R:$R,$D87,'KU-LGE Rating'!$G:$G)</f>
        <v>-24547.741600000001</v>
      </c>
      <c r="AB87" s="257">
        <f t="shared" si="12"/>
        <v>-64599.32</v>
      </c>
    </row>
    <row r="88" spans="1:28">
      <c r="A88" s="1" t="s">
        <v>2769</v>
      </c>
      <c r="B88" t="s">
        <v>3</v>
      </c>
      <c r="C88" t="s">
        <v>3723</v>
      </c>
      <c r="D88" t="s">
        <v>3745</v>
      </c>
      <c r="E88">
        <v>554100</v>
      </c>
      <c r="F88" t="s">
        <v>3893</v>
      </c>
      <c r="G88" s="288">
        <v>1010.4</v>
      </c>
      <c r="H88" s="288">
        <v>0</v>
      </c>
      <c r="I88" s="288">
        <v>0</v>
      </c>
      <c r="J88" s="288">
        <v>0</v>
      </c>
      <c r="K88" s="288">
        <v>0</v>
      </c>
      <c r="L88" s="243">
        <f t="shared" si="7"/>
        <v>0</v>
      </c>
      <c r="M88" s="243" t="str">
        <f t="shared" si="13"/>
        <v>554</v>
      </c>
      <c r="N88" s="255">
        <f>$G88*SUMIF('KU-LGE Rating'!$R:$R,$D88,'KU-LGE Rating'!F:F)</f>
        <v>626.44799999999998</v>
      </c>
      <c r="O88" s="256">
        <f>$G88*SUMIF('KU-LGE Rating'!$R:$R,$D88,'KU-LGE Rating'!G:G)</f>
        <v>383.952</v>
      </c>
      <c r="P88" s="257">
        <f t="shared" si="8"/>
        <v>1010.4</v>
      </c>
      <c r="Q88" s="255">
        <f>$H88*SUMIF('KU-LGE Rating'!$R:$R,$D88,'KU-LGE Rating'!$F:$F)</f>
        <v>0</v>
      </c>
      <c r="R88" s="256">
        <f>$H88*SUMIF('KU-LGE Rating'!$R:$R,$D88,'KU-LGE Rating'!$G:$G)</f>
        <v>0</v>
      </c>
      <c r="S88" s="257">
        <f t="shared" si="9"/>
        <v>0</v>
      </c>
      <c r="T88" s="255">
        <f>$I88*SUMIF('KU-LGE Rating'!$R:$R,$D88,'KU-LGE Rating'!$F:$F)</f>
        <v>0</v>
      </c>
      <c r="U88" s="256">
        <f>$I88*SUMIF('KU-LGE Rating'!$R:$R,$D88,'KU-LGE Rating'!$G:$G)</f>
        <v>0</v>
      </c>
      <c r="V88" s="257">
        <f t="shared" si="10"/>
        <v>0</v>
      </c>
      <c r="W88" s="255">
        <f>$J88*SUMIF('KU-LGE Rating'!$R:$R,$D88,'KU-LGE Rating'!$F:$F)</f>
        <v>0</v>
      </c>
      <c r="X88" s="256">
        <f>$J88*SUMIF('KU-LGE Rating'!$R:$R,$D88,'KU-LGE Rating'!$G:$G)</f>
        <v>0</v>
      </c>
      <c r="Y88" s="257">
        <f t="shared" si="11"/>
        <v>0</v>
      </c>
      <c r="Z88" s="255">
        <f>$K88*SUMIF('KU-LGE Rating'!$R:$R,$D88,'KU-LGE Rating'!$F:$F)</f>
        <v>0</v>
      </c>
      <c r="AA88" s="256">
        <f>$K88*SUMIF('KU-LGE Rating'!$R:$R,$D88,'KU-LGE Rating'!$G:$G)</f>
        <v>0</v>
      </c>
      <c r="AB88" s="257">
        <f t="shared" si="12"/>
        <v>0</v>
      </c>
    </row>
    <row r="89" spans="1:28">
      <c r="A89" s="1" t="s">
        <v>2769</v>
      </c>
      <c r="B89" t="s">
        <v>3</v>
      </c>
      <c r="C89" t="s">
        <v>3723</v>
      </c>
      <c r="D89" t="s">
        <v>3746</v>
      </c>
      <c r="E89">
        <v>554100</v>
      </c>
      <c r="F89" t="s">
        <v>3893</v>
      </c>
      <c r="G89" s="288">
        <v>154893.85</v>
      </c>
      <c r="H89" s="288">
        <v>0</v>
      </c>
      <c r="I89" s="288">
        <v>0</v>
      </c>
      <c r="J89" s="288">
        <v>0</v>
      </c>
      <c r="K89" s="288">
        <v>0</v>
      </c>
      <c r="L89" s="243">
        <f t="shared" si="7"/>
        <v>0</v>
      </c>
      <c r="M89" s="243" t="str">
        <f t="shared" si="13"/>
        <v>554</v>
      </c>
      <c r="N89" s="255">
        <f>$G89*SUMIF('KU-LGE Rating'!$R:$R,$D89,'KU-LGE Rating'!F:F)</f>
        <v>154893.85</v>
      </c>
      <c r="O89" s="256">
        <f>$G89*SUMIF('KU-LGE Rating'!$R:$R,$D89,'KU-LGE Rating'!G:G)</f>
        <v>0</v>
      </c>
      <c r="P89" s="257">
        <f t="shared" si="8"/>
        <v>154893.85</v>
      </c>
      <c r="Q89" s="255">
        <f>$H89*SUMIF('KU-LGE Rating'!$R:$R,$D89,'KU-LGE Rating'!$F:$F)</f>
        <v>0</v>
      </c>
      <c r="R89" s="256">
        <f>$H89*SUMIF('KU-LGE Rating'!$R:$R,$D89,'KU-LGE Rating'!$G:$G)</f>
        <v>0</v>
      </c>
      <c r="S89" s="257">
        <f t="shared" si="9"/>
        <v>0</v>
      </c>
      <c r="T89" s="255">
        <f>$I89*SUMIF('KU-LGE Rating'!$R:$R,$D89,'KU-LGE Rating'!$F:$F)</f>
        <v>0</v>
      </c>
      <c r="U89" s="256">
        <f>$I89*SUMIF('KU-LGE Rating'!$R:$R,$D89,'KU-LGE Rating'!$G:$G)</f>
        <v>0</v>
      </c>
      <c r="V89" s="257">
        <f t="shared" si="10"/>
        <v>0</v>
      </c>
      <c r="W89" s="255">
        <f>$J89*SUMIF('KU-LGE Rating'!$R:$R,$D89,'KU-LGE Rating'!$F:$F)</f>
        <v>0</v>
      </c>
      <c r="X89" s="256">
        <f>$J89*SUMIF('KU-LGE Rating'!$R:$R,$D89,'KU-LGE Rating'!$G:$G)</f>
        <v>0</v>
      </c>
      <c r="Y89" s="257">
        <f t="shared" si="11"/>
        <v>0</v>
      </c>
      <c r="Z89" s="255">
        <f>$K89*SUMIF('KU-LGE Rating'!$R:$R,$D89,'KU-LGE Rating'!$F:$F)</f>
        <v>0</v>
      </c>
      <c r="AA89" s="256">
        <f>$K89*SUMIF('KU-LGE Rating'!$R:$R,$D89,'KU-LGE Rating'!$G:$G)</f>
        <v>0</v>
      </c>
      <c r="AB89" s="257">
        <f t="shared" si="12"/>
        <v>0</v>
      </c>
    </row>
    <row r="90" spans="1:28">
      <c r="A90" s="1" t="s">
        <v>2769</v>
      </c>
      <c r="B90" t="s">
        <v>3</v>
      </c>
      <c r="C90" t="s">
        <v>3723</v>
      </c>
      <c r="D90" t="s">
        <v>3747</v>
      </c>
      <c r="E90">
        <v>553100</v>
      </c>
      <c r="F90" t="s">
        <v>3893</v>
      </c>
      <c r="G90" s="288">
        <v>0</v>
      </c>
      <c r="H90" s="288">
        <v>0</v>
      </c>
      <c r="I90" s="288">
        <v>0</v>
      </c>
      <c r="J90" s="288">
        <v>0</v>
      </c>
      <c r="K90" s="288">
        <v>281744.78999999998</v>
      </c>
      <c r="L90" s="243">
        <f t="shared" si="7"/>
        <v>281744.78999999998</v>
      </c>
      <c r="M90" s="243" t="str">
        <f t="shared" si="13"/>
        <v>553</v>
      </c>
      <c r="N90" s="255">
        <f>$G90*SUMIF('KU-LGE Rating'!$R:$R,$D90,'KU-LGE Rating'!F:F)</f>
        <v>0</v>
      </c>
      <c r="O90" s="256">
        <f>$G90*SUMIF('KU-LGE Rating'!$R:$R,$D90,'KU-LGE Rating'!G:G)</f>
        <v>0</v>
      </c>
      <c r="P90" s="257">
        <f t="shared" si="8"/>
        <v>0</v>
      </c>
      <c r="Q90" s="255">
        <f>$H90*SUMIF('KU-LGE Rating'!$R:$R,$D90,'KU-LGE Rating'!$F:$F)</f>
        <v>0</v>
      </c>
      <c r="R90" s="256">
        <f>$H90*SUMIF('KU-LGE Rating'!$R:$R,$D90,'KU-LGE Rating'!$G:$G)</f>
        <v>0</v>
      </c>
      <c r="S90" s="257">
        <f t="shared" si="9"/>
        <v>0</v>
      </c>
      <c r="T90" s="255">
        <f>$I90*SUMIF('KU-LGE Rating'!$R:$R,$D90,'KU-LGE Rating'!$F:$F)</f>
        <v>0</v>
      </c>
      <c r="U90" s="256">
        <f>$I90*SUMIF('KU-LGE Rating'!$R:$R,$D90,'KU-LGE Rating'!$G:$G)</f>
        <v>0</v>
      </c>
      <c r="V90" s="257">
        <f t="shared" si="10"/>
        <v>0</v>
      </c>
      <c r="W90" s="255">
        <f>$J90*SUMIF('KU-LGE Rating'!$R:$R,$D90,'KU-LGE Rating'!$F:$F)</f>
        <v>0</v>
      </c>
      <c r="X90" s="256">
        <f>$J90*SUMIF('KU-LGE Rating'!$R:$R,$D90,'KU-LGE Rating'!$G:$G)</f>
        <v>0</v>
      </c>
      <c r="Y90" s="257">
        <f t="shared" si="11"/>
        <v>0</v>
      </c>
      <c r="Z90" s="255">
        <f>$K90*SUMIF('KU-LGE Rating'!$R:$R,$D90,'KU-LGE Rating'!$F:$F)</f>
        <v>281744.78999999998</v>
      </c>
      <c r="AA90" s="256">
        <f>$K90*SUMIF('KU-LGE Rating'!$R:$R,$D90,'KU-LGE Rating'!$G:$G)</f>
        <v>0</v>
      </c>
      <c r="AB90" s="257">
        <f t="shared" si="12"/>
        <v>281744.78999999998</v>
      </c>
    </row>
    <row r="91" spans="1:28">
      <c r="A91" s="1" t="s">
        <v>2769</v>
      </c>
      <c r="B91" t="s">
        <v>3</v>
      </c>
      <c r="C91" t="s">
        <v>3723</v>
      </c>
      <c r="D91" t="s">
        <v>3640</v>
      </c>
      <c r="E91">
        <v>543100</v>
      </c>
      <c r="F91" t="s">
        <v>3893</v>
      </c>
      <c r="G91" s="288">
        <v>0</v>
      </c>
      <c r="H91" s="288">
        <v>15266.39</v>
      </c>
      <c r="I91" s="288">
        <v>0</v>
      </c>
      <c r="J91" s="288">
        <v>0</v>
      </c>
      <c r="K91" s="288">
        <v>0</v>
      </c>
      <c r="L91" s="243">
        <f t="shared" si="7"/>
        <v>15266.39</v>
      </c>
      <c r="M91" s="243" t="str">
        <f t="shared" si="13"/>
        <v>543</v>
      </c>
      <c r="N91" s="255">
        <f>$G91*SUMIF('KU-LGE Rating'!$R:$R,$D91,'KU-LGE Rating'!F:F)</f>
        <v>0</v>
      </c>
      <c r="O91" s="256">
        <f>$G91*SUMIF('KU-LGE Rating'!$R:$R,$D91,'KU-LGE Rating'!G:G)</f>
        <v>0</v>
      </c>
      <c r="P91" s="257">
        <f t="shared" si="8"/>
        <v>0</v>
      </c>
      <c r="Q91" s="255">
        <f>$H91*SUMIF('KU-LGE Rating'!$R:$R,$D91,'KU-LGE Rating'!$F:$F)</f>
        <v>15266.39</v>
      </c>
      <c r="R91" s="256">
        <f>$H91*SUMIF('KU-LGE Rating'!$R:$R,$D91,'KU-LGE Rating'!$G:$G)</f>
        <v>0</v>
      </c>
      <c r="S91" s="257">
        <f t="shared" si="9"/>
        <v>15266.39</v>
      </c>
      <c r="T91" s="255">
        <f>$I91*SUMIF('KU-LGE Rating'!$R:$R,$D91,'KU-LGE Rating'!$F:$F)</f>
        <v>0</v>
      </c>
      <c r="U91" s="256">
        <f>$I91*SUMIF('KU-LGE Rating'!$R:$R,$D91,'KU-LGE Rating'!$G:$G)</f>
        <v>0</v>
      </c>
      <c r="V91" s="257">
        <f t="shared" si="10"/>
        <v>0</v>
      </c>
      <c r="W91" s="255">
        <f>$J91*SUMIF('KU-LGE Rating'!$R:$R,$D91,'KU-LGE Rating'!$F:$F)</f>
        <v>0</v>
      </c>
      <c r="X91" s="256">
        <f>$J91*SUMIF('KU-LGE Rating'!$R:$R,$D91,'KU-LGE Rating'!$G:$G)</f>
        <v>0</v>
      </c>
      <c r="Y91" s="257">
        <f t="shared" si="11"/>
        <v>0</v>
      </c>
      <c r="Z91" s="255">
        <f>$K91*SUMIF('KU-LGE Rating'!$R:$R,$D91,'KU-LGE Rating'!$F:$F)</f>
        <v>0</v>
      </c>
      <c r="AA91" s="256">
        <f>$K91*SUMIF('KU-LGE Rating'!$R:$R,$D91,'KU-LGE Rating'!$G:$G)</f>
        <v>0</v>
      </c>
      <c r="AB91" s="257">
        <f t="shared" si="12"/>
        <v>0</v>
      </c>
    </row>
    <row r="92" spans="1:28">
      <c r="A92" s="1" t="s">
        <v>2769</v>
      </c>
      <c r="B92" t="s">
        <v>3</v>
      </c>
      <c r="C92" t="s">
        <v>3723</v>
      </c>
      <c r="D92" t="s">
        <v>3727</v>
      </c>
      <c r="E92">
        <v>511100</v>
      </c>
      <c r="F92" t="s">
        <v>3893</v>
      </c>
      <c r="G92" s="288">
        <v>28924.65</v>
      </c>
      <c r="H92" s="288">
        <v>3906.56</v>
      </c>
      <c r="I92" s="288">
        <v>99869.89</v>
      </c>
      <c r="J92" s="288">
        <v>26116.080000000002</v>
      </c>
      <c r="K92" s="288">
        <v>43493.4</v>
      </c>
      <c r="L92" s="243">
        <f t="shared" si="7"/>
        <v>173385.93</v>
      </c>
      <c r="M92" s="243" t="str">
        <f t="shared" si="13"/>
        <v>511</v>
      </c>
      <c r="N92" s="255">
        <f>$G92*SUMIF('KU-LGE Rating'!$R:$R,$D92,'KU-LGE Rating'!F:F)</f>
        <v>28924.65</v>
      </c>
      <c r="O92" s="256">
        <f>$G92*SUMIF('KU-LGE Rating'!$R:$R,$D92,'KU-LGE Rating'!G:G)</f>
        <v>0</v>
      </c>
      <c r="P92" s="257">
        <f t="shared" si="8"/>
        <v>28924.65</v>
      </c>
      <c r="Q92" s="255">
        <f>$H92*SUMIF('KU-LGE Rating'!$R:$R,$D92,'KU-LGE Rating'!$F:$F)</f>
        <v>3906.56</v>
      </c>
      <c r="R92" s="256">
        <f>$H92*SUMIF('KU-LGE Rating'!$R:$R,$D92,'KU-LGE Rating'!$G:$G)</f>
        <v>0</v>
      </c>
      <c r="S92" s="257">
        <f t="shared" si="9"/>
        <v>3906.56</v>
      </c>
      <c r="T92" s="255">
        <f>$I92*SUMIF('KU-LGE Rating'!$R:$R,$D92,'KU-LGE Rating'!$F:$F)</f>
        <v>99869.89</v>
      </c>
      <c r="U92" s="256">
        <f>$I92*SUMIF('KU-LGE Rating'!$R:$R,$D92,'KU-LGE Rating'!$G:$G)</f>
        <v>0</v>
      </c>
      <c r="V92" s="257">
        <f t="shared" si="10"/>
        <v>99869.89</v>
      </c>
      <c r="W92" s="255">
        <f>$J92*SUMIF('KU-LGE Rating'!$R:$R,$D92,'KU-LGE Rating'!$F:$F)</f>
        <v>26116.080000000002</v>
      </c>
      <c r="X92" s="256">
        <f>$J92*SUMIF('KU-LGE Rating'!$R:$R,$D92,'KU-LGE Rating'!$G:$G)</f>
        <v>0</v>
      </c>
      <c r="Y92" s="257">
        <f t="shared" si="11"/>
        <v>26116.080000000002</v>
      </c>
      <c r="Z92" s="255">
        <f>$K92*SUMIF('KU-LGE Rating'!$R:$R,$D92,'KU-LGE Rating'!$F:$F)</f>
        <v>43493.4</v>
      </c>
      <c r="AA92" s="256">
        <f>$K92*SUMIF('KU-LGE Rating'!$R:$R,$D92,'KU-LGE Rating'!$G:$G)</f>
        <v>0</v>
      </c>
      <c r="AB92" s="257">
        <f t="shared" si="12"/>
        <v>43493.4</v>
      </c>
    </row>
    <row r="93" spans="1:28">
      <c r="A93" s="1" t="s">
        <v>2769</v>
      </c>
      <c r="B93" t="s">
        <v>3</v>
      </c>
      <c r="C93" t="s">
        <v>3723</v>
      </c>
      <c r="D93" t="s">
        <v>3727</v>
      </c>
      <c r="E93">
        <v>512005</v>
      </c>
      <c r="F93" t="s">
        <v>3893</v>
      </c>
      <c r="G93" s="288">
        <v>85692.92</v>
      </c>
      <c r="H93" s="288">
        <v>48109.83</v>
      </c>
      <c r="I93" s="288">
        <v>100711.88</v>
      </c>
      <c r="J93" s="288">
        <v>0</v>
      </c>
      <c r="K93" s="288">
        <v>368252.11</v>
      </c>
      <c r="L93" s="243">
        <f t="shared" si="7"/>
        <v>517073.82</v>
      </c>
      <c r="M93" s="243" t="str">
        <f t="shared" si="13"/>
        <v>512</v>
      </c>
      <c r="N93" s="255">
        <f>$G93*SUMIF('KU-LGE Rating'!$R:$R,$D93,'KU-LGE Rating'!F:F)</f>
        <v>85692.92</v>
      </c>
      <c r="O93" s="256">
        <f>$G93*SUMIF('KU-LGE Rating'!$R:$R,$D93,'KU-LGE Rating'!G:G)</f>
        <v>0</v>
      </c>
      <c r="P93" s="257">
        <f t="shared" si="8"/>
        <v>85692.92</v>
      </c>
      <c r="Q93" s="255">
        <f>$H93*SUMIF('KU-LGE Rating'!$R:$R,$D93,'KU-LGE Rating'!$F:$F)</f>
        <v>48109.83</v>
      </c>
      <c r="R93" s="256">
        <f>$H93*SUMIF('KU-LGE Rating'!$R:$R,$D93,'KU-LGE Rating'!$G:$G)</f>
        <v>0</v>
      </c>
      <c r="S93" s="257">
        <f t="shared" si="9"/>
        <v>48109.83</v>
      </c>
      <c r="T93" s="255">
        <f>$I93*SUMIF('KU-LGE Rating'!$R:$R,$D93,'KU-LGE Rating'!$F:$F)</f>
        <v>100711.88</v>
      </c>
      <c r="U93" s="256">
        <f>$I93*SUMIF('KU-LGE Rating'!$R:$R,$D93,'KU-LGE Rating'!$G:$G)</f>
        <v>0</v>
      </c>
      <c r="V93" s="257">
        <f t="shared" si="10"/>
        <v>100711.88</v>
      </c>
      <c r="W93" s="255">
        <f>$J93*SUMIF('KU-LGE Rating'!$R:$R,$D93,'KU-LGE Rating'!$F:$F)</f>
        <v>0</v>
      </c>
      <c r="X93" s="256">
        <f>$J93*SUMIF('KU-LGE Rating'!$R:$R,$D93,'KU-LGE Rating'!$G:$G)</f>
        <v>0</v>
      </c>
      <c r="Y93" s="257">
        <f t="shared" si="11"/>
        <v>0</v>
      </c>
      <c r="Z93" s="255">
        <f>$K93*SUMIF('KU-LGE Rating'!$R:$R,$D93,'KU-LGE Rating'!$F:$F)</f>
        <v>368252.11</v>
      </c>
      <c r="AA93" s="256">
        <f>$K93*SUMIF('KU-LGE Rating'!$R:$R,$D93,'KU-LGE Rating'!$G:$G)</f>
        <v>0</v>
      </c>
      <c r="AB93" s="257">
        <f t="shared" si="12"/>
        <v>368252.11</v>
      </c>
    </row>
    <row r="94" spans="1:28">
      <c r="A94" s="1" t="s">
        <v>2769</v>
      </c>
      <c r="B94" t="s">
        <v>3</v>
      </c>
      <c r="C94" t="s">
        <v>3723</v>
      </c>
      <c r="D94" t="s">
        <v>3727</v>
      </c>
      <c r="E94">
        <v>512011</v>
      </c>
      <c r="F94" t="s">
        <v>3893</v>
      </c>
      <c r="G94" s="288">
        <v>147468.24</v>
      </c>
      <c r="H94" s="288">
        <v>158323.72</v>
      </c>
      <c r="I94" s="288">
        <v>60591.15</v>
      </c>
      <c r="J94" s="288">
        <v>109216.98</v>
      </c>
      <c r="K94" s="288">
        <v>101334.92</v>
      </c>
      <c r="L94" s="243">
        <f t="shared" si="7"/>
        <v>429466.76999999996</v>
      </c>
      <c r="M94" s="243" t="str">
        <f t="shared" si="13"/>
        <v>512</v>
      </c>
      <c r="N94" s="255">
        <f>$G94*SUMIF('KU-LGE Rating'!$R:$R,$D94,'KU-LGE Rating'!F:F)</f>
        <v>147468.24</v>
      </c>
      <c r="O94" s="256">
        <f>$G94*SUMIF('KU-LGE Rating'!$R:$R,$D94,'KU-LGE Rating'!G:G)</f>
        <v>0</v>
      </c>
      <c r="P94" s="257">
        <f t="shared" si="8"/>
        <v>147468.24</v>
      </c>
      <c r="Q94" s="255">
        <f>$H94*SUMIF('KU-LGE Rating'!$R:$R,$D94,'KU-LGE Rating'!$F:$F)</f>
        <v>158323.72</v>
      </c>
      <c r="R94" s="256">
        <f>$H94*SUMIF('KU-LGE Rating'!$R:$R,$D94,'KU-LGE Rating'!$G:$G)</f>
        <v>0</v>
      </c>
      <c r="S94" s="257">
        <f t="shared" si="9"/>
        <v>158323.72</v>
      </c>
      <c r="T94" s="255">
        <f>$I94*SUMIF('KU-LGE Rating'!$R:$R,$D94,'KU-LGE Rating'!$F:$F)</f>
        <v>60591.15</v>
      </c>
      <c r="U94" s="256">
        <f>$I94*SUMIF('KU-LGE Rating'!$R:$R,$D94,'KU-LGE Rating'!$G:$G)</f>
        <v>0</v>
      </c>
      <c r="V94" s="257">
        <f t="shared" si="10"/>
        <v>60591.15</v>
      </c>
      <c r="W94" s="255">
        <f>$J94*SUMIF('KU-LGE Rating'!$R:$R,$D94,'KU-LGE Rating'!$F:$F)</f>
        <v>109216.98</v>
      </c>
      <c r="X94" s="256">
        <f>$J94*SUMIF('KU-LGE Rating'!$R:$R,$D94,'KU-LGE Rating'!$G:$G)</f>
        <v>0</v>
      </c>
      <c r="Y94" s="257">
        <f t="shared" si="11"/>
        <v>109216.98</v>
      </c>
      <c r="Z94" s="255">
        <f>$K94*SUMIF('KU-LGE Rating'!$R:$R,$D94,'KU-LGE Rating'!$F:$F)</f>
        <v>101334.92</v>
      </c>
      <c r="AA94" s="256">
        <f>$K94*SUMIF('KU-LGE Rating'!$R:$R,$D94,'KU-LGE Rating'!$G:$G)</f>
        <v>0</v>
      </c>
      <c r="AB94" s="257">
        <f t="shared" si="12"/>
        <v>101334.92</v>
      </c>
    </row>
    <row r="95" spans="1:28">
      <c r="A95" s="1" t="s">
        <v>2769</v>
      </c>
      <c r="B95" t="s">
        <v>3</v>
      </c>
      <c r="C95" t="s">
        <v>3723</v>
      </c>
      <c r="D95" t="s">
        <v>3727</v>
      </c>
      <c r="E95">
        <v>512017</v>
      </c>
      <c r="F95" t="s">
        <v>3893</v>
      </c>
      <c r="G95" s="288">
        <v>14552.24</v>
      </c>
      <c r="H95" s="288">
        <v>161801.43</v>
      </c>
      <c r="I95" s="288">
        <v>38034.339999999997</v>
      </c>
      <c r="J95" s="288">
        <v>21193.599999999999</v>
      </c>
      <c r="K95" s="288">
        <v>102896.97</v>
      </c>
      <c r="L95" s="243">
        <f t="shared" si="7"/>
        <v>323926.33999999997</v>
      </c>
      <c r="M95" s="243" t="str">
        <f t="shared" si="13"/>
        <v>512</v>
      </c>
      <c r="N95" s="255">
        <f>$G95*SUMIF('KU-LGE Rating'!$R:$R,$D95,'KU-LGE Rating'!F:F)</f>
        <v>14552.24</v>
      </c>
      <c r="O95" s="256">
        <f>$G95*SUMIF('KU-LGE Rating'!$R:$R,$D95,'KU-LGE Rating'!G:G)</f>
        <v>0</v>
      </c>
      <c r="P95" s="257">
        <f t="shared" si="8"/>
        <v>14552.24</v>
      </c>
      <c r="Q95" s="255">
        <f>$H95*SUMIF('KU-LGE Rating'!$R:$R,$D95,'KU-LGE Rating'!$F:$F)</f>
        <v>161801.43</v>
      </c>
      <c r="R95" s="256">
        <f>$H95*SUMIF('KU-LGE Rating'!$R:$R,$D95,'KU-LGE Rating'!$G:$G)</f>
        <v>0</v>
      </c>
      <c r="S95" s="257">
        <f t="shared" si="9"/>
        <v>161801.43</v>
      </c>
      <c r="T95" s="255">
        <f>$I95*SUMIF('KU-LGE Rating'!$R:$R,$D95,'KU-LGE Rating'!$F:$F)</f>
        <v>38034.339999999997</v>
      </c>
      <c r="U95" s="256">
        <f>$I95*SUMIF('KU-LGE Rating'!$R:$R,$D95,'KU-LGE Rating'!$G:$G)</f>
        <v>0</v>
      </c>
      <c r="V95" s="257">
        <f t="shared" si="10"/>
        <v>38034.339999999997</v>
      </c>
      <c r="W95" s="255">
        <f>$J95*SUMIF('KU-LGE Rating'!$R:$R,$D95,'KU-LGE Rating'!$F:$F)</f>
        <v>21193.599999999999</v>
      </c>
      <c r="X95" s="256">
        <f>$J95*SUMIF('KU-LGE Rating'!$R:$R,$D95,'KU-LGE Rating'!$G:$G)</f>
        <v>0</v>
      </c>
      <c r="Y95" s="257">
        <f t="shared" si="11"/>
        <v>21193.599999999999</v>
      </c>
      <c r="Z95" s="255">
        <f>$K95*SUMIF('KU-LGE Rating'!$R:$R,$D95,'KU-LGE Rating'!$F:$F)</f>
        <v>102896.97</v>
      </c>
      <c r="AA95" s="256">
        <f>$K95*SUMIF('KU-LGE Rating'!$R:$R,$D95,'KU-LGE Rating'!$G:$G)</f>
        <v>0</v>
      </c>
      <c r="AB95" s="257">
        <f t="shared" si="12"/>
        <v>102896.97</v>
      </c>
    </row>
    <row r="96" spans="1:28">
      <c r="A96" s="1" t="s">
        <v>2769</v>
      </c>
      <c r="B96" t="s">
        <v>3</v>
      </c>
      <c r="C96" t="s">
        <v>3723</v>
      </c>
      <c r="D96" t="s">
        <v>3727</v>
      </c>
      <c r="E96">
        <v>512100</v>
      </c>
      <c r="F96" t="s">
        <v>3893</v>
      </c>
      <c r="G96" s="288">
        <v>2170260.71</v>
      </c>
      <c r="H96" s="288">
        <v>1528697.69</v>
      </c>
      <c r="I96" s="288">
        <v>1048106.28</v>
      </c>
      <c r="J96" s="288">
        <v>2089485.36</v>
      </c>
      <c r="K96" s="288">
        <v>1410469.93</v>
      </c>
      <c r="L96" s="243">
        <f t="shared" si="7"/>
        <v>6076759.2599999998</v>
      </c>
      <c r="M96" s="243" t="str">
        <f t="shared" si="13"/>
        <v>512</v>
      </c>
      <c r="N96" s="255">
        <f>$G96*SUMIF('KU-LGE Rating'!$R:$R,$D96,'KU-LGE Rating'!F:F)</f>
        <v>2170260.71</v>
      </c>
      <c r="O96" s="256">
        <f>$G96*SUMIF('KU-LGE Rating'!$R:$R,$D96,'KU-LGE Rating'!G:G)</f>
        <v>0</v>
      </c>
      <c r="P96" s="257">
        <f t="shared" si="8"/>
        <v>2170260.71</v>
      </c>
      <c r="Q96" s="255">
        <f>$H96*SUMIF('KU-LGE Rating'!$R:$R,$D96,'KU-LGE Rating'!$F:$F)</f>
        <v>1528697.69</v>
      </c>
      <c r="R96" s="256">
        <f>$H96*SUMIF('KU-LGE Rating'!$R:$R,$D96,'KU-LGE Rating'!$G:$G)</f>
        <v>0</v>
      </c>
      <c r="S96" s="257">
        <f t="shared" si="9"/>
        <v>1528697.69</v>
      </c>
      <c r="T96" s="255">
        <f>$I96*SUMIF('KU-LGE Rating'!$R:$R,$D96,'KU-LGE Rating'!$F:$F)</f>
        <v>1048106.28</v>
      </c>
      <c r="U96" s="256">
        <f>$I96*SUMIF('KU-LGE Rating'!$R:$R,$D96,'KU-LGE Rating'!$G:$G)</f>
        <v>0</v>
      </c>
      <c r="V96" s="257">
        <f t="shared" si="10"/>
        <v>1048106.28</v>
      </c>
      <c r="W96" s="255">
        <f>$J96*SUMIF('KU-LGE Rating'!$R:$R,$D96,'KU-LGE Rating'!$F:$F)</f>
        <v>2089485.36</v>
      </c>
      <c r="X96" s="256">
        <f>$J96*SUMIF('KU-LGE Rating'!$R:$R,$D96,'KU-LGE Rating'!$G:$G)</f>
        <v>0</v>
      </c>
      <c r="Y96" s="257">
        <f t="shared" si="11"/>
        <v>2089485.36</v>
      </c>
      <c r="Z96" s="255">
        <f>$K96*SUMIF('KU-LGE Rating'!$R:$R,$D96,'KU-LGE Rating'!$F:$F)</f>
        <v>1410469.93</v>
      </c>
      <c r="AA96" s="256">
        <f>$K96*SUMIF('KU-LGE Rating'!$R:$R,$D96,'KU-LGE Rating'!$G:$G)</f>
        <v>0</v>
      </c>
      <c r="AB96" s="257">
        <f t="shared" si="12"/>
        <v>1410469.93</v>
      </c>
    </row>
    <row r="97" spans="1:28">
      <c r="A97" s="1" t="s">
        <v>2769</v>
      </c>
      <c r="B97" t="s">
        <v>3</v>
      </c>
      <c r="C97" t="s">
        <v>3723</v>
      </c>
      <c r="D97" t="s">
        <v>3727</v>
      </c>
      <c r="E97">
        <v>512101</v>
      </c>
      <c r="F97" t="s">
        <v>3893</v>
      </c>
      <c r="G97" s="288">
        <v>113358.24</v>
      </c>
      <c r="H97" s="288">
        <v>104388.51</v>
      </c>
      <c r="I97" s="288">
        <v>4245.99</v>
      </c>
      <c r="J97" s="288">
        <v>45560.67</v>
      </c>
      <c r="K97" s="288">
        <v>138637.69</v>
      </c>
      <c r="L97" s="243">
        <f t="shared" si="7"/>
        <v>292832.86</v>
      </c>
      <c r="M97" s="243" t="str">
        <f t="shared" si="13"/>
        <v>512</v>
      </c>
      <c r="N97" s="255">
        <f>$G97*SUMIF('KU-LGE Rating'!$R:$R,$D97,'KU-LGE Rating'!F:F)</f>
        <v>113358.24</v>
      </c>
      <c r="O97" s="256">
        <f>$G97*SUMIF('KU-LGE Rating'!$R:$R,$D97,'KU-LGE Rating'!G:G)</f>
        <v>0</v>
      </c>
      <c r="P97" s="257">
        <f t="shared" si="8"/>
        <v>113358.24</v>
      </c>
      <c r="Q97" s="255">
        <f>$H97*SUMIF('KU-LGE Rating'!$R:$R,$D97,'KU-LGE Rating'!$F:$F)</f>
        <v>104388.51</v>
      </c>
      <c r="R97" s="256">
        <f>$H97*SUMIF('KU-LGE Rating'!$R:$R,$D97,'KU-LGE Rating'!$G:$G)</f>
        <v>0</v>
      </c>
      <c r="S97" s="257">
        <f t="shared" si="9"/>
        <v>104388.51</v>
      </c>
      <c r="T97" s="255">
        <f>$I97*SUMIF('KU-LGE Rating'!$R:$R,$D97,'KU-LGE Rating'!$F:$F)</f>
        <v>4245.99</v>
      </c>
      <c r="U97" s="256">
        <f>$I97*SUMIF('KU-LGE Rating'!$R:$R,$D97,'KU-LGE Rating'!$G:$G)</f>
        <v>0</v>
      </c>
      <c r="V97" s="257">
        <f t="shared" si="10"/>
        <v>4245.99</v>
      </c>
      <c r="W97" s="255">
        <f>$J97*SUMIF('KU-LGE Rating'!$R:$R,$D97,'KU-LGE Rating'!$F:$F)</f>
        <v>45560.67</v>
      </c>
      <c r="X97" s="256">
        <f>$J97*SUMIF('KU-LGE Rating'!$R:$R,$D97,'KU-LGE Rating'!$G:$G)</f>
        <v>0</v>
      </c>
      <c r="Y97" s="257">
        <f t="shared" si="11"/>
        <v>45560.67</v>
      </c>
      <c r="Z97" s="255">
        <f>$K97*SUMIF('KU-LGE Rating'!$R:$R,$D97,'KU-LGE Rating'!$F:$F)</f>
        <v>138637.69</v>
      </c>
      <c r="AA97" s="256">
        <f>$K97*SUMIF('KU-LGE Rating'!$R:$R,$D97,'KU-LGE Rating'!$G:$G)</f>
        <v>0</v>
      </c>
      <c r="AB97" s="257">
        <f t="shared" si="12"/>
        <v>138637.69</v>
      </c>
    </row>
    <row r="98" spans="1:28">
      <c r="A98" s="1" t="s">
        <v>2769</v>
      </c>
      <c r="B98" t="s">
        <v>3</v>
      </c>
      <c r="C98" t="s">
        <v>3723</v>
      </c>
      <c r="D98" t="s">
        <v>3727</v>
      </c>
      <c r="E98">
        <v>513100</v>
      </c>
      <c r="F98" t="s">
        <v>3893</v>
      </c>
      <c r="G98" s="288">
        <v>335330.89</v>
      </c>
      <c r="H98" s="288">
        <v>606984.27</v>
      </c>
      <c r="I98" s="288">
        <v>453780.49</v>
      </c>
      <c r="J98" s="288">
        <v>1179615.07</v>
      </c>
      <c r="K98" s="288">
        <v>262560.87</v>
      </c>
      <c r="L98" s="243">
        <f t="shared" si="7"/>
        <v>2502940.7000000002</v>
      </c>
      <c r="M98" s="243" t="str">
        <f t="shared" si="13"/>
        <v>513</v>
      </c>
      <c r="N98" s="255">
        <f>$G98*SUMIF('KU-LGE Rating'!$R:$R,$D98,'KU-LGE Rating'!F:F)</f>
        <v>335330.89</v>
      </c>
      <c r="O98" s="256">
        <f>$G98*SUMIF('KU-LGE Rating'!$R:$R,$D98,'KU-LGE Rating'!G:G)</f>
        <v>0</v>
      </c>
      <c r="P98" s="257">
        <f t="shared" si="8"/>
        <v>335330.89</v>
      </c>
      <c r="Q98" s="255">
        <f>$H98*SUMIF('KU-LGE Rating'!$R:$R,$D98,'KU-LGE Rating'!$F:$F)</f>
        <v>606984.27</v>
      </c>
      <c r="R98" s="256">
        <f>$H98*SUMIF('KU-LGE Rating'!$R:$R,$D98,'KU-LGE Rating'!$G:$G)</f>
        <v>0</v>
      </c>
      <c r="S98" s="257">
        <f t="shared" si="9"/>
        <v>606984.27</v>
      </c>
      <c r="T98" s="255">
        <f>$I98*SUMIF('KU-LGE Rating'!$R:$R,$D98,'KU-LGE Rating'!$F:$F)</f>
        <v>453780.49</v>
      </c>
      <c r="U98" s="256">
        <f>$I98*SUMIF('KU-LGE Rating'!$R:$R,$D98,'KU-LGE Rating'!$G:$G)</f>
        <v>0</v>
      </c>
      <c r="V98" s="257">
        <f t="shared" si="10"/>
        <v>453780.49</v>
      </c>
      <c r="W98" s="255">
        <f>$J98*SUMIF('KU-LGE Rating'!$R:$R,$D98,'KU-LGE Rating'!$F:$F)</f>
        <v>1179615.07</v>
      </c>
      <c r="X98" s="256">
        <f>$J98*SUMIF('KU-LGE Rating'!$R:$R,$D98,'KU-LGE Rating'!$G:$G)</f>
        <v>0</v>
      </c>
      <c r="Y98" s="257">
        <f t="shared" si="11"/>
        <v>1179615.07</v>
      </c>
      <c r="Z98" s="255">
        <f>$K98*SUMIF('KU-LGE Rating'!$R:$R,$D98,'KU-LGE Rating'!$F:$F)</f>
        <v>262560.87</v>
      </c>
      <c r="AA98" s="256">
        <f>$K98*SUMIF('KU-LGE Rating'!$R:$R,$D98,'KU-LGE Rating'!$G:$G)</f>
        <v>0</v>
      </c>
      <c r="AB98" s="257">
        <f t="shared" si="12"/>
        <v>262560.87</v>
      </c>
    </row>
    <row r="99" spans="1:28">
      <c r="A99" s="1" t="s">
        <v>2769</v>
      </c>
      <c r="B99" t="s">
        <v>3</v>
      </c>
      <c r="C99" t="s">
        <v>3723</v>
      </c>
      <c r="D99" t="s">
        <v>3727</v>
      </c>
      <c r="E99">
        <v>514100</v>
      </c>
      <c r="F99" t="s">
        <v>3893</v>
      </c>
      <c r="G99" s="288">
        <v>0</v>
      </c>
      <c r="H99" s="288">
        <v>12793.14</v>
      </c>
      <c r="I99" s="288">
        <v>0</v>
      </c>
      <c r="J99" s="288">
        <v>0</v>
      </c>
      <c r="K99" s="288">
        <v>5.51</v>
      </c>
      <c r="L99" s="243">
        <f t="shared" si="7"/>
        <v>12798.65</v>
      </c>
      <c r="M99" s="243" t="str">
        <f t="shared" si="13"/>
        <v>514</v>
      </c>
      <c r="N99" s="255">
        <f>$G99*SUMIF('KU-LGE Rating'!$R:$R,$D99,'KU-LGE Rating'!F:F)</f>
        <v>0</v>
      </c>
      <c r="O99" s="256">
        <f>$G99*SUMIF('KU-LGE Rating'!$R:$R,$D99,'KU-LGE Rating'!G:G)</f>
        <v>0</v>
      </c>
      <c r="P99" s="257">
        <f t="shared" si="8"/>
        <v>0</v>
      </c>
      <c r="Q99" s="255">
        <f>$H99*SUMIF('KU-LGE Rating'!$R:$R,$D99,'KU-LGE Rating'!$F:$F)</f>
        <v>12793.14</v>
      </c>
      <c r="R99" s="256">
        <f>$H99*SUMIF('KU-LGE Rating'!$R:$R,$D99,'KU-LGE Rating'!$G:$G)</f>
        <v>0</v>
      </c>
      <c r="S99" s="257">
        <f t="shared" si="9"/>
        <v>12793.14</v>
      </c>
      <c r="T99" s="255">
        <f>$I99*SUMIF('KU-LGE Rating'!$R:$R,$D99,'KU-LGE Rating'!$F:$F)</f>
        <v>0</v>
      </c>
      <c r="U99" s="256">
        <f>$I99*SUMIF('KU-LGE Rating'!$R:$R,$D99,'KU-LGE Rating'!$G:$G)</f>
        <v>0</v>
      </c>
      <c r="V99" s="257">
        <f t="shared" si="10"/>
        <v>0</v>
      </c>
      <c r="W99" s="255">
        <f>$J99*SUMIF('KU-LGE Rating'!$R:$R,$D99,'KU-LGE Rating'!$F:$F)</f>
        <v>0</v>
      </c>
      <c r="X99" s="256">
        <f>$J99*SUMIF('KU-LGE Rating'!$R:$R,$D99,'KU-LGE Rating'!$G:$G)</f>
        <v>0</v>
      </c>
      <c r="Y99" s="257">
        <f t="shared" si="11"/>
        <v>0</v>
      </c>
      <c r="Z99" s="255">
        <f>$K99*SUMIF('KU-LGE Rating'!$R:$R,$D99,'KU-LGE Rating'!$F:$F)</f>
        <v>5.51</v>
      </c>
      <c r="AA99" s="256">
        <f>$K99*SUMIF('KU-LGE Rating'!$R:$R,$D99,'KU-LGE Rating'!$G:$G)</f>
        <v>0</v>
      </c>
      <c r="AB99" s="257">
        <f t="shared" si="12"/>
        <v>5.51</v>
      </c>
    </row>
    <row r="100" spans="1:28">
      <c r="A100" s="1" t="s">
        <v>2769</v>
      </c>
      <c r="B100" t="s">
        <v>3</v>
      </c>
      <c r="C100" t="s">
        <v>3723</v>
      </c>
      <c r="D100" t="s">
        <v>3728</v>
      </c>
      <c r="E100">
        <v>511100</v>
      </c>
      <c r="F100" t="s">
        <v>3893</v>
      </c>
      <c r="G100" s="288">
        <v>36312.160000000003</v>
      </c>
      <c r="H100" s="288">
        <v>10792.14</v>
      </c>
      <c r="I100" s="288">
        <v>18272.080000000002</v>
      </c>
      <c r="J100" s="288">
        <v>23728.05</v>
      </c>
      <c r="K100" s="288">
        <v>8863.75</v>
      </c>
      <c r="L100" s="243">
        <f t="shared" si="7"/>
        <v>61656.020000000004</v>
      </c>
      <c r="M100" s="243" t="str">
        <f t="shared" si="13"/>
        <v>511</v>
      </c>
      <c r="N100" s="255">
        <f>$G100*SUMIF('KU-LGE Rating'!$R:$R,$D100,'KU-LGE Rating'!F:F)</f>
        <v>36312.160000000003</v>
      </c>
      <c r="O100" s="256">
        <f>$G100*SUMIF('KU-LGE Rating'!$R:$R,$D100,'KU-LGE Rating'!G:G)</f>
        <v>0</v>
      </c>
      <c r="P100" s="257">
        <f t="shared" si="8"/>
        <v>36312.160000000003</v>
      </c>
      <c r="Q100" s="255">
        <f>$H100*SUMIF('KU-LGE Rating'!$R:$R,$D100,'KU-LGE Rating'!$F:$F)</f>
        <v>10792.14</v>
      </c>
      <c r="R100" s="256">
        <f>$H100*SUMIF('KU-LGE Rating'!$R:$R,$D100,'KU-LGE Rating'!$G:$G)</f>
        <v>0</v>
      </c>
      <c r="S100" s="257">
        <f t="shared" si="9"/>
        <v>10792.14</v>
      </c>
      <c r="T100" s="255">
        <f>$I100*SUMIF('KU-LGE Rating'!$R:$R,$D100,'KU-LGE Rating'!$F:$F)</f>
        <v>18272.080000000002</v>
      </c>
      <c r="U100" s="256">
        <f>$I100*SUMIF('KU-LGE Rating'!$R:$R,$D100,'KU-LGE Rating'!$G:$G)</f>
        <v>0</v>
      </c>
      <c r="V100" s="257">
        <f t="shared" si="10"/>
        <v>18272.080000000002</v>
      </c>
      <c r="W100" s="255">
        <f>$J100*SUMIF('KU-LGE Rating'!$R:$R,$D100,'KU-LGE Rating'!$F:$F)</f>
        <v>23728.05</v>
      </c>
      <c r="X100" s="256">
        <f>$J100*SUMIF('KU-LGE Rating'!$R:$R,$D100,'KU-LGE Rating'!$G:$G)</f>
        <v>0</v>
      </c>
      <c r="Y100" s="257">
        <f t="shared" si="11"/>
        <v>23728.05</v>
      </c>
      <c r="Z100" s="255">
        <f>$K100*SUMIF('KU-LGE Rating'!$R:$R,$D100,'KU-LGE Rating'!$F:$F)</f>
        <v>8863.75</v>
      </c>
      <c r="AA100" s="256">
        <f>$K100*SUMIF('KU-LGE Rating'!$R:$R,$D100,'KU-LGE Rating'!$G:$G)</f>
        <v>0</v>
      </c>
      <c r="AB100" s="257">
        <f t="shared" si="12"/>
        <v>8863.75</v>
      </c>
    </row>
    <row r="101" spans="1:28">
      <c r="A101" s="1" t="s">
        <v>2769</v>
      </c>
      <c r="B101" t="s">
        <v>3</v>
      </c>
      <c r="C101" t="s">
        <v>3723</v>
      </c>
      <c r="D101" t="s">
        <v>3728</v>
      </c>
      <c r="E101">
        <v>512005</v>
      </c>
      <c r="F101" t="s">
        <v>3893</v>
      </c>
      <c r="G101" s="288">
        <v>73549.03</v>
      </c>
      <c r="H101" s="288">
        <v>8640.92</v>
      </c>
      <c r="I101" s="288">
        <v>99329.59</v>
      </c>
      <c r="J101" s="288">
        <v>459264.68</v>
      </c>
      <c r="K101" s="288">
        <v>55565.53</v>
      </c>
      <c r="L101" s="243">
        <f t="shared" si="7"/>
        <v>622800.72</v>
      </c>
      <c r="M101" s="243" t="str">
        <f t="shared" si="13"/>
        <v>512</v>
      </c>
      <c r="N101" s="255">
        <f>$G101*SUMIF('KU-LGE Rating'!$R:$R,$D101,'KU-LGE Rating'!F:F)</f>
        <v>73549.03</v>
      </c>
      <c r="O101" s="256">
        <f>$G101*SUMIF('KU-LGE Rating'!$R:$R,$D101,'KU-LGE Rating'!G:G)</f>
        <v>0</v>
      </c>
      <c r="P101" s="257">
        <f t="shared" si="8"/>
        <v>73549.03</v>
      </c>
      <c r="Q101" s="255">
        <f>$H101*SUMIF('KU-LGE Rating'!$R:$R,$D101,'KU-LGE Rating'!$F:$F)</f>
        <v>8640.92</v>
      </c>
      <c r="R101" s="256">
        <f>$H101*SUMIF('KU-LGE Rating'!$R:$R,$D101,'KU-LGE Rating'!$G:$G)</f>
        <v>0</v>
      </c>
      <c r="S101" s="257">
        <f t="shared" si="9"/>
        <v>8640.92</v>
      </c>
      <c r="T101" s="255">
        <f>$I101*SUMIF('KU-LGE Rating'!$R:$R,$D101,'KU-LGE Rating'!$F:$F)</f>
        <v>99329.59</v>
      </c>
      <c r="U101" s="256">
        <f>$I101*SUMIF('KU-LGE Rating'!$R:$R,$D101,'KU-LGE Rating'!$G:$G)</f>
        <v>0</v>
      </c>
      <c r="V101" s="257">
        <f t="shared" si="10"/>
        <v>99329.59</v>
      </c>
      <c r="W101" s="255">
        <f>$J101*SUMIF('KU-LGE Rating'!$R:$R,$D101,'KU-LGE Rating'!$F:$F)</f>
        <v>459264.68</v>
      </c>
      <c r="X101" s="256">
        <f>$J101*SUMIF('KU-LGE Rating'!$R:$R,$D101,'KU-LGE Rating'!$G:$G)</f>
        <v>0</v>
      </c>
      <c r="Y101" s="257">
        <f t="shared" si="11"/>
        <v>459264.68</v>
      </c>
      <c r="Z101" s="255">
        <f>$K101*SUMIF('KU-LGE Rating'!$R:$R,$D101,'KU-LGE Rating'!$F:$F)</f>
        <v>55565.53</v>
      </c>
      <c r="AA101" s="256">
        <f>$K101*SUMIF('KU-LGE Rating'!$R:$R,$D101,'KU-LGE Rating'!$G:$G)</f>
        <v>0</v>
      </c>
      <c r="AB101" s="257">
        <f t="shared" si="12"/>
        <v>55565.53</v>
      </c>
    </row>
    <row r="102" spans="1:28">
      <c r="A102" s="1" t="s">
        <v>2769</v>
      </c>
      <c r="B102" t="s">
        <v>3</v>
      </c>
      <c r="C102" t="s">
        <v>3723</v>
      </c>
      <c r="D102" t="s">
        <v>3728</v>
      </c>
      <c r="E102">
        <v>512011</v>
      </c>
      <c r="F102" t="s">
        <v>3893</v>
      </c>
      <c r="G102" s="288">
        <v>176083.29</v>
      </c>
      <c r="H102" s="288">
        <v>51608.55</v>
      </c>
      <c r="I102" s="288">
        <v>21877.75</v>
      </c>
      <c r="J102" s="288">
        <v>68626.86</v>
      </c>
      <c r="K102" s="288">
        <v>19448.03</v>
      </c>
      <c r="L102" s="243">
        <f t="shared" si="7"/>
        <v>161561.19</v>
      </c>
      <c r="M102" s="243" t="str">
        <f t="shared" si="13"/>
        <v>512</v>
      </c>
      <c r="N102" s="255">
        <f>$G102*SUMIF('KU-LGE Rating'!$R:$R,$D102,'KU-LGE Rating'!F:F)</f>
        <v>176083.29</v>
      </c>
      <c r="O102" s="256">
        <f>$G102*SUMIF('KU-LGE Rating'!$R:$R,$D102,'KU-LGE Rating'!G:G)</f>
        <v>0</v>
      </c>
      <c r="P102" s="257">
        <f t="shared" si="8"/>
        <v>176083.29</v>
      </c>
      <c r="Q102" s="255">
        <f>$H102*SUMIF('KU-LGE Rating'!$R:$R,$D102,'KU-LGE Rating'!$F:$F)</f>
        <v>51608.55</v>
      </c>
      <c r="R102" s="256">
        <f>$H102*SUMIF('KU-LGE Rating'!$R:$R,$D102,'KU-LGE Rating'!$G:$G)</f>
        <v>0</v>
      </c>
      <c r="S102" s="257">
        <f t="shared" si="9"/>
        <v>51608.55</v>
      </c>
      <c r="T102" s="255">
        <f>$I102*SUMIF('KU-LGE Rating'!$R:$R,$D102,'KU-LGE Rating'!$F:$F)</f>
        <v>21877.75</v>
      </c>
      <c r="U102" s="256">
        <f>$I102*SUMIF('KU-LGE Rating'!$R:$R,$D102,'KU-LGE Rating'!$G:$G)</f>
        <v>0</v>
      </c>
      <c r="V102" s="257">
        <f t="shared" si="10"/>
        <v>21877.75</v>
      </c>
      <c r="W102" s="255">
        <f>$J102*SUMIF('KU-LGE Rating'!$R:$R,$D102,'KU-LGE Rating'!$F:$F)</f>
        <v>68626.86</v>
      </c>
      <c r="X102" s="256">
        <f>$J102*SUMIF('KU-LGE Rating'!$R:$R,$D102,'KU-LGE Rating'!$G:$G)</f>
        <v>0</v>
      </c>
      <c r="Y102" s="257">
        <f t="shared" si="11"/>
        <v>68626.86</v>
      </c>
      <c r="Z102" s="255">
        <f>$K102*SUMIF('KU-LGE Rating'!$R:$R,$D102,'KU-LGE Rating'!$F:$F)</f>
        <v>19448.03</v>
      </c>
      <c r="AA102" s="256">
        <f>$K102*SUMIF('KU-LGE Rating'!$R:$R,$D102,'KU-LGE Rating'!$G:$G)</f>
        <v>0</v>
      </c>
      <c r="AB102" s="257">
        <f t="shared" si="12"/>
        <v>19448.03</v>
      </c>
    </row>
    <row r="103" spans="1:28">
      <c r="A103" s="1" t="s">
        <v>2769</v>
      </c>
      <c r="B103" t="s">
        <v>3</v>
      </c>
      <c r="C103" t="s">
        <v>3723</v>
      </c>
      <c r="D103" t="s">
        <v>3728</v>
      </c>
      <c r="E103">
        <v>512017</v>
      </c>
      <c r="F103" t="s">
        <v>3893</v>
      </c>
      <c r="G103" s="288">
        <v>52171.91</v>
      </c>
      <c r="H103" s="288">
        <v>64401.94</v>
      </c>
      <c r="I103" s="288">
        <v>55062.04</v>
      </c>
      <c r="J103" s="288">
        <v>294976.53999999998</v>
      </c>
      <c r="K103" s="288">
        <v>10995.2</v>
      </c>
      <c r="L103" s="243">
        <f t="shared" si="7"/>
        <v>425435.72000000003</v>
      </c>
      <c r="M103" s="243" t="str">
        <f t="shared" si="13"/>
        <v>512</v>
      </c>
      <c r="N103" s="255">
        <f>$G103*SUMIF('KU-LGE Rating'!$R:$R,$D103,'KU-LGE Rating'!F:F)</f>
        <v>52171.91</v>
      </c>
      <c r="O103" s="256">
        <f>$G103*SUMIF('KU-LGE Rating'!$R:$R,$D103,'KU-LGE Rating'!G:G)</f>
        <v>0</v>
      </c>
      <c r="P103" s="257">
        <f t="shared" si="8"/>
        <v>52171.91</v>
      </c>
      <c r="Q103" s="255">
        <f>$H103*SUMIF('KU-LGE Rating'!$R:$R,$D103,'KU-LGE Rating'!$F:$F)</f>
        <v>64401.94</v>
      </c>
      <c r="R103" s="256">
        <f>$H103*SUMIF('KU-LGE Rating'!$R:$R,$D103,'KU-LGE Rating'!$G:$G)</f>
        <v>0</v>
      </c>
      <c r="S103" s="257">
        <f t="shared" si="9"/>
        <v>64401.94</v>
      </c>
      <c r="T103" s="255">
        <f>$I103*SUMIF('KU-LGE Rating'!$R:$R,$D103,'KU-LGE Rating'!$F:$F)</f>
        <v>55062.04</v>
      </c>
      <c r="U103" s="256">
        <f>$I103*SUMIF('KU-LGE Rating'!$R:$R,$D103,'KU-LGE Rating'!$G:$G)</f>
        <v>0</v>
      </c>
      <c r="V103" s="257">
        <f t="shared" si="10"/>
        <v>55062.04</v>
      </c>
      <c r="W103" s="255">
        <f>$J103*SUMIF('KU-LGE Rating'!$R:$R,$D103,'KU-LGE Rating'!$F:$F)</f>
        <v>294976.53999999998</v>
      </c>
      <c r="X103" s="256">
        <f>$J103*SUMIF('KU-LGE Rating'!$R:$R,$D103,'KU-LGE Rating'!$G:$G)</f>
        <v>0</v>
      </c>
      <c r="Y103" s="257">
        <f t="shared" si="11"/>
        <v>294976.53999999998</v>
      </c>
      <c r="Z103" s="255">
        <f>$K103*SUMIF('KU-LGE Rating'!$R:$R,$D103,'KU-LGE Rating'!$F:$F)</f>
        <v>10995.2</v>
      </c>
      <c r="AA103" s="256">
        <f>$K103*SUMIF('KU-LGE Rating'!$R:$R,$D103,'KU-LGE Rating'!$G:$G)</f>
        <v>0</v>
      </c>
      <c r="AB103" s="257">
        <f t="shared" si="12"/>
        <v>10995.2</v>
      </c>
    </row>
    <row r="104" spans="1:28">
      <c r="A104" s="1" t="s">
        <v>2769</v>
      </c>
      <c r="B104" t="s">
        <v>3</v>
      </c>
      <c r="C104" t="s">
        <v>3723</v>
      </c>
      <c r="D104" t="s">
        <v>3728</v>
      </c>
      <c r="E104">
        <v>512100</v>
      </c>
      <c r="F104" t="s">
        <v>3893</v>
      </c>
      <c r="G104" s="288">
        <v>2308311.0499999998</v>
      </c>
      <c r="H104" s="288">
        <v>734936.91</v>
      </c>
      <c r="I104" s="288">
        <v>187054.04</v>
      </c>
      <c r="J104" s="288">
        <v>3551043.38</v>
      </c>
      <c r="K104" s="288">
        <v>423976.24</v>
      </c>
      <c r="L104" s="243">
        <f t="shared" si="7"/>
        <v>4897010.57</v>
      </c>
      <c r="M104" s="243" t="str">
        <f t="shared" si="13"/>
        <v>512</v>
      </c>
      <c r="N104" s="255">
        <f>$G104*SUMIF('KU-LGE Rating'!$R:$R,$D104,'KU-LGE Rating'!F:F)</f>
        <v>2308311.0499999998</v>
      </c>
      <c r="O104" s="256">
        <f>$G104*SUMIF('KU-LGE Rating'!$R:$R,$D104,'KU-LGE Rating'!G:G)</f>
        <v>0</v>
      </c>
      <c r="P104" s="257">
        <f t="shared" si="8"/>
        <v>2308311.0499999998</v>
      </c>
      <c r="Q104" s="255">
        <f>$H104*SUMIF('KU-LGE Rating'!$R:$R,$D104,'KU-LGE Rating'!$F:$F)</f>
        <v>734936.91</v>
      </c>
      <c r="R104" s="256">
        <f>$H104*SUMIF('KU-LGE Rating'!$R:$R,$D104,'KU-LGE Rating'!$G:$G)</f>
        <v>0</v>
      </c>
      <c r="S104" s="257">
        <f t="shared" si="9"/>
        <v>734936.91</v>
      </c>
      <c r="T104" s="255">
        <f>$I104*SUMIF('KU-LGE Rating'!$R:$R,$D104,'KU-LGE Rating'!$F:$F)</f>
        <v>187054.04</v>
      </c>
      <c r="U104" s="256">
        <f>$I104*SUMIF('KU-LGE Rating'!$R:$R,$D104,'KU-LGE Rating'!$G:$G)</f>
        <v>0</v>
      </c>
      <c r="V104" s="257">
        <f t="shared" si="10"/>
        <v>187054.04</v>
      </c>
      <c r="W104" s="255">
        <f>$J104*SUMIF('KU-LGE Rating'!$R:$R,$D104,'KU-LGE Rating'!$F:$F)</f>
        <v>3551043.38</v>
      </c>
      <c r="X104" s="256">
        <f>$J104*SUMIF('KU-LGE Rating'!$R:$R,$D104,'KU-LGE Rating'!$G:$G)</f>
        <v>0</v>
      </c>
      <c r="Y104" s="257">
        <f t="shared" si="11"/>
        <v>3551043.38</v>
      </c>
      <c r="Z104" s="255">
        <f>$K104*SUMIF('KU-LGE Rating'!$R:$R,$D104,'KU-LGE Rating'!$F:$F)</f>
        <v>423976.24</v>
      </c>
      <c r="AA104" s="256">
        <f>$K104*SUMIF('KU-LGE Rating'!$R:$R,$D104,'KU-LGE Rating'!$G:$G)</f>
        <v>0</v>
      </c>
      <c r="AB104" s="257">
        <f t="shared" si="12"/>
        <v>423976.24</v>
      </c>
    </row>
    <row r="105" spans="1:28">
      <c r="A105" s="1" t="s">
        <v>2769</v>
      </c>
      <c r="B105" t="s">
        <v>3</v>
      </c>
      <c r="C105" t="s">
        <v>3723</v>
      </c>
      <c r="D105" t="s">
        <v>3728</v>
      </c>
      <c r="E105">
        <v>512102</v>
      </c>
      <c r="F105" t="s">
        <v>3893</v>
      </c>
      <c r="G105" s="288">
        <v>0</v>
      </c>
      <c r="H105" s="288">
        <v>0</v>
      </c>
      <c r="I105" s="288">
        <v>0</v>
      </c>
      <c r="J105" s="288">
        <v>0</v>
      </c>
      <c r="K105" s="288">
        <v>2832.48</v>
      </c>
      <c r="L105" s="243">
        <f t="shared" si="7"/>
        <v>2832.48</v>
      </c>
      <c r="M105" s="243" t="str">
        <f t="shared" si="13"/>
        <v>512</v>
      </c>
      <c r="N105" s="255">
        <f>$G105*SUMIF('KU-LGE Rating'!$R:$R,$D105,'KU-LGE Rating'!F:F)</f>
        <v>0</v>
      </c>
      <c r="O105" s="256">
        <f>$G105*SUMIF('KU-LGE Rating'!$R:$R,$D105,'KU-LGE Rating'!G:G)</f>
        <v>0</v>
      </c>
      <c r="P105" s="257">
        <f t="shared" si="8"/>
        <v>0</v>
      </c>
      <c r="Q105" s="255">
        <f>$H105*SUMIF('KU-LGE Rating'!$R:$R,$D105,'KU-LGE Rating'!$F:$F)</f>
        <v>0</v>
      </c>
      <c r="R105" s="256">
        <f>$H105*SUMIF('KU-LGE Rating'!$R:$R,$D105,'KU-LGE Rating'!$G:$G)</f>
        <v>0</v>
      </c>
      <c r="S105" s="257">
        <f t="shared" si="9"/>
        <v>0</v>
      </c>
      <c r="T105" s="255">
        <f>$I105*SUMIF('KU-LGE Rating'!$R:$R,$D105,'KU-LGE Rating'!$F:$F)</f>
        <v>0</v>
      </c>
      <c r="U105" s="256">
        <f>$I105*SUMIF('KU-LGE Rating'!$R:$R,$D105,'KU-LGE Rating'!$G:$G)</f>
        <v>0</v>
      </c>
      <c r="V105" s="257">
        <f t="shared" si="10"/>
        <v>0</v>
      </c>
      <c r="W105" s="255">
        <f>$J105*SUMIF('KU-LGE Rating'!$R:$R,$D105,'KU-LGE Rating'!$F:$F)</f>
        <v>0</v>
      </c>
      <c r="X105" s="256">
        <f>$J105*SUMIF('KU-LGE Rating'!$R:$R,$D105,'KU-LGE Rating'!$G:$G)</f>
        <v>0</v>
      </c>
      <c r="Y105" s="257">
        <f t="shared" si="11"/>
        <v>0</v>
      </c>
      <c r="Z105" s="255">
        <f>$K105*SUMIF('KU-LGE Rating'!$R:$R,$D105,'KU-LGE Rating'!$F:$F)</f>
        <v>2832.48</v>
      </c>
      <c r="AA105" s="256">
        <f>$K105*SUMIF('KU-LGE Rating'!$R:$R,$D105,'KU-LGE Rating'!$G:$G)</f>
        <v>0</v>
      </c>
      <c r="AB105" s="257">
        <f t="shared" si="12"/>
        <v>2832.48</v>
      </c>
    </row>
    <row r="106" spans="1:28">
      <c r="A106" s="1" t="s">
        <v>2769</v>
      </c>
      <c r="B106" t="s">
        <v>3</v>
      </c>
      <c r="C106" t="s">
        <v>3723</v>
      </c>
      <c r="D106" t="s">
        <v>3728</v>
      </c>
      <c r="E106">
        <v>513100</v>
      </c>
      <c r="F106" t="s">
        <v>3893</v>
      </c>
      <c r="G106" s="288">
        <v>420110.54</v>
      </c>
      <c r="H106" s="288">
        <v>386309</v>
      </c>
      <c r="I106" s="288">
        <v>83325.990000000005</v>
      </c>
      <c r="J106" s="288">
        <v>4204125.99</v>
      </c>
      <c r="K106" s="288">
        <v>81128.55</v>
      </c>
      <c r="L106" s="243">
        <f t="shared" si="7"/>
        <v>4754889.53</v>
      </c>
      <c r="M106" s="243" t="str">
        <f t="shared" si="13"/>
        <v>513</v>
      </c>
      <c r="N106" s="255">
        <f>$G106*SUMIF('KU-LGE Rating'!$R:$R,$D106,'KU-LGE Rating'!F:F)</f>
        <v>420110.54</v>
      </c>
      <c r="O106" s="256">
        <f>$G106*SUMIF('KU-LGE Rating'!$R:$R,$D106,'KU-LGE Rating'!G:G)</f>
        <v>0</v>
      </c>
      <c r="P106" s="257">
        <f t="shared" si="8"/>
        <v>420110.54</v>
      </c>
      <c r="Q106" s="255">
        <f>$H106*SUMIF('KU-LGE Rating'!$R:$R,$D106,'KU-LGE Rating'!$F:$F)</f>
        <v>386309</v>
      </c>
      <c r="R106" s="256">
        <f>$H106*SUMIF('KU-LGE Rating'!$R:$R,$D106,'KU-LGE Rating'!$G:$G)</f>
        <v>0</v>
      </c>
      <c r="S106" s="257">
        <f t="shared" si="9"/>
        <v>386309</v>
      </c>
      <c r="T106" s="255">
        <f>$I106*SUMIF('KU-LGE Rating'!$R:$R,$D106,'KU-LGE Rating'!$F:$F)</f>
        <v>83325.990000000005</v>
      </c>
      <c r="U106" s="256">
        <f>$I106*SUMIF('KU-LGE Rating'!$R:$R,$D106,'KU-LGE Rating'!$G:$G)</f>
        <v>0</v>
      </c>
      <c r="V106" s="257">
        <f t="shared" si="10"/>
        <v>83325.990000000005</v>
      </c>
      <c r="W106" s="255">
        <f>$J106*SUMIF('KU-LGE Rating'!$R:$R,$D106,'KU-LGE Rating'!$F:$F)</f>
        <v>4204125.99</v>
      </c>
      <c r="X106" s="256">
        <f>$J106*SUMIF('KU-LGE Rating'!$R:$R,$D106,'KU-LGE Rating'!$G:$G)</f>
        <v>0</v>
      </c>
      <c r="Y106" s="257">
        <f t="shared" si="11"/>
        <v>4204125.99</v>
      </c>
      <c r="Z106" s="255">
        <f>$K106*SUMIF('KU-LGE Rating'!$R:$R,$D106,'KU-LGE Rating'!$F:$F)</f>
        <v>81128.55</v>
      </c>
      <c r="AA106" s="256">
        <f>$K106*SUMIF('KU-LGE Rating'!$R:$R,$D106,'KU-LGE Rating'!$G:$G)</f>
        <v>0</v>
      </c>
      <c r="AB106" s="257">
        <f t="shared" si="12"/>
        <v>81128.55</v>
      </c>
    </row>
    <row r="107" spans="1:28">
      <c r="A107" s="1" t="s">
        <v>2769</v>
      </c>
      <c r="B107" t="s">
        <v>3</v>
      </c>
      <c r="C107" t="s">
        <v>3723</v>
      </c>
      <c r="D107" t="s">
        <v>3728</v>
      </c>
      <c r="E107">
        <v>514100</v>
      </c>
      <c r="F107" t="s">
        <v>3893</v>
      </c>
      <c r="G107" s="288">
        <v>0</v>
      </c>
      <c r="H107" s="288">
        <v>0</v>
      </c>
      <c r="I107" s="288">
        <v>0</v>
      </c>
      <c r="J107" s="288">
        <v>688.62</v>
      </c>
      <c r="K107" s="288">
        <v>0</v>
      </c>
      <c r="L107" s="243">
        <f t="shared" si="7"/>
        <v>688.62</v>
      </c>
      <c r="M107" s="243" t="str">
        <f t="shared" si="13"/>
        <v>514</v>
      </c>
      <c r="N107" s="255">
        <f>$G107*SUMIF('KU-LGE Rating'!$R:$R,$D107,'KU-LGE Rating'!F:F)</f>
        <v>0</v>
      </c>
      <c r="O107" s="256">
        <f>$G107*SUMIF('KU-LGE Rating'!$R:$R,$D107,'KU-LGE Rating'!G:G)</f>
        <v>0</v>
      </c>
      <c r="P107" s="257">
        <f t="shared" si="8"/>
        <v>0</v>
      </c>
      <c r="Q107" s="255">
        <f>$H107*SUMIF('KU-LGE Rating'!$R:$R,$D107,'KU-LGE Rating'!$F:$F)</f>
        <v>0</v>
      </c>
      <c r="R107" s="256">
        <f>$H107*SUMIF('KU-LGE Rating'!$R:$R,$D107,'KU-LGE Rating'!$G:$G)</f>
        <v>0</v>
      </c>
      <c r="S107" s="257">
        <f t="shared" si="9"/>
        <v>0</v>
      </c>
      <c r="T107" s="255">
        <f>$I107*SUMIF('KU-LGE Rating'!$R:$R,$D107,'KU-LGE Rating'!$F:$F)</f>
        <v>0</v>
      </c>
      <c r="U107" s="256">
        <f>$I107*SUMIF('KU-LGE Rating'!$R:$R,$D107,'KU-LGE Rating'!$G:$G)</f>
        <v>0</v>
      </c>
      <c r="V107" s="257">
        <f t="shared" si="10"/>
        <v>0</v>
      </c>
      <c r="W107" s="255">
        <f>$J107*SUMIF('KU-LGE Rating'!$R:$R,$D107,'KU-LGE Rating'!$F:$F)</f>
        <v>688.62</v>
      </c>
      <c r="X107" s="256">
        <f>$J107*SUMIF('KU-LGE Rating'!$R:$R,$D107,'KU-LGE Rating'!$G:$G)</f>
        <v>0</v>
      </c>
      <c r="Y107" s="257">
        <f t="shared" si="11"/>
        <v>688.62</v>
      </c>
      <c r="Z107" s="255">
        <f>$K107*SUMIF('KU-LGE Rating'!$R:$R,$D107,'KU-LGE Rating'!$F:$F)</f>
        <v>0</v>
      </c>
      <c r="AA107" s="256">
        <f>$K107*SUMIF('KU-LGE Rating'!$R:$R,$D107,'KU-LGE Rating'!$G:$G)</f>
        <v>0</v>
      </c>
      <c r="AB107" s="257">
        <f t="shared" si="12"/>
        <v>0</v>
      </c>
    </row>
    <row r="108" spans="1:28">
      <c r="A108" s="1" t="s">
        <v>2769</v>
      </c>
      <c r="B108" t="s">
        <v>3</v>
      </c>
      <c r="C108" t="s">
        <v>3723</v>
      </c>
      <c r="D108" t="s">
        <v>3729</v>
      </c>
      <c r="E108">
        <v>506100</v>
      </c>
      <c r="F108" t="s">
        <v>3893</v>
      </c>
      <c r="G108" s="288">
        <v>71.66</v>
      </c>
      <c r="H108" s="288">
        <v>0</v>
      </c>
      <c r="I108" s="288">
        <v>0</v>
      </c>
      <c r="J108" s="288">
        <v>0</v>
      </c>
      <c r="K108" s="288">
        <v>0</v>
      </c>
      <c r="L108" s="243">
        <f t="shared" si="7"/>
        <v>0</v>
      </c>
      <c r="M108" s="243" t="str">
        <f t="shared" si="13"/>
        <v>506</v>
      </c>
      <c r="N108" s="255">
        <f>$G108*SUMIF('KU-LGE Rating'!$R:$R,$D108,'KU-LGE Rating'!F:F)</f>
        <v>71.66</v>
      </c>
      <c r="O108" s="256">
        <f>$G108*SUMIF('KU-LGE Rating'!$R:$R,$D108,'KU-LGE Rating'!G:G)</f>
        <v>0</v>
      </c>
      <c r="P108" s="257">
        <f t="shared" si="8"/>
        <v>71.66</v>
      </c>
      <c r="Q108" s="255">
        <f>$H108*SUMIF('KU-LGE Rating'!$R:$R,$D108,'KU-LGE Rating'!$F:$F)</f>
        <v>0</v>
      </c>
      <c r="R108" s="256">
        <f>$H108*SUMIF('KU-LGE Rating'!$R:$R,$D108,'KU-LGE Rating'!$G:$G)</f>
        <v>0</v>
      </c>
      <c r="S108" s="257">
        <f t="shared" si="9"/>
        <v>0</v>
      </c>
      <c r="T108" s="255">
        <f>$I108*SUMIF('KU-LGE Rating'!$R:$R,$D108,'KU-LGE Rating'!$F:$F)</f>
        <v>0</v>
      </c>
      <c r="U108" s="256">
        <f>$I108*SUMIF('KU-LGE Rating'!$R:$R,$D108,'KU-LGE Rating'!$G:$G)</f>
        <v>0</v>
      </c>
      <c r="V108" s="257">
        <f t="shared" si="10"/>
        <v>0</v>
      </c>
      <c r="W108" s="255">
        <f>$J108*SUMIF('KU-LGE Rating'!$R:$R,$D108,'KU-LGE Rating'!$F:$F)</f>
        <v>0</v>
      </c>
      <c r="X108" s="256">
        <f>$J108*SUMIF('KU-LGE Rating'!$R:$R,$D108,'KU-LGE Rating'!$G:$G)</f>
        <v>0</v>
      </c>
      <c r="Y108" s="257">
        <f t="shared" si="11"/>
        <v>0</v>
      </c>
      <c r="Z108" s="255">
        <f>$K108*SUMIF('KU-LGE Rating'!$R:$R,$D108,'KU-LGE Rating'!$F:$F)</f>
        <v>0</v>
      </c>
      <c r="AA108" s="256">
        <f>$K108*SUMIF('KU-LGE Rating'!$R:$R,$D108,'KU-LGE Rating'!$G:$G)</f>
        <v>0</v>
      </c>
      <c r="AB108" s="257">
        <f t="shared" si="12"/>
        <v>0</v>
      </c>
    </row>
    <row r="109" spans="1:28">
      <c r="A109" s="1" t="s">
        <v>2769</v>
      </c>
      <c r="B109" t="s">
        <v>3</v>
      </c>
      <c r="C109" t="s">
        <v>3723</v>
      </c>
      <c r="D109" t="s">
        <v>3729</v>
      </c>
      <c r="E109">
        <v>511100</v>
      </c>
      <c r="F109" t="s">
        <v>3893</v>
      </c>
      <c r="G109" s="288">
        <v>9021.99</v>
      </c>
      <c r="H109" s="288">
        <v>0</v>
      </c>
      <c r="I109" s="288">
        <v>187928.7</v>
      </c>
      <c r="J109" s="288">
        <v>6256.92</v>
      </c>
      <c r="K109" s="288">
        <v>4863.16</v>
      </c>
      <c r="L109" s="243">
        <f t="shared" si="7"/>
        <v>199048.78000000003</v>
      </c>
      <c r="M109" s="243" t="str">
        <f t="shared" si="13"/>
        <v>511</v>
      </c>
      <c r="N109" s="255">
        <f>$G109*SUMIF('KU-LGE Rating'!$R:$R,$D109,'KU-LGE Rating'!F:F)</f>
        <v>9021.99</v>
      </c>
      <c r="O109" s="256">
        <f>$G109*SUMIF('KU-LGE Rating'!$R:$R,$D109,'KU-LGE Rating'!G:G)</f>
        <v>0</v>
      </c>
      <c r="P109" s="257">
        <f t="shared" si="8"/>
        <v>9021.99</v>
      </c>
      <c r="Q109" s="255">
        <f>$H109*SUMIF('KU-LGE Rating'!$R:$R,$D109,'KU-LGE Rating'!$F:$F)</f>
        <v>0</v>
      </c>
      <c r="R109" s="256">
        <f>$H109*SUMIF('KU-LGE Rating'!$R:$R,$D109,'KU-LGE Rating'!$G:$G)</f>
        <v>0</v>
      </c>
      <c r="S109" s="257">
        <f t="shared" si="9"/>
        <v>0</v>
      </c>
      <c r="T109" s="255">
        <f>$I109*SUMIF('KU-LGE Rating'!$R:$R,$D109,'KU-LGE Rating'!$F:$F)</f>
        <v>187928.7</v>
      </c>
      <c r="U109" s="256">
        <f>$I109*SUMIF('KU-LGE Rating'!$R:$R,$D109,'KU-LGE Rating'!$G:$G)</f>
        <v>0</v>
      </c>
      <c r="V109" s="257">
        <f t="shared" si="10"/>
        <v>187928.7</v>
      </c>
      <c r="W109" s="255">
        <f>$J109*SUMIF('KU-LGE Rating'!$R:$R,$D109,'KU-LGE Rating'!$F:$F)</f>
        <v>6256.92</v>
      </c>
      <c r="X109" s="256">
        <f>$J109*SUMIF('KU-LGE Rating'!$R:$R,$D109,'KU-LGE Rating'!$G:$G)</f>
        <v>0</v>
      </c>
      <c r="Y109" s="257">
        <f t="shared" si="11"/>
        <v>6256.92</v>
      </c>
      <c r="Z109" s="255">
        <f>$K109*SUMIF('KU-LGE Rating'!$R:$R,$D109,'KU-LGE Rating'!$F:$F)</f>
        <v>4863.16</v>
      </c>
      <c r="AA109" s="256">
        <f>$K109*SUMIF('KU-LGE Rating'!$R:$R,$D109,'KU-LGE Rating'!$G:$G)</f>
        <v>0</v>
      </c>
      <c r="AB109" s="257">
        <f t="shared" si="12"/>
        <v>4863.16</v>
      </c>
    </row>
    <row r="110" spans="1:28">
      <c r="A110" s="1" t="s">
        <v>2769</v>
      </c>
      <c r="B110" t="s">
        <v>3</v>
      </c>
      <c r="C110" t="s">
        <v>3723</v>
      </c>
      <c r="D110" t="s">
        <v>3729</v>
      </c>
      <c r="E110">
        <v>512005</v>
      </c>
      <c r="F110" t="s">
        <v>3893</v>
      </c>
      <c r="G110" s="288">
        <v>70955.25</v>
      </c>
      <c r="H110" s="288">
        <v>0</v>
      </c>
      <c r="I110" s="288">
        <v>322109.82</v>
      </c>
      <c r="J110" s="288">
        <v>425321.76</v>
      </c>
      <c r="K110" s="288">
        <v>32666.44</v>
      </c>
      <c r="L110" s="243">
        <f t="shared" si="7"/>
        <v>780098.02</v>
      </c>
      <c r="M110" s="243" t="str">
        <f t="shared" si="13"/>
        <v>512</v>
      </c>
      <c r="N110" s="255">
        <f>$G110*SUMIF('KU-LGE Rating'!$R:$R,$D110,'KU-LGE Rating'!F:F)</f>
        <v>70955.25</v>
      </c>
      <c r="O110" s="256">
        <f>$G110*SUMIF('KU-LGE Rating'!$R:$R,$D110,'KU-LGE Rating'!G:G)</f>
        <v>0</v>
      </c>
      <c r="P110" s="257">
        <f t="shared" si="8"/>
        <v>70955.25</v>
      </c>
      <c r="Q110" s="255">
        <f>$H110*SUMIF('KU-LGE Rating'!$R:$R,$D110,'KU-LGE Rating'!$F:$F)</f>
        <v>0</v>
      </c>
      <c r="R110" s="256">
        <f>$H110*SUMIF('KU-LGE Rating'!$R:$R,$D110,'KU-LGE Rating'!$G:$G)</f>
        <v>0</v>
      </c>
      <c r="S110" s="257">
        <f t="shared" si="9"/>
        <v>0</v>
      </c>
      <c r="T110" s="255">
        <f>$I110*SUMIF('KU-LGE Rating'!$R:$R,$D110,'KU-LGE Rating'!$F:$F)</f>
        <v>322109.82</v>
      </c>
      <c r="U110" s="256">
        <f>$I110*SUMIF('KU-LGE Rating'!$R:$R,$D110,'KU-LGE Rating'!$G:$G)</f>
        <v>0</v>
      </c>
      <c r="V110" s="257">
        <f t="shared" si="10"/>
        <v>322109.82</v>
      </c>
      <c r="W110" s="255">
        <f>$J110*SUMIF('KU-LGE Rating'!$R:$R,$D110,'KU-LGE Rating'!$F:$F)</f>
        <v>425321.76</v>
      </c>
      <c r="X110" s="256">
        <f>$J110*SUMIF('KU-LGE Rating'!$R:$R,$D110,'KU-LGE Rating'!$G:$G)</f>
        <v>0</v>
      </c>
      <c r="Y110" s="257">
        <f t="shared" si="11"/>
        <v>425321.76</v>
      </c>
      <c r="Z110" s="255">
        <f>$K110*SUMIF('KU-LGE Rating'!$R:$R,$D110,'KU-LGE Rating'!$F:$F)</f>
        <v>32666.44</v>
      </c>
      <c r="AA110" s="256">
        <f>$K110*SUMIF('KU-LGE Rating'!$R:$R,$D110,'KU-LGE Rating'!$G:$G)</f>
        <v>0</v>
      </c>
      <c r="AB110" s="257">
        <f t="shared" si="12"/>
        <v>32666.44</v>
      </c>
    </row>
    <row r="111" spans="1:28">
      <c r="A111" s="1" t="s">
        <v>2769</v>
      </c>
      <c r="B111" t="s">
        <v>3</v>
      </c>
      <c r="C111" t="s">
        <v>3723</v>
      </c>
      <c r="D111" t="s">
        <v>3729</v>
      </c>
      <c r="E111">
        <v>512011</v>
      </c>
      <c r="F111" t="s">
        <v>3893</v>
      </c>
      <c r="G111" s="288">
        <v>64786.75</v>
      </c>
      <c r="H111" s="288">
        <v>0</v>
      </c>
      <c r="I111" s="288">
        <v>80401.56</v>
      </c>
      <c r="J111" s="288">
        <v>91243.19</v>
      </c>
      <c r="K111" s="288">
        <v>106863.42</v>
      </c>
      <c r="L111" s="243">
        <f t="shared" ref="L111:L143" si="14">SUM(H111:K111)</f>
        <v>278508.17</v>
      </c>
      <c r="M111" s="243" t="str">
        <f t="shared" si="13"/>
        <v>512</v>
      </c>
      <c r="N111" s="255">
        <f>$G111*SUMIF('KU-LGE Rating'!$R:$R,$D111,'KU-LGE Rating'!F:F)</f>
        <v>64786.75</v>
      </c>
      <c r="O111" s="256">
        <f>$G111*SUMIF('KU-LGE Rating'!$R:$R,$D111,'KU-LGE Rating'!G:G)</f>
        <v>0</v>
      </c>
      <c r="P111" s="257">
        <f t="shared" ref="P111:P143" si="15">N111+O111</f>
        <v>64786.75</v>
      </c>
      <c r="Q111" s="255">
        <f>$H111*SUMIF('KU-LGE Rating'!$R:$R,$D111,'KU-LGE Rating'!$F:$F)</f>
        <v>0</v>
      </c>
      <c r="R111" s="256">
        <f>$H111*SUMIF('KU-LGE Rating'!$R:$R,$D111,'KU-LGE Rating'!$G:$G)</f>
        <v>0</v>
      </c>
      <c r="S111" s="257">
        <f t="shared" ref="S111:S143" si="16">Q111+R111</f>
        <v>0</v>
      </c>
      <c r="T111" s="255">
        <f>$I111*SUMIF('KU-LGE Rating'!$R:$R,$D111,'KU-LGE Rating'!$F:$F)</f>
        <v>80401.56</v>
      </c>
      <c r="U111" s="256">
        <f>$I111*SUMIF('KU-LGE Rating'!$R:$R,$D111,'KU-LGE Rating'!$G:$G)</f>
        <v>0</v>
      </c>
      <c r="V111" s="257">
        <f t="shared" ref="V111:V143" si="17">T111+U111</f>
        <v>80401.56</v>
      </c>
      <c r="W111" s="255">
        <f>$J111*SUMIF('KU-LGE Rating'!$R:$R,$D111,'KU-LGE Rating'!$F:$F)</f>
        <v>91243.19</v>
      </c>
      <c r="X111" s="256">
        <f>$J111*SUMIF('KU-LGE Rating'!$R:$R,$D111,'KU-LGE Rating'!$G:$G)</f>
        <v>0</v>
      </c>
      <c r="Y111" s="257">
        <f t="shared" ref="Y111:Y143" si="18">W111+X111</f>
        <v>91243.19</v>
      </c>
      <c r="Z111" s="255">
        <f>$K111*SUMIF('KU-LGE Rating'!$R:$R,$D111,'KU-LGE Rating'!$F:$F)</f>
        <v>106863.42</v>
      </c>
      <c r="AA111" s="256">
        <f>$K111*SUMIF('KU-LGE Rating'!$R:$R,$D111,'KU-LGE Rating'!$G:$G)</f>
        <v>0</v>
      </c>
      <c r="AB111" s="257">
        <f t="shared" ref="AB111:AB143" si="19">Z111+AA111</f>
        <v>106863.42</v>
      </c>
    </row>
    <row r="112" spans="1:28">
      <c r="A112" s="1" t="s">
        <v>2769</v>
      </c>
      <c r="B112" t="s">
        <v>3</v>
      </c>
      <c r="C112" t="s">
        <v>3723</v>
      </c>
      <c r="D112" t="s">
        <v>3729</v>
      </c>
      <c r="E112">
        <v>512017</v>
      </c>
      <c r="F112" t="s">
        <v>3893</v>
      </c>
      <c r="G112" s="288">
        <v>63234.66</v>
      </c>
      <c r="H112" s="288">
        <v>0</v>
      </c>
      <c r="I112" s="288">
        <v>30672.83</v>
      </c>
      <c r="J112" s="288">
        <v>26610.19</v>
      </c>
      <c r="K112" s="288">
        <v>42242.03</v>
      </c>
      <c r="L112" s="243">
        <f t="shared" si="14"/>
        <v>99525.05</v>
      </c>
      <c r="M112" s="243" t="str">
        <f t="shared" si="13"/>
        <v>512</v>
      </c>
      <c r="N112" s="255">
        <f>$G112*SUMIF('KU-LGE Rating'!$R:$R,$D112,'KU-LGE Rating'!F:F)</f>
        <v>63234.66</v>
      </c>
      <c r="O112" s="256">
        <f>$G112*SUMIF('KU-LGE Rating'!$R:$R,$D112,'KU-LGE Rating'!G:G)</f>
        <v>0</v>
      </c>
      <c r="P112" s="257">
        <f t="shared" si="15"/>
        <v>63234.66</v>
      </c>
      <c r="Q112" s="255">
        <f>$H112*SUMIF('KU-LGE Rating'!$R:$R,$D112,'KU-LGE Rating'!$F:$F)</f>
        <v>0</v>
      </c>
      <c r="R112" s="256">
        <f>$H112*SUMIF('KU-LGE Rating'!$R:$R,$D112,'KU-LGE Rating'!$G:$G)</f>
        <v>0</v>
      </c>
      <c r="S112" s="257">
        <f t="shared" si="16"/>
        <v>0</v>
      </c>
      <c r="T112" s="255">
        <f>$I112*SUMIF('KU-LGE Rating'!$R:$R,$D112,'KU-LGE Rating'!$F:$F)</f>
        <v>30672.83</v>
      </c>
      <c r="U112" s="256">
        <f>$I112*SUMIF('KU-LGE Rating'!$R:$R,$D112,'KU-LGE Rating'!$G:$G)</f>
        <v>0</v>
      </c>
      <c r="V112" s="257">
        <f t="shared" si="17"/>
        <v>30672.83</v>
      </c>
      <c r="W112" s="255">
        <f>$J112*SUMIF('KU-LGE Rating'!$R:$R,$D112,'KU-LGE Rating'!$F:$F)</f>
        <v>26610.19</v>
      </c>
      <c r="X112" s="256">
        <f>$J112*SUMIF('KU-LGE Rating'!$R:$R,$D112,'KU-LGE Rating'!$G:$G)</f>
        <v>0</v>
      </c>
      <c r="Y112" s="257">
        <f t="shared" si="18"/>
        <v>26610.19</v>
      </c>
      <c r="Z112" s="255">
        <f>$K112*SUMIF('KU-LGE Rating'!$R:$R,$D112,'KU-LGE Rating'!$F:$F)</f>
        <v>42242.03</v>
      </c>
      <c r="AA112" s="256">
        <f>$K112*SUMIF('KU-LGE Rating'!$R:$R,$D112,'KU-LGE Rating'!$G:$G)</f>
        <v>0</v>
      </c>
      <c r="AB112" s="257">
        <f t="shared" si="19"/>
        <v>42242.03</v>
      </c>
    </row>
    <row r="113" spans="1:28">
      <c r="A113" s="1" t="s">
        <v>2769</v>
      </c>
      <c r="B113" t="s">
        <v>3</v>
      </c>
      <c r="C113" t="s">
        <v>3723</v>
      </c>
      <c r="D113" t="s">
        <v>3729</v>
      </c>
      <c r="E113">
        <v>512100</v>
      </c>
      <c r="F113" t="s">
        <v>3893</v>
      </c>
      <c r="G113" s="288">
        <v>954494.56</v>
      </c>
      <c r="H113" s="288">
        <v>355808.37</v>
      </c>
      <c r="I113" s="288">
        <v>4337332.83</v>
      </c>
      <c r="J113" s="288">
        <v>1479609.06</v>
      </c>
      <c r="K113" s="288">
        <v>615214.21</v>
      </c>
      <c r="L113" s="243">
        <f t="shared" si="14"/>
        <v>6787964.4699999997</v>
      </c>
      <c r="M113" s="243" t="str">
        <f t="shared" si="13"/>
        <v>512</v>
      </c>
      <c r="N113" s="255">
        <f>$G113*SUMIF('KU-LGE Rating'!$R:$R,$D113,'KU-LGE Rating'!F:F)</f>
        <v>954494.56</v>
      </c>
      <c r="O113" s="256">
        <f>$G113*SUMIF('KU-LGE Rating'!$R:$R,$D113,'KU-LGE Rating'!G:G)</f>
        <v>0</v>
      </c>
      <c r="P113" s="257">
        <f t="shared" si="15"/>
        <v>954494.56</v>
      </c>
      <c r="Q113" s="255">
        <f>$H113*SUMIF('KU-LGE Rating'!$R:$R,$D113,'KU-LGE Rating'!$F:$F)</f>
        <v>355808.37</v>
      </c>
      <c r="R113" s="256">
        <f>$H113*SUMIF('KU-LGE Rating'!$R:$R,$D113,'KU-LGE Rating'!$G:$G)</f>
        <v>0</v>
      </c>
      <c r="S113" s="257">
        <f t="shared" si="16"/>
        <v>355808.37</v>
      </c>
      <c r="T113" s="255">
        <f>$I113*SUMIF('KU-LGE Rating'!$R:$R,$D113,'KU-LGE Rating'!$F:$F)</f>
        <v>4337332.83</v>
      </c>
      <c r="U113" s="256">
        <f>$I113*SUMIF('KU-LGE Rating'!$R:$R,$D113,'KU-LGE Rating'!$G:$G)</f>
        <v>0</v>
      </c>
      <c r="V113" s="257">
        <f t="shared" si="17"/>
        <v>4337332.83</v>
      </c>
      <c r="W113" s="255">
        <f>$J113*SUMIF('KU-LGE Rating'!$R:$R,$D113,'KU-LGE Rating'!$F:$F)</f>
        <v>1479609.06</v>
      </c>
      <c r="X113" s="256">
        <f>$J113*SUMIF('KU-LGE Rating'!$R:$R,$D113,'KU-LGE Rating'!$G:$G)</f>
        <v>0</v>
      </c>
      <c r="Y113" s="257">
        <f t="shared" si="18"/>
        <v>1479609.06</v>
      </c>
      <c r="Z113" s="255">
        <f>$K113*SUMIF('KU-LGE Rating'!$R:$R,$D113,'KU-LGE Rating'!$F:$F)</f>
        <v>615214.21</v>
      </c>
      <c r="AA113" s="256">
        <f>$K113*SUMIF('KU-LGE Rating'!$R:$R,$D113,'KU-LGE Rating'!$G:$G)</f>
        <v>0</v>
      </c>
      <c r="AB113" s="257">
        <f t="shared" si="19"/>
        <v>615214.21</v>
      </c>
    </row>
    <row r="114" spans="1:28">
      <c r="A114" s="1" t="s">
        <v>2769</v>
      </c>
      <c r="B114" t="s">
        <v>3</v>
      </c>
      <c r="C114" t="s">
        <v>3723</v>
      </c>
      <c r="D114" t="s">
        <v>3729</v>
      </c>
      <c r="E114">
        <v>512101</v>
      </c>
      <c r="F114" t="s">
        <v>3893</v>
      </c>
      <c r="G114" s="288">
        <v>113.62</v>
      </c>
      <c r="H114" s="288">
        <v>0</v>
      </c>
      <c r="I114" s="288">
        <v>32197.84</v>
      </c>
      <c r="J114" s="288">
        <v>36826.31</v>
      </c>
      <c r="K114" s="288">
        <v>5926.14</v>
      </c>
      <c r="L114" s="243">
        <f t="shared" si="14"/>
        <v>74950.289999999994</v>
      </c>
      <c r="M114" s="243" t="str">
        <f t="shared" si="13"/>
        <v>512</v>
      </c>
      <c r="N114" s="255">
        <f>$G114*SUMIF('KU-LGE Rating'!$R:$R,$D114,'KU-LGE Rating'!F:F)</f>
        <v>113.62</v>
      </c>
      <c r="O114" s="256">
        <f>$G114*SUMIF('KU-LGE Rating'!$R:$R,$D114,'KU-LGE Rating'!G:G)</f>
        <v>0</v>
      </c>
      <c r="P114" s="257">
        <f t="shared" si="15"/>
        <v>113.62</v>
      </c>
      <c r="Q114" s="255">
        <f>$H114*SUMIF('KU-LGE Rating'!$R:$R,$D114,'KU-LGE Rating'!$F:$F)</f>
        <v>0</v>
      </c>
      <c r="R114" s="256">
        <f>$H114*SUMIF('KU-LGE Rating'!$R:$R,$D114,'KU-LGE Rating'!$G:$G)</f>
        <v>0</v>
      </c>
      <c r="S114" s="257">
        <f t="shared" si="16"/>
        <v>0</v>
      </c>
      <c r="T114" s="255">
        <f>$I114*SUMIF('KU-LGE Rating'!$R:$R,$D114,'KU-LGE Rating'!$F:$F)</f>
        <v>32197.84</v>
      </c>
      <c r="U114" s="256">
        <f>$I114*SUMIF('KU-LGE Rating'!$R:$R,$D114,'KU-LGE Rating'!$G:$G)</f>
        <v>0</v>
      </c>
      <c r="V114" s="257">
        <f t="shared" si="17"/>
        <v>32197.84</v>
      </c>
      <c r="W114" s="255">
        <f>$J114*SUMIF('KU-LGE Rating'!$R:$R,$D114,'KU-LGE Rating'!$F:$F)</f>
        <v>36826.31</v>
      </c>
      <c r="X114" s="256">
        <f>$J114*SUMIF('KU-LGE Rating'!$R:$R,$D114,'KU-LGE Rating'!$G:$G)</f>
        <v>0</v>
      </c>
      <c r="Y114" s="257">
        <f t="shared" si="18"/>
        <v>36826.31</v>
      </c>
      <c r="Z114" s="255">
        <f>$K114*SUMIF('KU-LGE Rating'!$R:$R,$D114,'KU-LGE Rating'!$F:$F)</f>
        <v>5926.14</v>
      </c>
      <c r="AA114" s="256">
        <f>$K114*SUMIF('KU-LGE Rating'!$R:$R,$D114,'KU-LGE Rating'!$G:$G)</f>
        <v>0</v>
      </c>
      <c r="AB114" s="257">
        <f t="shared" si="19"/>
        <v>5926.14</v>
      </c>
    </row>
    <row r="115" spans="1:28">
      <c r="A115" s="1" t="s">
        <v>2769</v>
      </c>
      <c r="B115" t="s">
        <v>3</v>
      </c>
      <c r="C115" t="s">
        <v>3723</v>
      </c>
      <c r="D115" t="s">
        <v>3729</v>
      </c>
      <c r="E115">
        <v>513100</v>
      </c>
      <c r="F115" t="s">
        <v>3893</v>
      </c>
      <c r="G115" s="288">
        <v>153360.65</v>
      </c>
      <c r="H115" s="288">
        <v>0</v>
      </c>
      <c r="I115" s="288">
        <v>5312696.2300000004</v>
      </c>
      <c r="J115" s="288">
        <v>1247326.3</v>
      </c>
      <c r="K115" s="288">
        <v>106581.58</v>
      </c>
      <c r="L115" s="243">
        <f t="shared" si="14"/>
        <v>6666604.1100000003</v>
      </c>
      <c r="M115" s="243" t="str">
        <f t="shared" si="13"/>
        <v>513</v>
      </c>
      <c r="N115" s="255">
        <f>$G115*SUMIF('KU-LGE Rating'!$R:$R,$D115,'KU-LGE Rating'!F:F)</f>
        <v>153360.65</v>
      </c>
      <c r="O115" s="256">
        <f>$G115*SUMIF('KU-LGE Rating'!$R:$R,$D115,'KU-LGE Rating'!G:G)</f>
        <v>0</v>
      </c>
      <c r="P115" s="257">
        <f t="shared" si="15"/>
        <v>153360.65</v>
      </c>
      <c r="Q115" s="255">
        <f>$H115*SUMIF('KU-LGE Rating'!$R:$R,$D115,'KU-LGE Rating'!$F:$F)</f>
        <v>0</v>
      </c>
      <c r="R115" s="256">
        <f>$H115*SUMIF('KU-LGE Rating'!$R:$R,$D115,'KU-LGE Rating'!$G:$G)</f>
        <v>0</v>
      </c>
      <c r="S115" s="257">
        <f t="shared" si="16"/>
        <v>0</v>
      </c>
      <c r="T115" s="255">
        <f>$I115*SUMIF('KU-LGE Rating'!$R:$R,$D115,'KU-LGE Rating'!$F:$F)</f>
        <v>5312696.2300000004</v>
      </c>
      <c r="U115" s="256">
        <f>$I115*SUMIF('KU-LGE Rating'!$R:$R,$D115,'KU-LGE Rating'!$G:$G)</f>
        <v>0</v>
      </c>
      <c r="V115" s="257">
        <f t="shared" si="17"/>
        <v>5312696.2300000004</v>
      </c>
      <c r="W115" s="255">
        <f>$J115*SUMIF('KU-LGE Rating'!$R:$R,$D115,'KU-LGE Rating'!$F:$F)</f>
        <v>1247326.3</v>
      </c>
      <c r="X115" s="256">
        <f>$J115*SUMIF('KU-LGE Rating'!$R:$R,$D115,'KU-LGE Rating'!$G:$G)</f>
        <v>0</v>
      </c>
      <c r="Y115" s="257">
        <f t="shared" si="18"/>
        <v>1247326.3</v>
      </c>
      <c r="Z115" s="255">
        <f>$K115*SUMIF('KU-LGE Rating'!$R:$R,$D115,'KU-LGE Rating'!$F:$F)</f>
        <v>106581.58</v>
      </c>
      <c r="AA115" s="256">
        <f>$K115*SUMIF('KU-LGE Rating'!$R:$R,$D115,'KU-LGE Rating'!$G:$G)</f>
        <v>0</v>
      </c>
      <c r="AB115" s="257">
        <f t="shared" si="19"/>
        <v>106581.58</v>
      </c>
    </row>
    <row r="116" spans="1:28">
      <c r="A116" s="1" t="s">
        <v>2769</v>
      </c>
      <c r="B116" t="s">
        <v>3</v>
      </c>
      <c r="C116" t="s">
        <v>3723</v>
      </c>
      <c r="D116" t="s">
        <v>3729</v>
      </c>
      <c r="E116">
        <v>514100</v>
      </c>
      <c r="F116" t="s">
        <v>3893</v>
      </c>
      <c r="G116" s="288">
        <v>0</v>
      </c>
      <c r="H116" s="288">
        <v>0</v>
      </c>
      <c r="I116" s="288">
        <v>3061.26</v>
      </c>
      <c r="J116" s="288">
        <v>0</v>
      </c>
      <c r="K116" s="288">
        <v>5434.54</v>
      </c>
      <c r="L116" s="243">
        <f t="shared" si="14"/>
        <v>8495.7999999999993</v>
      </c>
      <c r="M116" s="243" t="str">
        <f t="shared" si="13"/>
        <v>514</v>
      </c>
      <c r="N116" s="255">
        <f>$G116*SUMIF('KU-LGE Rating'!$R:$R,$D116,'KU-LGE Rating'!F:F)</f>
        <v>0</v>
      </c>
      <c r="O116" s="256">
        <f>$G116*SUMIF('KU-LGE Rating'!$R:$R,$D116,'KU-LGE Rating'!G:G)</f>
        <v>0</v>
      </c>
      <c r="P116" s="257">
        <f t="shared" si="15"/>
        <v>0</v>
      </c>
      <c r="Q116" s="255">
        <f>$H116*SUMIF('KU-LGE Rating'!$R:$R,$D116,'KU-LGE Rating'!$F:$F)</f>
        <v>0</v>
      </c>
      <c r="R116" s="256">
        <f>$H116*SUMIF('KU-LGE Rating'!$R:$R,$D116,'KU-LGE Rating'!$G:$G)</f>
        <v>0</v>
      </c>
      <c r="S116" s="257">
        <f t="shared" si="16"/>
        <v>0</v>
      </c>
      <c r="T116" s="255">
        <f>$I116*SUMIF('KU-LGE Rating'!$R:$R,$D116,'KU-LGE Rating'!$F:$F)</f>
        <v>3061.26</v>
      </c>
      <c r="U116" s="256">
        <f>$I116*SUMIF('KU-LGE Rating'!$R:$R,$D116,'KU-LGE Rating'!$G:$G)</f>
        <v>0</v>
      </c>
      <c r="V116" s="257">
        <f t="shared" si="17"/>
        <v>3061.26</v>
      </c>
      <c r="W116" s="255">
        <f>$J116*SUMIF('KU-LGE Rating'!$R:$R,$D116,'KU-LGE Rating'!$F:$F)</f>
        <v>0</v>
      </c>
      <c r="X116" s="256">
        <f>$J116*SUMIF('KU-LGE Rating'!$R:$R,$D116,'KU-LGE Rating'!$G:$G)</f>
        <v>0</v>
      </c>
      <c r="Y116" s="257">
        <f t="shared" si="18"/>
        <v>0</v>
      </c>
      <c r="Z116" s="255">
        <f>$K116*SUMIF('KU-LGE Rating'!$R:$R,$D116,'KU-LGE Rating'!$F:$F)</f>
        <v>5434.54</v>
      </c>
      <c r="AA116" s="256">
        <f>$K116*SUMIF('KU-LGE Rating'!$R:$R,$D116,'KU-LGE Rating'!$G:$G)</f>
        <v>0</v>
      </c>
      <c r="AB116" s="257">
        <f t="shared" si="19"/>
        <v>5434.54</v>
      </c>
    </row>
    <row r="117" spans="1:28">
      <c r="A117" s="1" t="s">
        <v>2769</v>
      </c>
      <c r="B117" t="s">
        <v>3</v>
      </c>
      <c r="C117" t="s">
        <v>3723</v>
      </c>
      <c r="D117" t="s">
        <v>3730</v>
      </c>
      <c r="E117">
        <v>511100</v>
      </c>
      <c r="F117" t="s">
        <v>3893</v>
      </c>
      <c r="G117" s="288">
        <v>4669.92</v>
      </c>
      <c r="H117" s="288">
        <v>12917.73</v>
      </c>
      <c r="I117" s="288">
        <v>3.1</v>
      </c>
      <c r="J117" s="288">
        <v>31069.9</v>
      </c>
      <c r="K117" s="288">
        <v>4.79</v>
      </c>
      <c r="L117" s="243">
        <f t="shared" si="14"/>
        <v>43995.520000000004</v>
      </c>
      <c r="M117" s="243" t="str">
        <f t="shared" si="13"/>
        <v>511</v>
      </c>
      <c r="N117" s="255">
        <f>$G117*SUMIF('KU-LGE Rating'!$R:$R,$D117,'KU-LGE Rating'!F:F)</f>
        <v>4669.92</v>
      </c>
      <c r="O117" s="256">
        <f>$G117*SUMIF('KU-LGE Rating'!$R:$R,$D117,'KU-LGE Rating'!G:G)</f>
        <v>0</v>
      </c>
      <c r="P117" s="257">
        <f t="shared" si="15"/>
        <v>4669.92</v>
      </c>
      <c r="Q117" s="255">
        <f>$H117*SUMIF('KU-LGE Rating'!$R:$R,$D117,'KU-LGE Rating'!$F:$F)</f>
        <v>12917.73</v>
      </c>
      <c r="R117" s="256">
        <f>$H117*SUMIF('KU-LGE Rating'!$R:$R,$D117,'KU-LGE Rating'!$G:$G)</f>
        <v>0</v>
      </c>
      <c r="S117" s="257">
        <f t="shared" si="16"/>
        <v>12917.73</v>
      </c>
      <c r="T117" s="255">
        <f>$I117*SUMIF('KU-LGE Rating'!$R:$R,$D117,'KU-LGE Rating'!$F:$F)</f>
        <v>3.1</v>
      </c>
      <c r="U117" s="256">
        <f>$I117*SUMIF('KU-LGE Rating'!$R:$R,$D117,'KU-LGE Rating'!$G:$G)</f>
        <v>0</v>
      </c>
      <c r="V117" s="257">
        <f t="shared" si="17"/>
        <v>3.1</v>
      </c>
      <c r="W117" s="255">
        <f>$J117*SUMIF('KU-LGE Rating'!$R:$R,$D117,'KU-LGE Rating'!$F:$F)</f>
        <v>31069.9</v>
      </c>
      <c r="X117" s="256">
        <f>$J117*SUMIF('KU-LGE Rating'!$R:$R,$D117,'KU-LGE Rating'!$G:$G)</f>
        <v>0</v>
      </c>
      <c r="Y117" s="257">
        <f t="shared" si="18"/>
        <v>31069.9</v>
      </c>
      <c r="Z117" s="255">
        <f>$K117*SUMIF('KU-LGE Rating'!$R:$R,$D117,'KU-LGE Rating'!$F:$F)</f>
        <v>4.79</v>
      </c>
      <c r="AA117" s="256">
        <f>$K117*SUMIF('KU-LGE Rating'!$R:$R,$D117,'KU-LGE Rating'!$G:$G)</f>
        <v>0</v>
      </c>
      <c r="AB117" s="257">
        <f t="shared" si="19"/>
        <v>4.79</v>
      </c>
    </row>
    <row r="118" spans="1:28">
      <c r="A118" s="1" t="s">
        <v>2769</v>
      </c>
      <c r="B118" t="s">
        <v>3</v>
      </c>
      <c r="C118" t="s">
        <v>3723</v>
      </c>
      <c r="D118" t="s">
        <v>3730</v>
      </c>
      <c r="E118">
        <v>512005</v>
      </c>
      <c r="F118" t="s">
        <v>3893</v>
      </c>
      <c r="G118" s="288">
        <v>30822.49</v>
      </c>
      <c r="H118" s="288">
        <v>59486.49</v>
      </c>
      <c r="I118" s="288">
        <v>30614.880000000001</v>
      </c>
      <c r="J118" s="288">
        <v>0</v>
      </c>
      <c r="K118" s="288">
        <v>271373.51</v>
      </c>
      <c r="L118" s="243">
        <f t="shared" si="14"/>
        <v>361474.88</v>
      </c>
      <c r="M118" s="243" t="str">
        <f t="shared" si="13"/>
        <v>512</v>
      </c>
      <c r="N118" s="255">
        <f>$G118*SUMIF('KU-LGE Rating'!$R:$R,$D118,'KU-LGE Rating'!F:F)</f>
        <v>30822.49</v>
      </c>
      <c r="O118" s="256">
        <f>$G118*SUMIF('KU-LGE Rating'!$R:$R,$D118,'KU-LGE Rating'!G:G)</f>
        <v>0</v>
      </c>
      <c r="P118" s="257">
        <f t="shared" si="15"/>
        <v>30822.49</v>
      </c>
      <c r="Q118" s="255">
        <f>$H118*SUMIF('KU-LGE Rating'!$R:$R,$D118,'KU-LGE Rating'!$F:$F)</f>
        <v>59486.49</v>
      </c>
      <c r="R118" s="256">
        <f>$H118*SUMIF('KU-LGE Rating'!$R:$R,$D118,'KU-LGE Rating'!$G:$G)</f>
        <v>0</v>
      </c>
      <c r="S118" s="257">
        <f t="shared" si="16"/>
        <v>59486.49</v>
      </c>
      <c r="T118" s="255">
        <f>$I118*SUMIF('KU-LGE Rating'!$R:$R,$D118,'KU-LGE Rating'!$F:$F)</f>
        <v>30614.880000000001</v>
      </c>
      <c r="U118" s="256">
        <f>$I118*SUMIF('KU-LGE Rating'!$R:$R,$D118,'KU-LGE Rating'!$G:$G)</f>
        <v>0</v>
      </c>
      <c r="V118" s="257">
        <f t="shared" si="17"/>
        <v>30614.880000000001</v>
      </c>
      <c r="W118" s="255">
        <f>$J118*SUMIF('KU-LGE Rating'!$R:$R,$D118,'KU-LGE Rating'!$F:$F)</f>
        <v>0</v>
      </c>
      <c r="X118" s="256">
        <f>$J118*SUMIF('KU-LGE Rating'!$R:$R,$D118,'KU-LGE Rating'!$G:$G)</f>
        <v>0</v>
      </c>
      <c r="Y118" s="257">
        <f t="shared" si="18"/>
        <v>0</v>
      </c>
      <c r="Z118" s="255">
        <f>$K118*SUMIF('KU-LGE Rating'!$R:$R,$D118,'KU-LGE Rating'!$F:$F)</f>
        <v>271373.51</v>
      </c>
      <c r="AA118" s="256">
        <f>$K118*SUMIF('KU-LGE Rating'!$R:$R,$D118,'KU-LGE Rating'!$G:$G)</f>
        <v>0</v>
      </c>
      <c r="AB118" s="257">
        <f t="shared" si="19"/>
        <v>271373.51</v>
      </c>
    </row>
    <row r="119" spans="1:28">
      <c r="A119" s="1" t="s">
        <v>2769</v>
      </c>
      <c r="B119" t="s">
        <v>3</v>
      </c>
      <c r="C119" t="s">
        <v>3723</v>
      </c>
      <c r="D119" t="s">
        <v>3730</v>
      </c>
      <c r="E119">
        <v>512011</v>
      </c>
      <c r="F119" t="s">
        <v>3893</v>
      </c>
      <c r="G119" s="288">
        <v>75977.240000000005</v>
      </c>
      <c r="H119" s="288">
        <v>191455.03</v>
      </c>
      <c r="I119" s="288">
        <v>22620.46</v>
      </c>
      <c r="J119" s="288">
        <v>71510.39</v>
      </c>
      <c r="K119" s="288">
        <v>77455.399999999994</v>
      </c>
      <c r="L119" s="243">
        <f t="shared" si="14"/>
        <v>363041.28000000003</v>
      </c>
      <c r="M119" s="243" t="str">
        <f t="shared" si="13"/>
        <v>512</v>
      </c>
      <c r="N119" s="255">
        <f>$G119*SUMIF('KU-LGE Rating'!$R:$R,$D119,'KU-LGE Rating'!F:F)</f>
        <v>75977.240000000005</v>
      </c>
      <c r="O119" s="256">
        <f>$G119*SUMIF('KU-LGE Rating'!$R:$R,$D119,'KU-LGE Rating'!G:G)</f>
        <v>0</v>
      </c>
      <c r="P119" s="257">
        <f t="shared" si="15"/>
        <v>75977.240000000005</v>
      </c>
      <c r="Q119" s="255">
        <f>$H119*SUMIF('KU-LGE Rating'!$R:$R,$D119,'KU-LGE Rating'!$F:$F)</f>
        <v>191455.03</v>
      </c>
      <c r="R119" s="256">
        <f>$H119*SUMIF('KU-LGE Rating'!$R:$R,$D119,'KU-LGE Rating'!$G:$G)</f>
        <v>0</v>
      </c>
      <c r="S119" s="257">
        <f t="shared" si="16"/>
        <v>191455.03</v>
      </c>
      <c r="T119" s="255">
        <f>$I119*SUMIF('KU-LGE Rating'!$R:$R,$D119,'KU-LGE Rating'!$F:$F)</f>
        <v>22620.46</v>
      </c>
      <c r="U119" s="256">
        <f>$I119*SUMIF('KU-LGE Rating'!$R:$R,$D119,'KU-LGE Rating'!$G:$G)</f>
        <v>0</v>
      </c>
      <c r="V119" s="257">
        <f t="shared" si="17"/>
        <v>22620.46</v>
      </c>
      <c r="W119" s="255">
        <f>$J119*SUMIF('KU-LGE Rating'!$R:$R,$D119,'KU-LGE Rating'!$F:$F)</f>
        <v>71510.39</v>
      </c>
      <c r="X119" s="256">
        <f>$J119*SUMIF('KU-LGE Rating'!$R:$R,$D119,'KU-LGE Rating'!$G:$G)</f>
        <v>0</v>
      </c>
      <c r="Y119" s="257">
        <f t="shared" si="18"/>
        <v>71510.39</v>
      </c>
      <c r="Z119" s="255">
        <f>$K119*SUMIF('KU-LGE Rating'!$R:$R,$D119,'KU-LGE Rating'!$F:$F)</f>
        <v>77455.399999999994</v>
      </c>
      <c r="AA119" s="256">
        <f>$K119*SUMIF('KU-LGE Rating'!$R:$R,$D119,'KU-LGE Rating'!$G:$G)</f>
        <v>0</v>
      </c>
      <c r="AB119" s="257">
        <f t="shared" si="19"/>
        <v>77455.399999999994</v>
      </c>
    </row>
    <row r="120" spans="1:28">
      <c r="A120" s="1" t="s">
        <v>2769</v>
      </c>
      <c r="B120" t="s">
        <v>3</v>
      </c>
      <c r="C120" t="s">
        <v>3723</v>
      </c>
      <c r="D120" t="s">
        <v>3730</v>
      </c>
      <c r="E120">
        <v>512017</v>
      </c>
      <c r="F120" t="s">
        <v>3893</v>
      </c>
      <c r="G120" s="288">
        <v>14438.02</v>
      </c>
      <c r="H120" s="288">
        <v>73015.42</v>
      </c>
      <c r="I120" s="288">
        <v>217.08</v>
      </c>
      <c r="J120" s="288">
        <v>3307</v>
      </c>
      <c r="K120" s="288">
        <v>26996.71</v>
      </c>
      <c r="L120" s="243">
        <f t="shared" si="14"/>
        <v>103536.20999999999</v>
      </c>
      <c r="M120" s="243" t="str">
        <f t="shared" si="13"/>
        <v>512</v>
      </c>
      <c r="N120" s="255">
        <f>$G120*SUMIF('KU-LGE Rating'!$R:$R,$D120,'KU-LGE Rating'!F:F)</f>
        <v>14438.02</v>
      </c>
      <c r="O120" s="256">
        <f>$G120*SUMIF('KU-LGE Rating'!$R:$R,$D120,'KU-LGE Rating'!G:G)</f>
        <v>0</v>
      </c>
      <c r="P120" s="257">
        <f t="shared" si="15"/>
        <v>14438.02</v>
      </c>
      <c r="Q120" s="255">
        <f>$H120*SUMIF('KU-LGE Rating'!$R:$R,$D120,'KU-LGE Rating'!$F:$F)</f>
        <v>73015.42</v>
      </c>
      <c r="R120" s="256">
        <f>$H120*SUMIF('KU-LGE Rating'!$R:$R,$D120,'KU-LGE Rating'!$G:$G)</f>
        <v>0</v>
      </c>
      <c r="S120" s="257">
        <f t="shared" si="16"/>
        <v>73015.42</v>
      </c>
      <c r="T120" s="255">
        <f>$I120*SUMIF('KU-LGE Rating'!$R:$R,$D120,'KU-LGE Rating'!$F:$F)</f>
        <v>217.08</v>
      </c>
      <c r="U120" s="256">
        <f>$I120*SUMIF('KU-LGE Rating'!$R:$R,$D120,'KU-LGE Rating'!$G:$G)</f>
        <v>0</v>
      </c>
      <c r="V120" s="257">
        <f t="shared" si="17"/>
        <v>217.08</v>
      </c>
      <c r="W120" s="255">
        <f>$J120*SUMIF('KU-LGE Rating'!$R:$R,$D120,'KU-LGE Rating'!$F:$F)</f>
        <v>3307</v>
      </c>
      <c r="X120" s="256">
        <f>$J120*SUMIF('KU-LGE Rating'!$R:$R,$D120,'KU-LGE Rating'!$G:$G)</f>
        <v>0</v>
      </c>
      <c r="Y120" s="257">
        <f t="shared" si="18"/>
        <v>3307</v>
      </c>
      <c r="Z120" s="255">
        <f>$K120*SUMIF('KU-LGE Rating'!$R:$R,$D120,'KU-LGE Rating'!$F:$F)</f>
        <v>26996.71</v>
      </c>
      <c r="AA120" s="256">
        <f>$K120*SUMIF('KU-LGE Rating'!$R:$R,$D120,'KU-LGE Rating'!$G:$G)</f>
        <v>0</v>
      </c>
      <c r="AB120" s="257">
        <f t="shared" si="19"/>
        <v>26996.71</v>
      </c>
    </row>
    <row r="121" spans="1:28">
      <c r="A121" s="1" t="s">
        <v>2769</v>
      </c>
      <c r="B121" t="s">
        <v>3</v>
      </c>
      <c r="C121" t="s">
        <v>3723</v>
      </c>
      <c r="D121" t="s">
        <v>3730</v>
      </c>
      <c r="E121">
        <v>512100</v>
      </c>
      <c r="F121" t="s">
        <v>3893</v>
      </c>
      <c r="G121" s="288">
        <v>741626.29</v>
      </c>
      <c r="H121" s="288">
        <v>2713680.8</v>
      </c>
      <c r="I121" s="288">
        <v>285056.31</v>
      </c>
      <c r="J121" s="288">
        <v>768757.42</v>
      </c>
      <c r="K121" s="288">
        <v>497716.41</v>
      </c>
      <c r="L121" s="243">
        <f t="shared" si="14"/>
        <v>4265210.9399999995</v>
      </c>
      <c r="M121" s="243" t="str">
        <f t="shared" si="13"/>
        <v>512</v>
      </c>
      <c r="N121" s="255">
        <f>$G121*SUMIF('KU-LGE Rating'!$R:$R,$D121,'KU-LGE Rating'!F:F)</f>
        <v>741626.29</v>
      </c>
      <c r="O121" s="256">
        <f>$G121*SUMIF('KU-LGE Rating'!$R:$R,$D121,'KU-LGE Rating'!G:G)</f>
        <v>0</v>
      </c>
      <c r="P121" s="257">
        <f t="shared" si="15"/>
        <v>741626.29</v>
      </c>
      <c r="Q121" s="255">
        <f>$H121*SUMIF('KU-LGE Rating'!$R:$R,$D121,'KU-LGE Rating'!$F:$F)</f>
        <v>2713680.8</v>
      </c>
      <c r="R121" s="256">
        <f>$H121*SUMIF('KU-LGE Rating'!$R:$R,$D121,'KU-LGE Rating'!$G:$G)</f>
        <v>0</v>
      </c>
      <c r="S121" s="257">
        <f t="shared" si="16"/>
        <v>2713680.8</v>
      </c>
      <c r="T121" s="255">
        <f>$I121*SUMIF('KU-LGE Rating'!$R:$R,$D121,'KU-LGE Rating'!$F:$F)</f>
        <v>285056.31</v>
      </c>
      <c r="U121" s="256">
        <f>$I121*SUMIF('KU-LGE Rating'!$R:$R,$D121,'KU-LGE Rating'!$G:$G)</f>
        <v>0</v>
      </c>
      <c r="V121" s="257">
        <f t="shared" si="17"/>
        <v>285056.31</v>
      </c>
      <c r="W121" s="255">
        <f>$J121*SUMIF('KU-LGE Rating'!$R:$R,$D121,'KU-LGE Rating'!$F:$F)</f>
        <v>768757.42</v>
      </c>
      <c r="X121" s="256">
        <f>$J121*SUMIF('KU-LGE Rating'!$R:$R,$D121,'KU-LGE Rating'!$G:$G)</f>
        <v>0</v>
      </c>
      <c r="Y121" s="257">
        <f t="shared" si="18"/>
        <v>768757.42</v>
      </c>
      <c r="Z121" s="255">
        <f>$K121*SUMIF('KU-LGE Rating'!$R:$R,$D121,'KU-LGE Rating'!$F:$F)</f>
        <v>497716.41</v>
      </c>
      <c r="AA121" s="256">
        <f>$K121*SUMIF('KU-LGE Rating'!$R:$R,$D121,'KU-LGE Rating'!$G:$G)</f>
        <v>0</v>
      </c>
      <c r="AB121" s="257">
        <f t="shared" si="19"/>
        <v>497716.41</v>
      </c>
    </row>
    <row r="122" spans="1:28">
      <c r="A122" s="1" t="s">
        <v>2769</v>
      </c>
      <c r="B122" t="s">
        <v>3</v>
      </c>
      <c r="C122" t="s">
        <v>3723</v>
      </c>
      <c r="D122" t="s">
        <v>3730</v>
      </c>
      <c r="E122">
        <v>512101</v>
      </c>
      <c r="F122" t="s">
        <v>3893</v>
      </c>
      <c r="G122" s="288">
        <v>5585.95</v>
      </c>
      <c r="H122" s="288">
        <v>17238.09</v>
      </c>
      <c r="I122" s="288">
        <v>381.67</v>
      </c>
      <c r="J122" s="288">
        <v>53315.7</v>
      </c>
      <c r="K122" s="288">
        <v>7383.43</v>
      </c>
      <c r="L122" s="243">
        <f t="shared" si="14"/>
        <v>78318.889999999985</v>
      </c>
      <c r="M122" s="243" t="str">
        <f t="shared" si="13"/>
        <v>512</v>
      </c>
      <c r="N122" s="255">
        <f>$G122*SUMIF('KU-LGE Rating'!$R:$R,$D122,'KU-LGE Rating'!F:F)</f>
        <v>5585.95</v>
      </c>
      <c r="O122" s="256">
        <f>$G122*SUMIF('KU-LGE Rating'!$R:$R,$D122,'KU-LGE Rating'!G:G)</f>
        <v>0</v>
      </c>
      <c r="P122" s="257">
        <f t="shared" si="15"/>
        <v>5585.95</v>
      </c>
      <c r="Q122" s="255">
        <f>$H122*SUMIF('KU-LGE Rating'!$R:$R,$D122,'KU-LGE Rating'!$F:$F)</f>
        <v>17238.09</v>
      </c>
      <c r="R122" s="256">
        <f>$H122*SUMIF('KU-LGE Rating'!$R:$R,$D122,'KU-LGE Rating'!$G:$G)</f>
        <v>0</v>
      </c>
      <c r="S122" s="257">
        <f t="shared" si="16"/>
        <v>17238.09</v>
      </c>
      <c r="T122" s="255">
        <f>$I122*SUMIF('KU-LGE Rating'!$R:$R,$D122,'KU-LGE Rating'!$F:$F)</f>
        <v>381.67</v>
      </c>
      <c r="U122" s="256">
        <f>$I122*SUMIF('KU-LGE Rating'!$R:$R,$D122,'KU-LGE Rating'!$G:$G)</f>
        <v>0</v>
      </c>
      <c r="V122" s="257">
        <f t="shared" si="17"/>
        <v>381.67</v>
      </c>
      <c r="W122" s="255">
        <f>$J122*SUMIF('KU-LGE Rating'!$R:$R,$D122,'KU-LGE Rating'!$F:$F)</f>
        <v>53315.7</v>
      </c>
      <c r="X122" s="256">
        <f>$J122*SUMIF('KU-LGE Rating'!$R:$R,$D122,'KU-LGE Rating'!$G:$G)</f>
        <v>0</v>
      </c>
      <c r="Y122" s="257">
        <f t="shared" si="18"/>
        <v>53315.7</v>
      </c>
      <c r="Z122" s="255">
        <f>$K122*SUMIF('KU-LGE Rating'!$R:$R,$D122,'KU-LGE Rating'!$F:$F)</f>
        <v>7383.43</v>
      </c>
      <c r="AA122" s="256">
        <f>$K122*SUMIF('KU-LGE Rating'!$R:$R,$D122,'KU-LGE Rating'!$G:$G)</f>
        <v>0</v>
      </c>
      <c r="AB122" s="257">
        <f t="shared" si="19"/>
        <v>7383.43</v>
      </c>
    </row>
    <row r="123" spans="1:28">
      <c r="A123" s="1" t="s">
        <v>2769</v>
      </c>
      <c r="B123" t="s">
        <v>3</v>
      </c>
      <c r="C123" t="s">
        <v>3723</v>
      </c>
      <c r="D123" t="s">
        <v>3730</v>
      </c>
      <c r="E123">
        <v>512102</v>
      </c>
      <c r="F123" t="s">
        <v>3893</v>
      </c>
      <c r="G123" s="288">
        <v>754.85</v>
      </c>
      <c r="H123" s="288">
        <v>0</v>
      </c>
      <c r="I123" s="288">
        <v>0</v>
      </c>
      <c r="J123" s="288">
        <v>0</v>
      </c>
      <c r="K123" s="288">
        <v>0</v>
      </c>
      <c r="L123" s="243">
        <f t="shared" si="14"/>
        <v>0</v>
      </c>
      <c r="M123" s="243" t="str">
        <f t="shared" si="13"/>
        <v>512</v>
      </c>
      <c r="N123" s="255">
        <f>$G123*SUMIF('KU-LGE Rating'!$R:$R,$D123,'KU-LGE Rating'!F:F)</f>
        <v>754.85</v>
      </c>
      <c r="O123" s="256">
        <f>$G123*SUMIF('KU-LGE Rating'!$R:$R,$D123,'KU-LGE Rating'!G:G)</f>
        <v>0</v>
      </c>
      <c r="P123" s="257">
        <f t="shared" si="15"/>
        <v>754.85</v>
      </c>
      <c r="Q123" s="255">
        <f>$H123*SUMIF('KU-LGE Rating'!$R:$R,$D123,'KU-LGE Rating'!$F:$F)</f>
        <v>0</v>
      </c>
      <c r="R123" s="256">
        <f>$H123*SUMIF('KU-LGE Rating'!$R:$R,$D123,'KU-LGE Rating'!$G:$G)</f>
        <v>0</v>
      </c>
      <c r="S123" s="257">
        <f t="shared" si="16"/>
        <v>0</v>
      </c>
      <c r="T123" s="255">
        <f>$I123*SUMIF('KU-LGE Rating'!$R:$R,$D123,'KU-LGE Rating'!$F:$F)</f>
        <v>0</v>
      </c>
      <c r="U123" s="256">
        <f>$I123*SUMIF('KU-LGE Rating'!$R:$R,$D123,'KU-LGE Rating'!$G:$G)</f>
        <v>0</v>
      </c>
      <c r="V123" s="257">
        <f t="shared" si="17"/>
        <v>0</v>
      </c>
      <c r="W123" s="255">
        <f>$J123*SUMIF('KU-LGE Rating'!$R:$R,$D123,'KU-LGE Rating'!$F:$F)</f>
        <v>0</v>
      </c>
      <c r="X123" s="256">
        <f>$J123*SUMIF('KU-LGE Rating'!$R:$R,$D123,'KU-LGE Rating'!$G:$G)</f>
        <v>0</v>
      </c>
      <c r="Y123" s="257">
        <f t="shared" si="18"/>
        <v>0</v>
      </c>
      <c r="Z123" s="255">
        <f>$K123*SUMIF('KU-LGE Rating'!$R:$R,$D123,'KU-LGE Rating'!$F:$F)</f>
        <v>0</v>
      </c>
      <c r="AA123" s="256">
        <f>$K123*SUMIF('KU-LGE Rating'!$R:$R,$D123,'KU-LGE Rating'!$G:$G)</f>
        <v>0</v>
      </c>
      <c r="AB123" s="257">
        <f t="shared" si="19"/>
        <v>0</v>
      </c>
    </row>
    <row r="124" spans="1:28">
      <c r="A124" s="1" t="s">
        <v>2769</v>
      </c>
      <c r="B124" t="s">
        <v>3</v>
      </c>
      <c r="C124" t="s">
        <v>3723</v>
      </c>
      <c r="D124" t="s">
        <v>3730</v>
      </c>
      <c r="E124">
        <v>513100</v>
      </c>
      <c r="F124" t="s">
        <v>3893</v>
      </c>
      <c r="G124" s="288">
        <v>166819.32999999999</v>
      </c>
      <c r="H124" s="288">
        <v>349075.6</v>
      </c>
      <c r="I124" s="288">
        <v>70061.06</v>
      </c>
      <c r="J124" s="288">
        <v>162603.69</v>
      </c>
      <c r="K124" s="288">
        <v>69187.33</v>
      </c>
      <c r="L124" s="243">
        <f t="shared" si="14"/>
        <v>650927.67999999993</v>
      </c>
      <c r="M124" s="243" t="str">
        <f t="shared" si="13"/>
        <v>513</v>
      </c>
      <c r="N124" s="255">
        <f>$G124*SUMIF('KU-LGE Rating'!$R:$R,$D124,'KU-LGE Rating'!F:F)</f>
        <v>166819.32999999999</v>
      </c>
      <c r="O124" s="256">
        <f>$G124*SUMIF('KU-LGE Rating'!$R:$R,$D124,'KU-LGE Rating'!G:G)</f>
        <v>0</v>
      </c>
      <c r="P124" s="257">
        <f t="shared" si="15"/>
        <v>166819.32999999999</v>
      </c>
      <c r="Q124" s="255">
        <f>$H124*SUMIF('KU-LGE Rating'!$R:$R,$D124,'KU-LGE Rating'!$F:$F)</f>
        <v>349075.6</v>
      </c>
      <c r="R124" s="256">
        <f>$H124*SUMIF('KU-LGE Rating'!$R:$R,$D124,'KU-LGE Rating'!$G:$G)</f>
        <v>0</v>
      </c>
      <c r="S124" s="257">
        <f t="shared" si="16"/>
        <v>349075.6</v>
      </c>
      <c r="T124" s="255">
        <f>$I124*SUMIF('KU-LGE Rating'!$R:$R,$D124,'KU-LGE Rating'!$F:$F)</f>
        <v>70061.06</v>
      </c>
      <c r="U124" s="256">
        <f>$I124*SUMIF('KU-LGE Rating'!$R:$R,$D124,'KU-LGE Rating'!$G:$G)</f>
        <v>0</v>
      </c>
      <c r="V124" s="257">
        <f t="shared" si="17"/>
        <v>70061.06</v>
      </c>
      <c r="W124" s="255">
        <f>$J124*SUMIF('KU-LGE Rating'!$R:$R,$D124,'KU-LGE Rating'!$F:$F)</f>
        <v>162603.69</v>
      </c>
      <c r="X124" s="256">
        <f>$J124*SUMIF('KU-LGE Rating'!$R:$R,$D124,'KU-LGE Rating'!$G:$G)</f>
        <v>0</v>
      </c>
      <c r="Y124" s="257">
        <f t="shared" si="18"/>
        <v>162603.69</v>
      </c>
      <c r="Z124" s="255">
        <f>$K124*SUMIF('KU-LGE Rating'!$R:$R,$D124,'KU-LGE Rating'!$F:$F)</f>
        <v>69187.33</v>
      </c>
      <c r="AA124" s="256">
        <f>$K124*SUMIF('KU-LGE Rating'!$R:$R,$D124,'KU-LGE Rating'!$G:$G)</f>
        <v>0</v>
      </c>
      <c r="AB124" s="257">
        <f t="shared" si="19"/>
        <v>69187.33</v>
      </c>
    </row>
    <row r="125" spans="1:28">
      <c r="A125" s="1" t="s">
        <v>2769</v>
      </c>
      <c r="B125" t="s">
        <v>3</v>
      </c>
      <c r="C125" t="s">
        <v>3723</v>
      </c>
      <c r="D125" t="s">
        <v>3731</v>
      </c>
      <c r="E125">
        <v>500100</v>
      </c>
      <c r="F125" t="s">
        <v>3893</v>
      </c>
      <c r="G125" s="288">
        <v>0</v>
      </c>
      <c r="H125" s="288">
        <v>0</v>
      </c>
      <c r="I125" s="288">
        <v>0</v>
      </c>
      <c r="J125" s="288">
        <v>0</v>
      </c>
      <c r="K125" s="288">
        <v>15598.24</v>
      </c>
      <c r="L125" s="243">
        <f t="shared" si="14"/>
        <v>15598.24</v>
      </c>
      <c r="M125" s="243" t="str">
        <f t="shared" si="13"/>
        <v>500</v>
      </c>
      <c r="N125" s="255">
        <f>$G125*SUMIF('KU-LGE Rating'!$R:$R,$D125,'KU-LGE Rating'!F:F)</f>
        <v>0</v>
      </c>
      <c r="O125" s="256">
        <f>$G125*SUMIF('KU-LGE Rating'!$R:$R,$D125,'KU-LGE Rating'!G:G)</f>
        <v>0</v>
      </c>
      <c r="P125" s="257">
        <f t="shared" si="15"/>
        <v>0</v>
      </c>
      <c r="Q125" s="255">
        <f>$H125*SUMIF('KU-LGE Rating'!$R:$R,$D125,'KU-LGE Rating'!$F:$F)</f>
        <v>0</v>
      </c>
      <c r="R125" s="256">
        <f>$H125*SUMIF('KU-LGE Rating'!$R:$R,$D125,'KU-LGE Rating'!$G:$G)</f>
        <v>0</v>
      </c>
      <c r="S125" s="257">
        <f t="shared" si="16"/>
        <v>0</v>
      </c>
      <c r="T125" s="255">
        <f>$I125*SUMIF('KU-LGE Rating'!$R:$R,$D125,'KU-LGE Rating'!$F:$F)</f>
        <v>0</v>
      </c>
      <c r="U125" s="256">
        <f>$I125*SUMIF('KU-LGE Rating'!$R:$R,$D125,'KU-LGE Rating'!$G:$G)</f>
        <v>0</v>
      </c>
      <c r="V125" s="257">
        <f t="shared" si="17"/>
        <v>0</v>
      </c>
      <c r="W125" s="255">
        <f>$J125*SUMIF('KU-LGE Rating'!$R:$R,$D125,'KU-LGE Rating'!$F:$F)</f>
        <v>0</v>
      </c>
      <c r="X125" s="256">
        <f>$J125*SUMIF('KU-LGE Rating'!$R:$R,$D125,'KU-LGE Rating'!$G:$G)</f>
        <v>0</v>
      </c>
      <c r="Y125" s="257">
        <f t="shared" si="18"/>
        <v>0</v>
      </c>
      <c r="Z125" s="255">
        <f>$K125*SUMIF('KU-LGE Rating'!$R:$R,$D125,'KU-LGE Rating'!$F:$F)</f>
        <v>15598.24</v>
      </c>
      <c r="AA125" s="256">
        <f>$K125*SUMIF('KU-LGE Rating'!$R:$R,$D125,'KU-LGE Rating'!$G:$G)</f>
        <v>0</v>
      </c>
      <c r="AB125" s="257">
        <f t="shared" si="19"/>
        <v>15598.24</v>
      </c>
    </row>
    <row r="126" spans="1:28">
      <c r="A126" s="1" t="s">
        <v>2769</v>
      </c>
      <c r="B126" t="s">
        <v>3</v>
      </c>
      <c r="C126" t="s">
        <v>3723</v>
      </c>
      <c r="D126" t="s">
        <v>3731</v>
      </c>
      <c r="E126">
        <v>510100</v>
      </c>
      <c r="F126" t="s">
        <v>3893</v>
      </c>
      <c r="G126" s="288">
        <v>0</v>
      </c>
      <c r="H126" s="288">
        <v>21346.27</v>
      </c>
      <c r="I126" s="288">
        <v>0</v>
      </c>
      <c r="J126" s="288">
        <v>67021.77</v>
      </c>
      <c r="K126" s="288">
        <v>-492</v>
      </c>
      <c r="L126" s="243">
        <f t="shared" si="14"/>
        <v>87876.040000000008</v>
      </c>
      <c r="M126" s="243" t="str">
        <f t="shared" si="13"/>
        <v>510</v>
      </c>
      <c r="N126" s="255">
        <f>$G126*SUMIF('KU-LGE Rating'!$R:$R,$D126,'KU-LGE Rating'!F:F)</f>
        <v>0</v>
      </c>
      <c r="O126" s="256">
        <f>$G126*SUMIF('KU-LGE Rating'!$R:$R,$D126,'KU-LGE Rating'!G:G)</f>
        <v>0</v>
      </c>
      <c r="P126" s="257">
        <f t="shared" si="15"/>
        <v>0</v>
      </c>
      <c r="Q126" s="255">
        <f>$H126*SUMIF('KU-LGE Rating'!$R:$R,$D126,'KU-LGE Rating'!$F:$F)</f>
        <v>21346.27</v>
      </c>
      <c r="R126" s="256">
        <f>$H126*SUMIF('KU-LGE Rating'!$R:$R,$D126,'KU-LGE Rating'!$G:$G)</f>
        <v>0</v>
      </c>
      <c r="S126" s="257">
        <f t="shared" si="16"/>
        <v>21346.27</v>
      </c>
      <c r="T126" s="255">
        <f>$I126*SUMIF('KU-LGE Rating'!$R:$R,$D126,'KU-LGE Rating'!$F:$F)</f>
        <v>0</v>
      </c>
      <c r="U126" s="256">
        <f>$I126*SUMIF('KU-LGE Rating'!$R:$R,$D126,'KU-LGE Rating'!$G:$G)</f>
        <v>0</v>
      </c>
      <c r="V126" s="257">
        <f t="shared" si="17"/>
        <v>0</v>
      </c>
      <c r="W126" s="255">
        <f>$J126*SUMIF('KU-LGE Rating'!$R:$R,$D126,'KU-LGE Rating'!$F:$F)</f>
        <v>67021.77</v>
      </c>
      <c r="X126" s="256">
        <f>$J126*SUMIF('KU-LGE Rating'!$R:$R,$D126,'KU-LGE Rating'!$G:$G)</f>
        <v>0</v>
      </c>
      <c r="Y126" s="257">
        <f t="shared" si="18"/>
        <v>67021.77</v>
      </c>
      <c r="Z126" s="255">
        <f>$K126*SUMIF('KU-LGE Rating'!$R:$R,$D126,'KU-LGE Rating'!$F:$F)</f>
        <v>-492</v>
      </c>
      <c r="AA126" s="256">
        <f>$K126*SUMIF('KU-LGE Rating'!$R:$R,$D126,'KU-LGE Rating'!$G:$G)</f>
        <v>0</v>
      </c>
      <c r="AB126" s="257">
        <f t="shared" si="19"/>
        <v>-492</v>
      </c>
    </row>
    <row r="127" spans="1:28">
      <c r="A127" s="1" t="s">
        <v>2769</v>
      </c>
      <c r="B127" t="s">
        <v>3</v>
      </c>
      <c r="C127" t="s">
        <v>3723</v>
      </c>
      <c r="D127" t="s">
        <v>3731</v>
      </c>
      <c r="E127">
        <v>511100</v>
      </c>
      <c r="F127" t="s">
        <v>3893</v>
      </c>
      <c r="G127" s="288">
        <v>0</v>
      </c>
      <c r="H127" s="288">
        <v>6446.92</v>
      </c>
      <c r="I127" s="288">
        <v>0</v>
      </c>
      <c r="J127" s="288">
        <v>0</v>
      </c>
      <c r="K127" s="288">
        <v>2292.4</v>
      </c>
      <c r="L127" s="243">
        <f t="shared" si="14"/>
        <v>8739.32</v>
      </c>
      <c r="M127" s="243" t="str">
        <f t="shared" si="13"/>
        <v>511</v>
      </c>
      <c r="N127" s="255">
        <f>$G127*SUMIF('KU-LGE Rating'!$R:$R,$D127,'KU-LGE Rating'!F:F)</f>
        <v>0</v>
      </c>
      <c r="O127" s="256">
        <f>$G127*SUMIF('KU-LGE Rating'!$R:$R,$D127,'KU-LGE Rating'!G:G)</f>
        <v>0</v>
      </c>
      <c r="P127" s="257">
        <f t="shared" si="15"/>
        <v>0</v>
      </c>
      <c r="Q127" s="255">
        <f>$H127*SUMIF('KU-LGE Rating'!$R:$R,$D127,'KU-LGE Rating'!$F:$F)</f>
        <v>6446.92</v>
      </c>
      <c r="R127" s="256">
        <f>$H127*SUMIF('KU-LGE Rating'!$R:$R,$D127,'KU-LGE Rating'!$G:$G)</f>
        <v>0</v>
      </c>
      <c r="S127" s="257">
        <f t="shared" si="16"/>
        <v>6446.92</v>
      </c>
      <c r="T127" s="255">
        <f>$I127*SUMIF('KU-LGE Rating'!$R:$R,$D127,'KU-LGE Rating'!$F:$F)</f>
        <v>0</v>
      </c>
      <c r="U127" s="256">
        <f>$I127*SUMIF('KU-LGE Rating'!$R:$R,$D127,'KU-LGE Rating'!$G:$G)</f>
        <v>0</v>
      </c>
      <c r="V127" s="257">
        <f t="shared" si="17"/>
        <v>0</v>
      </c>
      <c r="W127" s="255">
        <f>$J127*SUMIF('KU-LGE Rating'!$R:$R,$D127,'KU-LGE Rating'!$F:$F)</f>
        <v>0</v>
      </c>
      <c r="X127" s="256">
        <f>$J127*SUMIF('KU-LGE Rating'!$R:$R,$D127,'KU-LGE Rating'!$G:$G)</f>
        <v>0</v>
      </c>
      <c r="Y127" s="257">
        <f t="shared" si="18"/>
        <v>0</v>
      </c>
      <c r="Z127" s="255">
        <f>$K127*SUMIF('KU-LGE Rating'!$R:$R,$D127,'KU-LGE Rating'!$F:$F)</f>
        <v>2292.4</v>
      </c>
      <c r="AA127" s="256">
        <f>$K127*SUMIF('KU-LGE Rating'!$R:$R,$D127,'KU-LGE Rating'!$G:$G)</f>
        <v>0</v>
      </c>
      <c r="AB127" s="257">
        <f t="shared" si="19"/>
        <v>2292.4</v>
      </c>
    </row>
    <row r="128" spans="1:28">
      <c r="A128" s="1" t="s">
        <v>2769</v>
      </c>
      <c r="B128" t="s">
        <v>3</v>
      </c>
      <c r="C128" t="s">
        <v>3723</v>
      </c>
      <c r="D128" t="s">
        <v>3731</v>
      </c>
      <c r="E128">
        <v>512011</v>
      </c>
      <c r="F128" t="s">
        <v>3893</v>
      </c>
      <c r="G128" s="288">
        <v>46658.87</v>
      </c>
      <c r="H128" s="288">
        <v>71387.53</v>
      </c>
      <c r="I128" s="288">
        <v>217.9</v>
      </c>
      <c r="J128" s="288">
        <v>142914.19</v>
      </c>
      <c r="K128" s="288">
        <v>32696.240000000002</v>
      </c>
      <c r="L128" s="243">
        <f t="shared" si="14"/>
        <v>247215.86</v>
      </c>
      <c r="M128" s="243" t="str">
        <f t="shared" si="13"/>
        <v>512</v>
      </c>
      <c r="N128" s="255">
        <f>$G128*SUMIF('KU-LGE Rating'!$R:$R,$D128,'KU-LGE Rating'!F:F)</f>
        <v>46658.87</v>
      </c>
      <c r="O128" s="256">
        <f>$G128*SUMIF('KU-LGE Rating'!$R:$R,$D128,'KU-LGE Rating'!G:G)</f>
        <v>0</v>
      </c>
      <c r="P128" s="257">
        <f t="shared" si="15"/>
        <v>46658.87</v>
      </c>
      <c r="Q128" s="255">
        <f>$H128*SUMIF('KU-LGE Rating'!$R:$R,$D128,'KU-LGE Rating'!$F:$F)</f>
        <v>71387.53</v>
      </c>
      <c r="R128" s="256">
        <f>$H128*SUMIF('KU-LGE Rating'!$R:$R,$D128,'KU-LGE Rating'!$G:$G)</f>
        <v>0</v>
      </c>
      <c r="S128" s="257">
        <f t="shared" si="16"/>
        <v>71387.53</v>
      </c>
      <c r="T128" s="255">
        <f>$I128*SUMIF('KU-LGE Rating'!$R:$R,$D128,'KU-LGE Rating'!$F:$F)</f>
        <v>217.9</v>
      </c>
      <c r="U128" s="256">
        <f>$I128*SUMIF('KU-LGE Rating'!$R:$R,$D128,'KU-LGE Rating'!$G:$G)</f>
        <v>0</v>
      </c>
      <c r="V128" s="257">
        <f t="shared" si="17"/>
        <v>217.9</v>
      </c>
      <c r="W128" s="255">
        <f>$J128*SUMIF('KU-LGE Rating'!$R:$R,$D128,'KU-LGE Rating'!$F:$F)</f>
        <v>142914.19</v>
      </c>
      <c r="X128" s="256">
        <f>$J128*SUMIF('KU-LGE Rating'!$R:$R,$D128,'KU-LGE Rating'!$G:$G)</f>
        <v>0</v>
      </c>
      <c r="Y128" s="257">
        <f t="shared" si="18"/>
        <v>142914.19</v>
      </c>
      <c r="Z128" s="255">
        <f>$K128*SUMIF('KU-LGE Rating'!$R:$R,$D128,'KU-LGE Rating'!$F:$F)</f>
        <v>32696.240000000002</v>
      </c>
      <c r="AA128" s="256">
        <f>$K128*SUMIF('KU-LGE Rating'!$R:$R,$D128,'KU-LGE Rating'!$G:$G)</f>
        <v>0</v>
      </c>
      <c r="AB128" s="257">
        <f t="shared" si="19"/>
        <v>32696.240000000002</v>
      </c>
    </row>
    <row r="129" spans="1:28">
      <c r="A129" s="1" t="s">
        <v>2769</v>
      </c>
      <c r="B129" t="s">
        <v>3</v>
      </c>
      <c r="C129" t="s">
        <v>3723</v>
      </c>
      <c r="D129" t="s">
        <v>3731</v>
      </c>
      <c r="E129">
        <v>512017</v>
      </c>
      <c r="F129" t="s">
        <v>3893</v>
      </c>
      <c r="G129" s="288">
        <v>201.19</v>
      </c>
      <c r="H129" s="288">
        <v>5770.36</v>
      </c>
      <c r="I129" s="288">
        <v>0</v>
      </c>
      <c r="J129" s="288">
        <v>89903.45</v>
      </c>
      <c r="K129" s="288">
        <v>61686.38</v>
      </c>
      <c r="L129" s="243">
        <f t="shared" si="14"/>
        <v>157360.19</v>
      </c>
      <c r="M129" s="243" t="str">
        <f t="shared" si="13"/>
        <v>512</v>
      </c>
      <c r="N129" s="255">
        <f>$G129*SUMIF('KU-LGE Rating'!$R:$R,$D129,'KU-LGE Rating'!F:F)</f>
        <v>201.19</v>
      </c>
      <c r="O129" s="256">
        <f>$G129*SUMIF('KU-LGE Rating'!$R:$R,$D129,'KU-LGE Rating'!G:G)</f>
        <v>0</v>
      </c>
      <c r="P129" s="257">
        <f t="shared" si="15"/>
        <v>201.19</v>
      </c>
      <c r="Q129" s="255">
        <f>$H129*SUMIF('KU-LGE Rating'!$R:$R,$D129,'KU-LGE Rating'!$F:$F)</f>
        <v>5770.36</v>
      </c>
      <c r="R129" s="256">
        <f>$H129*SUMIF('KU-LGE Rating'!$R:$R,$D129,'KU-LGE Rating'!$G:$G)</f>
        <v>0</v>
      </c>
      <c r="S129" s="257">
        <f t="shared" si="16"/>
        <v>5770.36</v>
      </c>
      <c r="T129" s="255">
        <f>$I129*SUMIF('KU-LGE Rating'!$R:$R,$D129,'KU-LGE Rating'!$F:$F)</f>
        <v>0</v>
      </c>
      <c r="U129" s="256">
        <f>$I129*SUMIF('KU-LGE Rating'!$R:$R,$D129,'KU-LGE Rating'!$G:$G)</f>
        <v>0</v>
      </c>
      <c r="V129" s="257">
        <f t="shared" si="17"/>
        <v>0</v>
      </c>
      <c r="W129" s="255">
        <f>$J129*SUMIF('KU-LGE Rating'!$R:$R,$D129,'KU-LGE Rating'!$F:$F)</f>
        <v>89903.45</v>
      </c>
      <c r="X129" s="256">
        <f>$J129*SUMIF('KU-LGE Rating'!$R:$R,$D129,'KU-LGE Rating'!$G:$G)</f>
        <v>0</v>
      </c>
      <c r="Y129" s="257">
        <f t="shared" si="18"/>
        <v>89903.45</v>
      </c>
      <c r="Z129" s="255">
        <f>$K129*SUMIF('KU-LGE Rating'!$R:$R,$D129,'KU-LGE Rating'!$F:$F)</f>
        <v>61686.38</v>
      </c>
      <c r="AA129" s="256">
        <f>$K129*SUMIF('KU-LGE Rating'!$R:$R,$D129,'KU-LGE Rating'!$G:$G)</f>
        <v>0</v>
      </c>
      <c r="AB129" s="257">
        <f t="shared" si="19"/>
        <v>61686.38</v>
      </c>
    </row>
    <row r="130" spans="1:28">
      <c r="A130" s="1" t="s">
        <v>2769</v>
      </c>
      <c r="B130" t="s">
        <v>3</v>
      </c>
      <c r="C130" t="s">
        <v>3723</v>
      </c>
      <c r="D130" t="s">
        <v>3731</v>
      </c>
      <c r="E130">
        <v>512100</v>
      </c>
      <c r="F130" t="s">
        <v>3893</v>
      </c>
      <c r="G130" s="288">
        <v>434310.19</v>
      </c>
      <c r="H130" s="288">
        <v>947243.33</v>
      </c>
      <c r="I130" s="288">
        <v>661.55</v>
      </c>
      <c r="J130" s="288">
        <v>540320.29</v>
      </c>
      <c r="K130" s="288">
        <v>117484.24</v>
      </c>
      <c r="L130" s="243">
        <f t="shared" si="14"/>
        <v>1605709.41</v>
      </c>
      <c r="M130" s="243" t="str">
        <f t="shared" si="13"/>
        <v>512</v>
      </c>
      <c r="N130" s="255">
        <f>$G130*SUMIF('KU-LGE Rating'!$R:$R,$D130,'KU-LGE Rating'!F:F)</f>
        <v>434310.19</v>
      </c>
      <c r="O130" s="256">
        <f>$G130*SUMIF('KU-LGE Rating'!$R:$R,$D130,'KU-LGE Rating'!G:G)</f>
        <v>0</v>
      </c>
      <c r="P130" s="257">
        <f t="shared" si="15"/>
        <v>434310.19</v>
      </c>
      <c r="Q130" s="255">
        <f>$H130*SUMIF('KU-LGE Rating'!$R:$R,$D130,'KU-LGE Rating'!$F:$F)</f>
        <v>947243.33</v>
      </c>
      <c r="R130" s="256">
        <f>$H130*SUMIF('KU-LGE Rating'!$R:$R,$D130,'KU-LGE Rating'!$G:$G)</f>
        <v>0</v>
      </c>
      <c r="S130" s="257">
        <f t="shared" si="16"/>
        <v>947243.33</v>
      </c>
      <c r="T130" s="255">
        <f>$I130*SUMIF('KU-LGE Rating'!$R:$R,$D130,'KU-LGE Rating'!$F:$F)</f>
        <v>661.55</v>
      </c>
      <c r="U130" s="256">
        <f>$I130*SUMIF('KU-LGE Rating'!$R:$R,$D130,'KU-LGE Rating'!$G:$G)</f>
        <v>0</v>
      </c>
      <c r="V130" s="257">
        <f t="shared" si="17"/>
        <v>661.55</v>
      </c>
      <c r="W130" s="255">
        <f>$J130*SUMIF('KU-LGE Rating'!$R:$R,$D130,'KU-LGE Rating'!$F:$F)</f>
        <v>540320.29</v>
      </c>
      <c r="X130" s="256">
        <f>$J130*SUMIF('KU-LGE Rating'!$R:$R,$D130,'KU-LGE Rating'!$G:$G)</f>
        <v>0</v>
      </c>
      <c r="Y130" s="257">
        <f t="shared" si="18"/>
        <v>540320.29</v>
      </c>
      <c r="Z130" s="255">
        <f>$K130*SUMIF('KU-LGE Rating'!$R:$R,$D130,'KU-LGE Rating'!$F:$F)</f>
        <v>117484.24</v>
      </c>
      <c r="AA130" s="256">
        <f>$K130*SUMIF('KU-LGE Rating'!$R:$R,$D130,'KU-LGE Rating'!$G:$G)</f>
        <v>0</v>
      </c>
      <c r="AB130" s="257">
        <f t="shared" si="19"/>
        <v>117484.24</v>
      </c>
    </row>
    <row r="131" spans="1:28">
      <c r="A131" s="1" t="s">
        <v>2769</v>
      </c>
      <c r="B131" t="s">
        <v>3</v>
      </c>
      <c r="C131" t="s">
        <v>3723</v>
      </c>
      <c r="D131" t="s">
        <v>3731</v>
      </c>
      <c r="E131">
        <v>513100</v>
      </c>
      <c r="F131" t="s">
        <v>3893</v>
      </c>
      <c r="G131" s="288">
        <v>54047.37</v>
      </c>
      <c r="H131" s="288">
        <v>524075.21</v>
      </c>
      <c r="I131" s="288">
        <v>240.52</v>
      </c>
      <c r="J131" s="288">
        <v>240829.68</v>
      </c>
      <c r="K131" s="288">
        <v>20823.88</v>
      </c>
      <c r="L131" s="243">
        <f t="shared" si="14"/>
        <v>785969.28999999992</v>
      </c>
      <c r="M131" s="243" t="str">
        <f t="shared" si="13"/>
        <v>513</v>
      </c>
      <c r="N131" s="255">
        <f>$G131*SUMIF('KU-LGE Rating'!$R:$R,$D131,'KU-LGE Rating'!F:F)</f>
        <v>54047.37</v>
      </c>
      <c r="O131" s="256">
        <f>$G131*SUMIF('KU-LGE Rating'!$R:$R,$D131,'KU-LGE Rating'!G:G)</f>
        <v>0</v>
      </c>
      <c r="P131" s="257">
        <f t="shared" si="15"/>
        <v>54047.37</v>
      </c>
      <c r="Q131" s="255">
        <f>$H131*SUMIF('KU-LGE Rating'!$R:$R,$D131,'KU-LGE Rating'!$F:$F)</f>
        <v>524075.21</v>
      </c>
      <c r="R131" s="256">
        <f>$H131*SUMIF('KU-LGE Rating'!$R:$R,$D131,'KU-LGE Rating'!$G:$G)</f>
        <v>0</v>
      </c>
      <c r="S131" s="257">
        <f t="shared" si="16"/>
        <v>524075.21</v>
      </c>
      <c r="T131" s="255">
        <f>$I131*SUMIF('KU-LGE Rating'!$R:$R,$D131,'KU-LGE Rating'!$F:$F)</f>
        <v>240.52</v>
      </c>
      <c r="U131" s="256">
        <f>$I131*SUMIF('KU-LGE Rating'!$R:$R,$D131,'KU-LGE Rating'!$G:$G)</f>
        <v>0</v>
      </c>
      <c r="V131" s="257">
        <f t="shared" si="17"/>
        <v>240.52</v>
      </c>
      <c r="W131" s="255">
        <f>$J131*SUMIF('KU-LGE Rating'!$R:$R,$D131,'KU-LGE Rating'!$F:$F)</f>
        <v>240829.68</v>
      </c>
      <c r="X131" s="256">
        <f>$J131*SUMIF('KU-LGE Rating'!$R:$R,$D131,'KU-LGE Rating'!$G:$G)</f>
        <v>0</v>
      </c>
      <c r="Y131" s="257">
        <f t="shared" si="18"/>
        <v>240829.68</v>
      </c>
      <c r="Z131" s="255">
        <f>$K131*SUMIF('KU-LGE Rating'!$R:$R,$D131,'KU-LGE Rating'!$F:$F)</f>
        <v>20823.88</v>
      </c>
      <c r="AA131" s="256">
        <f>$K131*SUMIF('KU-LGE Rating'!$R:$R,$D131,'KU-LGE Rating'!$G:$G)</f>
        <v>0</v>
      </c>
      <c r="AB131" s="257">
        <f t="shared" si="19"/>
        <v>20823.88</v>
      </c>
    </row>
    <row r="132" spans="1:28">
      <c r="A132" s="1" t="s">
        <v>2769</v>
      </c>
      <c r="B132" t="s">
        <v>3</v>
      </c>
      <c r="C132" t="s">
        <v>3723</v>
      </c>
      <c r="D132" t="s">
        <v>3748</v>
      </c>
      <c r="E132">
        <v>500100</v>
      </c>
      <c r="F132" t="s">
        <v>3893</v>
      </c>
      <c r="G132" s="288">
        <v>0</v>
      </c>
      <c r="H132" s="288">
        <v>0</v>
      </c>
      <c r="I132" s="288">
        <v>0</v>
      </c>
      <c r="J132" s="288">
        <v>0</v>
      </c>
      <c r="K132" s="288">
        <v>92783.19</v>
      </c>
      <c r="L132" s="243">
        <f t="shared" si="14"/>
        <v>92783.19</v>
      </c>
      <c r="M132" s="243" t="str">
        <f t="shared" ref="M132:M143" si="20">LEFT(E132,3)</f>
        <v>500</v>
      </c>
      <c r="N132" s="255">
        <f>$G132*SUMIF('KU-LGE Rating'!$R:$R,$D132,'KU-LGE Rating'!F:F)</f>
        <v>0</v>
      </c>
      <c r="O132" s="256">
        <f>$G132*SUMIF('KU-LGE Rating'!$R:$R,$D132,'KU-LGE Rating'!G:G)</f>
        <v>0</v>
      </c>
      <c r="P132" s="257">
        <f t="shared" si="15"/>
        <v>0</v>
      </c>
      <c r="Q132" s="255">
        <f>$H132*SUMIF('KU-LGE Rating'!$R:$R,$D132,'KU-LGE Rating'!$F:$F)</f>
        <v>0</v>
      </c>
      <c r="R132" s="256">
        <f>$H132*SUMIF('KU-LGE Rating'!$R:$R,$D132,'KU-LGE Rating'!$G:$G)</f>
        <v>0</v>
      </c>
      <c r="S132" s="257">
        <f t="shared" si="16"/>
        <v>0</v>
      </c>
      <c r="T132" s="255">
        <f>$I132*SUMIF('KU-LGE Rating'!$R:$R,$D132,'KU-LGE Rating'!$F:$F)</f>
        <v>0</v>
      </c>
      <c r="U132" s="256">
        <f>$I132*SUMIF('KU-LGE Rating'!$R:$R,$D132,'KU-LGE Rating'!$G:$G)</f>
        <v>0</v>
      </c>
      <c r="V132" s="257">
        <f t="shared" si="17"/>
        <v>0</v>
      </c>
      <c r="W132" s="255">
        <f>$J132*SUMIF('KU-LGE Rating'!$R:$R,$D132,'KU-LGE Rating'!$F:$F)</f>
        <v>0</v>
      </c>
      <c r="X132" s="256">
        <f>$J132*SUMIF('KU-LGE Rating'!$R:$R,$D132,'KU-LGE Rating'!$G:$G)</f>
        <v>0</v>
      </c>
      <c r="Y132" s="257">
        <f t="shared" si="18"/>
        <v>0</v>
      </c>
      <c r="Z132" s="255">
        <f>$K132*SUMIF('KU-LGE Rating'!$R:$R,$D132,'KU-LGE Rating'!$F:$F)</f>
        <v>92783.19</v>
      </c>
      <c r="AA132" s="256">
        <f>$K132*SUMIF('KU-LGE Rating'!$R:$R,$D132,'KU-LGE Rating'!$G:$G)</f>
        <v>0</v>
      </c>
      <c r="AB132" s="257">
        <f t="shared" si="19"/>
        <v>92783.19</v>
      </c>
    </row>
    <row r="133" spans="1:28">
      <c r="A133" s="1" t="s">
        <v>2769</v>
      </c>
      <c r="B133" t="s">
        <v>3</v>
      </c>
      <c r="C133" t="s">
        <v>3723</v>
      </c>
      <c r="D133" t="s">
        <v>3748</v>
      </c>
      <c r="E133">
        <v>510100</v>
      </c>
      <c r="F133" t="s">
        <v>3893</v>
      </c>
      <c r="G133" s="288">
        <v>193757.89</v>
      </c>
      <c r="H133" s="288">
        <v>0</v>
      </c>
      <c r="I133" s="288">
        <v>0</v>
      </c>
      <c r="J133" s="288">
        <v>0</v>
      </c>
      <c r="K133" s="288">
        <v>0</v>
      </c>
      <c r="L133" s="243">
        <f t="shared" si="14"/>
        <v>0</v>
      </c>
      <c r="M133" s="243" t="str">
        <f t="shared" si="20"/>
        <v>510</v>
      </c>
      <c r="N133" s="255">
        <f>$G133*SUMIF('KU-LGE Rating'!$R:$R,$D133,'KU-LGE Rating'!F:F)</f>
        <v>193757.89</v>
      </c>
      <c r="O133" s="256">
        <f>$G133*SUMIF('KU-LGE Rating'!$R:$R,$D133,'KU-LGE Rating'!G:G)</f>
        <v>0</v>
      </c>
      <c r="P133" s="257">
        <f t="shared" si="15"/>
        <v>193757.89</v>
      </c>
      <c r="Q133" s="255">
        <f>$H133*SUMIF('KU-LGE Rating'!$R:$R,$D133,'KU-LGE Rating'!$F:$F)</f>
        <v>0</v>
      </c>
      <c r="R133" s="256">
        <f>$H133*SUMIF('KU-LGE Rating'!$R:$R,$D133,'KU-LGE Rating'!$G:$G)</f>
        <v>0</v>
      </c>
      <c r="S133" s="257">
        <f t="shared" si="16"/>
        <v>0</v>
      </c>
      <c r="T133" s="255">
        <f>$I133*SUMIF('KU-LGE Rating'!$R:$R,$D133,'KU-LGE Rating'!$F:$F)</f>
        <v>0</v>
      </c>
      <c r="U133" s="256">
        <f>$I133*SUMIF('KU-LGE Rating'!$R:$R,$D133,'KU-LGE Rating'!$G:$G)</f>
        <v>0</v>
      </c>
      <c r="V133" s="257">
        <f t="shared" si="17"/>
        <v>0</v>
      </c>
      <c r="W133" s="255">
        <f>$J133*SUMIF('KU-LGE Rating'!$R:$R,$D133,'KU-LGE Rating'!$F:$F)</f>
        <v>0</v>
      </c>
      <c r="X133" s="256">
        <f>$J133*SUMIF('KU-LGE Rating'!$R:$R,$D133,'KU-LGE Rating'!$G:$G)</f>
        <v>0</v>
      </c>
      <c r="Y133" s="257">
        <f t="shared" si="18"/>
        <v>0</v>
      </c>
      <c r="Z133" s="255">
        <f>$K133*SUMIF('KU-LGE Rating'!$R:$R,$D133,'KU-LGE Rating'!$F:$F)</f>
        <v>0</v>
      </c>
      <c r="AA133" s="256">
        <f>$K133*SUMIF('KU-LGE Rating'!$R:$R,$D133,'KU-LGE Rating'!$G:$G)</f>
        <v>0</v>
      </c>
      <c r="AB133" s="257">
        <f t="shared" si="19"/>
        <v>0</v>
      </c>
    </row>
    <row r="134" spans="1:28">
      <c r="A134" s="1" t="s">
        <v>2769</v>
      </c>
      <c r="B134" t="s">
        <v>3</v>
      </c>
      <c r="C134" t="s">
        <v>3723</v>
      </c>
      <c r="D134" t="s">
        <v>3748</v>
      </c>
      <c r="E134">
        <v>511100</v>
      </c>
      <c r="F134" t="s">
        <v>3893</v>
      </c>
      <c r="G134" s="288">
        <v>108.96</v>
      </c>
      <c r="H134" s="288">
        <v>0</v>
      </c>
      <c r="I134" s="288">
        <v>104.01</v>
      </c>
      <c r="J134" s="288">
        <v>219.43</v>
      </c>
      <c r="K134" s="288">
        <v>25913.14</v>
      </c>
      <c r="L134" s="243">
        <f t="shared" si="14"/>
        <v>26236.579999999998</v>
      </c>
      <c r="M134" s="243" t="str">
        <f t="shared" si="20"/>
        <v>511</v>
      </c>
      <c r="N134" s="255">
        <f>$G134*SUMIF('KU-LGE Rating'!$R:$R,$D134,'KU-LGE Rating'!F:F)</f>
        <v>108.96</v>
      </c>
      <c r="O134" s="256">
        <f>$G134*SUMIF('KU-LGE Rating'!$R:$R,$D134,'KU-LGE Rating'!G:G)</f>
        <v>0</v>
      </c>
      <c r="P134" s="257">
        <f t="shared" si="15"/>
        <v>108.96</v>
      </c>
      <c r="Q134" s="255">
        <f>$H134*SUMIF('KU-LGE Rating'!$R:$R,$D134,'KU-LGE Rating'!$F:$F)</f>
        <v>0</v>
      </c>
      <c r="R134" s="256">
        <f>$H134*SUMIF('KU-LGE Rating'!$R:$R,$D134,'KU-LGE Rating'!$G:$G)</f>
        <v>0</v>
      </c>
      <c r="S134" s="257">
        <f t="shared" si="16"/>
        <v>0</v>
      </c>
      <c r="T134" s="255">
        <f>$I134*SUMIF('KU-LGE Rating'!$R:$R,$D134,'KU-LGE Rating'!$F:$F)</f>
        <v>104.01</v>
      </c>
      <c r="U134" s="256">
        <f>$I134*SUMIF('KU-LGE Rating'!$R:$R,$D134,'KU-LGE Rating'!$G:$G)</f>
        <v>0</v>
      </c>
      <c r="V134" s="257">
        <f t="shared" si="17"/>
        <v>104.01</v>
      </c>
      <c r="W134" s="255">
        <f>$J134*SUMIF('KU-LGE Rating'!$R:$R,$D134,'KU-LGE Rating'!$F:$F)</f>
        <v>219.43</v>
      </c>
      <c r="X134" s="256">
        <f>$J134*SUMIF('KU-LGE Rating'!$R:$R,$D134,'KU-LGE Rating'!$G:$G)</f>
        <v>0</v>
      </c>
      <c r="Y134" s="257">
        <f t="shared" si="18"/>
        <v>219.43</v>
      </c>
      <c r="Z134" s="255">
        <f>$K134*SUMIF('KU-LGE Rating'!$R:$R,$D134,'KU-LGE Rating'!$F:$F)</f>
        <v>25913.14</v>
      </c>
      <c r="AA134" s="256">
        <f>$K134*SUMIF('KU-LGE Rating'!$R:$R,$D134,'KU-LGE Rating'!$G:$G)</f>
        <v>0</v>
      </c>
      <c r="AB134" s="257">
        <f t="shared" si="19"/>
        <v>25913.14</v>
      </c>
    </row>
    <row r="135" spans="1:28">
      <c r="A135" s="1" t="s">
        <v>2769</v>
      </c>
      <c r="B135" t="s">
        <v>3</v>
      </c>
      <c r="C135" t="s">
        <v>3723</v>
      </c>
      <c r="D135" t="s">
        <v>3748</v>
      </c>
      <c r="E135">
        <v>512011</v>
      </c>
      <c r="F135" t="s">
        <v>3893</v>
      </c>
      <c r="G135" s="288">
        <v>24717.39</v>
      </c>
      <c r="H135" s="288">
        <v>49500.12</v>
      </c>
      <c r="I135" s="288">
        <v>46576.480000000003</v>
      </c>
      <c r="J135" s="288">
        <v>42659.59</v>
      </c>
      <c r="K135" s="288">
        <v>58597.22</v>
      </c>
      <c r="L135" s="243">
        <f t="shared" si="14"/>
        <v>197333.41</v>
      </c>
      <c r="M135" s="243" t="str">
        <f t="shared" si="20"/>
        <v>512</v>
      </c>
      <c r="N135" s="255">
        <f>$G135*SUMIF('KU-LGE Rating'!$R:$R,$D135,'KU-LGE Rating'!F:F)</f>
        <v>24717.39</v>
      </c>
      <c r="O135" s="256">
        <f>$G135*SUMIF('KU-LGE Rating'!$R:$R,$D135,'KU-LGE Rating'!G:G)</f>
        <v>0</v>
      </c>
      <c r="P135" s="257">
        <f t="shared" si="15"/>
        <v>24717.39</v>
      </c>
      <c r="Q135" s="255">
        <f>$H135*SUMIF('KU-LGE Rating'!$R:$R,$D135,'KU-LGE Rating'!$F:$F)</f>
        <v>49500.12</v>
      </c>
      <c r="R135" s="256">
        <f>$H135*SUMIF('KU-LGE Rating'!$R:$R,$D135,'KU-LGE Rating'!$G:$G)</f>
        <v>0</v>
      </c>
      <c r="S135" s="257">
        <f t="shared" si="16"/>
        <v>49500.12</v>
      </c>
      <c r="T135" s="255">
        <f>$I135*SUMIF('KU-LGE Rating'!$R:$R,$D135,'KU-LGE Rating'!$F:$F)</f>
        <v>46576.480000000003</v>
      </c>
      <c r="U135" s="256">
        <f>$I135*SUMIF('KU-LGE Rating'!$R:$R,$D135,'KU-LGE Rating'!$G:$G)</f>
        <v>0</v>
      </c>
      <c r="V135" s="257">
        <f t="shared" si="17"/>
        <v>46576.480000000003</v>
      </c>
      <c r="W135" s="255">
        <f>$J135*SUMIF('KU-LGE Rating'!$R:$R,$D135,'KU-LGE Rating'!$F:$F)</f>
        <v>42659.59</v>
      </c>
      <c r="X135" s="256">
        <f>$J135*SUMIF('KU-LGE Rating'!$R:$R,$D135,'KU-LGE Rating'!$G:$G)</f>
        <v>0</v>
      </c>
      <c r="Y135" s="257">
        <f t="shared" si="18"/>
        <v>42659.59</v>
      </c>
      <c r="Z135" s="255">
        <f>$K135*SUMIF('KU-LGE Rating'!$R:$R,$D135,'KU-LGE Rating'!$F:$F)</f>
        <v>58597.22</v>
      </c>
      <c r="AA135" s="256">
        <f>$K135*SUMIF('KU-LGE Rating'!$R:$R,$D135,'KU-LGE Rating'!$G:$G)</f>
        <v>0</v>
      </c>
      <c r="AB135" s="257">
        <f t="shared" si="19"/>
        <v>58597.22</v>
      </c>
    </row>
    <row r="136" spans="1:28">
      <c r="A136" s="1" t="s">
        <v>2769</v>
      </c>
      <c r="B136" t="s">
        <v>3</v>
      </c>
      <c r="C136" t="s">
        <v>3723</v>
      </c>
      <c r="D136" t="s">
        <v>3748</v>
      </c>
      <c r="E136">
        <v>512017</v>
      </c>
      <c r="F136" t="s">
        <v>3893</v>
      </c>
      <c r="G136" s="288">
        <v>34943.79</v>
      </c>
      <c r="H136" s="288">
        <v>1804.76</v>
      </c>
      <c r="I136" s="288">
        <v>7017.33</v>
      </c>
      <c r="J136" s="288">
        <v>11616.52</v>
      </c>
      <c r="K136" s="288">
        <v>3559.56</v>
      </c>
      <c r="L136" s="243">
        <f t="shared" si="14"/>
        <v>23998.170000000002</v>
      </c>
      <c r="M136" s="243" t="str">
        <f t="shared" si="20"/>
        <v>512</v>
      </c>
      <c r="N136" s="255">
        <f>$G136*SUMIF('KU-LGE Rating'!$R:$R,$D136,'KU-LGE Rating'!F:F)</f>
        <v>34943.79</v>
      </c>
      <c r="O136" s="256">
        <f>$G136*SUMIF('KU-LGE Rating'!$R:$R,$D136,'KU-LGE Rating'!G:G)</f>
        <v>0</v>
      </c>
      <c r="P136" s="257">
        <f t="shared" si="15"/>
        <v>34943.79</v>
      </c>
      <c r="Q136" s="255">
        <f>$H136*SUMIF('KU-LGE Rating'!$R:$R,$D136,'KU-LGE Rating'!$F:$F)</f>
        <v>1804.76</v>
      </c>
      <c r="R136" s="256">
        <f>$H136*SUMIF('KU-LGE Rating'!$R:$R,$D136,'KU-LGE Rating'!$G:$G)</f>
        <v>0</v>
      </c>
      <c r="S136" s="257">
        <f t="shared" si="16"/>
        <v>1804.76</v>
      </c>
      <c r="T136" s="255">
        <f>$I136*SUMIF('KU-LGE Rating'!$R:$R,$D136,'KU-LGE Rating'!$F:$F)</f>
        <v>7017.33</v>
      </c>
      <c r="U136" s="256">
        <f>$I136*SUMIF('KU-LGE Rating'!$R:$R,$D136,'KU-LGE Rating'!$G:$G)</f>
        <v>0</v>
      </c>
      <c r="V136" s="257">
        <f t="shared" si="17"/>
        <v>7017.33</v>
      </c>
      <c r="W136" s="255">
        <f>$J136*SUMIF('KU-LGE Rating'!$R:$R,$D136,'KU-LGE Rating'!$F:$F)</f>
        <v>11616.52</v>
      </c>
      <c r="X136" s="256">
        <f>$J136*SUMIF('KU-LGE Rating'!$R:$R,$D136,'KU-LGE Rating'!$G:$G)</f>
        <v>0</v>
      </c>
      <c r="Y136" s="257">
        <f t="shared" si="18"/>
        <v>11616.52</v>
      </c>
      <c r="Z136" s="255">
        <f>$K136*SUMIF('KU-LGE Rating'!$R:$R,$D136,'KU-LGE Rating'!$F:$F)</f>
        <v>3559.56</v>
      </c>
      <c r="AA136" s="256">
        <f>$K136*SUMIF('KU-LGE Rating'!$R:$R,$D136,'KU-LGE Rating'!$G:$G)</f>
        <v>0</v>
      </c>
      <c r="AB136" s="257">
        <f t="shared" si="19"/>
        <v>3559.56</v>
      </c>
    </row>
    <row r="137" spans="1:28">
      <c r="A137" s="1" t="s">
        <v>2769</v>
      </c>
      <c r="B137" t="s">
        <v>3</v>
      </c>
      <c r="C137" t="s">
        <v>3723</v>
      </c>
      <c r="D137" t="s">
        <v>3748</v>
      </c>
      <c r="E137">
        <v>512100</v>
      </c>
      <c r="F137" t="s">
        <v>3893</v>
      </c>
      <c r="G137" s="288">
        <v>438050.59</v>
      </c>
      <c r="H137" s="288">
        <v>113270.18</v>
      </c>
      <c r="I137" s="288">
        <v>1113663.21</v>
      </c>
      <c r="J137" s="288">
        <v>284385.96000000002</v>
      </c>
      <c r="K137" s="288">
        <v>882924.57</v>
      </c>
      <c r="L137" s="243">
        <f t="shared" si="14"/>
        <v>2394243.92</v>
      </c>
      <c r="M137" s="243" t="str">
        <f t="shared" si="20"/>
        <v>512</v>
      </c>
      <c r="N137" s="255">
        <f>$G137*SUMIF('KU-LGE Rating'!$R:$R,$D137,'KU-LGE Rating'!F:F)</f>
        <v>438050.59</v>
      </c>
      <c r="O137" s="256">
        <f>$G137*SUMIF('KU-LGE Rating'!$R:$R,$D137,'KU-LGE Rating'!G:G)</f>
        <v>0</v>
      </c>
      <c r="P137" s="257">
        <f t="shared" si="15"/>
        <v>438050.59</v>
      </c>
      <c r="Q137" s="255">
        <f>$H137*SUMIF('KU-LGE Rating'!$R:$R,$D137,'KU-LGE Rating'!$F:$F)</f>
        <v>113270.18</v>
      </c>
      <c r="R137" s="256">
        <f>$H137*SUMIF('KU-LGE Rating'!$R:$R,$D137,'KU-LGE Rating'!$G:$G)</f>
        <v>0</v>
      </c>
      <c r="S137" s="257">
        <f t="shared" si="16"/>
        <v>113270.18</v>
      </c>
      <c r="T137" s="255">
        <f>$I137*SUMIF('KU-LGE Rating'!$R:$R,$D137,'KU-LGE Rating'!$F:$F)</f>
        <v>1113663.21</v>
      </c>
      <c r="U137" s="256">
        <f>$I137*SUMIF('KU-LGE Rating'!$R:$R,$D137,'KU-LGE Rating'!$G:$G)</f>
        <v>0</v>
      </c>
      <c r="V137" s="257">
        <f t="shared" si="17"/>
        <v>1113663.21</v>
      </c>
      <c r="W137" s="255">
        <f>$J137*SUMIF('KU-LGE Rating'!$R:$R,$D137,'KU-LGE Rating'!$F:$F)</f>
        <v>284385.96000000002</v>
      </c>
      <c r="X137" s="256">
        <f>$J137*SUMIF('KU-LGE Rating'!$R:$R,$D137,'KU-LGE Rating'!$G:$G)</f>
        <v>0</v>
      </c>
      <c r="Y137" s="257">
        <f t="shared" si="18"/>
        <v>284385.96000000002</v>
      </c>
      <c r="Z137" s="255">
        <f>$K137*SUMIF('KU-LGE Rating'!$R:$R,$D137,'KU-LGE Rating'!$F:$F)</f>
        <v>882924.57</v>
      </c>
      <c r="AA137" s="256">
        <f>$K137*SUMIF('KU-LGE Rating'!$R:$R,$D137,'KU-LGE Rating'!$G:$G)</f>
        <v>0</v>
      </c>
      <c r="AB137" s="257">
        <f t="shared" si="19"/>
        <v>882924.57</v>
      </c>
    </row>
    <row r="138" spans="1:28">
      <c r="A138" s="1" t="s">
        <v>2769</v>
      </c>
      <c r="B138" t="s">
        <v>3</v>
      </c>
      <c r="C138" t="s">
        <v>3723</v>
      </c>
      <c r="D138" t="s">
        <v>3748</v>
      </c>
      <c r="E138">
        <v>513100</v>
      </c>
      <c r="F138" t="s">
        <v>3893</v>
      </c>
      <c r="G138" s="288">
        <v>87640.38</v>
      </c>
      <c r="H138" s="288">
        <v>75313.929999999993</v>
      </c>
      <c r="I138" s="288">
        <v>280137.93</v>
      </c>
      <c r="J138" s="288">
        <v>20132.03</v>
      </c>
      <c r="K138" s="288">
        <v>83184.929999999993</v>
      </c>
      <c r="L138" s="243">
        <f t="shared" si="14"/>
        <v>458768.82</v>
      </c>
      <c r="M138" s="243" t="str">
        <f t="shared" si="20"/>
        <v>513</v>
      </c>
      <c r="N138" s="255">
        <f>$G138*SUMIF('KU-LGE Rating'!$R:$R,$D138,'KU-LGE Rating'!F:F)</f>
        <v>87640.38</v>
      </c>
      <c r="O138" s="256">
        <f>$G138*SUMIF('KU-LGE Rating'!$R:$R,$D138,'KU-LGE Rating'!G:G)</f>
        <v>0</v>
      </c>
      <c r="P138" s="257">
        <f t="shared" si="15"/>
        <v>87640.38</v>
      </c>
      <c r="Q138" s="255">
        <f>$H138*SUMIF('KU-LGE Rating'!$R:$R,$D138,'KU-LGE Rating'!$F:$F)</f>
        <v>75313.929999999993</v>
      </c>
      <c r="R138" s="256">
        <f>$H138*SUMIF('KU-LGE Rating'!$R:$R,$D138,'KU-LGE Rating'!$G:$G)</f>
        <v>0</v>
      </c>
      <c r="S138" s="257">
        <f t="shared" si="16"/>
        <v>75313.929999999993</v>
      </c>
      <c r="T138" s="255">
        <f>$I138*SUMIF('KU-LGE Rating'!$R:$R,$D138,'KU-LGE Rating'!$F:$F)</f>
        <v>280137.93</v>
      </c>
      <c r="U138" s="256">
        <f>$I138*SUMIF('KU-LGE Rating'!$R:$R,$D138,'KU-LGE Rating'!$G:$G)</f>
        <v>0</v>
      </c>
      <c r="V138" s="257">
        <f t="shared" si="17"/>
        <v>280137.93</v>
      </c>
      <c r="W138" s="255">
        <f>$J138*SUMIF('KU-LGE Rating'!$R:$R,$D138,'KU-LGE Rating'!$F:$F)</f>
        <v>20132.03</v>
      </c>
      <c r="X138" s="256">
        <f>$J138*SUMIF('KU-LGE Rating'!$R:$R,$D138,'KU-LGE Rating'!$G:$G)</f>
        <v>0</v>
      </c>
      <c r="Y138" s="257">
        <f t="shared" si="18"/>
        <v>20132.03</v>
      </c>
      <c r="Z138" s="255">
        <f>$K138*SUMIF('KU-LGE Rating'!$R:$R,$D138,'KU-LGE Rating'!$F:$F)</f>
        <v>83184.929999999993</v>
      </c>
      <c r="AA138" s="256">
        <f>$K138*SUMIF('KU-LGE Rating'!$R:$R,$D138,'KU-LGE Rating'!$G:$G)</f>
        <v>0</v>
      </c>
      <c r="AB138" s="257">
        <f t="shared" si="19"/>
        <v>83184.929999999993</v>
      </c>
    </row>
    <row r="139" spans="1:28">
      <c r="A139" s="1" t="s">
        <v>2769</v>
      </c>
      <c r="B139" t="s">
        <v>3</v>
      </c>
      <c r="C139" t="s">
        <v>3723</v>
      </c>
      <c r="D139" t="s">
        <v>3748</v>
      </c>
      <c r="E139">
        <v>514100</v>
      </c>
      <c r="F139" t="s">
        <v>3893</v>
      </c>
      <c r="G139" s="288">
        <v>34527.379999999997</v>
      </c>
      <c r="H139" s="288">
        <v>0</v>
      </c>
      <c r="I139" s="288">
        <v>526801.12</v>
      </c>
      <c r="J139" s="288">
        <v>0</v>
      </c>
      <c r="K139" s="288">
        <v>18167.810000000001</v>
      </c>
      <c r="L139" s="243">
        <f t="shared" si="14"/>
        <v>544968.93000000005</v>
      </c>
      <c r="M139" s="243" t="str">
        <f t="shared" si="20"/>
        <v>514</v>
      </c>
      <c r="N139" s="255">
        <f>$G139*SUMIF('KU-LGE Rating'!$R:$R,$D139,'KU-LGE Rating'!F:F)</f>
        <v>34527.379999999997</v>
      </c>
      <c r="O139" s="256">
        <f>$G139*SUMIF('KU-LGE Rating'!$R:$R,$D139,'KU-LGE Rating'!G:G)</f>
        <v>0</v>
      </c>
      <c r="P139" s="257">
        <f t="shared" si="15"/>
        <v>34527.379999999997</v>
      </c>
      <c r="Q139" s="255">
        <f>$H139*SUMIF('KU-LGE Rating'!$R:$R,$D139,'KU-LGE Rating'!$F:$F)</f>
        <v>0</v>
      </c>
      <c r="R139" s="256">
        <f>$H139*SUMIF('KU-LGE Rating'!$R:$R,$D139,'KU-LGE Rating'!$G:$G)</f>
        <v>0</v>
      </c>
      <c r="S139" s="257">
        <f t="shared" si="16"/>
        <v>0</v>
      </c>
      <c r="T139" s="255">
        <f>$I139*SUMIF('KU-LGE Rating'!$R:$R,$D139,'KU-LGE Rating'!$F:$F)</f>
        <v>526801.12</v>
      </c>
      <c r="U139" s="256">
        <f>$I139*SUMIF('KU-LGE Rating'!$R:$R,$D139,'KU-LGE Rating'!$G:$G)</f>
        <v>0</v>
      </c>
      <c r="V139" s="257">
        <f t="shared" si="17"/>
        <v>526801.12</v>
      </c>
      <c r="W139" s="255">
        <f>$J139*SUMIF('KU-LGE Rating'!$R:$R,$D139,'KU-LGE Rating'!$F:$F)</f>
        <v>0</v>
      </c>
      <c r="X139" s="256">
        <f>$J139*SUMIF('KU-LGE Rating'!$R:$R,$D139,'KU-LGE Rating'!$G:$G)</f>
        <v>0</v>
      </c>
      <c r="Y139" s="257">
        <f t="shared" si="18"/>
        <v>0</v>
      </c>
      <c r="Z139" s="255">
        <f>$K139*SUMIF('KU-LGE Rating'!$R:$R,$D139,'KU-LGE Rating'!$F:$F)</f>
        <v>18167.810000000001</v>
      </c>
      <c r="AA139" s="256">
        <f>$K139*SUMIF('KU-LGE Rating'!$R:$R,$D139,'KU-LGE Rating'!$G:$G)</f>
        <v>0</v>
      </c>
      <c r="AB139" s="257">
        <f t="shared" si="19"/>
        <v>18167.810000000001</v>
      </c>
    </row>
    <row r="140" spans="1:28">
      <c r="A140" s="1" t="s">
        <v>2769</v>
      </c>
      <c r="B140" t="s">
        <v>3</v>
      </c>
      <c r="C140" t="s">
        <v>3723</v>
      </c>
      <c r="D140" t="s">
        <v>3749</v>
      </c>
      <c r="E140">
        <v>553100</v>
      </c>
      <c r="F140" t="s">
        <v>3893</v>
      </c>
      <c r="G140" s="288">
        <v>28235.98</v>
      </c>
      <c r="H140" s="288">
        <v>39648.21</v>
      </c>
      <c r="I140" s="288">
        <v>2817</v>
      </c>
      <c r="J140" s="288">
        <v>2212</v>
      </c>
      <c r="K140" s="288">
        <v>6941.42</v>
      </c>
      <c r="L140" s="243">
        <f t="shared" si="14"/>
        <v>51618.63</v>
      </c>
      <c r="M140" s="243" t="str">
        <f t="shared" si="20"/>
        <v>553</v>
      </c>
      <c r="N140" s="255">
        <f>$G140*SUMIF('KU-LGE Rating'!$R:$R,$D140,'KU-LGE Rating'!F:F)</f>
        <v>28235.98</v>
      </c>
      <c r="O140" s="256">
        <f>$G140*SUMIF('KU-LGE Rating'!$R:$R,$D140,'KU-LGE Rating'!G:G)</f>
        <v>0</v>
      </c>
      <c r="P140" s="257">
        <f t="shared" si="15"/>
        <v>28235.98</v>
      </c>
      <c r="Q140" s="255">
        <f>$H140*SUMIF('KU-LGE Rating'!$R:$R,$D140,'KU-LGE Rating'!$F:$F)</f>
        <v>39648.21</v>
      </c>
      <c r="R140" s="256">
        <f>$H140*SUMIF('KU-LGE Rating'!$R:$R,$D140,'KU-LGE Rating'!$G:$G)</f>
        <v>0</v>
      </c>
      <c r="S140" s="257">
        <f t="shared" si="16"/>
        <v>39648.21</v>
      </c>
      <c r="T140" s="255">
        <f>$I140*SUMIF('KU-LGE Rating'!$R:$R,$D140,'KU-LGE Rating'!$F:$F)</f>
        <v>2817</v>
      </c>
      <c r="U140" s="256">
        <f>$I140*SUMIF('KU-LGE Rating'!$R:$R,$D140,'KU-LGE Rating'!$G:$G)</f>
        <v>0</v>
      </c>
      <c r="V140" s="257">
        <f t="shared" si="17"/>
        <v>2817</v>
      </c>
      <c r="W140" s="255">
        <f>$J140*SUMIF('KU-LGE Rating'!$R:$R,$D140,'KU-LGE Rating'!$F:$F)</f>
        <v>2212</v>
      </c>
      <c r="X140" s="256">
        <f>$J140*SUMIF('KU-LGE Rating'!$R:$R,$D140,'KU-LGE Rating'!$G:$G)</f>
        <v>0</v>
      </c>
      <c r="Y140" s="257">
        <f t="shared" si="18"/>
        <v>2212</v>
      </c>
      <c r="Z140" s="255">
        <f>$K140*SUMIF('KU-LGE Rating'!$R:$R,$D140,'KU-LGE Rating'!$F:$F)</f>
        <v>6941.42</v>
      </c>
      <c r="AA140" s="256">
        <f>$K140*SUMIF('KU-LGE Rating'!$R:$R,$D140,'KU-LGE Rating'!$G:$G)</f>
        <v>0</v>
      </c>
      <c r="AB140" s="257">
        <f t="shared" si="19"/>
        <v>6941.42</v>
      </c>
    </row>
    <row r="141" spans="1:28">
      <c r="A141" s="1" t="s">
        <v>2769</v>
      </c>
      <c r="B141" t="s">
        <v>3</v>
      </c>
      <c r="C141" t="s">
        <v>3723</v>
      </c>
      <c r="D141" t="s">
        <v>3750</v>
      </c>
      <c r="E141">
        <v>553100</v>
      </c>
      <c r="F141" t="s">
        <v>3893</v>
      </c>
      <c r="G141" s="288">
        <v>19446.98</v>
      </c>
      <c r="H141" s="288">
        <v>45290.080000000002</v>
      </c>
      <c r="I141" s="288">
        <v>2816.5</v>
      </c>
      <c r="J141" s="288">
        <v>0</v>
      </c>
      <c r="K141" s="288">
        <v>6941.42</v>
      </c>
      <c r="L141" s="243">
        <f t="shared" si="14"/>
        <v>55048</v>
      </c>
      <c r="M141" s="243" t="str">
        <f t="shared" si="20"/>
        <v>553</v>
      </c>
      <c r="N141" s="255">
        <f>$G141*SUMIF('KU-LGE Rating'!$R:$R,$D141,'KU-LGE Rating'!F:F)</f>
        <v>19446.98</v>
      </c>
      <c r="O141" s="256">
        <f>$G141*SUMIF('KU-LGE Rating'!$R:$R,$D141,'KU-LGE Rating'!G:G)</f>
        <v>0</v>
      </c>
      <c r="P141" s="257">
        <f t="shared" si="15"/>
        <v>19446.98</v>
      </c>
      <c r="Q141" s="255">
        <f>$H141*SUMIF('KU-LGE Rating'!$R:$R,$D141,'KU-LGE Rating'!$F:$F)</f>
        <v>45290.080000000002</v>
      </c>
      <c r="R141" s="256">
        <f>$H141*SUMIF('KU-LGE Rating'!$R:$R,$D141,'KU-LGE Rating'!$G:$G)</f>
        <v>0</v>
      </c>
      <c r="S141" s="257">
        <f t="shared" si="16"/>
        <v>45290.080000000002</v>
      </c>
      <c r="T141" s="255">
        <f>$I141*SUMIF('KU-LGE Rating'!$R:$R,$D141,'KU-LGE Rating'!$F:$F)</f>
        <v>2816.5</v>
      </c>
      <c r="U141" s="256">
        <f>$I141*SUMIF('KU-LGE Rating'!$R:$R,$D141,'KU-LGE Rating'!$G:$G)</f>
        <v>0</v>
      </c>
      <c r="V141" s="257">
        <f t="shared" si="17"/>
        <v>2816.5</v>
      </c>
      <c r="W141" s="255">
        <f>$J141*SUMIF('KU-LGE Rating'!$R:$R,$D141,'KU-LGE Rating'!$F:$F)</f>
        <v>0</v>
      </c>
      <c r="X141" s="256">
        <f>$J141*SUMIF('KU-LGE Rating'!$R:$R,$D141,'KU-LGE Rating'!$G:$G)</f>
        <v>0</v>
      </c>
      <c r="Y141" s="257">
        <f t="shared" si="18"/>
        <v>0</v>
      </c>
      <c r="Z141" s="255">
        <f>$K141*SUMIF('KU-LGE Rating'!$R:$R,$D141,'KU-LGE Rating'!$F:$F)</f>
        <v>6941.42</v>
      </c>
      <c r="AA141" s="256">
        <f>$K141*SUMIF('KU-LGE Rating'!$R:$R,$D141,'KU-LGE Rating'!$G:$G)</f>
        <v>0</v>
      </c>
      <c r="AB141" s="257">
        <f t="shared" si="19"/>
        <v>6941.42</v>
      </c>
    </row>
    <row r="142" spans="1:28">
      <c r="A142" s="1" t="s">
        <v>2769</v>
      </c>
      <c r="B142" t="s">
        <v>3</v>
      </c>
      <c r="C142" t="s">
        <v>3723</v>
      </c>
      <c r="D142" t="s">
        <v>3751</v>
      </c>
      <c r="E142">
        <v>553100</v>
      </c>
      <c r="F142" t="s">
        <v>3893</v>
      </c>
      <c r="G142" s="288">
        <v>35622.93</v>
      </c>
      <c r="H142" s="288">
        <v>9260.75</v>
      </c>
      <c r="I142" s="288">
        <v>2816.5</v>
      </c>
      <c r="J142" s="288">
        <v>0</v>
      </c>
      <c r="K142" s="288">
        <v>147893.20000000001</v>
      </c>
      <c r="L142" s="243">
        <f t="shared" si="14"/>
        <v>159970.45000000001</v>
      </c>
      <c r="M142" s="243" t="str">
        <f t="shared" si="20"/>
        <v>553</v>
      </c>
      <c r="N142" s="255">
        <f>$G142*SUMIF('KU-LGE Rating'!$R:$R,$D142,'KU-LGE Rating'!F:F)</f>
        <v>35622.93</v>
      </c>
      <c r="O142" s="256">
        <f>$G142*SUMIF('KU-LGE Rating'!$R:$R,$D142,'KU-LGE Rating'!G:G)</f>
        <v>0</v>
      </c>
      <c r="P142" s="257">
        <f t="shared" si="15"/>
        <v>35622.93</v>
      </c>
      <c r="Q142" s="255">
        <f>$H142*SUMIF('KU-LGE Rating'!$R:$R,$D142,'KU-LGE Rating'!$F:$F)</f>
        <v>9260.75</v>
      </c>
      <c r="R142" s="256">
        <f>$H142*SUMIF('KU-LGE Rating'!$R:$R,$D142,'KU-LGE Rating'!$G:$G)</f>
        <v>0</v>
      </c>
      <c r="S142" s="257">
        <f t="shared" si="16"/>
        <v>9260.75</v>
      </c>
      <c r="T142" s="255">
        <f>$I142*SUMIF('KU-LGE Rating'!$R:$R,$D142,'KU-LGE Rating'!$F:$F)</f>
        <v>2816.5</v>
      </c>
      <c r="U142" s="256">
        <f>$I142*SUMIF('KU-LGE Rating'!$R:$R,$D142,'KU-LGE Rating'!$G:$G)</f>
        <v>0</v>
      </c>
      <c r="V142" s="257">
        <f t="shared" si="17"/>
        <v>2816.5</v>
      </c>
      <c r="W142" s="255">
        <f>$J142*SUMIF('KU-LGE Rating'!$R:$R,$D142,'KU-LGE Rating'!$F:$F)</f>
        <v>0</v>
      </c>
      <c r="X142" s="256">
        <f>$J142*SUMIF('KU-LGE Rating'!$R:$R,$D142,'KU-LGE Rating'!$G:$G)</f>
        <v>0</v>
      </c>
      <c r="Y142" s="257">
        <f t="shared" si="18"/>
        <v>0</v>
      </c>
      <c r="Z142" s="255">
        <f>$K142*SUMIF('KU-LGE Rating'!$R:$R,$D142,'KU-LGE Rating'!$F:$F)</f>
        <v>147893.20000000001</v>
      </c>
      <c r="AA142" s="256">
        <f>$K142*SUMIF('KU-LGE Rating'!$R:$R,$D142,'KU-LGE Rating'!$G:$G)</f>
        <v>0</v>
      </c>
      <c r="AB142" s="257">
        <f t="shared" si="19"/>
        <v>147893.20000000001</v>
      </c>
    </row>
    <row r="143" spans="1:28">
      <c r="A143" s="1" t="s">
        <v>2769</v>
      </c>
      <c r="B143" t="s">
        <v>3</v>
      </c>
      <c r="C143" t="s">
        <v>3723</v>
      </c>
      <c r="D143" t="s">
        <v>3880</v>
      </c>
      <c r="E143">
        <v>512100</v>
      </c>
      <c r="F143" t="s">
        <v>3893</v>
      </c>
      <c r="G143" s="288">
        <v>5517.94</v>
      </c>
      <c r="H143" s="288">
        <v>324</v>
      </c>
      <c r="I143" s="288">
        <v>0</v>
      </c>
      <c r="J143" s="288">
        <v>0</v>
      </c>
      <c r="K143" s="288">
        <v>0</v>
      </c>
      <c r="L143" s="243">
        <f t="shared" si="14"/>
        <v>324</v>
      </c>
      <c r="M143" s="243" t="str">
        <f t="shared" si="20"/>
        <v>512</v>
      </c>
      <c r="N143" s="258">
        <f>$G143*SUMIF('KU-LGE Rating'!$R:$R,$D143,'KU-LGE Rating'!F:F)</f>
        <v>5517.94</v>
      </c>
      <c r="O143" s="259">
        <f>$G143*SUMIF('KU-LGE Rating'!$R:$R,$D143,'KU-LGE Rating'!G:G)</f>
        <v>0</v>
      </c>
      <c r="P143" s="260">
        <f t="shared" si="15"/>
        <v>5517.94</v>
      </c>
      <c r="Q143" s="258">
        <f>$H143*SUMIF('KU-LGE Rating'!$R:$R,$D143,'KU-LGE Rating'!$F:$F)</f>
        <v>324</v>
      </c>
      <c r="R143" s="259">
        <f>$H143*SUMIF('KU-LGE Rating'!$R:$R,$D143,'KU-LGE Rating'!$G:$G)</f>
        <v>0</v>
      </c>
      <c r="S143" s="260">
        <f t="shared" si="16"/>
        <v>324</v>
      </c>
      <c r="T143" s="258">
        <f>$I143*SUMIF('KU-LGE Rating'!$R:$R,$D143,'KU-LGE Rating'!$F:$F)</f>
        <v>0</v>
      </c>
      <c r="U143" s="259">
        <f>$I143*SUMIF('KU-LGE Rating'!$R:$R,$D143,'KU-LGE Rating'!$G:$G)</f>
        <v>0</v>
      </c>
      <c r="V143" s="260">
        <f t="shared" si="17"/>
        <v>0</v>
      </c>
      <c r="W143" s="258">
        <f>$J143*SUMIF('KU-LGE Rating'!$R:$R,$D143,'KU-LGE Rating'!$F:$F)</f>
        <v>0</v>
      </c>
      <c r="X143" s="259">
        <f>$J143*SUMIF('KU-LGE Rating'!$R:$R,$D143,'KU-LGE Rating'!$G:$G)</f>
        <v>0</v>
      </c>
      <c r="Y143" s="260">
        <f t="shared" si="18"/>
        <v>0</v>
      </c>
      <c r="Z143" s="258">
        <f>$K143*SUMIF('KU-LGE Rating'!$R:$R,$D143,'KU-LGE Rating'!$F:$F)</f>
        <v>0</v>
      </c>
      <c r="AA143" s="259">
        <f>$K143*SUMIF('KU-LGE Rating'!$R:$R,$D143,'KU-LGE Rating'!$G:$G)</f>
        <v>0</v>
      </c>
      <c r="AB143" s="260">
        <f t="shared" si="19"/>
        <v>0</v>
      </c>
    </row>
  </sheetData>
  <autoFilter ref="A2:S143"/>
  <mergeCells count="5">
    <mergeCell ref="N1:P1"/>
    <mergeCell ref="Q1:S1"/>
    <mergeCell ref="T1:V1"/>
    <mergeCell ref="W1:Y1"/>
    <mergeCell ref="Z1:A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9"/>
  <sheetViews>
    <sheetView topLeftCell="H1" workbookViewId="0">
      <pane ySplit="2" topLeftCell="A201" activePane="bottomLeft" state="frozen"/>
      <selection pane="bottomLeft" activeCell="AA229" sqref="AA229"/>
    </sheetView>
  </sheetViews>
  <sheetFormatPr defaultColWidth="9.7109375" defaultRowHeight="15"/>
  <cols>
    <col min="1" max="24" width="9.7109375" customWidth="1"/>
    <col min="25" max="25" width="9.7109375" style="9" customWidth="1"/>
    <col min="26" max="27" width="9.7109375" customWidth="1"/>
    <col min="28" max="28" width="9.7109375" style="9"/>
    <col min="30" max="42" width="9.7109375" customWidth="1"/>
    <col min="43" max="44" width="9.7109375" style="275" customWidth="1"/>
    <col min="45" max="51" width="9.7109375" style="275"/>
  </cols>
  <sheetData>
    <row r="1" spans="1:50" ht="15" customHeight="1">
      <c r="W1" s="262">
        <v>41699</v>
      </c>
      <c r="X1" s="264">
        <v>42186</v>
      </c>
      <c r="Y1" s="296" t="s">
        <v>3889</v>
      </c>
      <c r="Z1" s="295"/>
      <c r="AA1" s="295"/>
      <c r="AB1" s="296" t="s">
        <v>3890</v>
      </c>
      <c r="AC1" s="295"/>
      <c r="AD1" s="295"/>
      <c r="AE1" s="294">
        <v>2014</v>
      </c>
      <c r="AF1" s="295"/>
      <c r="AG1" s="295"/>
      <c r="AH1" s="296">
        <v>2015</v>
      </c>
      <c r="AI1" s="295"/>
      <c r="AJ1" s="295"/>
      <c r="AK1" s="296">
        <v>2016</v>
      </c>
      <c r="AL1" s="295"/>
      <c r="AM1" s="295"/>
      <c r="AN1" s="296">
        <v>2017</v>
      </c>
      <c r="AO1" s="295"/>
      <c r="AP1" s="295"/>
    </row>
    <row r="2" spans="1:50">
      <c r="A2" s="1" t="s">
        <v>2755</v>
      </c>
      <c r="B2" s="1" t="s">
        <v>3720</v>
      </c>
      <c r="C2" t="s">
        <v>3721</v>
      </c>
      <c r="D2" t="s">
        <v>3722</v>
      </c>
      <c r="E2" t="s">
        <v>3910</v>
      </c>
      <c r="F2" t="s">
        <v>0</v>
      </c>
      <c r="G2" t="s">
        <v>3861</v>
      </c>
      <c r="H2" t="s">
        <v>3891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W2" s="263">
        <v>42063</v>
      </c>
      <c r="X2" s="265">
        <v>42522</v>
      </c>
      <c r="Y2" s="245" t="s">
        <v>2751</v>
      </c>
      <c r="Z2" s="246" t="s">
        <v>2750</v>
      </c>
      <c r="AA2" s="246" t="s">
        <v>3872</v>
      </c>
      <c r="AB2" s="245" t="s">
        <v>2751</v>
      </c>
      <c r="AC2" s="246" t="s">
        <v>2750</v>
      </c>
      <c r="AD2" s="246" t="s">
        <v>3872</v>
      </c>
      <c r="AE2" s="245" t="s">
        <v>2751</v>
      </c>
      <c r="AF2" s="246" t="s">
        <v>2750</v>
      </c>
      <c r="AG2" s="246" t="s">
        <v>3872</v>
      </c>
      <c r="AH2" s="245" t="s">
        <v>2751</v>
      </c>
      <c r="AI2" s="246" t="s">
        <v>2750</v>
      </c>
      <c r="AJ2" s="246" t="s">
        <v>3872</v>
      </c>
      <c r="AK2" s="245" t="s">
        <v>2751</v>
      </c>
      <c r="AL2" s="246" t="s">
        <v>2750</v>
      </c>
      <c r="AM2" s="246" t="s">
        <v>3872</v>
      </c>
      <c r="AN2" s="245" t="s">
        <v>2751</v>
      </c>
      <c r="AO2" s="246" t="s">
        <v>2750</v>
      </c>
      <c r="AP2" s="246" t="s">
        <v>3872</v>
      </c>
      <c r="AV2" s="276"/>
      <c r="AW2" s="276"/>
      <c r="AX2" s="276"/>
    </row>
    <row r="3" spans="1:50">
      <c r="A3" s="1" t="s">
        <v>2756</v>
      </c>
      <c r="B3" s="1" t="s">
        <v>3</v>
      </c>
      <c r="C3" t="s">
        <v>3723</v>
      </c>
      <c r="D3" t="s">
        <v>3650</v>
      </c>
      <c r="E3" t="s">
        <v>3893</v>
      </c>
      <c r="F3">
        <v>2014</v>
      </c>
      <c r="G3" t="s">
        <v>3908</v>
      </c>
      <c r="H3">
        <v>512005</v>
      </c>
      <c r="I3">
        <v>0</v>
      </c>
      <c r="J3">
        <v>0</v>
      </c>
      <c r="K3">
        <v>0</v>
      </c>
      <c r="L3">
        <v>68672.7</v>
      </c>
      <c r="M3">
        <v>4869.07</v>
      </c>
      <c r="N3">
        <v>1528.17</v>
      </c>
      <c r="O3">
        <v>-4.1399999999999997</v>
      </c>
      <c r="P3">
        <v>0</v>
      </c>
      <c r="Q3">
        <v>-75065.8</v>
      </c>
      <c r="R3">
        <v>0</v>
      </c>
      <c r="S3">
        <v>0</v>
      </c>
      <c r="T3">
        <v>0</v>
      </c>
      <c r="U3" s="8">
        <v>0</v>
      </c>
      <c r="V3" s="243" t="str">
        <f>LEFT(H3,3)</f>
        <v>512</v>
      </c>
      <c r="W3" s="240">
        <f>IF(F3=2014,SUM(K3:T3),IF(F3=2015,SUM(I3:J3),0))</f>
        <v>-1.4551915228366852E-11</v>
      </c>
      <c r="X3" s="243">
        <f>IF(F3=2015,SUM(O3:T3),IF(F3=2016,SUM(I3:N3),0))</f>
        <v>0</v>
      </c>
      <c r="Y3" s="255">
        <f>$W3*SUMIF('KU-LGE Rating'!$R:$R,$D3,'KU-LGE Rating'!F:F)</f>
        <v>0</v>
      </c>
      <c r="Z3" s="256">
        <f>$W3*SUMIF('KU-LGE Rating'!$R:$R,$D3,'KU-LGE Rating'!G:G)</f>
        <v>-1.4551915228366852E-11</v>
      </c>
      <c r="AA3" s="257">
        <f>Y3+Z3</f>
        <v>-1.4551915228366852E-11</v>
      </c>
      <c r="AB3" s="255">
        <f>$X3*SUMIF('KU-LGE Rating'!$R:$R,$D3,'KU-LGE Rating'!F:F)</f>
        <v>0</v>
      </c>
      <c r="AC3" s="256">
        <f>$X3*SUMIF('KU-LGE Rating'!$R:$R,$D3,'KU-LGE Rating'!G:G)</f>
        <v>0</v>
      </c>
      <c r="AD3" s="257">
        <f>AB3+AC3</f>
        <v>0</v>
      </c>
      <c r="AE3" s="274">
        <f>IF($F3=AE$1,$U3,0)*SUMIF('KU-LGE Rating'!$R:$R,$D3,'KU-LGE Rating'!$F:$F)</f>
        <v>0</v>
      </c>
      <c r="AF3" s="274">
        <f>IF($F3=AE$1,$U3,0)*SUMIF('KU-LGE Rating'!$R:$R,$D3,'KU-LGE Rating'!$G:$G)</f>
        <v>0</v>
      </c>
      <c r="AG3" s="240">
        <f>IF($F3=AE$1,$U3,0)</f>
        <v>0</v>
      </c>
      <c r="AH3" s="256">
        <f>IF($F3=AH$1,$U3,0)*SUMIF('KU-LGE Rating'!$R:$R,$D3,'KU-LGE Rating'!$F:$F)</f>
        <v>0</v>
      </c>
      <c r="AI3" s="256">
        <f>IF($F3=AH$1,$U3,0)*SUMIF('KU-LGE Rating'!$R:$R,$D3,'KU-LGE Rating'!$G:$G)</f>
        <v>0</v>
      </c>
      <c r="AJ3" s="240">
        <f>IF($F3=AH$1,$U3,0)</f>
        <v>0</v>
      </c>
      <c r="AK3" s="256">
        <f>IF($F3=AK$1,$U3,0)*SUMIF('KU-LGE Rating'!$R:$R,$D3,'KU-LGE Rating'!$F:$F)</f>
        <v>0</v>
      </c>
      <c r="AL3" s="256">
        <f>IF($F3=AK$1,$U3,0)*SUMIF('KU-LGE Rating'!$R:$R,$D3,'KU-LGE Rating'!$G:$G)</f>
        <v>0</v>
      </c>
      <c r="AM3" s="240">
        <f>IF($F3=AK$1,$U3,0)</f>
        <v>0</v>
      </c>
      <c r="AN3" s="256">
        <f>IF($F3=AN$1,$U3,0)*SUMIF('KU-LGE Rating'!$R:$R,$D3,'KU-LGE Rating'!$F:$F)</f>
        <v>0</v>
      </c>
      <c r="AO3" s="256">
        <f>IF($F3=AN$1,$U3,0)*SUMIF('KU-LGE Rating'!$R:$R,$D3,'KU-LGE Rating'!$G:$G)</f>
        <v>0</v>
      </c>
      <c r="AP3" s="240">
        <f>IF($F3=AN$1,$U3,0)</f>
        <v>0</v>
      </c>
      <c r="AQ3" s="277"/>
      <c r="AR3" s="277"/>
      <c r="AV3" s="278"/>
      <c r="AW3" s="278"/>
      <c r="AX3" s="278"/>
    </row>
    <row r="4" spans="1:50">
      <c r="A4" s="1" t="s">
        <v>2756</v>
      </c>
      <c r="B4" s="1" t="s">
        <v>3</v>
      </c>
      <c r="C4" t="s">
        <v>3723</v>
      </c>
      <c r="D4" t="s">
        <v>3650</v>
      </c>
      <c r="E4" t="s">
        <v>3893</v>
      </c>
      <c r="F4">
        <v>2014</v>
      </c>
      <c r="G4" t="s">
        <v>3908</v>
      </c>
      <c r="H4">
        <v>512015</v>
      </c>
      <c r="I4">
        <v>0</v>
      </c>
      <c r="J4">
        <v>0</v>
      </c>
      <c r="K4">
        <v>0</v>
      </c>
      <c r="L4">
        <v>1689.67</v>
      </c>
      <c r="M4">
        <v>0</v>
      </c>
      <c r="N4">
        <v>0</v>
      </c>
      <c r="O4">
        <v>0</v>
      </c>
      <c r="P4">
        <v>0</v>
      </c>
      <c r="Q4">
        <v>-1689.67</v>
      </c>
      <c r="R4">
        <v>0</v>
      </c>
      <c r="S4">
        <v>0</v>
      </c>
      <c r="T4">
        <v>0</v>
      </c>
      <c r="U4" s="8">
        <v>0</v>
      </c>
      <c r="V4" s="243" t="str">
        <f t="shared" ref="V4:V67" si="0">LEFT(H4,3)</f>
        <v>512</v>
      </c>
      <c r="W4" s="240">
        <f t="shared" ref="W4:W67" si="1">IF(F4=2014,SUM(K4:T4),IF(F4=2015,SUM(I4:J4),0))</f>
        <v>0</v>
      </c>
      <c r="X4" s="243">
        <f t="shared" ref="X4:X67" si="2">IF(F4=2015,SUM(O4:T4),IF(F4=2016,SUM(I4:N4),0))</f>
        <v>0</v>
      </c>
      <c r="Y4" s="255">
        <f>$W4*SUMIF('KU-LGE Rating'!$R:$R,$D4,'KU-LGE Rating'!F:F)</f>
        <v>0</v>
      </c>
      <c r="Z4" s="256">
        <f>$W4*SUMIF('KU-LGE Rating'!$R:$R,$D4,'KU-LGE Rating'!G:G)</f>
        <v>0</v>
      </c>
      <c r="AA4" s="257">
        <f t="shared" ref="AA4:AA53" si="3">Y4+Z4</f>
        <v>0</v>
      </c>
      <c r="AB4" s="255">
        <f>$X4*SUMIF('KU-LGE Rating'!$R:$R,$D4,'KU-LGE Rating'!F:F)</f>
        <v>0</v>
      </c>
      <c r="AC4" s="256">
        <f>$X4*SUMIF('KU-LGE Rating'!$R:$R,$D4,'KU-LGE Rating'!G:G)</f>
        <v>0</v>
      </c>
      <c r="AD4" s="257">
        <f t="shared" ref="AD4:AD67" si="4">AB4+AC4</f>
        <v>0</v>
      </c>
      <c r="AE4" s="274">
        <f>IF($F4=AE$1,$U4,0)*SUMIF('KU-LGE Rating'!$R:$R,$D4,'KU-LGE Rating'!$F:$F)</f>
        <v>0</v>
      </c>
      <c r="AF4" s="274">
        <f>IF($F4=AE$1,$U4,0)*SUMIF('KU-LGE Rating'!$R:$R,$D4,'KU-LGE Rating'!$G:$G)</f>
        <v>0</v>
      </c>
      <c r="AG4" s="240">
        <f t="shared" ref="AG4:AG67" si="5">IF($F4=AE$1,$U4,0)</f>
        <v>0</v>
      </c>
      <c r="AH4" s="256">
        <f>IF($F4=AH$1,$U4,0)*SUMIF('KU-LGE Rating'!$R:$R,$D4,'KU-LGE Rating'!$F:$F)</f>
        <v>0</v>
      </c>
      <c r="AI4" s="256">
        <f>IF($F4=AH$1,$U4,0)*SUMIF('KU-LGE Rating'!$R:$R,$D4,'KU-LGE Rating'!$G:$G)</f>
        <v>0</v>
      </c>
      <c r="AJ4" s="240">
        <f t="shared" ref="AJ4:AJ67" si="6">IF($F4=AH$1,$U4,0)</f>
        <v>0</v>
      </c>
      <c r="AK4" s="256">
        <f>IF($F4=AK$1,$U4,0)*SUMIF('KU-LGE Rating'!$R:$R,$D4,'KU-LGE Rating'!$F:$F)</f>
        <v>0</v>
      </c>
      <c r="AL4" s="256">
        <f>IF($F4=AK$1,$U4,0)*SUMIF('KU-LGE Rating'!$R:$R,$D4,'KU-LGE Rating'!$G:$G)</f>
        <v>0</v>
      </c>
      <c r="AM4" s="240">
        <f t="shared" ref="AM4:AM67" si="7">IF($F4=AK$1,$U4,0)</f>
        <v>0</v>
      </c>
      <c r="AN4" s="256">
        <f>IF($F4=AN$1,$U4,0)*SUMIF('KU-LGE Rating'!$R:$R,$D4,'KU-LGE Rating'!$F:$F)</f>
        <v>0</v>
      </c>
      <c r="AO4" s="256">
        <f>IF($F4=AN$1,$U4,0)*SUMIF('KU-LGE Rating'!$R:$R,$D4,'KU-LGE Rating'!$G:$G)</f>
        <v>0</v>
      </c>
      <c r="AP4" s="240">
        <f t="shared" ref="AP4:AP67" si="8">IF($F4=AN$1,$U4,0)</f>
        <v>0</v>
      </c>
      <c r="AQ4" s="277"/>
      <c r="AR4" s="277"/>
      <c r="AV4" s="278"/>
      <c r="AW4" s="278"/>
      <c r="AX4" s="278"/>
    </row>
    <row r="5" spans="1:50">
      <c r="A5" s="1" t="s">
        <v>2756</v>
      </c>
      <c r="B5" s="1" t="s">
        <v>3</v>
      </c>
      <c r="C5" t="s">
        <v>3723</v>
      </c>
      <c r="D5" t="s">
        <v>3650</v>
      </c>
      <c r="E5" t="s">
        <v>3893</v>
      </c>
      <c r="F5">
        <v>2014</v>
      </c>
      <c r="G5" t="s">
        <v>3908</v>
      </c>
      <c r="H5">
        <v>512100</v>
      </c>
      <c r="I5">
        <v>0</v>
      </c>
      <c r="J5">
        <v>358.78</v>
      </c>
      <c r="K5">
        <v>6.07</v>
      </c>
      <c r="L5">
        <v>355280.53</v>
      </c>
      <c r="M5">
        <v>-5054.5</v>
      </c>
      <c r="N5">
        <v>1138</v>
      </c>
      <c r="O5">
        <v>2210.9499999999998</v>
      </c>
      <c r="P5">
        <v>1305.6099999999999</v>
      </c>
      <c r="Q5">
        <v>-744665.44</v>
      </c>
      <c r="R5">
        <v>185000</v>
      </c>
      <c r="S5">
        <v>0</v>
      </c>
      <c r="T5">
        <v>0</v>
      </c>
      <c r="U5" s="8">
        <v>-204420</v>
      </c>
      <c r="V5" s="243" t="str">
        <f t="shared" si="0"/>
        <v>512</v>
      </c>
      <c r="W5" s="240">
        <f t="shared" si="1"/>
        <v>-204778.77999999991</v>
      </c>
      <c r="X5" s="243">
        <f t="shared" si="2"/>
        <v>0</v>
      </c>
      <c r="Y5" s="255">
        <f>$W5*SUMIF('KU-LGE Rating'!$R:$R,$D5,'KU-LGE Rating'!F:F)</f>
        <v>0</v>
      </c>
      <c r="Z5" s="256">
        <f>$W5*SUMIF('KU-LGE Rating'!$R:$R,$D5,'KU-LGE Rating'!G:G)</f>
        <v>-204778.77999999991</v>
      </c>
      <c r="AA5" s="257">
        <f t="shared" si="3"/>
        <v>-204778.77999999991</v>
      </c>
      <c r="AB5" s="255">
        <f>$X5*SUMIF('KU-LGE Rating'!$R:$R,$D5,'KU-LGE Rating'!F:F)</f>
        <v>0</v>
      </c>
      <c r="AC5" s="256">
        <f>$X5*SUMIF('KU-LGE Rating'!$R:$R,$D5,'KU-LGE Rating'!G:G)</f>
        <v>0</v>
      </c>
      <c r="AD5" s="257">
        <f t="shared" si="4"/>
        <v>0</v>
      </c>
      <c r="AE5" s="274">
        <f>IF($F5=AE$1,$U5,0)*SUMIF('KU-LGE Rating'!$R:$R,$D5,'KU-LGE Rating'!$F:$F)</f>
        <v>0</v>
      </c>
      <c r="AF5" s="274">
        <f>IF($F5=AE$1,$U5,0)*SUMIF('KU-LGE Rating'!$R:$R,$D5,'KU-LGE Rating'!$G:$G)</f>
        <v>-204420</v>
      </c>
      <c r="AG5" s="240">
        <f t="shared" si="5"/>
        <v>-204420</v>
      </c>
      <c r="AH5" s="256">
        <f>IF($F5=AH$1,$U5,0)*SUMIF('KU-LGE Rating'!$R:$R,$D5,'KU-LGE Rating'!$F:$F)</f>
        <v>0</v>
      </c>
      <c r="AI5" s="256">
        <f>IF($F5=AH$1,$U5,0)*SUMIF('KU-LGE Rating'!$R:$R,$D5,'KU-LGE Rating'!$G:$G)</f>
        <v>0</v>
      </c>
      <c r="AJ5" s="240">
        <f t="shared" si="6"/>
        <v>0</v>
      </c>
      <c r="AK5" s="256">
        <f>IF($F5=AK$1,$U5,0)*SUMIF('KU-LGE Rating'!$R:$R,$D5,'KU-LGE Rating'!$F:$F)</f>
        <v>0</v>
      </c>
      <c r="AL5" s="256">
        <f>IF($F5=AK$1,$U5,0)*SUMIF('KU-LGE Rating'!$R:$R,$D5,'KU-LGE Rating'!$G:$G)</f>
        <v>0</v>
      </c>
      <c r="AM5" s="240">
        <f t="shared" si="7"/>
        <v>0</v>
      </c>
      <c r="AN5" s="256">
        <f>IF($F5=AN$1,$U5,0)*SUMIF('KU-LGE Rating'!$R:$R,$D5,'KU-LGE Rating'!$F:$F)</f>
        <v>0</v>
      </c>
      <c r="AO5" s="256">
        <f>IF($F5=AN$1,$U5,0)*SUMIF('KU-LGE Rating'!$R:$R,$D5,'KU-LGE Rating'!$G:$G)</f>
        <v>0</v>
      </c>
      <c r="AP5" s="240">
        <f t="shared" si="8"/>
        <v>0</v>
      </c>
      <c r="AQ5" s="277"/>
      <c r="AR5" s="277"/>
      <c r="AV5" s="278"/>
      <c r="AW5" s="278"/>
      <c r="AX5" s="278"/>
    </row>
    <row r="6" spans="1:50">
      <c r="A6" s="1" t="s">
        <v>2756</v>
      </c>
      <c r="B6" s="1" t="s">
        <v>3</v>
      </c>
      <c r="C6" t="s">
        <v>3723</v>
      </c>
      <c r="D6" t="s">
        <v>3650</v>
      </c>
      <c r="E6" t="s">
        <v>3893</v>
      </c>
      <c r="F6">
        <v>2014</v>
      </c>
      <c r="G6" t="s">
        <v>3908</v>
      </c>
      <c r="H6">
        <v>513100</v>
      </c>
      <c r="I6">
        <v>0</v>
      </c>
      <c r="J6">
        <v>0</v>
      </c>
      <c r="K6">
        <v>4261.49</v>
      </c>
      <c r="L6">
        <v>44109.89</v>
      </c>
      <c r="M6">
        <v>19764.990000000002</v>
      </c>
      <c r="N6">
        <v>328.14</v>
      </c>
      <c r="O6">
        <v>0</v>
      </c>
      <c r="P6">
        <v>0</v>
      </c>
      <c r="Q6">
        <v>17000</v>
      </c>
      <c r="R6">
        <v>0</v>
      </c>
      <c r="S6">
        <v>0</v>
      </c>
      <c r="T6">
        <v>0</v>
      </c>
      <c r="U6" s="8">
        <v>85464.51</v>
      </c>
      <c r="V6" s="243" t="str">
        <f t="shared" si="0"/>
        <v>513</v>
      </c>
      <c r="W6" s="240">
        <f t="shared" si="1"/>
        <v>85464.51</v>
      </c>
      <c r="X6" s="243">
        <f t="shared" si="2"/>
        <v>0</v>
      </c>
      <c r="Y6" s="255">
        <f>$W6*SUMIF('KU-LGE Rating'!$R:$R,$D6,'KU-LGE Rating'!F:F)</f>
        <v>0</v>
      </c>
      <c r="Z6" s="256">
        <f>$W6*SUMIF('KU-LGE Rating'!$R:$R,$D6,'KU-LGE Rating'!G:G)</f>
        <v>85464.51</v>
      </c>
      <c r="AA6" s="257">
        <f t="shared" si="3"/>
        <v>85464.51</v>
      </c>
      <c r="AB6" s="255">
        <f>$X6*SUMIF('KU-LGE Rating'!$R:$R,$D6,'KU-LGE Rating'!F:F)</f>
        <v>0</v>
      </c>
      <c r="AC6" s="256">
        <f>$X6*SUMIF('KU-LGE Rating'!$R:$R,$D6,'KU-LGE Rating'!G:G)</f>
        <v>0</v>
      </c>
      <c r="AD6" s="257">
        <f t="shared" si="4"/>
        <v>0</v>
      </c>
      <c r="AE6" s="274">
        <f>IF($F6=AE$1,$U6,0)*SUMIF('KU-LGE Rating'!$R:$R,$D6,'KU-LGE Rating'!$F:$F)</f>
        <v>0</v>
      </c>
      <c r="AF6" s="274">
        <f>IF($F6=AE$1,$U6,0)*SUMIF('KU-LGE Rating'!$R:$R,$D6,'KU-LGE Rating'!$G:$G)</f>
        <v>85464.51</v>
      </c>
      <c r="AG6" s="240">
        <f t="shared" si="5"/>
        <v>85464.51</v>
      </c>
      <c r="AH6" s="256">
        <f>IF($F6=AH$1,$U6,0)*SUMIF('KU-LGE Rating'!$R:$R,$D6,'KU-LGE Rating'!$F:$F)</f>
        <v>0</v>
      </c>
      <c r="AI6" s="256">
        <f>IF($F6=AH$1,$U6,0)*SUMIF('KU-LGE Rating'!$R:$R,$D6,'KU-LGE Rating'!$G:$G)</f>
        <v>0</v>
      </c>
      <c r="AJ6" s="240">
        <f t="shared" si="6"/>
        <v>0</v>
      </c>
      <c r="AK6" s="256">
        <f>IF($F6=AK$1,$U6,0)*SUMIF('KU-LGE Rating'!$R:$R,$D6,'KU-LGE Rating'!$F:$F)</f>
        <v>0</v>
      </c>
      <c r="AL6" s="256">
        <f>IF($F6=AK$1,$U6,0)*SUMIF('KU-LGE Rating'!$R:$R,$D6,'KU-LGE Rating'!$G:$G)</f>
        <v>0</v>
      </c>
      <c r="AM6" s="240">
        <f t="shared" si="7"/>
        <v>0</v>
      </c>
      <c r="AN6" s="256">
        <f>IF($F6=AN$1,$U6,0)*SUMIF('KU-LGE Rating'!$R:$R,$D6,'KU-LGE Rating'!$F:$F)</f>
        <v>0</v>
      </c>
      <c r="AO6" s="256">
        <f>IF($F6=AN$1,$U6,0)*SUMIF('KU-LGE Rating'!$R:$R,$D6,'KU-LGE Rating'!$G:$G)</f>
        <v>0</v>
      </c>
      <c r="AP6" s="240">
        <f t="shared" si="8"/>
        <v>0</v>
      </c>
      <c r="AQ6" s="277"/>
      <c r="AR6" s="277"/>
      <c r="AV6" s="278"/>
      <c r="AW6" s="278"/>
      <c r="AX6" s="278"/>
    </row>
    <row r="7" spans="1:50">
      <c r="A7" s="1" t="s">
        <v>2756</v>
      </c>
      <c r="B7" s="1" t="s">
        <v>3</v>
      </c>
      <c r="C7" t="s">
        <v>3723</v>
      </c>
      <c r="D7" t="s">
        <v>3651</v>
      </c>
      <c r="E7" t="s">
        <v>3893</v>
      </c>
      <c r="F7">
        <v>2014</v>
      </c>
      <c r="G7" t="s">
        <v>3908</v>
      </c>
      <c r="H7">
        <v>512005</v>
      </c>
      <c r="I7">
        <v>0</v>
      </c>
      <c r="J7">
        <v>17720.810000000001</v>
      </c>
      <c r="K7">
        <v>13080.07</v>
      </c>
      <c r="L7">
        <v>17153.669999999998</v>
      </c>
      <c r="M7">
        <v>0</v>
      </c>
      <c r="N7">
        <v>0</v>
      </c>
      <c r="O7">
        <v>0</v>
      </c>
      <c r="P7">
        <v>0</v>
      </c>
      <c r="Q7">
        <v>-47954.55</v>
      </c>
      <c r="R7">
        <v>0</v>
      </c>
      <c r="S7">
        <v>0</v>
      </c>
      <c r="T7">
        <v>0</v>
      </c>
      <c r="U7" s="8">
        <v>0</v>
      </c>
      <c r="V7" s="243" t="str">
        <f t="shared" si="0"/>
        <v>512</v>
      </c>
      <c r="W7" s="240">
        <f t="shared" si="1"/>
        <v>-17720.810000000005</v>
      </c>
      <c r="X7" s="243">
        <f t="shared" si="2"/>
        <v>0</v>
      </c>
      <c r="Y7" s="255">
        <f>$W7*SUMIF('KU-LGE Rating'!$R:$R,$D7,'KU-LGE Rating'!F:F)</f>
        <v>0</v>
      </c>
      <c r="Z7" s="256">
        <f>$W7*SUMIF('KU-LGE Rating'!$R:$R,$D7,'KU-LGE Rating'!G:G)</f>
        <v>-17720.810000000005</v>
      </c>
      <c r="AA7" s="257">
        <f t="shared" si="3"/>
        <v>-17720.810000000005</v>
      </c>
      <c r="AB7" s="255">
        <f>$X7*SUMIF('KU-LGE Rating'!$R:$R,$D7,'KU-LGE Rating'!F:F)</f>
        <v>0</v>
      </c>
      <c r="AC7" s="256">
        <f>$X7*SUMIF('KU-LGE Rating'!$R:$R,$D7,'KU-LGE Rating'!G:G)</f>
        <v>0</v>
      </c>
      <c r="AD7" s="257">
        <f t="shared" si="4"/>
        <v>0</v>
      </c>
      <c r="AE7" s="274">
        <f>IF($F7=AE$1,$U7,0)*SUMIF('KU-LGE Rating'!$R:$R,$D7,'KU-LGE Rating'!$F:$F)</f>
        <v>0</v>
      </c>
      <c r="AF7" s="274">
        <f>IF($F7=AE$1,$U7,0)*SUMIF('KU-LGE Rating'!$R:$R,$D7,'KU-LGE Rating'!$G:$G)</f>
        <v>0</v>
      </c>
      <c r="AG7" s="240">
        <f t="shared" si="5"/>
        <v>0</v>
      </c>
      <c r="AH7" s="256">
        <f>IF($F7=AH$1,$U7,0)*SUMIF('KU-LGE Rating'!$R:$R,$D7,'KU-LGE Rating'!$F:$F)</f>
        <v>0</v>
      </c>
      <c r="AI7" s="256">
        <f>IF($F7=AH$1,$U7,0)*SUMIF('KU-LGE Rating'!$R:$R,$D7,'KU-LGE Rating'!$G:$G)</f>
        <v>0</v>
      </c>
      <c r="AJ7" s="240">
        <f t="shared" si="6"/>
        <v>0</v>
      </c>
      <c r="AK7" s="256">
        <f>IF($F7=AK$1,$U7,0)*SUMIF('KU-LGE Rating'!$R:$R,$D7,'KU-LGE Rating'!$F:$F)</f>
        <v>0</v>
      </c>
      <c r="AL7" s="256">
        <f>IF($F7=AK$1,$U7,0)*SUMIF('KU-LGE Rating'!$R:$R,$D7,'KU-LGE Rating'!$G:$G)</f>
        <v>0</v>
      </c>
      <c r="AM7" s="240">
        <f t="shared" si="7"/>
        <v>0</v>
      </c>
      <c r="AN7" s="256">
        <f>IF($F7=AN$1,$U7,0)*SUMIF('KU-LGE Rating'!$R:$R,$D7,'KU-LGE Rating'!$F:$F)</f>
        <v>0</v>
      </c>
      <c r="AO7" s="256">
        <f>IF($F7=AN$1,$U7,0)*SUMIF('KU-LGE Rating'!$R:$R,$D7,'KU-LGE Rating'!$G:$G)</f>
        <v>0</v>
      </c>
      <c r="AP7" s="240">
        <f t="shared" si="8"/>
        <v>0</v>
      </c>
      <c r="AQ7" s="277"/>
      <c r="AR7" s="277"/>
      <c r="AV7" s="278"/>
      <c r="AW7" s="278"/>
      <c r="AX7" s="278"/>
    </row>
    <row r="8" spans="1:50">
      <c r="A8" s="1" t="s">
        <v>2756</v>
      </c>
      <c r="B8" s="1" t="s">
        <v>3</v>
      </c>
      <c r="C8" t="s">
        <v>3723</v>
      </c>
      <c r="D8" t="s">
        <v>3651</v>
      </c>
      <c r="E8" t="s">
        <v>3893</v>
      </c>
      <c r="F8">
        <v>2014</v>
      </c>
      <c r="G8" t="s">
        <v>3908</v>
      </c>
      <c r="H8">
        <v>512100</v>
      </c>
      <c r="I8">
        <v>2238.85</v>
      </c>
      <c r="J8">
        <v>302.27999999999997</v>
      </c>
      <c r="K8">
        <v>166543.04000000001</v>
      </c>
      <c r="L8">
        <v>-7675.3</v>
      </c>
      <c r="M8">
        <v>1709.37</v>
      </c>
      <c r="N8">
        <v>2835</v>
      </c>
      <c r="O8">
        <v>-2835</v>
      </c>
      <c r="P8">
        <v>673.46</v>
      </c>
      <c r="Q8">
        <v>66208.3</v>
      </c>
      <c r="R8">
        <v>0</v>
      </c>
      <c r="S8">
        <v>0</v>
      </c>
      <c r="T8">
        <v>0</v>
      </c>
      <c r="U8" s="8">
        <v>230000</v>
      </c>
      <c r="V8" s="243" t="str">
        <f t="shared" si="0"/>
        <v>512</v>
      </c>
      <c r="W8" s="240">
        <f t="shared" si="1"/>
        <v>227458.87</v>
      </c>
      <c r="X8" s="243">
        <f t="shared" si="2"/>
        <v>0</v>
      </c>
      <c r="Y8" s="255">
        <f>$W8*SUMIF('KU-LGE Rating'!$R:$R,$D8,'KU-LGE Rating'!F:F)</f>
        <v>0</v>
      </c>
      <c r="Z8" s="256">
        <f>$W8*SUMIF('KU-LGE Rating'!$R:$R,$D8,'KU-LGE Rating'!G:G)</f>
        <v>227458.87</v>
      </c>
      <c r="AA8" s="257">
        <f t="shared" si="3"/>
        <v>227458.87</v>
      </c>
      <c r="AB8" s="255">
        <f>$X8*SUMIF('KU-LGE Rating'!$R:$R,$D8,'KU-LGE Rating'!F:F)</f>
        <v>0</v>
      </c>
      <c r="AC8" s="256">
        <f>$X8*SUMIF('KU-LGE Rating'!$R:$R,$D8,'KU-LGE Rating'!G:G)</f>
        <v>0</v>
      </c>
      <c r="AD8" s="257">
        <f t="shared" si="4"/>
        <v>0</v>
      </c>
      <c r="AE8" s="274">
        <f>IF($F8=AE$1,$U8,0)*SUMIF('KU-LGE Rating'!$R:$R,$D8,'KU-LGE Rating'!$F:$F)</f>
        <v>0</v>
      </c>
      <c r="AF8" s="274">
        <f>IF($F8=AE$1,$U8,0)*SUMIF('KU-LGE Rating'!$R:$R,$D8,'KU-LGE Rating'!$G:$G)</f>
        <v>230000</v>
      </c>
      <c r="AG8" s="240">
        <f t="shared" si="5"/>
        <v>230000</v>
      </c>
      <c r="AH8" s="256">
        <f>IF($F8=AH$1,$U8,0)*SUMIF('KU-LGE Rating'!$R:$R,$D8,'KU-LGE Rating'!$F:$F)</f>
        <v>0</v>
      </c>
      <c r="AI8" s="256">
        <f>IF($F8=AH$1,$U8,0)*SUMIF('KU-LGE Rating'!$R:$R,$D8,'KU-LGE Rating'!$G:$G)</f>
        <v>0</v>
      </c>
      <c r="AJ8" s="240">
        <f t="shared" si="6"/>
        <v>0</v>
      </c>
      <c r="AK8" s="256">
        <f>IF($F8=AK$1,$U8,0)*SUMIF('KU-LGE Rating'!$R:$R,$D8,'KU-LGE Rating'!$F:$F)</f>
        <v>0</v>
      </c>
      <c r="AL8" s="256">
        <f>IF($F8=AK$1,$U8,0)*SUMIF('KU-LGE Rating'!$R:$R,$D8,'KU-LGE Rating'!$G:$G)</f>
        <v>0</v>
      </c>
      <c r="AM8" s="240">
        <f t="shared" si="7"/>
        <v>0</v>
      </c>
      <c r="AN8" s="256">
        <f>IF($F8=AN$1,$U8,0)*SUMIF('KU-LGE Rating'!$R:$R,$D8,'KU-LGE Rating'!$F:$F)</f>
        <v>0</v>
      </c>
      <c r="AO8" s="256">
        <f>IF($F8=AN$1,$U8,0)*SUMIF('KU-LGE Rating'!$R:$R,$D8,'KU-LGE Rating'!$G:$G)</f>
        <v>0</v>
      </c>
      <c r="AP8" s="240">
        <f t="shared" si="8"/>
        <v>0</v>
      </c>
      <c r="AQ8" s="277"/>
      <c r="AR8" s="277"/>
      <c r="AV8" s="278"/>
      <c r="AW8" s="278"/>
      <c r="AX8" s="278"/>
    </row>
    <row r="9" spans="1:50">
      <c r="A9" s="1" t="s">
        <v>2756</v>
      </c>
      <c r="B9" s="1" t="s">
        <v>3</v>
      </c>
      <c r="C9" t="s">
        <v>3723</v>
      </c>
      <c r="D9" t="s">
        <v>3651</v>
      </c>
      <c r="E9" t="s">
        <v>3893</v>
      </c>
      <c r="F9">
        <v>2014</v>
      </c>
      <c r="G9" t="s">
        <v>3908</v>
      </c>
      <c r="H9">
        <v>513100</v>
      </c>
      <c r="I9">
        <v>0</v>
      </c>
      <c r="J9">
        <v>0.31</v>
      </c>
      <c r="K9">
        <v>24121.51</v>
      </c>
      <c r="L9">
        <v>16085.28</v>
      </c>
      <c r="M9">
        <v>1722.4</v>
      </c>
      <c r="N9">
        <v>405.49</v>
      </c>
      <c r="O9">
        <v>0</v>
      </c>
      <c r="P9">
        <v>0</v>
      </c>
      <c r="Q9">
        <v>-12613.87</v>
      </c>
      <c r="R9">
        <v>0</v>
      </c>
      <c r="S9">
        <v>0</v>
      </c>
      <c r="T9">
        <v>0</v>
      </c>
      <c r="U9" s="8">
        <v>29721.119999999999</v>
      </c>
      <c r="V9" s="243" t="str">
        <f t="shared" si="0"/>
        <v>513</v>
      </c>
      <c r="W9" s="240">
        <f t="shared" si="1"/>
        <v>29720.809999999998</v>
      </c>
      <c r="X9" s="243">
        <f t="shared" si="2"/>
        <v>0</v>
      </c>
      <c r="Y9" s="255">
        <f>$W9*SUMIF('KU-LGE Rating'!$R:$R,$D9,'KU-LGE Rating'!F:F)</f>
        <v>0</v>
      </c>
      <c r="Z9" s="256">
        <f>$W9*SUMIF('KU-LGE Rating'!$R:$R,$D9,'KU-LGE Rating'!G:G)</f>
        <v>29720.809999999998</v>
      </c>
      <c r="AA9" s="257">
        <f t="shared" si="3"/>
        <v>29720.809999999998</v>
      </c>
      <c r="AB9" s="255">
        <f>$X9*SUMIF('KU-LGE Rating'!$R:$R,$D9,'KU-LGE Rating'!F:F)</f>
        <v>0</v>
      </c>
      <c r="AC9" s="256">
        <f>$X9*SUMIF('KU-LGE Rating'!$R:$R,$D9,'KU-LGE Rating'!G:G)</f>
        <v>0</v>
      </c>
      <c r="AD9" s="257">
        <f t="shared" si="4"/>
        <v>0</v>
      </c>
      <c r="AE9" s="274">
        <f>IF($F9=AE$1,$U9,0)*SUMIF('KU-LGE Rating'!$R:$R,$D9,'KU-LGE Rating'!$F:$F)</f>
        <v>0</v>
      </c>
      <c r="AF9" s="274">
        <f>IF($F9=AE$1,$U9,0)*SUMIF('KU-LGE Rating'!$R:$R,$D9,'KU-LGE Rating'!$G:$G)</f>
        <v>29721.119999999999</v>
      </c>
      <c r="AG9" s="240">
        <f t="shared" si="5"/>
        <v>29721.119999999999</v>
      </c>
      <c r="AH9" s="256">
        <f>IF($F9=AH$1,$U9,0)*SUMIF('KU-LGE Rating'!$R:$R,$D9,'KU-LGE Rating'!$F:$F)</f>
        <v>0</v>
      </c>
      <c r="AI9" s="256">
        <f>IF($F9=AH$1,$U9,0)*SUMIF('KU-LGE Rating'!$R:$R,$D9,'KU-LGE Rating'!$G:$G)</f>
        <v>0</v>
      </c>
      <c r="AJ9" s="240">
        <f t="shared" si="6"/>
        <v>0</v>
      </c>
      <c r="AK9" s="256">
        <f>IF($F9=AK$1,$U9,0)*SUMIF('KU-LGE Rating'!$R:$R,$D9,'KU-LGE Rating'!$F:$F)</f>
        <v>0</v>
      </c>
      <c r="AL9" s="256">
        <f>IF($F9=AK$1,$U9,0)*SUMIF('KU-LGE Rating'!$R:$R,$D9,'KU-LGE Rating'!$G:$G)</f>
        <v>0</v>
      </c>
      <c r="AM9" s="240">
        <f t="shared" si="7"/>
        <v>0</v>
      </c>
      <c r="AN9" s="256">
        <f>IF($F9=AN$1,$U9,0)*SUMIF('KU-LGE Rating'!$R:$R,$D9,'KU-LGE Rating'!$F:$F)</f>
        <v>0</v>
      </c>
      <c r="AO9" s="256">
        <f>IF($F9=AN$1,$U9,0)*SUMIF('KU-LGE Rating'!$R:$R,$D9,'KU-LGE Rating'!$G:$G)</f>
        <v>0</v>
      </c>
      <c r="AP9" s="240">
        <f t="shared" si="8"/>
        <v>0</v>
      </c>
      <c r="AQ9" s="277"/>
      <c r="AR9" s="277"/>
      <c r="AV9" s="278"/>
      <c r="AW9" s="278"/>
      <c r="AX9" s="278"/>
    </row>
    <row r="10" spans="1:50">
      <c r="A10" s="1" t="s">
        <v>2756</v>
      </c>
      <c r="B10" s="1" t="s">
        <v>3</v>
      </c>
      <c r="C10" t="s">
        <v>3723</v>
      </c>
      <c r="D10" t="s">
        <v>3652</v>
      </c>
      <c r="E10" t="s">
        <v>3893</v>
      </c>
      <c r="F10">
        <v>2014</v>
      </c>
      <c r="G10" t="s">
        <v>3908</v>
      </c>
      <c r="H10">
        <v>511100</v>
      </c>
      <c r="I10">
        <v>0</v>
      </c>
      <c r="J10">
        <v>0</v>
      </c>
      <c r="K10">
        <v>0.05</v>
      </c>
      <c r="L10">
        <v>0</v>
      </c>
      <c r="M10">
        <v>0</v>
      </c>
      <c r="N10">
        <v>0</v>
      </c>
      <c r="O10">
        <v>0</v>
      </c>
      <c r="P10">
        <v>0</v>
      </c>
      <c r="Q10">
        <v>-0.05</v>
      </c>
      <c r="R10">
        <v>0</v>
      </c>
      <c r="S10">
        <v>0</v>
      </c>
      <c r="T10">
        <v>0</v>
      </c>
      <c r="U10" s="8">
        <v>0</v>
      </c>
      <c r="V10" s="243" t="str">
        <f t="shared" si="0"/>
        <v>511</v>
      </c>
      <c r="W10" s="240">
        <f t="shared" si="1"/>
        <v>0</v>
      </c>
      <c r="X10" s="243">
        <f t="shared" si="2"/>
        <v>0</v>
      </c>
      <c r="Y10" s="255">
        <f>$W10*SUMIF('KU-LGE Rating'!$R:$R,$D10,'KU-LGE Rating'!F:F)</f>
        <v>0</v>
      </c>
      <c r="Z10" s="256">
        <f>$W10*SUMIF('KU-LGE Rating'!$R:$R,$D10,'KU-LGE Rating'!G:G)</f>
        <v>0</v>
      </c>
      <c r="AA10" s="257">
        <f t="shared" si="3"/>
        <v>0</v>
      </c>
      <c r="AB10" s="255">
        <f>$X10*SUMIF('KU-LGE Rating'!$R:$R,$D10,'KU-LGE Rating'!F:F)</f>
        <v>0</v>
      </c>
      <c r="AC10" s="256">
        <f>$X10*SUMIF('KU-LGE Rating'!$R:$R,$D10,'KU-LGE Rating'!G:G)</f>
        <v>0</v>
      </c>
      <c r="AD10" s="257">
        <f t="shared" si="4"/>
        <v>0</v>
      </c>
      <c r="AE10" s="274">
        <f>IF($F10=AE$1,$U10,0)*SUMIF('KU-LGE Rating'!$R:$R,$D10,'KU-LGE Rating'!$F:$F)</f>
        <v>0</v>
      </c>
      <c r="AF10" s="274">
        <f>IF($F10=AE$1,$U10,0)*SUMIF('KU-LGE Rating'!$R:$R,$D10,'KU-LGE Rating'!$G:$G)</f>
        <v>0</v>
      </c>
      <c r="AG10" s="240">
        <f t="shared" si="5"/>
        <v>0</v>
      </c>
      <c r="AH10" s="256">
        <f>IF($F10=AH$1,$U10,0)*SUMIF('KU-LGE Rating'!$R:$R,$D10,'KU-LGE Rating'!$F:$F)</f>
        <v>0</v>
      </c>
      <c r="AI10" s="256">
        <f>IF($F10=AH$1,$U10,0)*SUMIF('KU-LGE Rating'!$R:$R,$D10,'KU-LGE Rating'!$G:$G)</f>
        <v>0</v>
      </c>
      <c r="AJ10" s="240">
        <f t="shared" si="6"/>
        <v>0</v>
      </c>
      <c r="AK10" s="256">
        <f>IF($F10=AK$1,$U10,0)*SUMIF('KU-LGE Rating'!$R:$R,$D10,'KU-LGE Rating'!$F:$F)</f>
        <v>0</v>
      </c>
      <c r="AL10" s="256">
        <f>IF($F10=AK$1,$U10,0)*SUMIF('KU-LGE Rating'!$R:$R,$D10,'KU-LGE Rating'!$G:$G)</f>
        <v>0</v>
      </c>
      <c r="AM10" s="240">
        <f t="shared" si="7"/>
        <v>0</v>
      </c>
      <c r="AN10" s="256">
        <f>IF($F10=AN$1,$U10,0)*SUMIF('KU-LGE Rating'!$R:$R,$D10,'KU-LGE Rating'!$F:$F)</f>
        <v>0</v>
      </c>
      <c r="AO10" s="256">
        <f>IF($F10=AN$1,$U10,0)*SUMIF('KU-LGE Rating'!$R:$R,$D10,'KU-LGE Rating'!$G:$G)</f>
        <v>0</v>
      </c>
      <c r="AP10" s="240">
        <f t="shared" si="8"/>
        <v>0</v>
      </c>
      <c r="AQ10" s="277"/>
      <c r="AR10" s="277"/>
      <c r="AV10" s="278"/>
      <c r="AW10" s="278"/>
      <c r="AX10" s="278"/>
    </row>
    <row r="11" spans="1:50">
      <c r="A11" s="1" t="s">
        <v>2756</v>
      </c>
      <c r="B11" s="1" t="s">
        <v>3</v>
      </c>
      <c r="C11" t="s">
        <v>3723</v>
      </c>
      <c r="D11" t="s">
        <v>3652</v>
      </c>
      <c r="E11" t="s">
        <v>3893</v>
      </c>
      <c r="F11">
        <v>2014</v>
      </c>
      <c r="G11" t="s">
        <v>3908</v>
      </c>
      <c r="H11">
        <v>512005</v>
      </c>
      <c r="I11">
        <v>0</v>
      </c>
      <c r="J11">
        <v>3173.18</v>
      </c>
      <c r="K11">
        <v>43407</v>
      </c>
      <c r="L11">
        <v>52498.26</v>
      </c>
      <c r="M11">
        <v>3899.05</v>
      </c>
      <c r="N11">
        <v>0</v>
      </c>
      <c r="O11">
        <v>0</v>
      </c>
      <c r="P11">
        <v>0</v>
      </c>
      <c r="Q11">
        <v>-102977.49</v>
      </c>
      <c r="R11">
        <v>0</v>
      </c>
      <c r="S11">
        <v>0</v>
      </c>
      <c r="T11">
        <v>0</v>
      </c>
      <c r="U11" s="8">
        <v>0</v>
      </c>
      <c r="V11" s="243" t="str">
        <f t="shared" si="0"/>
        <v>512</v>
      </c>
      <c r="W11" s="240">
        <f t="shared" si="1"/>
        <v>-3173.179999999993</v>
      </c>
      <c r="X11" s="243">
        <f t="shared" si="2"/>
        <v>0</v>
      </c>
      <c r="Y11" s="255">
        <f>$W11*SUMIF('KU-LGE Rating'!$R:$R,$D11,'KU-LGE Rating'!F:F)</f>
        <v>0</v>
      </c>
      <c r="Z11" s="256">
        <f>$W11*SUMIF('KU-LGE Rating'!$R:$R,$D11,'KU-LGE Rating'!G:G)</f>
        <v>-3173.179999999993</v>
      </c>
      <c r="AA11" s="257">
        <f t="shared" si="3"/>
        <v>-3173.179999999993</v>
      </c>
      <c r="AB11" s="255">
        <f>$X11*SUMIF('KU-LGE Rating'!$R:$R,$D11,'KU-LGE Rating'!F:F)</f>
        <v>0</v>
      </c>
      <c r="AC11" s="256">
        <f>$X11*SUMIF('KU-LGE Rating'!$R:$R,$D11,'KU-LGE Rating'!G:G)</f>
        <v>0</v>
      </c>
      <c r="AD11" s="257">
        <f t="shared" si="4"/>
        <v>0</v>
      </c>
      <c r="AE11" s="274">
        <f>IF($F11=AE$1,$U11,0)*SUMIF('KU-LGE Rating'!$R:$R,$D11,'KU-LGE Rating'!$F:$F)</f>
        <v>0</v>
      </c>
      <c r="AF11" s="274">
        <f>IF($F11=AE$1,$U11,0)*SUMIF('KU-LGE Rating'!$R:$R,$D11,'KU-LGE Rating'!$G:$G)</f>
        <v>0</v>
      </c>
      <c r="AG11" s="240">
        <f t="shared" si="5"/>
        <v>0</v>
      </c>
      <c r="AH11" s="256">
        <f>IF($F11=AH$1,$U11,0)*SUMIF('KU-LGE Rating'!$R:$R,$D11,'KU-LGE Rating'!$F:$F)</f>
        <v>0</v>
      </c>
      <c r="AI11" s="256">
        <f>IF($F11=AH$1,$U11,0)*SUMIF('KU-LGE Rating'!$R:$R,$D11,'KU-LGE Rating'!$G:$G)</f>
        <v>0</v>
      </c>
      <c r="AJ11" s="240">
        <f t="shared" si="6"/>
        <v>0</v>
      </c>
      <c r="AK11" s="256">
        <f>IF($F11=AK$1,$U11,0)*SUMIF('KU-LGE Rating'!$R:$R,$D11,'KU-LGE Rating'!$F:$F)</f>
        <v>0</v>
      </c>
      <c r="AL11" s="256">
        <f>IF($F11=AK$1,$U11,0)*SUMIF('KU-LGE Rating'!$R:$R,$D11,'KU-LGE Rating'!$G:$G)</f>
        <v>0</v>
      </c>
      <c r="AM11" s="240">
        <f t="shared" si="7"/>
        <v>0</v>
      </c>
      <c r="AN11" s="256">
        <f>IF($F11=AN$1,$U11,0)*SUMIF('KU-LGE Rating'!$R:$R,$D11,'KU-LGE Rating'!$F:$F)</f>
        <v>0</v>
      </c>
      <c r="AO11" s="256">
        <f>IF($F11=AN$1,$U11,0)*SUMIF('KU-LGE Rating'!$R:$R,$D11,'KU-LGE Rating'!$G:$G)</f>
        <v>0</v>
      </c>
      <c r="AP11" s="240">
        <f t="shared" si="8"/>
        <v>0</v>
      </c>
      <c r="AQ11" s="277"/>
      <c r="AR11" s="277"/>
      <c r="AV11" s="278"/>
      <c r="AW11" s="278"/>
      <c r="AX11" s="278"/>
    </row>
    <row r="12" spans="1:50">
      <c r="A12" s="1" t="s">
        <v>2756</v>
      </c>
      <c r="B12" s="1" t="s">
        <v>3</v>
      </c>
      <c r="C12" t="s">
        <v>3723</v>
      </c>
      <c r="D12" t="s">
        <v>3652</v>
      </c>
      <c r="E12" t="s">
        <v>3893</v>
      </c>
      <c r="F12">
        <v>2014</v>
      </c>
      <c r="G12" t="s">
        <v>3908</v>
      </c>
      <c r="H12">
        <v>512100</v>
      </c>
      <c r="I12">
        <v>0</v>
      </c>
      <c r="J12">
        <v>17834.939999999999</v>
      </c>
      <c r="K12">
        <v>109525.41</v>
      </c>
      <c r="L12">
        <v>250278.1</v>
      </c>
      <c r="M12">
        <v>3285.68</v>
      </c>
      <c r="N12">
        <v>0</v>
      </c>
      <c r="O12">
        <v>0</v>
      </c>
      <c r="P12">
        <v>1226.25</v>
      </c>
      <c r="Q12">
        <v>906209.62</v>
      </c>
      <c r="R12">
        <v>0</v>
      </c>
      <c r="S12">
        <v>0</v>
      </c>
      <c r="T12">
        <v>0</v>
      </c>
      <c r="U12" s="8">
        <v>1288360</v>
      </c>
      <c r="V12" s="243" t="str">
        <f t="shared" si="0"/>
        <v>512</v>
      </c>
      <c r="W12" s="240">
        <f t="shared" si="1"/>
        <v>1270525.06</v>
      </c>
      <c r="X12" s="243">
        <f t="shared" si="2"/>
        <v>0</v>
      </c>
      <c r="Y12" s="255">
        <f>$W12*SUMIF('KU-LGE Rating'!$R:$R,$D12,'KU-LGE Rating'!F:F)</f>
        <v>0</v>
      </c>
      <c r="Z12" s="256">
        <f>$W12*SUMIF('KU-LGE Rating'!$R:$R,$D12,'KU-LGE Rating'!G:G)</f>
        <v>1270525.06</v>
      </c>
      <c r="AA12" s="257">
        <f t="shared" si="3"/>
        <v>1270525.06</v>
      </c>
      <c r="AB12" s="255">
        <f>$X12*SUMIF('KU-LGE Rating'!$R:$R,$D12,'KU-LGE Rating'!F:F)</f>
        <v>0</v>
      </c>
      <c r="AC12" s="256">
        <f>$X12*SUMIF('KU-LGE Rating'!$R:$R,$D12,'KU-LGE Rating'!G:G)</f>
        <v>0</v>
      </c>
      <c r="AD12" s="257">
        <f t="shared" si="4"/>
        <v>0</v>
      </c>
      <c r="AE12" s="274">
        <f>IF($F12=AE$1,$U12,0)*SUMIF('KU-LGE Rating'!$R:$R,$D12,'KU-LGE Rating'!$F:$F)</f>
        <v>0</v>
      </c>
      <c r="AF12" s="274">
        <f>IF($F12=AE$1,$U12,0)*SUMIF('KU-LGE Rating'!$R:$R,$D12,'KU-LGE Rating'!$G:$G)</f>
        <v>1288360</v>
      </c>
      <c r="AG12" s="240">
        <f t="shared" si="5"/>
        <v>1288360</v>
      </c>
      <c r="AH12" s="256">
        <f>IF($F12=AH$1,$U12,0)*SUMIF('KU-LGE Rating'!$R:$R,$D12,'KU-LGE Rating'!$F:$F)</f>
        <v>0</v>
      </c>
      <c r="AI12" s="256">
        <f>IF($F12=AH$1,$U12,0)*SUMIF('KU-LGE Rating'!$R:$R,$D12,'KU-LGE Rating'!$G:$G)</f>
        <v>0</v>
      </c>
      <c r="AJ12" s="240">
        <f t="shared" si="6"/>
        <v>0</v>
      </c>
      <c r="AK12" s="256">
        <f>IF($F12=AK$1,$U12,0)*SUMIF('KU-LGE Rating'!$R:$R,$D12,'KU-LGE Rating'!$F:$F)</f>
        <v>0</v>
      </c>
      <c r="AL12" s="256">
        <f>IF($F12=AK$1,$U12,0)*SUMIF('KU-LGE Rating'!$R:$R,$D12,'KU-LGE Rating'!$G:$G)</f>
        <v>0</v>
      </c>
      <c r="AM12" s="240">
        <f t="shared" si="7"/>
        <v>0</v>
      </c>
      <c r="AN12" s="256">
        <f>IF($F12=AN$1,$U12,0)*SUMIF('KU-LGE Rating'!$R:$R,$D12,'KU-LGE Rating'!$F:$F)</f>
        <v>0</v>
      </c>
      <c r="AO12" s="256">
        <f>IF($F12=AN$1,$U12,0)*SUMIF('KU-LGE Rating'!$R:$R,$D12,'KU-LGE Rating'!$G:$G)</f>
        <v>0</v>
      </c>
      <c r="AP12" s="240">
        <f t="shared" si="8"/>
        <v>0</v>
      </c>
      <c r="AQ12" s="277"/>
      <c r="AR12" s="277"/>
      <c r="AV12" s="278"/>
      <c r="AW12" s="278"/>
      <c r="AX12" s="278"/>
    </row>
    <row r="13" spans="1:50">
      <c r="A13" s="1" t="s">
        <v>2756</v>
      </c>
      <c r="B13" s="1" t="s">
        <v>3</v>
      </c>
      <c r="C13" t="s">
        <v>3723</v>
      </c>
      <c r="D13" t="s">
        <v>3652</v>
      </c>
      <c r="E13" t="s">
        <v>3893</v>
      </c>
      <c r="F13">
        <v>2014</v>
      </c>
      <c r="G13" t="s">
        <v>3908</v>
      </c>
      <c r="H13">
        <v>513100</v>
      </c>
      <c r="I13">
        <v>27998.14</v>
      </c>
      <c r="J13">
        <v>78603.740000000005</v>
      </c>
      <c r="K13">
        <v>442561.98</v>
      </c>
      <c r="L13">
        <v>-368700.8</v>
      </c>
      <c r="M13">
        <v>4647.01</v>
      </c>
      <c r="N13">
        <v>-5.25</v>
      </c>
      <c r="O13">
        <v>0</v>
      </c>
      <c r="P13">
        <v>2194.69</v>
      </c>
      <c r="Q13">
        <v>-4507.33</v>
      </c>
      <c r="R13">
        <v>0</v>
      </c>
      <c r="S13">
        <v>0</v>
      </c>
      <c r="T13">
        <v>0</v>
      </c>
      <c r="U13" s="8">
        <v>182792.18</v>
      </c>
      <c r="V13" s="243" t="str">
        <f t="shared" si="0"/>
        <v>513</v>
      </c>
      <c r="W13" s="240">
        <f t="shared" si="1"/>
        <v>76190.299999999988</v>
      </c>
      <c r="X13" s="243">
        <f t="shared" si="2"/>
        <v>0</v>
      </c>
      <c r="Y13" s="255">
        <f>$W13*SUMIF('KU-LGE Rating'!$R:$R,$D13,'KU-LGE Rating'!F:F)</f>
        <v>0</v>
      </c>
      <c r="Z13" s="256">
        <f>$W13*SUMIF('KU-LGE Rating'!$R:$R,$D13,'KU-LGE Rating'!G:G)</f>
        <v>76190.299999999988</v>
      </c>
      <c r="AA13" s="257">
        <f t="shared" si="3"/>
        <v>76190.299999999988</v>
      </c>
      <c r="AB13" s="255">
        <f>$X13*SUMIF('KU-LGE Rating'!$R:$R,$D13,'KU-LGE Rating'!F:F)</f>
        <v>0</v>
      </c>
      <c r="AC13" s="256">
        <f>$X13*SUMIF('KU-LGE Rating'!$R:$R,$D13,'KU-LGE Rating'!G:G)</f>
        <v>0</v>
      </c>
      <c r="AD13" s="257">
        <f t="shared" si="4"/>
        <v>0</v>
      </c>
      <c r="AE13" s="274">
        <f>IF($F13=AE$1,$U13,0)*SUMIF('KU-LGE Rating'!$R:$R,$D13,'KU-LGE Rating'!$F:$F)</f>
        <v>0</v>
      </c>
      <c r="AF13" s="274">
        <f>IF($F13=AE$1,$U13,0)*SUMIF('KU-LGE Rating'!$R:$R,$D13,'KU-LGE Rating'!$G:$G)</f>
        <v>182792.18</v>
      </c>
      <c r="AG13" s="240">
        <f t="shared" si="5"/>
        <v>182792.18</v>
      </c>
      <c r="AH13" s="256">
        <f>IF($F13=AH$1,$U13,0)*SUMIF('KU-LGE Rating'!$R:$R,$D13,'KU-LGE Rating'!$F:$F)</f>
        <v>0</v>
      </c>
      <c r="AI13" s="256">
        <f>IF($F13=AH$1,$U13,0)*SUMIF('KU-LGE Rating'!$R:$R,$D13,'KU-LGE Rating'!$G:$G)</f>
        <v>0</v>
      </c>
      <c r="AJ13" s="240">
        <f t="shared" si="6"/>
        <v>0</v>
      </c>
      <c r="AK13" s="256">
        <f>IF($F13=AK$1,$U13,0)*SUMIF('KU-LGE Rating'!$R:$R,$D13,'KU-LGE Rating'!$F:$F)</f>
        <v>0</v>
      </c>
      <c r="AL13" s="256">
        <f>IF($F13=AK$1,$U13,0)*SUMIF('KU-LGE Rating'!$R:$R,$D13,'KU-LGE Rating'!$G:$G)</f>
        <v>0</v>
      </c>
      <c r="AM13" s="240">
        <f t="shared" si="7"/>
        <v>0</v>
      </c>
      <c r="AN13" s="256">
        <f>IF($F13=AN$1,$U13,0)*SUMIF('KU-LGE Rating'!$R:$R,$D13,'KU-LGE Rating'!$F:$F)</f>
        <v>0</v>
      </c>
      <c r="AO13" s="256">
        <f>IF($F13=AN$1,$U13,0)*SUMIF('KU-LGE Rating'!$R:$R,$D13,'KU-LGE Rating'!$G:$G)</f>
        <v>0</v>
      </c>
      <c r="AP13" s="240">
        <f t="shared" si="8"/>
        <v>0</v>
      </c>
      <c r="AQ13" s="277"/>
      <c r="AR13" s="277"/>
      <c r="AV13" s="278"/>
      <c r="AW13" s="278"/>
      <c r="AX13" s="278"/>
    </row>
    <row r="14" spans="1:50">
      <c r="A14" s="1" t="s">
        <v>2756</v>
      </c>
      <c r="B14" s="1" t="s">
        <v>3</v>
      </c>
      <c r="C14" t="s">
        <v>3723</v>
      </c>
      <c r="D14" t="s">
        <v>3887</v>
      </c>
      <c r="E14" t="s">
        <v>3893</v>
      </c>
      <c r="F14">
        <v>2015</v>
      </c>
      <c r="G14" t="s">
        <v>3908</v>
      </c>
      <c r="H14">
        <v>554100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894540</v>
      </c>
      <c r="S14">
        <v>0</v>
      </c>
      <c r="T14">
        <v>0</v>
      </c>
      <c r="U14" s="8">
        <v>894540</v>
      </c>
      <c r="V14" s="243" t="str">
        <f t="shared" si="0"/>
        <v>554</v>
      </c>
      <c r="W14" s="240">
        <f t="shared" si="1"/>
        <v>0</v>
      </c>
      <c r="X14" s="243">
        <f t="shared" si="2"/>
        <v>894540</v>
      </c>
      <c r="Y14" s="255">
        <f>$W14*SUMIF('KU-LGE Rating'!$R:$R,$D14,'KU-LGE Rating'!F:F)</f>
        <v>0</v>
      </c>
      <c r="Z14" s="256">
        <f>$W14*SUMIF('KU-LGE Rating'!$R:$R,$D14,'KU-LGE Rating'!G:G)</f>
        <v>0</v>
      </c>
      <c r="AA14" s="257">
        <f t="shared" si="3"/>
        <v>0</v>
      </c>
      <c r="AB14" s="255">
        <f>$X14*SUMIF('KU-LGE Rating'!$R:$R,$D14,'KU-LGE Rating'!F:F)</f>
        <v>697741.20000000007</v>
      </c>
      <c r="AC14" s="256">
        <f>$X14*SUMIF('KU-LGE Rating'!$R:$R,$D14,'KU-LGE Rating'!G:G)</f>
        <v>196798.8</v>
      </c>
      <c r="AD14" s="257">
        <f t="shared" si="4"/>
        <v>894540</v>
      </c>
      <c r="AE14" s="274">
        <f>IF($F14=AE$1,$U14,0)*SUMIF('KU-LGE Rating'!$R:$R,$D14,'KU-LGE Rating'!$F:$F)</f>
        <v>0</v>
      </c>
      <c r="AF14" s="274">
        <f>IF($F14=AE$1,$U14,0)*SUMIF('KU-LGE Rating'!$R:$R,$D14,'KU-LGE Rating'!$G:$G)</f>
        <v>0</v>
      </c>
      <c r="AG14" s="240">
        <f t="shared" si="5"/>
        <v>0</v>
      </c>
      <c r="AH14" s="256">
        <f>IF($F14=AH$1,$U14,0)*SUMIF('KU-LGE Rating'!$R:$R,$D14,'KU-LGE Rating'!$F:$F)</f>
        <v>697741.20000000007</v>
      </c>
      <c r="AI14" s="256">
        <f>IF($F14=AH$1,$U14,0)*SUMIF('KU-LGE Rating'!$R:$R,$D14,'KU-LGE Rating'!$G:$G)</f>
        <v>196798.8</v>
      </c>
      <c r="AJ14" s="240">
        <f t="shared" si="6"/>
        <v>894540</v>
      </c>
      <c r="AK14" s="256">
        <f>IF($F14=AK$1,$U14,0)*SUMIF('KU-LGE Rating'!$R:$R,$D14,'KU-LGE Rating'!$F:$F)</f>
        <v>0</v>
      </c>
      <c r="AL14" s="256">
        <f>IF($F14=AK$1,$U14,0)*SUMIF('KU-LGE Rating'!$R:$R,$D14,'KU-LGE Rating'!$G:$G)</f>
        <v>0</v>
      </c>
      <c r="AM14" s="240">
        <f t="shared" si="7"/>
        <v>0</v>
      </c>
      <c r="AN14" s="256">
        <f>IF($F14=AN$1,$U14,0)*SUMIF('KU-LGE Rating'!$R:$R,$D14,'KU-LGE Rating'!$F:$F)</f>
        <v>0</v>
      </c>
      <c r="AO14" s="256">
        <f>IF($F14=AN$1,$U14,0)*SUMIF('KU-LGE Rating'!$R:$R,$D14,'KU-LGE Rating'!$G:$G)</f>
        <v>0</v>
      </c>
      <c r="AP14" s="240">
        <f t="shared" si="8"/>
        <v>0</v>
      </c>
      <c r="AQ14" s="277"/>
      <c r="AR14" s="277"/>
      <c r="AV14" s="278"/>
      <c r="AW14" s="278"/>
      <c r="AX14" s="278"/>
    </row>
    <row r="15" spans="1:50">
      <c r="A15" s="1" t="s">
        <v>2756</v>
      </c>
      <c r="B15" s="1" t="s">
        <v>3</v>
      </c>
      <c r="C15" t="s">
        <v>3723</v>
      </c>
      <c r="D15" t="s">
        <v>3887</v>
      </c>
      <c r="E15" t="s">
        <v>3893</v>
      </c>
      <c r="F15">
        <v>2016</v>
      </c>
      <c r="G15" t="s">
        <v>3908</v>
      </c>
      <c r="H15">
        <v>554100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1786799</v>
      </c>
      <c r="S15">
        <v>0</v>
      </c>
      <c r="T15">
        <v>0</v>
      </c>
      <c r="U15" s="8">
        <v>1786799</v>
      </c>
      <c r="V15" s="243" t="str">
        <f t="shared" si="0"/>
        <v>554</v>
      </c>
      <c r="W15" s="240">
        <f t="shared" si="1"/>
        <v>0</v>
      </c>
      <c r="X15" s="243">
        <f t="shared" si="2"/>
        <v>0</v>
      </c>
      <c r="Y15" s="255">
        <f>$W15*SUMIF('KU-LGE Rating'!$R:$R,$D15,'KU-LGE Rating'!F:F)</f>
        <v>0</v>
      </c>
      <c r="Z15" s="256">
        <f>$W15*SUMIF('KU-LGE Rating'!$R:$R,$D15,'KU-LGE Rating'!G:G)</f>
        <v>0</v>
      </c>
      <c r="AA15" s="257">
        <f t="shared" si="3"/>
        <v>0</v>
      </c>
      <c r="AB15" s="255">
        <f>$X15*SUMIF('KU-LGE Rating'!$R:$R,$D15,'KU-LGE Rating'!F:F)</f>
        <v>0</v>
      </c>
      <c r="AC15" s="256">
        <f>$X15*SUMIF('KU-LGE Rating'!$R:$R,$D15,'KU-LGE Rating'!G:G)</f>
        <v>0</v>
      </c>
      <c r="AD15" s="257">
        <f t="shared" si="4"/>
        <v>0</v>
      </c>
      <c r="AE15" s="274">
        <f>IF($F15=AE$1,$U15,0)*SUMIF('KU-LGE Rating'!$R:$R,$D15,'KU-LGE Rating'!$F:$F)</f>
        <v>0</v>
      </c>
      <c r="AF15" s="274">
        <f>IF($F15=AE$1,$U15,0)*SUMIF('KU-LGE Rating'!$R:$R,$D15,'KU-LGE Rating'!$G:$G)</f>
        <v>0</v>
      </c>
      <c r="AG15" s="240">
        <f t="shared" si="5"/>
        <v>0</v>
      </c>
      <c r="AH15" s="256">
        <f>IF($F15=AH$1,$U15,0)*SUMIF('KU-LGE Rating'!$R:$R,$D15,'KU-LGE Rating'!$F:$F)</f>
        <v>0</v>
      </c>
      <c r="AI15" s="256">
        <f>IF($F15=AH$1,$U15,0)*SUMIF('KU-LGE Rating'!$R:$R,$D15,'KU-LGE Rating'!$G:$G)</f>
        <v>0</v>
      </c>
      <c r="AJ15" s="240">
        <f t="shared" si="6"/>
        <v>0</v>
      </c>
      <c r="AK15" s="256">
        <f>IF($F15=AK$1,$U15,0)*SUMIF('KU-LGE Rating'!$R:$R,$D15,'KU-LGE Rating'!$F:$F)</f>
        <v>1393703.22</v>
      </c>
      <c r="AL15" s="256">
        <f>IF($F15=AK$1,$U15,0)*SUMIF('KU-LGE Rating'!$R:$R,$D15,'KU-LGE Rating'!$G:$G)</f>
        <v>393095.78</v>
      </c>
      <c r="AM15" s="240">
        <f t="shared" si="7"/>
        <v>1786799</v>
      </c>
      <c r="AN15" s="256">
        <f>IF($F15=AN$1,$U15,0)*SUMIF('KU-LGE Rating'!$R:$R,$D15,'KU-LGE Rating'!$F:$F)</f>
        <v>0</v>
      </c>
      <c r="AO15" s="256">
        <f>IF($F15=AN$1,$U15,0)*SUMIF('KU-LGE Rating'!$R:$R,$D15,'KU-LGE Rating'!$G:$G)</f>
        <v>0</v>
      </c>
      <c r="AP15" s="240">
        <f t="shared" si="8"/>
        <v>0</v>
      </c>
      <c r="AQ15" s="277"/>
      <c r="AR15" s="277"/>
      <c r="AV15" s="278"/>
      <c r="AW15" s="278"/>
      <c r="AX15" s="278"/>
    </row>
    <row r="16" spans="1:50">
      <c r="A16" s="1" t="s">
        <v>2756</v>
      </c>
      <c r="B16" s="1" t="s">
        <v>3</v>
      </c>
      <c r="C16" t="s">
        <v>3723</v>
      </c>
      <c r="D16" t="s">
        <v>3887</v>
      </c>
      <c r="E16" t="s">
        <v>3893</v>
      </c>
      <c r="F16">
        <v>2017</v>
      </c>
      <c r="G16" t="s">
        <v>3908</v>
      </c>
      <c r="H16">
        <v>554100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2291409</v>
      </c>
      <c r="S16">
        <v>0</v>
      </c>
      <c r="T16">
        <v>0</v>
      </c>
      <c r="U16" s="8">
        <v>2291409</v>
      </c>
      <c r="V16" s="243" t="str">
        <f t="shared" si="0"/>
        <v>554</v>
      </c>
      <c r="W16" s="240">
        <f t="shared" si="1"/>
        <v>0</v>
      </c>
      <c r="X16" s="243">
        <f t="shared" si="2"/>
        <v>0</v>
      </c>
      <c r="Y16" s="255">
        <f>$W16*SUMIF('KU-LGE Rating'!$R:$R,$D16,'KU-LGE Rating'!F:F)</f>
        <v>0</v>
      </c>
      <c r="Z16" s="256">
        <f>$W16*SUMIF('KU-LGE Rating'!$R:$R,$D16,'KU-LGE Rating'!G:G)</f>
        <v>0</v>
      </c>
      <c r="AA16" s="257">
        <f t="shared" si="3"/>
        <v>0</v>
      </c>
      <c r="AB16" s="255">
        <f>$X16*SUMIF('KU-LGE Rating'!$R:$R,$D16,'KU-LGE Rating'!F:F)</f>
        <v>0</v>
      </c>
      <c r="AC16" s="256">
        <f>$X16*SUMIF('KU-LGE Rating'!$R:$R,$D16,'KU-LGE Rating'!G:G)</f>
        <v>0</v>
      </c>
      <c r="AD16" s="257">
        <f t="shared" si="4"/>
        <v>0</v>
      </c>
      <c r="AE16" s="274">
        <f>IF($F16=AE$1,$U16,0)*SUMIF('KU-LGE Rating'!$R:$R,$D16,'KU-LGE Rating'!$F:$F)</f>
        <v>0</v>
      </c>
      <c r="AF16" s="274">
        <f>IF($F16=AE$1,$U16,0)*SUMIF('KU-LGE Rating'!$R:$R,$D16,'KU-LGE Rating'!$G:$G)</f>
        <v>0</v>
      </c>
      <c r="AG16" s="240">
        <f t="shared" si="5"/>
        <v>0</v>
      </c>
      <c r="AH16" s="256">
        <f>IF($F16=AH$1,$U16,0)*SUMIF('KU-LGE Rating'!$R:$R,$D16,'KU-LGE Rating'!$F:$F)</f>
        <v>0</v>
      </c>
      <c r="AI16" s="256">
        <f>IF($F16=AH$1,$U16,0)*SUMIF('KU-LGE Rating'!$R:$R,$D16,'KU-LGE Rating'!$G:$G)</f>
        <v>0</v>
      </c>
      <c r="AJ16" s="240">
        <f t="shared" si="6"/>
        <v>0</v>
      </c>
      <c r="AK16" s="256">
        <f>IF($F16=AK$1,$U16,0)*SUMIF('KU-LGE Rating'!$R:$R,$D16,'KU-LGE Rating'!$F:$F)</f>
        <v>0</v>
      </c>
      <c r="AL16" s="256">
        <f>IF($F16=AK$1,$U16,0)*SUMIF('KU-LGE Rating'!$R:$R,$D16,'KU-LGE Rating'!$G:$G)</f>
        <v>0</v>
      </c>
      <c r="AM16" s="240">
        <f t="shared" si="7"/>
        <v>0</v>
      </c>
      <c r="AN16" s="256">
        <f>IF($F16=AN$1,$U16,0)*SUMIF('KU-LGE Rating'!$R:$R,$D16,'KU-LGE Rating'!$F:$F)</f>
        <v>1787299.02</v>
      </c>
      <c r="AO16" s="256">
        <f>IF($F16=AN$1,$U16,0)*SUMIF('KU-LGE Rating'!$R:$R,$D16,'KU-LGE Rating'!$G:$G)</f>
        <v>504109.98</v>
      </c>
      <c r="AP16" s="240">
        <f t="shared" si="8"/>
        <v>2291409</v>
      </c>
      <c r="AQ16" s="277"/>
      <c r="AR16" s="277"/>
      <c r="AV16" s="278"/>
      <c r="AW16" s="278"/>
      <c r="AX16" s="278"/>
    </row>
    <row r="17" spans="1:50">
      <c r="A17" s="1" t="s">
        <v>2756</v>
      </c>
      <c r="B17" s="1" t="s">
        <v>3</v>
      </c>
      <c r="C17" t="s">
        <v>3723</v>
      </c>
      <c r="D17" t="s">
        <v>3654</v>
      </c>
      <c r="E17" t="s">
        <v>3911</v>
      </c>
      <c r="F17">
        <v>2016</v>
      </c>
      <c r="G17" t="s">
        <v>3908</v>
      </c>
      <c r="H17">
        <v>512055</v>
      </c>
      <c r="I17">
        <v>0</v>
      </c>
      <c r="J17">
        <v>0</v>
      </c>
      <c r="K17">
        <v>100000.22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8">
        <v>100000.22</v>
      </c>
      <c r="V17" s="243" t="str">
        <f t="shared" si="0"/>
        <v>512</v>
      </c>
      <c r="W17" s="240">
        <f t="shared" si="1"/>
        <v>0</v>
      </c>
      <c r="X17" s="243">
        <f t="shared" si="2"/>
        <v>100000.22</v>
      </c>
      <c r="Y17" s="255">
        <f>$W17*SUMIF('KU-LGE Rating'!$R:$R,$D17,'KU-LGE Rating'!F:F)</f>
        <v>0</v>
      </c>
      <c r="Z17" s="256">
        <f>$W17*SUMIF('KU-LGE Rating'!$R:$R,$D17,'KU-LGE Rating'!G:G)</f>
        <v>0</v>
      </c>
      <c r="AA17" s="257">
        <f t="shared" si="3"/>
        <v>0</v>
      </c>
      <c r="AB17" s="255">
        <f>$X17*SUMIF('KU-LGE Rating'!$R:$R,$D17,'KU-LGE Rating'!F:F)</f>
        <v>0</v>
      </c>
      <c r="AC17" s="256">
        <f>$X17*SUMIF('KU-LGE Rating'!$R:$R,$D17,'KU-LGE Rating'!G:G)</f>
        <v>100000.22</v>
      </c>
      <c r="AD17" s="257">
        <f t="shared" si="4"/>
        <v>100000.22</v>
      </c>
      <c r="AE17" s="274">
        <f>IF($F17=AE$1,$U17,0)*SUMIF('KU-LGE Rating'!$R:$R,$D17,'KU-LGE Rating'!$F:$F)</f>
        <v>0</v>
      </c>
      <c r="AF17" s="274">
        <f>IF($F17=AE$1,$U17,0)*SUMIF('KU-LGE Rating'!$R:$R,$D17,'KU-LGE Rating'!$G:$G)</f>
        <v>0</v>
      </c>
      <c r="AG17" s="240">
        <f t="shared" si="5"/>
        <v>0</v>
      </c>
      <c r="AH17" s="256">
        <f>IF($F17=AH$1,$U17,0)*SUMIF('KU-LGE Rating'!$R:$R,$D17,'KU-LGE Rating'!$F:$F)</f>
        <v>0</v>
      </c>
      <c r="AI17" s="256">
        <f>IF($F17=AH$1,$U17,0)*SUMIF('KU-LGE Rating'!$R:$R,$D17,'KU-LGE Rating'!$G:$G)</f>
        <v>0</v>
      </c>
      <c r="AJ17" s="240">
        <f t="shared" si="6"/>
        <v>0</v>
      </c>
      <c r="AK17" s="256">
        <f>IF($F17=AK$1,$U17,0)*SUMIF('KU-LGE Rating'!$R:$R,$D17,'KU-LGE Rating'!$F:$F)</f>
        <v>0</v>
      </c>
      <c r="AL17" s="256">
        <f>IF($F17=AK$1,$U17,0)*SUMIF('KU-LGE Rating'!$R:$R,$D17,'KU-LGE Rating'!$G:$G)</f>
        <v>100000.22</v>
      </c>
      <c r="AM17" s="240">
        <f t="shared" si="7"/>
        <v>100000.22</v>
      </c>
      <c r="AN17" s="256">
        <f>IF($F17=AN$1,$U17,0)*SUMIF('KU-LGE Rating'!$R:$R,$D17,'KU-LGE Rating'!$F:$F)</f>
        <v>0</v>
      </c>
      <c r="AO17" s="256">
        <f>IF($F17=AN$1,$U17,0)*SUMIF('KU-LGE Rating'!$R:$R,$D17,'KU-LGE Rating'!$G:$G)</f>
        <v>0</v>
      </c>
      <c r="AP17" s="240">
        <f t="shared" si="8"/>
        <v>0</v>
      </c>
      <c r="AQ17" s="277"/>
      <c r="AR17" s="277"/>
      <c r="AV17" s="278"/>
      <c r="AW17" s="278"/>
      <c r="AX17" s="278"/>
    </row>
    <row r="18" spans="1:50">
      <c r="A18" s="1" t="s">
        <v>2756</v>
      </c>
      <c r="B18" s="1" t="s">
        <v>3</v>
      </c>
      <c r="C18" t="s">
        <v>3723</v>
      </c>
      <c r="D18" t="s">
        <v>3654</v>
      </c>
      <c r="E18" t="s">
        <v>3911</v>
      </c>
      <c r="F18">
        <v>2017</v>
      </c>
      <c r="G18" t="s">
        <v>3908</v>
      </c>
      <c r="H18">
        <v>512055</v>
      </c>
      <c r="I18">
        <v>0</v>
      </c>
      <c r="J18">
        <v>0</v>
      </c>
      <c r="K18">
        <v>0</v>
      </c>
      <c r="L18">
        <v>49999.519999999997</v>
      </c>
      <c r="M18">
        <v>49999.519999999997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8">
        <v>99999.039999999994</v>
      </c>
      <c r="V18" s="243" t="str">
        <f t="shared" si="0"/>
        <v>512</v>
      </c>
      <c r="W18" s="240">
        <f t="shared" si="1"/>
        <v>0</v>
      </c>
      <c r="X18" s="243">
        <f t="shared" si="2"/>
        <v>0</v>
      </c>
      <c r="Y18" s="255">
        <f>$W18*SUMIF('KU-LGE Rating'!$R:$R,$D18,'KU-LGE Rating'!F:F)</f>
        <v>0</v>
      </c>
      <c r="Z18" s="256">
        <f>$W18*SUMIF('KU-LGE Rating'!$R:$R,$D18,'KU-LGE Rating'!G:G)</f>
        <v>0</v>
      </c>
      <c r="AA18" s="257">
        <f t="shared" si="3"/>
        <v>0</v>
      </c>
      <c r="AB18" s="255">
        <f>$X18*SUMIF('KU-LGE Rating'!$R:$R,$D18,'KU-LGE Rating'!F:F)</f>
        <v>0</v>
      </c>
      <c r="AC18" s="256">
        <f>$X18*SUMIF('KU-LGE Rating'!$R:$R,$D18,'KU-LGE Rating'!G:G)</f>
        <v>0</v>
      </c>
      <c r="AD18" s="257">
        <f t="shared" si="4"/>
        <v>0</v>
      </c>
      <c r="AE18" s="274">
        <f>IF($F18=AE$1,$U18,0)*SUMIF('KU-LGE Rating'!$R:$R,$D18,'KU-LGE Rating'!$F:$F)</f>
        <v>0</v>
      </c>
      <c r="AF18" s="274">
        <f>IF($F18=AE$1,$U18,0)*SUMIF('KU-LGE Rating'!$R:$R,$D18,'KU-LGE Rating'!$G:$G)</f>
        <v>0</v>
      </c>
      <c r="AG18" s="240">
        <f t="shared" si="5"/>
        <v>0</v>
      </c>
      <c r="AH18" s="256">
        <f>IF($F18=AH$1,$U18,0)*SUMIF('KU-LGE Rating'!$R:$R,$D18,'KU-LGE Rating'!$F:$F)</f>
        <v>0</v>
      </c>
      <c r="AI18" s="256">
        <f>IF($F18=AH$1,$U18,0)*SUMIF('KU-LGE Rating'!$R:$R,$D18,'KU-LGE Rating'!$G:$G)</f>
        <v>0</v>
      </c>
      <c r="AJ18" s="240">
        <f t="shared" si="6"/>
        <v>0</v>
      </c>
      <c r="AK18" s="256">
        <f>IF($F18=AK$1,$U18,0)*SUMIF('KU-LGE Rating'!$R:$R,$D18,'KU-LGE Rating'!$F:$F)</f>
        <v>0</v>
      </c>
      <c r="AL18" s="256">
        <f>IF($F18=AK$1,$U18,0)*SUMIF('KU-LGE Rating'!$R:$R,$D18,'KU-LGE Rating'!$G:$G)</f>
        <v>0</v>
      </c>
      <c r="AM18" s="240">
        <f t="shared" si="7"/>
        <v>0</v>
      </c>
      <c r="AN18" s="256">
        <f>IF($F18=AN$1,$U18,0)*SUMIF('KU-LGE Rating'!$R:$R,$D18,'KU-LGE Rating'!$F:$F)</f>
        <v>0</v>
      </c>
      <c r="AO18" s="256">
        <f>IF($F18=AN$1,$U18,0)*SUMIF('KU-LGE Rating'!$R:$R,$D18,'KU-LGE Rating'!$G:$G)</f>
        <v>99999.039999999994</v>
      </c>
      <c r="AP18" s="240">
        <f t="shared" si="8"/>
        <v>99999.039999999994</v>
      </c>
      <c r="AQ18" s="277"/>
      <c r="AR18" s="277"/>
      <c r="AV18" s="278"/>
      <c r="AW18" s="278"/>
      <c r="AX18" s="278"/>
    </row>
    <row r="19" spans="1:50">
      <c r="A19" s="1" t="s">
        <v>2756</v>
      </c>
      <c r="B19" s="1" t="s">
        <v>3</v>
      </c>
      <c r="C19" t="s">
        <v>3723</v>
      </c>
      <c r="D19" t="s">
        <v>3654</v>
      </c>
      <c r="E19" t="s">
        <v>3893</v>
      </c>
      <c r="F19">
        <v>2014</v>
      </c>
      <c r="G19" t="s">
        <v>3908</v>
      </c>
      <c r="H19">
        <v>512005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10000</v>
      </c>
      <c r="R19">
        <v>0</v>
      </c>
      <c r="S19">
        <v>0</v>
      </c>
      <c r="T19">
        <v>0</v>
      </c>
      <c r="U19" s="8">
        <v>10000</v>
      </c>
      <c r="V19" s="243" t="str">
        <f t="shared" si="0"/>
        <v>512</v>
      </c>
      <c r="W19" s="240">
        <f t="shared" si="1"/>
        <v>10000</v>
      </c>
      <c r="X19" s="243">
        <f t="shared" si="2"/>
        <v>0</v>
      </c>
      <c r="Y19" s="255">
        <f>$W19*SUMIF('KU-LGE Rating'!$R:$R,$D19,'KU-LGE Rating'!F:F)</f>
        <v>0</v>
      </c>
      <c r="Z19" s="256">
        <f>$W19*SUMIF('KU-LGE Rating'!$R:$R,$D19,'KU-LGE Rating'!G:G)</f>
        <v>10000</v>
      </c>
      <c r="AA19" s="257">
        <f t="shared" si="3"/>
        <v>10000</v>
      </c>
      <c r="AB19" s="255">
        <f>$X19*SUMIF('KU-LGE Rating'!$R:$R,$D19,'KU-LGE Rating'!F:F)</f>
        <v>0</v>
      </c>
      <c r="AC19" s="256">
        <f>$X19*SUMIF('KU-LGE Rating'!$R:$R,$D19,'KU-LGE Rating'!G:G)</f>
        <v>0</v>
      </c>
      <c r="AD19" s="257">
        <f t="shared" si="4"/>
        <v>0</v>
      </c>
      <c r="AE19" s="274">
        <f>IF($F19=AE$1,$U19,0)*SUMIF('KU-LGE Rating'!$R:$R,$D19,'KU-LGE Rating'!$F:$F)</f>
        <v>0</v>
      </c>
      <c r="AF19" s="274">
        <f>IF($F19=AE$1,$U19,0)*SUMIF('KU-LGE Rating'!$R:$R,$D19,'KU-LGE Rating'!$G:$G)</f>
        <v>10000</v>
      </c>
      <c r="AG19" s="240">
        <f t="shared" si="5"/>
        <v>10000</v>
      </c>
      <c r="AH19" s="256">
        <f>IF($F19=AH$1,$U19,0)*SUMIF('KU-LGE Rating'!$R:$R,$D19,'KU-LGE Rating'!$F:$F)</f>
        <v>0</v>
      </c>
      <c r="AI19" s="256">
        <f>IF($F19=AH$1,$U19,0)*SUMIF('KU-LGE Rating'!$R:$R,$D19,'KU-LGE Rating'!$G:$G)</f>
        <v>0</v>
      </c>
      <c r="AJ19" s="240">
        <f t="shared" si="6"/>
        <v>0</v>
      </c>
      <c r="AK19" s="256">
        <f>IF($F19=AK$1,$U19,0)*SUMIF('KU-LGE Rating'!$R:$R,$D19,'KU-LGE Rating'!$F:$F)</f>
        <v>0</v>
      </c>
      <c r="AL19" s="256">
        <f>IF($F19=AK$1,$U19,0)*SUMIF('KU-LGE Rating'!$R:$R,$D19,'KU-LGE Rating'!$G:$G)</f>
        <v>0</v>
      </c>
      <c r="AM19" s="240">
        <f t="shared" si="7"/>
        <v>0</v>
      </c>
      <c r="AN19" s="256">
        <f>IF($F19=AN$1,$U19,0)*SUMIF('KU-LGE Rating'!$R:$R,$D19,'KU-LGE Rating'!$F:$F)</f>
        <v>0</v>
      </c>
      <c r="AO19" s="256">
        <f>IF($F19=AN$1,$U19,0)*SUMIF('KU-LGE Rating'!$R:$R,$D19,'KU-LGE Rating'!$G:$G)</f>
        <v>0</v>
      </c>
      <c r="AP19" s="240">
        <f t="shared" si="8"/>
        <v>0</v>
      </c>
      <c r="AQ19" s="277"/>
      <c r="AR19" s="277"/>
      <c r="AV19" s="278"/>
      <c r="AW19" s="278"/>
      <c r="AX19" s="278"/>
    </row>
    <row r="20" spans="1:50">
      <c r="A20" s="1" t="s">
        <v>2756</v>
      </c>
      <c r="B20" s="1" t="s">
        <v>3</v>
      </c>
      <c r="C20" t="s">
        <v>3723</v>
      </c>
      <c r="D20" t="s">
        <v>3654</v>
      </c>
      <c r="E20" t="s">
        <v>3893</v>
      </c>
      <c r="F20">
        <v>2014</v>
      </c>
      <c r="G20" t="s">
        <v>3908</v>
      </c>
      <c r="H20">
        <v>512100</v>
      </c>
      <c r="I20">
        <v>0</v>
      </c>
      <c r="J20">
        <v>0</v>
      </c>
      <c r="K20">
        <v>0</v>
      </c>
      <c r="L20">
        <v>1749</v>
      </c>
      <c r="M20">
        <v>88405.78</v>
      </c>
      <c r="N20">
        <v>0</v>
      </c>
      <c r="O20">
        <v>0</v>
      </c>
      <c r="P20">
        <v>0</v>
      </c>
      <c r="Q20">
        <v>130015.03</v>
      </c>
      <c r="R20">
        <v>0</v>
      </c>
      <c r="S20">
        <v>0</v>
      </c>
      <c r="T20">
        <v>0</v>
      </c>
      <c r="U20" s="8">
        <v>220169.81</v>
      </c>
      <c r="V20" s="243" t="str">
        <f t="shared" si="0"/>
        <v>512</v>
      </c>
      <c r="W20" s="240">
        <f t="shared" si="1"/>
        <v>220169.81</v>
      </c>
      <c r="X20" s="243">
        <f t="shared" si="2"/>
        <v>0</v>
      </c>
      <c r="Y20" s="255">
        <f>$W20*SUMIF('KU-LGE Rating'!$R:$R,$D20,'KU-LGE Rating'!F:F)</f>
        <v>0</v>
      </c>
      <c r="Z20" s="256">
        <f>$W20*SUMIF('KU-LGE Rating'!$R:$R,$D20,'KU-LGE Rating'!G:G)</f>
        <v>220169.81</v>
      </c>
      <c r="AA20" s="257">
        <f t="shared" si="3"/>
        <v>220169.81</v>
      </c>
      <c r="AB20" s="255">
        <f>$X20*SUMIF('KU-LGE Rating'!$R:$R,$D20,'KU-LGE Rating'!F:F)</f>
        <v>0</v>
      </c>
      <c r="AC20" s="256">
        <f>$X20*SUMIF('KU-LGE Rating'!$R:$R,$D20,'KU-LGE Rating'!G:G)</f>
        <v>0</v>
      </c>
      <c r="AD20" s="257">
        <f t="shared" si="4"/>
        <v>0</v>
      </c>
      <c r="AE20" s="274">
        <f>IF($F20=AE$1,$U20,0)*SUMIF('KU-LGE Rating'!$R:$R,$D20,'KU-LGE Rating'!$F:$F)</f>
        <v>0</v>
      </c>
      <c r="AF20" s="274">
        <f>IF($F20=AE$1,$U20,0)*SUMIF('KU-LGE Rating'!$R:$R,$D20,'KU-LGE Rating'!$G:$G)</f>
        <v>220169.81</v>
      </c>
      <c r="AG20" s="240">
        <f t="shared" si="5"/>
        <v>220169.81</v>
      </c>
      <c r="AH20" s="256">
        <f>IF($F20=AH$1,$U20,0)*SUMIF('KU-LGE Rating'!$R:$R,$D20,'KU-LGE Rating'!$F:$F)</f>
        <v>0</v>
      </c>
      <c r="AI20" s="256">
        <f>IF($F20=AH$1,$U20,0)*SUMIF('KU-LGE Rating'!$R:$R,$D20,'KU-LGE Rating'!$G:$G)</f>
        <v>0</v>
      </c>
      <c r="AJ20" s="240">
        <f t="shared" si="6"/>
        <v>0</v>
      </c>
      <c r="AK20" s="256">
        <f>IF($F20=AK$1,$U20,0)*SUMIF('KU-LGE Rating'!$R:$R,$D20,'KU-LGE Rating'!$F:$F)</f>
        <v>0</v>
      </c>
      <c r="AL20" s="256">
        <f>IF($F20=AK$1,$U20,0)*SUMIF('KU-LGE Rating'!$R:$R,$D20,'KU-LGE Rating'!$G:$G)</f>
        <v>0</v>
      </c>
      <c r="AM20" s="240">
        <f t="shared" si="7"/>
        <v>0</v>
      </c>
      <c r="AN20" s="256">
        <f>IF($F20=AN$1,$U20,0)*SUMIF('KU-LGE Rating'!$R:$R,$D20,'KU-LGE Rating'!$F:$F)</f>
        <v>0</v>
      </c>
      <c r="AO20" s="256">
        <f>IF($F20=AN$1,$U20,0)*SUMIF('KU-LGE Rating'!$R:$R,$D20,'KU-LGE Rating'!$G:$G)</f>
        <v>0</v>
      </c>
      <c r="AP20" s="240">
        <f t="shared" si="8"/>
        <v>0</v>
      </c>
      <c r="AQ20" s="277"/>
      <c r="AR20" s="277"/>
      <c r="AV20" s="278"/>
      <c r="AW20" s="278"/>
      <c r="AX20" s="278"/>
    </row>
    <row r="21" spans="1:50">
      <c r="A21" s="1" t="s">
        <v>2756</v>
      </c>
      <c r="B21" s="1" t="s">
        <v>3</v>
      </c>
      <c r="C21" t="s">
        <v>3723</v>
      </c>
      <c r="D21" t="s">
        <v>3654</v>
      </c>
      <c r="E21" t="s">
        <v>3893</v>
      </c>
      <c r="F21">
        <v>2014</v>
      </c>
      <c r="G21" t="s">
        <v>3908</v>
      </c>
      <c r="H21">
        <v>513100</v>
      </c>
      <c r="I21">
        <v>62680</v>
      </c>
      <c r="J21">
        <v>-45046.14</v>
      </c>
      <c r="K21">
        <v>-1165</v>
      </c>
      <c r="L21">
        <v>0</v>
      </c>
      <c r="M21">
        <v>0</v>
      </c>
      <c r="N21">
        <v>0</v>
      </c>
      <c r="O21">
        <v>0</v>
      </c>
      <c r="P21">
        <v>0</v>
      </c>
      <c r="Q21">
        <v>103616.05</v>
      </c>
      <c r="R21">
        <v>0</v>
      </c>
      <c r="S21">
        <v>0</v>
      </c>
      <c r="T21">
        <v>0</v>
      </c>
      <c r="U21" s="8">
        <v>120084.91</v>
      </c>
      <c r="V21" s="243" t="str">
        <f t="shared" si="0"/>
        <v>513</v>
      </c>
      <c r="W21" s="240">
        <f t="shared" si="1"/>
        <v>102451.05</v>
      </c>
      <c r="X21" s="243">
        <f t="shared" si="2"/>
        <v>0</v>
      </c>
      <c r="Y21" s="255">
        <f>$W21*SUMIF('KU-LGE Rating'!$R:$R,$D21,'KU-LGE Rating'!F:F)</f>
        <v>0</v>
      </c>
      <c r="Z21" s="256">
        <f>$W21*SUMIF('KU-LGE Rating'!$R:$R,$D21,'KU-LGE Rating'!G:G)</f>
        <v>102451.05</v>
      </c>
      <c r="AA21" s="257">
        <f t="shared" si="3"/>
        <v>102451.05</v>
      </c>
      <c r="AB21" s="255">
        <f>$X21*SUMIF('KU-LGE Rating'!$R:$R,$D21,'KU-LGE Rating'!F:F)</f>
        <v>0</v>
      </c>
      <c r="AC21" s="256">
        <f>$X21*SUMIF('KU-LGE Rating'!$R:$R,$D21,'KU-LGE Rating'!G:G)</f>
        <v>0</v>
      </c>
      <c r="AD21" s="257">
        <f t="shared" si="4"/>
        <v>0</v>
      </c>
      <c r="AE21" s="274">
        <f>IF($F21=AE$1,$U21,0)*SUMIF('KU-LGE Rating'!$R:$R,$D21,'KU-LGE Rating'!$F:$F)</f>
        <v>0</v>
      </c>
      <c r="AF21" s="274">
        <f>IF($F21=AE$1,$U21,0)*SUMIF('KU-LGE Rating'!$R:$R,$D21,'KU-LGE Rating'!$G:$G)</f>
        <v>120084.91</v>
      </c>
      <c r="AG21" s="240">
        <f t="shared" si="5"/>
        <v>120084.91</v>
      </c>
      <c r="AH21" s="256">
        <f>IF($F21=AH$1,$U21,0)*SUMIF('KU-LGE Rating'!$R:$R,$D21,'KU-LGE Rating'!$F:$F)</f>
        <v>0</v>
      </c>
      <c r="AI21" s="256">
        <f>IF($F21=AH$1,$U21,0)*SUMIF('KU-LGE Rating'!$R:$R,$D21,'KU-LGE Rating'!$G:$G)</f>
        <v>0</v>
      </c>
      <c r="AJ21" s="240">
        <f t="shared" si="6"/>
        <v>0</v>
      </c>
      <c r="AK21" s="256">
        <f>IF($F21=AK$1,$U21,0)*SUMIF('KU-LGE Rating'!$R:$R,$D21,'KU-LGE Rating'!$F:$F)</f>
        <v>0</v>
      </c>
      <c r="AL21" s="256">
        <f>IF($F21=AK$1,$U21,0)*SUMIF('KU-LGE Rating'!$R:$R,$D21,'KU-LGE Rating'!$G:$G)</f>
        <v>0</v>
      </c>
      <c r="AM21" s="240">
        <f t="shared" si="7"/>
        <v>0</v>
      </c>
      <c r="AN21" s="256">
        <f>IF($F21=AN$1,$U21,0)*SUMIF('KU-LGE Rating'!$R:$R,$D21,'KU-LGE Rating'!$F:$F)</f>
        <v>0</v>
      </c>
      <c r="AO21" s="256">
        <f>IF($F21=AN$1,$U21,0)*SUMIF('KU-LGE Rating'!$R:$R,$D21,'KU-LGE Rating'!$G:$G)</f>
        <v>0</v>
      </c>
      <c r="AP21" s="240">
        <f t="shared" si="8"/>
        <v>0</v>
      </c>
      <c r="AQ21" s="277"/>
      <c r="AR21" s="277"/>
      <c r="AV21" s="278"/>
      <c r="AW21" s="278"/>
      <c r="AX21" s="278"/>
    </row>
    <row r="22" spans="1:50">
      <c r="A22" s="1" t="s">
        <v>2756</v>
      </c>
      <c r="B22" s="1" t="s">
        <v>3</v>
      </c>
      <c r="C22" t="s">
        <v>3723</v>
      </c>
      <c r="D22" t="s">
        <v>3654</v>
      </c>
      <c r="E22" t="s">
        <v>3893</v>
      </c>
      <c r="F22">
        <v>2015</v>
      </c>
      <c r="G22" t="s">
        <v>3908</v>
      </c>
      <c r="H22">
        <v>512005</v>
      </c>
      <c r="I22">
        <v>0</v>
      </c>
      <c r="J22">
        <v>0</v>
      </c>
      <c r="K22">
        <v>0</v>
      </c>
      <c r="L22">
        <v>49999.519999999997</v>
      </c>
      <c r="M22">
        <v>49999.519999999997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 s="8">
        <v>99999.039999999994</v>
      </c>
      <c r="V22" s="243" t="str">
        <f t="shared" si="0"/>
        <v>512</v>
      </c>
      <c r="W22" s="240">
        <f t="shared" si="1"/>
        <v>0</v>
      </c>
      <c r="X22" s="243">
        <f t="shared" si="2"/>
        <v>0</v>
      </c>
      <c r="Y22" s="255">
        <f>$W22*SUMIF('KU-LGE Rating'!$R:$R,$D22,'KU-LGE Rating'!F:F)</f>
        <v>0</v>
      </c>
      <c r="Z22" s="256">
        <f>$W22*SUMIF('KU-LGE Rating'!$R:$R,$D22,'KU-LGE Rating'!G:G)</f>
        <v>0</v>
      </c>
      <c r="AA22" s="257">
        <f t="shared" si="3"/>
        <v>0</v>
      </c>
      <c r="AB22" s="255">
        <f>$X22*SUMIF('KU-LGE Rating'!$R:$R,$D22,'KU-LGE Rating'!F:F)</f>
        <v>0</v>
      </c>
      <c r="AC22" s="256">
        <f>$X22*SUMIF('KU-LGE Rating'!$R:$R,$D22,'KU-LGE Rating'!G:G)</f>
        <v>0</v>
      </c>
      <c r="AD22" s="257">
        <f t="shared" si="4"/>
        <v>0</v>
      </c>
      <c r="AE22" s="274">
        <f>IF($F22=AE$1,$U22,0)*SUMIF('KU-LGE Rating'!$R:$R,$D22,'KU-LGE Rating'!$F:$F)</f>
        <v>0</v>
      </c>
      <c r="AF22" s="274">
        <f>IF($F22=AE$1,$U22,0)*SUMIF('KU-LGE Rating'!$R:$R,$D22,'KU-LGE Rating'!$G:$G)</f>
        <v>0</v>
      </c>
      <c r="AG22" s="240">
        <f t="shared" si="5"/>
        <v>0</v>
      </c>
      <c r="AH22" s="256">
        <f>IF($F22=AH$1,$U22,0)*SUMIF('KU-LGE Rating'!$R:$R,$D22,'KU-LGE Rating'!$F:$F)</f>
        <v>0</v>
      </c>
      <c r="AI22" s="256">
        <f>IF($F22=AH$1,$U22,0)*SUMIF('KU-LGE Rating'!$R:$R,$D22,'KU-LGE Rating'!$G:$G)</f>
        <v>99999.039999999994</v>
      </c>
      <c r="AJ22" s="240">
        <f t="shared" si="6"/>
        <v>99999.039999999994</v>
      </c>
      <c r="AK22" s="256">
        <f>IF($F22=AK$1,$U22,0)*SUMIF('KU-LGE Rating'!$R:$R,$D22,'KU-LGE Rating'!$F:$F)</f>
        <v>0</v>
      </c>
      <c r="AL22" s="256">
        <f>IF($F22=AK$1,$U22,0)*SUMIF('KU-LGE Rating'!$R:$R,$D22,'KU-LGE Rating'!$G:$G)</f>
        <v>0</v>
      </c>
      <c r="AM22" s="240">
        <f t="shared" si="7"/>
        <v>0</v>
      </c>
      <c r="AN22" s="256">
        <f>IF($F22=AN$1,$U22,0)*SUMIF('KU-LGE Rating'!$R:$R,$D22,'KU-LGE Rating'!$F:$F)</f>
        <v>0</v>
      </c>
      <c r="AO22" s="256">
        <f>IF($F22=AN$1,$U22,0)*SUMIF('KU-LGE Rating'!$R:$R,$D22,'KU-LGE Rating'!$G:$G)</f>
        <v>0</v>
      </c>
      <c r="AP22" s="240">
        <f t="shared" si="8"/>
        <v>0</v>
      </c>
      <c r="AQ22" s="277"/>
      <c r="AR22" s="277"/>
      <c r="AV22" s="278"/>
      <c r="AW22" s="278"/>
      <c r="AX22" s="278"/>
    </row>
    <row r="23" spans="1:50">
      <c r="A23" s="1" t="s">
        <v>2756</v>
      </c>
      <c r="B23" s="1" t="s">
        <v>3</v>
      </c>
      <c r="C23" t="s">
        <v>3723</v>
      </c>
      <c r="D23" t="s">
        <v>3654</v>
      </c>
      <c r="E23" t="s">
        <v>3893</v>
      </c>
      <c r="F23">
        <v>2015</v>
      </c>
      <c r="G23" t="s">
        <v>3908</v>
      </c>
      <c r="H23">
        <v>512100</v>
      </c>
      <c r="I23">
        <v>0</v>
      </c>
      <c r="J23">
        <v>0</v>
      </c>
      <c r="K23">
        <v>100000.43</v>
      </c>
      <c r="L23">
        <v>869999.78</v>
      </c>
      <c r="M23">
        <v>699999.89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8">
        <v>1670000.1</v>
      </c>
      <c r="V23" s="243" t="str">
        <f t="shared" si="0"/>
        <v>512</v>
      </c>
      <c r="W23" s="240">
        <f t="shared" si="1"/>
        <v>0</v>
      </c>
      <c r="X23" s="243">
        <f t="shared" si="2"/>
        <v>0</v>
      </c>
      <c r="Y23" s="255">
        <f>$W23*SUMIF('KU-LGE Rating'!$R:$R,$D23,'KU-LGE Rating'!F:F)</f>
        <v>0</v>
      </c>
      <c r="Z23" s="256">
        <f>$W23*SUMIF('KU-LGE Rating'!$R:$R,$D23,'KU-LGE Rating'!G:G)</f>
        <v>0</v>
      </c>
      <c r="AA23" s="257">
        <f t="shared" si="3"/>
        <v>0</v>
      </c>
      <c r="AB23" s="255">
        <f>$X23*SUMIF('KU-LGE Rating'!$R:$R,$D23,'KU-LGE Rating'!F:F)</f>
        <v>0</v>
      </c>
      <c r="AC23" s="256">
        <f>$X23*SUMIF('KU-LGE Rating'!$R:$R,$D23,'KU-LGE Rating'!G:G)</f>
        <v>0</v>
      </c>
      <c r="AD23" s="257">
        <f t="shared" si="4"/>
        <v>0</v>
      </c>
      <c r="AE23" s="274">
        <f>IF($F23=AE$1,$U23,0)*SUMIF('KU-LGE Rating'!$R:$R,$D23,'KU-LGE Rating'!$F:$F)</f>
        <v>0</v>
      </c>
      <c r="AF23" s="274">
        <f>IF($F23=AE$1,$U23,0)*SUMIF('KU-LGE Rating'!$R:$R,$D23,'KU-LGE Rating'!$G:$G)</f>
        <v>0</v>
      </c>
      <c r="AG23" s="240">
        <f t="shared" si="5"/>
        <v>0</v>
      </c>
      <c r="AH23" s="256">
        <f>IF($F23=AH$1,$U23,0)*SUMIF('KU-LGE Rating'!$R:$R,$D23,'KU-LGE Rating'!$F:$F)</f>
        <v>0</v>
      </c>
      <c r="AI23" s="256">
        <f>IF($F23=AH$1,$U23,0)*SUMIF('KU-LGE Rating'!$R:$R,$D23,'KU-LGE Rating'!$G:$G)</f>
        <v>1670000.1</v>
      </c>
      <c r="AJ23" s="240">
        <f t="shared" si="6"/>
        <v>1670000.1</v>
      </c>
      <c r="AK23" s="256">
        <f>IF($F23=AK$1,$U23,0)*SUMIF('KU-LGE Rating'!$R:$R,$D23,'KU-LGE Rating'!$F:$F)</f>
        <v>0</v>
      </c>
      <c r="AL23" s="256">
        <f>IF($F23=AK$1,$U23,0)*SUMIF('KU-LGE Rating'!$R:$R,$D23,'KU-LGE Rating'!$G:$G)</f>
        <v>0</v>
      </c>
      <c r="AM23" s="240">
        <f t="shared" si="7"/>
        <v>0</v>
      </c>
      <c r="AN23" s="256">
        <f>IF($F23=AN$1,$U23,0)*SUMIF('KU-LGE Rating'!$R:$R,$D23,'KU-LGE Rating'!$F:$F)</f>
        <v>0</v>
      </c>
      <c r="AO23" s="256">
        <f>IF($F23=AN$1,$U23,0)*SUMIF('KU-LGE Rating'!$R:$R,$D23,'KU-LGE Rating'!$G:$G)</f>
        <v>0</v>
      </c>
      <c r="AP23" s="240">
        <f t="shared" si="8"/>
        <v>0</v>
      </c>
      <c r="AQ23" s="277"/>
      <c r="AR23" s="277"/>
      <c r="AV23" s="278"/>
      <c r="AW23" s="278"/>
      <c r="AX23" s="278"/>
    </row>
    <row r="24" spans="1:50">
      <c r="A24" s="1" t="s">
        <v>2756</v>
      </c>
      <c r="B24" s="1" t="s">
        <v>3</v>
      </c>
      <c r="C24" t="s">
        <v>3723</v>
      </c>
      <c r="D24" t="s">
        <v>3654</v>
      </c>
      <c r="E24" t="s">
        <v>3893</v>
      </c>
      <c r="F24">
        <v>2015</v>
      </c>
      <c r="G24" t="s">
        <v>3908</v>
      </c>
      <c r="H24">
        <v>513100</v>
      </c>
      <c r="I24">
        <v>0</v>
      </c>
      <c r="J24">
        <v>0</v>
      </c>
      <c r="K24">
        <v>109999.95</v>
      </c>
      <c r="L24">
        <v>769999.95</v>
      </c>
      <c r="M24">
        <v>699999.46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8">
        <v>1579999.36</v>
      </c>
      <c r="V24" s="243" t="str">
        <f t="shared" si="0"/>
        <v>513</v>
      </c>
      <c r="W24" s="240">
        <f t="shared" si="1"/>
        <v>0</v>
      </c>
      <c r="X24" s="243">
        <f t="shared" si="2"/>
        <v>0</v>
      </c>
      <c r="Y24" s="255">
        <f>$W24*SUMIF('KU-LGE Rating'!$R:$R,$D24,'KU-LGE Rating'!F:F)</f>
        <v>0</v>
      </c>
      <c r="Z24" s="256">
        <f>$W24*SUMIF('KU-LGE Rating'!$R:$R,$D24,'KU-LGE Rating'!G:G)</f>
        <v>0</v>
      </c>
      <c r="AA24" s="257">
        <f t="shared" si="3"/>
        <v>0</v>
      </c>
      <c r="AB24" s="255">
        <f>$X24*SUMIF('KU-LGE Rating'!$R:$R,$D24,'KU-LGE Rating'!F:F)</f>
        <v>0</v>
      </c>
      <c r="AC24" s="256">
        <f>$X24*SUMIF('KU-LGE Rating'!$R:$R,$D24,'KU-LGE Rating'!G:G)</f>
        <v>0</v>
      </c>
      <c r="AD24" s="257">
        <f t="shared" si="4"/>
        <v>0</v>
      </c>
      <c r="AE24" s="274">
        <f>IF($F24=AE$1,$U24,0)*SUMIF('KU-LGE Rating'!$R:$R,$D24,'KU-LGE Rating'!$F:$F)</f>
        <v>0</v>
      </c>
      <c r="AF24" s="274">
        <f>IF($F24=AE$1,$U24,0)*SUMIF('KU-LGE Rating'!$R:$R,$D24,'KU-LGE Rating'!$G:$G)</f>
        <v>0</v>
      </c>
      <c r="AG24" s="240">
        <f t="shared" si="5"/>
        <v>0</v>
      </c>
      <c r="AH24" s="256">
        <f>IF($F24=AH$1,$U24,0)*SUMIF('KU-LGE Rating'!$R:$R,$D24,'KU-LGE Rating'!$F:$F)</f>
        <v>0</v>
      </c>
      <c r="AI24" s="256">
        <f>IF($F24=AH$1,$U24,0)*SUMIF('KU-LGE Rating'!$R:$R,$D24,'KU-LGE Rating'!$G:$G)</f>
        <v>1579999.36</v>
      </c>
      <c r="AJ24" s="240">
        <f t="shared" si="6"/>
        <v>1579999.36</v>
      </c>
      <c r="AK24" s="256">
        <f>IF($F24=AK$1,$U24,0)*SUMIF('KU-LGE Rating'!$R:$R,$D24,'KU-LGE Rating'!$F:$F)</f>
        <v>0</v>
      </c>
      <c r="AL24" s="256">
        <f>IF($F24=AK$1,$U24,0)*SUMIF('KU-LGE Rating'!$R:$R,$D24,'KU-LGE Rating'!$G:$G)</f>
        <v>0</v>
      </c>
      <c r="AM24" s="240">
        <f t="shared" si="7"/>
        <v>0</v>
      </c>
      <c r="AN24" s="256">
        <f>IF($F24=AN$1,$U24,0)*SUMIF('KU-LGE Rating'!$R:$R,$D24,'KU-LGE Rating'!$F:$F)</f>
        <v>0</v>
      </c>
      <c r="AO24" s="256">
        <f>IF($F24=AN$1,$U24,0)*SUMIF('KU-LGE Rating'!$R:$R,$D24,'KU-LGE Rating'!$G:$G)</f>
        <v>0</v>
      </c>
      <c r="AP24" s="240">
        <f t="shared" si="8"/>
        <v>0</v>
      </c>
      <c r="AQ24" s="277"/>
      <c r="AR24" s="277"/>
      <c r="AV24" s="278"/>
      <c r="AW24" s="278"/>
      <c r="AX24" s="278"/>
    </row>
    <row r="25" spans="1:50">
      <c r="A25" s="1" t="s">
        <v>2756</v>
      </c>
      <c r="B25" s="1" t="s">
        <v>3</v>
      </c>
      <c r="C25" t="s">
        <v>3723</v>
      </c>
      <c r="D25" t="s">
        <v>3654</v>
      </c>
      <c r="E25" t="s">
        <v>3893</v>
      </c>
      <c r="F25">
        <v>2016</v>
      </c>
      <c r="G25" t="s">
        <v>3908</v>
      </c>
      <c r="H25">
        <v>512100</v>
      </c>
      <c r="I25">
        <v>0</v>
      </c>
      <c r="J25">
        <v>0</v>
      </c>
      <c r="K25">
        <v>320000.43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8">
        <v>320000.43</v>
      </c>
      <c r="V25" s="243" t="str">
        <f t="shared" si="0"/>
        <v>512</v>
      </c>
      <c r="W25" s="240">
        <f t="shared" si="1"/>
        <v>0</v>
      </c>
      <c r="X25" s="243">
        <f t="shared" si="2"/>
        <v>320000.43</v>
      </c>
      <c r="Y25" s="255">
        <f>$W25*SUMIF('KU-LGE Rating'!$R:$R,$D25,'KU-LGE Rating'!F:F)</f>
        <v>0</v>
      </c>
      <c r="Z25" s="256">
        <f>$W25*SUMIF('KU-LGE Rating'!$R:$R,$D25,'KU-LGE Rating'!G:G)</f>
        <v>0</v>
      </c>
      <c r="AA25" s="257">
        <f t="shared" si="3"/>
        <v>0</v>
      </c>
      <c r="AB25" s="255">
        <f>$X25*SUMIF('KU-LGE Rating'!$R:$R,$D25,'KU-LGE Rating'!F:F)</f>
        <v>0</v>
      </c>
      <c r="AC25" s="256">
        <f>$X25*SUMIF('KU-LGE Rating'!$R:$R,$D25,'KU-LGE Rating'!G:G)</f>
        <v>320000.43</v>
      </c>
      <c r="AD25" s="257">
        <f t="shared" si="4"/>
        <v>320000.43</v>
      </c>
      <c r="AE25" s="274">
        <f>IF($F25=AE$1,$U25,0)*SUMIF('KU-LGE Rating'!$R:$R,$D25,'KU-LGE Rating'!$F:$F)</f>
        <v>0</v>
      </c>
      <c r="AF25" s="274">
        <f>IF($F25=AE$1,$U25,0)*SUMIF('KU-LGE Rating'!$R:$R,$D25,'KU-LGE Rating'!$G:$G)</f>
        <v>0</v>
      </c>
      <c r="AG25" s="240">
        <f t="shared" si="5"/>
        <v>0</v>
      </c>
      <c r="AH25" s="256">
        <f>IF($F25=AH$1,$U25,0)*SUMIF('KU-LGE Rating'!$R:$R,$D25,'KU-LGE Rating'!$F:$F)</f>
        <v>0</v>
      </c>
      <c r="AI25" s="256">
        <f>IF($F25=AH$1,$U25,0)*SUMIF('KU-LGE Rating'!$R:$R,$D25,'KU-LGE Rating'!$G:$G)</f>
        <v>0</v>
      </c>
      <c r="AJ25" s="240">
        <f t="shared" si="6"/>
        <v>0</v>
      </c>
      <c r="AK25" s="256">
        <f>IF($F25=AK$1,$U25,0)*SUMIF('KU-LGE Rating'!$R:$R,$D25,'KU-LGE Rating'!$F:$F)</f>
        <v>0</v>
      </c>
      <c r="AL25" s="256">
        <f>IF($F25=AK$1,$U25,0)*SUMIF('KU-LGE Rating'!$R:$R,$D25,'KU-LGE Rating'!$G:$G)</f>
        <v>320000.43</v>
      </c>
      <c r="AM25" s="240">
        <f t="shared" si="7"/>
        <v>320000.43</v>
      </c>
      <c r="AN25" s="256">
        <f>IF($F25=AN$1,$U25,0)*SUMIF('KU-LGE Rating'!$R:$R,$D25,'KU-LGE Rating'!$F:$F)</f>
        <v>0</v>
      </c>
      <c r="AO25" s="256">
        <f>IF($F25=AN$1,$U25,0)*SUMIF('KU-LGE Rating'!$R:$R,$D25,'KU-LGE Rating'!$G:$G)</f>
        <v>0</v>
      </c>
      <c r="AP25" s="240">
        <f t="shared" si="8"/>
        <v>0</v>
      </c>
      <c r="AQ25" s="277"/>
      <c r="AR25" s="277"/>
      <c r="AV25" s="278"/>
      <c r="AW25" s="278"/>
      <c r="AX25" s="278"/>
    </row>
    <row r="26" spans="1:50">
      <c r="A26" s="1" t="s">
        <v>2756</v>
      </c>
      <c r="B26" s="1" t="s">
        <v>3</v>
      </c>
      <c r="C26" t="s">
        <v>3723</v>
      </c>
      <c r="D26" t="s">
        <v>3654</v>
      </c>
      <c r="E26" t="s">
        <v>3893</v>
      </c>
      <c r="F26">
        <v>2016</v>
      </c>
      <c r="G26" t="s">
        <v>3908</v>
      </c>
      <c r="H26">
        <v>513100</v>
      </c>
      <c r="I26">
        <v>0</v>
      </c>
      <c r="J26">
        <v>0</v>
      </c>
      <c r="K26">
        <v>330000.65000000002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8">
        <v>330000.65000000002</v>
      </c>
      <c r="V26" s="243" t="str">
        <f t="shared" si="0"/>
        <v>513</v>
      </c>
      <c r="W26" s="240">
        <f t="shared" si="1"/>
        <v>0</v>
      </c>
      <c r="X26" s="243">
        <f t="shared" si="2"/>
        <v>330000.65000000002</v>
      </c>
      <c r="Y26" s="255">
        <f>$W26*SUMIF('KU-LGE Rating'!$R:$R,$D26,'KU-LGE Rating'!F:F)</f>
        <v>0</v>
      </c>
      <c r="Z26" s="256">
        <f>$W26*SUMIF('KU-LGE Rating'!$R:$R,$D26,'KU-LGE Rating'!G:G)</f>
        <v>0</v>
      </c>
      <c r="AA26" s="257">
        <f t="shared" si="3"/>
        <v>0</v>
      </c>
      <c r="AB26" s="255">
        <f>$X26*SUMIF('KU-LGE Rating'!$R:$R,$D26,'KU-LGE Rating'!F:F)</f>
        <v>0</v>
      </c>
      <c r="AC26" s="256">
        <f>$X26*SUMIF('KU-LGE Rating'!$R:$R,$D26,'KU-LGE Rating'!G:G)</f>
        <v>330000.65000000002</v>
      </c>
      <c r="AD26" s="257">
        <f t="shared" si="4"/>
        <v>330000.65000000002</v>
      </c>
      <c r="AE26" s="274">
        <f>IF($F26=AE$1,$U26,0)*SUMIF('KU-LGE Rating'!$R:$R,$D26,'KU-LGE Rating'!$F:$F)</f>
        <v>0</v>
      </c>
      <c r="AF26" s="274">
        <f>IF($F26=AE$1,$U26,0)*SUMIF('KU-LGE Rating'!$R:$R,$D26,'KU-LGE Rating'!$G:$G)</f>
        <v>0</v>
      </c>
      <c r="AG26" s="240">
        <f t="shared" si="5"/>
        <v>0</v>
      </c>
      <c r="AH26" s="256">
        <f>IF($F26=AH$1,$U26,0)*SUMIF('KU-LGE Rating'!$R:$R,$D26,'KU-LGE Rating'!$F:$F)</f>
        <v>0</v>
      </c>
      <c r="AI26" s="256">
        <f>IF($F26=AH$1,$U26,0)*SUMIF('KU-LGE Rating'!$R:$R,$D26,'KU-LGE Rating'!$G:$G)</f>
        <v>0</v>
      </c>
      <c r="AJ26" s="240">
        <f t="shared" si="6"/>
        <v>0</v>
      </c>
      <c r="AK26" s="256">
        <f>IF($F26=AK$1,$U26,0)*SUMIF('KU-LGE Rating'!$R:$R,$D26,'KU-LGE Rating'!$F:$F)</f>
        <v>0</v>
      </c>
      <c r="AL26" s="256">
        <f>IF($F26=AK$1,$U26,0)*SUMIF('KU-LGE Rating'!$R:$R,$D26,'KU-LGE Rating'!$G:$G)</f>
        <v>330000.65000000002</v>
      </c>
      <c r="AM26" s="240">
        <f t="shared" si="7"/>
        <v>330000.65000000002</v>
      </c>
      <c r="AN26" s="256">
        <f>IF($F26=AN$1,$U26,0)*SUMIF('KU-LGE Rating'!$R:$R,$D26,'KU-LGE Rating'!$F:$F)</f>
        <v>0</v>
      </c>
      <c r="AO26" s="256">
        <f>IF($F26=AN$1,$U26,0)*SUMIF('KU-LGE Rating'!$R:$R,$D26,'KU-LGE Rating'!$G:$G)</f>
        <v>0</v>
      </c>
      <c r="AP26" s="240">
        <f t="shared" si="8"/>
        <v>0</v>
      </c>
      <c r="AQ26" s="277"/>
      <c r="AR26" s="277"/>
      <c r="AV26" s="278"/>
      <c r="AW26" s="278"/>
      <c r="AX26" s="278"/>
    </row>
    <row r="27" spans="1:50">
      <c r="A27" s="1" t="s">
        <v>2756</v>
      </c>
      <c r="B27" s="1" t="s">
        <v>3</v>
      </c>
      <c r="C27" t="s">
        <v>3723</v>
      </c>
      <c r="D27" t="s">
        <v>3654</v>
      </c>
      <c r="E27" t="s">
        <v>3893</v>
      </c>
      <c r="F27">
        <v>2017</v>
      </c>
      <c r="G27" t="s">
        <v>3908</v>
      </c>
      <c r="H27">
        <v>512100</v>
      </c>
      <c r="I27">
        <v>0</v>
      </c>
      <c r="J27">
        <v>0</v>
      </c>
      <c r="K27">
        <v>119000.22</v>
      </c>
      <c r="L27">
        <v>699999.89</v>
      </c>
      <c r="M27">
        <v>660000.11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8">
        <v>1479000.22</v>
      </c>
      <c r="V27" s="243" t="str">
        <f t="shared" si="0"/>
        <v>512</v>
      </c>
      <c r="W27" s="240">
        <f t="shared" si="1"/>
        <v>0</v>
      </c>
      <c r="X27" s="243">
        <f t="shared" si="2"/>
        <v>0</v>
      </c>
      <c r="Y27" s="255">
        <f>$W27*SUMIF('KU-LGE Rating'!$R:$R,$D27,'KU-LGE Rating'!F:F)</f>
        <v>0</v>
      </c>
      <c r="Z27" s="256">
        <f>$W27*SUMIF('KU-LGE Rating'!$R:$R,$D27,'KU-LGE Rating'!G:G)</f>
        <v>0</v>
      </c>
      <c r="AA27" s="257">
        <f t="shared" si="3"/>
        <v>0</v>
      </c>
      <c r="AB27" s="255">
        <f>$X27*SUMIF('KU-LGE Rating'!$R:$R,$D27,'KU-LGE Rating'!F:F)</f>
        <v>0</v>
      </c>
      <c r="AC27" s="256">
        <f>$X27*SUMIF('KU-LGE Rating'!$R:$R,$D27,'KU-LGE Rating'!G:G)</f>
        <v>0</v>
      </c>
      <c r="AD27" s="257">
        <f t="shared" si="4"/>
        <v>0</v>
      </c>
      <c r="AE27" s="274">
        <f>IF($F27=AE$1,$U27,0)*SUMIF('KU-LGE Rating'!$R:$R,$D27,'KU-LGE Rating'!$F:$F)</f>
        <v>0</v>
      </c>
      <c r="AF27" s="274">
        <f>IF($F27=AE$1,$U27,0)*SUMIF('KU-LGE Rating'!$R:$R,$D27,'KU-LGE Rating'!$G:$G)</f>
        <v>0</v>
      </c>
      <c r="AG27" s="240">
        <f t="shared" si="5"/>
        <v>0</v>
      </c>
      <c r="AH27" s="256">
        <f>IF($F27=AH$1,$U27,0)*SUMIF('KU-LGE Rating'!$R:$R,$D27,'KU-LGE Rating'!$F:$F)</f>
        <v>0</v>
      </c>
      <c r="AI27" s="256">
        <f>IF($F27=AH$1,$U27,0)*SUMIF('KU-LGE Rating'!$R:$R,$D27,'KU-LGE Rating'!$G:$G)</f>
        <v>0</v>
      </c>
      <c r="AJ27" s="240">
        <f t="shared" si="6"/>
        <v>0</v>
      </c>
      <c r="AK27" s="256">
        <f>IF($F27=AK$1,$U27,0)*SUMIF('KU-LGE Rating'!$R:$R,$D27,'KU-LGE Rating'!$F:$F)</f>
        <v>0</v>
      </c>
      <c r="AL27" s="256">
        <f>IF($F27=AK$1,$U27,0)*SUMIF('KU-LGE Rating'!$R:$R,$D27,'KU-LGE Rating'!$G:$G)</f>
        <v>0</v>
      </c>
      <c r="AM27" s="240">
        <f t="shared" si="7"/>
        <v>0</v>
      </c>
      <c r="AN27" s="256">
        <f>IF($F27=AN$1,$U27,0)*SUMIF('KU-LGE Rating'!$R:$R,$D27,'KU-LGE Rating'!$F:$F)</f>
        <v>0</v>
      </c>
      <c r="AO27" s="256">
        <f>IF($F27=AN$1,$U27,0)*SUMIF('KU-LGE Rating'!$R:$R,$D27,'KU-LGE Rating'!$G:$G)</f>
        <v>1479000.22</v>
      </c>
      <c r="AP27" s="240">
        <f t="shared" si="8"/>
        <v>1479000.22</v>
      </c>
      <c r="AQ27" s="277"/>
      <c r="AR27" s="277"/>
      <c r="AV27" s="278"/>
      <c r="AW27" s="278"/>
      <c r="AX27" s="278"/>
    </row>
    <row r="28" spans="1:50">
      <c r="A28" s="1" t="s">
        <v>2756</v>
      </c>
      <c r="B28" s="1" t="s">
        <v>3</v>
      </c>
      <c r="C28" t="s">
        <v>3723</v>
      </c>
      <c r="D28" t="s">
        <v>3654</v>
      </c>
      <c r="E28" t="s">
        <v>3893</v>
      </c>
      <c r="F28">
        <v>2017</v>
      </c>
      <c r="G28" t="s">
        <v>3908</v>
      </c>
      <c r="H28">
        <v>513100</v>
      </c>
      <c r="I28">
        <v>0</v>
      </c>
      <c r="J28">
        <v>0</v>
      </c>
      <c r="K28">
        <v>60000.22</v>
      </c>
      <c r="L28">
        <v>1399999.67</v>
      </c>
      <c r="M28">
        <v>700000.11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8">
        <v>2160000</v>
      </c>
      <c r="V28" s="243" t="str">
        <f t="shared" si="0"/>
        <v>513</v>
      </c>
      <c r="W28" s="240">
        <f t="shared" si="1"/>
        <v>0</v>
      </c>
      <c r="X28" s="243">
        <f t="shared" si="2"/>
        <v>0</v>
      </c>
      <c r="Y28" s="255">
        <f>$W28*SUMIF('KU-LGE Rating'!$R:$R,$D28,'KU-LGE Rating'!F:F)</f>
        <v>0</v>
      </c>
      <c r="Z28" s="256">
        <f>$W28*SUMIF('KU-LGE Rating'!$R:$R,$D28,'KU-LGE Rating'!G:G)</f>
        <v>0</v>
      </c>
      <c r="AA28" s="257">
        <f t="shared" si="3"/>
        <v>0</v>
      </c>
      <c r="AB28" s="255">
        <f>$X28*SUMIF('KU-LGE Rating'!$R:$R,$D28,'KU-LGE Rating'!F:F)</f>
        <v>0</v>
      </c>
      <c r="AC28" s="256">
        <f>$X28*SUMIF('KU-LGE Rating'!$R:$R,$D28,'KU-LGE Rating'!G:G)</f>
        <v>0</v>
      </c>
      <c r="AD28" s="257">
        <f t="shared" si="4"/>
        <v>0</v>
      </c>
      <c r="AE28" s="274">
        <f>IF($F28=AE$1,$U28,0)*SUMIF('KU-LGE Rating'!$R:$R,$D28,'KU-LGE Rating'!$F:$F)</f>
        <v>0</v>
      </c>
      <c r="AF28" s="274">
        <f>IF($F28=AE$1,$U28,0)*SUMIF('KU-LGE Rating'!$R:$R,$D28,'KU-LGE Rating'!$G:$G)</f>
        <v>0</v>
      </c>
      <c r="AG28" s="240">
        <f t="shared" si="5"/>
        <v>0</v>
      </c>
      <c r="AH28" s="256">
        <f>IF($F28=AH$1,$U28,0)*SUMIF('KU-LGE Rating'!$R:$R,$D28,'KU-LGE Rating'!$F:$F)</f>
        <v>0</v>
      </c>
      <c r="AI28" s="256">
        <f>IF($F28=AH$1,$U28,0)*SUMIF('KU-LGE Rating'!$R:$R,$D28,'KU-LGE Rating'!$G:$G)</f>
        <v>0</v>
      </c>
      <c r="AJ28" s="240">
        <f t="shared" si="6"/>
        <v>0</v>
      </c>
      <c r="AK28" s="256">
        <f>IF($F28=AK$1,$U28,0)*SUMIF('KU-LGE Rating'!$R:$R,$D28,'KU-LGE Rating'!$F:$F)</f>
        <v>0</v>
      </c>
      <c r="AL28" s="256">
        <f>IF($F28=AK$1,$U28,0)*SUMIF('KU-LGE Rating'!$R:$R,$D28,'KU-LGE Rating'!$G:$G)</f>
        <v>0</v>
      </c>
      <c r="AM28" s="240">
        <f t="shared" si="7"/>
        <v>0</v>
      </c>
      <c r="AN28" s="256">
        <f>IF($F28=AN$1,$U28,0)*SUMIF('KU-LGE Rating'!$R:$R,$D28,'KU-LGE Rating'!$F:$F)</f>
        <v>0</v>
      </c>
      <c r="AO28" s="256">
        <f>IF($F28=AN$1,$U28,0)*SUMIF('KU-LGE Rating'!$R:$R,$D28,'KU-LGE Rating'!$G:$G)</f>
        <v>2160000</v>
      </c>
      <c r="AP28" s="240">
        <f t="shared" si="8"/>
        <v>2160000</v>
      </c>
      <c r="AQ28" s="277"/>
      <c r="AR28" s="277"/>
      <c r="AV28" s="278"/>
      <c r="AW28" s="278"/>
      <c r="AX28" s="278"/>
    </row>
    <row r="29" spans="1:50">
      <c r="A29" s="1" t="s">
        <v>2756</v>
      </c>
      <c r="B29" s="1" t="s">
        <v>3</v>
      </c>
      <c r="C29" t="s">
        <v>3723</v>
      </c>
      <c r="D29" t="s">
        <v>3655</v>
      </c>
      <c r="E29" t="s">
        <v>3911</v>
      </c>
      <c r="F29">
        <v>2016</v>
      </c>
      <c r="G29" t="s">
        <v>3908</v>
      </c>
      <c r="H29">
        <v>512055</v>
      </c>
      <c r="I29">
        <v>0</v>
      </c>
      <c r="J29">
        <v>0</v>
      </c>
      <c r="K29">
        <v>49999.519999999997</v>
      </c>
      <c r="L29">
        <v>49999.519999999997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8">
        <v>99999.039999999994</v>
      </c>
      <c r="V29" s="243" t="str">
        <f t="shared" si="0"/>
        <v>512</v>
      </c>
      <c r="W29" s="240">
        <f t="shared" si="1"/>
        <v>0</v>
      </c>
      <c r="X29" s="243">
        <f t="shared" si="2"/>
        <v>99999.039999999994</v>
      </c>
      <c r="Y29" s="255">
        <f>$W29*SUMIF('KU-LGE Rating'!$R:$R,$D29,'KU-LGE Rating'!F:F)</f>
        <v>0</v>
      </c>
      <c r="Z29" s="256">
        <f>$W29*SUMIF('KU-LGE Rating'!$R:$R,$D29,'KU-LGE Rating'!G:G)</f>
        <v>0</v>
      </c>
      <c r="AA29" s="257">
        <f t="shared" si="3"/>
        <v>0</v>
      </c>
      <c r="AB29" s="255">
        <f>$X29*SUMIF('KU-LGE Rating'!$R:$R,$D29,'KU-LGE Rating'!F:F)</f>
        <v>0</v>
      </c>
      <c r="AC29" s="256">
        <f>$X29*SUMIF('KU-LGE Rating'!$R:$R,$D29,'KU-LGE Rating'!G:G)</f>
        <v>99999.039999999994</v>
      </c>
      <c r="AD29" s="257">
        <f t="shared" si="4"/>
        <v>99999.039999999994</v>
      </c>
      <c r="AE29" s="274">
        <f>IF($F29=AE$1,$U29,0)*SUMIF('KU-LGE Rating'!$R:$R,$D29,'KU-LGE Rating'!$F:$F)</f>
        <v>0</v>
      </c>
      <c r="AF29" s="274">
        <f>IF($F29=AE$1,$U29,0)*SUMIF('KU-LGE Rating'!$R:$R,$D29,'KU-LGE Rating'!$G:$G)</f>
        <v>0</v>
      </c>
      <c r="AG29" s="240">
        <f t="shared" si="5"/>
        <v>0</v>
      </c>
      <c r="AH29" s="256">
        <f>IF($F29=AH$1,$U29,0)*SUMIF('KU-LGE Rating'!$R:$R,$D29,'KU-LGE Rating'!$F:$F)</f>
        <v>0</v>
      </c>
      <c r="AI29" s="256">
        <f>IF($F29=AH$1,$U29,0)*SUMIF('KU-LGE Rating'!$R:$R,$D29,'KU-LGE Rating'!$G:$G)</f>
        <v>0</v>
      </c>
      <c r="AJ29" s="240">
        <f t="shared" si="6"/>
        <v>0</v>
      </c>
      <c r="AK29" s="256">
        <f>IF($F29=AK$1,$U29,0)*SUMIF('KU-LGE Rating'!$R:$R,$D29,'KU-LGE Rating'!$F:$F)</f>
        <v>0</v>
      </c>
      <c r="AL29" s="256">
        <f>IF($F29=AK$1,$U29,0)*SUMIF('KU-LGE Rating'!$R:$R,$D29,'KU-LGE Rating'!$G:$G)</f>
        <v>99999.039999999994</v>
      </c>
      <c r="AM29" s="240">
        <f t="shared" si="7"/>
        <v>99999.039999999994</v>
      </c>
      <c r="AN29" s="256">
        <f>IF($F29=AN$1,$U29,0)*SUMIF('KU-LGE Rating'!$R:$R,$D29,'KU-LGE Rating'!$F:$F)</f>
        <v>0</v>
      </c>
      <c r="AO29" s="256">
        <f>IF($F29=AN$1,$U29,0)*SUMIF('KU-LGE Rating'!$R:$R,$D29,'KU-LGE Rating'!$G:$G)</f>
        <v>0</v>
      </c>
      <c r="AP29" s="240">
        <f t="shared" si="8"/>
        <v>0</v>
      </c>
      <c r="AQ29" s="277"/>
      <c r="AR29" s="277"/>
      <c r="AV29" s="278"/>
      <c r="AW29" s="278"/>
      <c r="AX29" s="278"/>
    </row>
    <row r="30" spans="1:50">
      <c r="A30" s="1" t="s">
        <v>2756</v>
      </c>
      <c r="B30" s="1" t="s">
        <v>3</v>
      </c>
      <c r="C30" t="s">
        <v>3723</v>
      </c>
      <c r="D30" t="s">
        <v>3655</v>
      </c>
      <c r="E30" t="s">
        <v>3911</v>
      </c>
      <c r="F30">
        <v>2017</v>
      </c>
      <c r="G30" t="s">
        <v>3908</v>
      </c>
      <c r="H30">
        <v>512055</v>
      </c>
      <c r="I30">
        <v>0</v>
      </c>
      <c r="J30">
        <v>0</v>
      </c>
      <c r="K30">
        <v>100000.43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8">
        <v>100000.43</v>
      </c>
      <c r="V30" s="243" t="str">
        <f t="shared" si="0"/>
        <v>512</v>
      </c>
      <c r="W30" s="240">
        <f t="shared" si="1"/>
        <v>0</v>
      </c>
      <c r="X30" s="243">
        <f t="shared" si="2"/>
        <v>0</v>
      </c>
      <c r="Y30" s="255">
        <f>$W30*SUMIF('KU-LGE Rating'!$R:$R,$D30,'KU-LGE Rating'!F:F)</f>
        <v>0</v>
      </c>
      <c r="Z30" s="256">
        <f>$W30*SUMIF('KU-LGE Rating'!$R:$R,$D30,'KU-LGE Rating'!G:G)</f>
        <v>0</v>
      </c>
      <c r="AA30" s="257">
        <f t="shared" si="3"/>
        <v>0</v>
      </c>
      <c r="AB30" s="255">
        <f>$X30*SUMIF('KU-LGE Rating'!$R:$R,$D30,'KU-LGE Rating'!F:F)</f>
        <v>0</v>
      </c>
      <c r="AC30" s="256">
        <f>$X30*SUMIF('KU-LGE Rating'!$R:$R,$D30,'KU-LGE Rating'!G:G)</f>
        <v>0</v>
      </c>
      <c r="AD30" s="257">
        <f t="shared" si="4"/>
        <v>0</v>
      </c>
      <c r="AE30" s="274">
        <f>IF($F30=AE$1,$U30,0)*SUMIF('KU-LGE Rating'!$R:$R,$D30,'KU-LGE Rating'!$F:$F)</f>
        <v>0</v>
      </c>
      <c r="AF30" s="274">
        <f>IF($F30=AE$1,$U30,0)*SUMIF('KU-LGE Rating'!$R:$R,$D30,'KU-LGE Rating'!$G:$G)</f>
        <v>0</v>
      </c>
      <c r="AG30" s="240">
        <f t="shared" si="5"/>
        <v>0</v>
      </c>
      <c r="AH30" s="256">
        <f>IF($F30=AH$1,$U30,0)*SUMIF('KU-LGE Rating'!$R:$R,$D30,'KU-LGE Rating'!$F:$F)</f>
        <v>0</v>
      </c>
      <c r="AI30" s="256">
        <f>IF($F30=AH$1,$U30,0)*SUMIF('KU-LGE Rating'!$R:$R,$D30,'KU-LGE Rating'!$G:$G)</f>
        <v>0</v>
      </c>
      <c r="AJ30" s="240">
        <f t="shared" si="6"/>
        <v>0</v>
      </c>
      <c r="AK30" s="256">
        <f>IF($F30=AK$1,$U30,0)*SUMIF('KU-LGE Rating'!$R:$R,$D30,'KU-LGE Rating'!$F:$F)</f>
        <v>0</v>
      </c>
      <c r="AL30" s="256">
        <f>IF($F30=AK$1,$U30,0)*SUMIF('KU-LGE Rating'!$R:$R,$D30,'KU-LGE Rating'!$G:$G)</f>
        <v>0</v>
      </c>
      <c r="AM30" s="240">
        <f t="shared" si="7"/>
        <v>0</v>
      </c>
      <c r="AN30" s="256">
        <f>IF($F30=AN$1,$U30,0)*SUMIF('KU-LGE Rating'!$R:$R,$D30,'KU-LGE Rating'!$F:$F)</f>
        <v>0</v>
      </c>
      <c r="AO30" s="256">
        <f>IF($F30=AN$1,$U30,0)*SUMIF('KU-LGE Rating'!$R:$R,$D30,'KU-LGE Rating'!$G:$G)</f>
        <v>100000.43</v>
      </c>
      <c r="AP30" s="240">
        <f t="shared" si="8"/>
        <v>100000.43</v>
      </c>
      <c r="AQ30" s="277"/>
      <c r="AR30" s="277"/>
      <c r="AV30" s="278"/>
      <c r="AW30" s="278"/>
      <c r="AX30" s="278"/>
    </row>
    <row r="31" spans="1:50">
      <c r="A31" s="1" t="s">
        <v>2756</v>
      </c>
      <c r="B31" s="1" t="s">
        <v>3</v>
      </c>
      <c r="C31" t="s">
        <v>3723</v>
      </c>
      <c r="D31" t="s">
        <v>3655</v>
      </c>
      <c r="E31" t="s">
        <v>3893</v>
      </c>
      <c r="F31">
        <v>2014</v>
      </c>
      <c r="G31" t="s">
        <v>3908</v>
      </c>
      <c r="H31">
        <v>512005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100127.95</v>
      </c>
      <c r="R31">
        <v>0</v>
      </c>
      <c r="S31">
        <v>0</v>
      </c>
      <c r="T31">
        <v>0</v>
      </c>
      <c r="U31" s="8">
        <v>100127.95</v>
      </c>
      <c r="V31" s="243" t="str">
        <f t="shared" si="0"/>
        <v>512</v>
      </c>
      <c r="W31" s="240">
        <f t="shared" si="1"/>
        <v>100127.95</v>
      </c>
      <c r="X31" s="243">
        <f t="shared" si="2"/>
        <v>0</v>
      </c>
      <c r="Y31" s="255">
        <f>$W31*SUMIF('KU-LGE Rating'!$R:$R,$D31,'KU-LGE Rating'!F:F)</f>
        <v>0</v>
      </c>
      <c r="Z31" s="256">
        <f>$W31*SUMIF('KU-LGE Rating'!$R:$R,$D31,'KU-LGE Rating'!G:G)</f>
        <v>100127.95</v>
      </c>
      <c r="AA31" s="257">
        <f t="shared" si="3"/>
        <v>100127.95</v>
      </c>
      <c r="AB31" s="255">
        <f>$X31*SUMIF('KU-LGE Rating'!$R:$R,$D31,'KU-LGE Rating'!F:F)</f>
        <v>0</v>
      </c>
      <c r="AC31" s="256">
        <f>$X31*SUMIF('KU-LGE Rating'!$R:$R,$D31,'KU-LGE Rating'!G:G)</f>
        <v>0</v>
      </c>
      <c r="AD31" s="257">
        <f t="shared" si="4"/>
        <v>0</v>
      </c>
      <c r="AE31" s="274">
        <f>IF($F31=AE$1,$U31,0)*SUMIF('KU-LGE Rating'!$R:$R,$D31,'KU-LGE Rating'!$F:$F)</f>
        <v>0</v>
      </c>
      <c r="AF31" s="274">
        <f>IF($F31=AE$1,$U31,0)*SUMIF('KU-LGE Rating'!$R:$R,$D31,'KU-LGE Rating'!$G:$G)</f>
        <v>100127.95</v>
      </c>
      <c r="AG31" s="240">
        <f t="shared" si="5"/>
        <v>100127.95</v>
      </c>
      <c r="AH31" s="256">
        <f>IF($F31=AH$1,$U31,0)*SUMIF('KU-LGE Rating'!$R:$R,$D31,'KU-LGE Rating'!$F:$F)</f>
        <v>0</v>
      </c>
      <c r="AI31" s="256">
        <f>IF($F31=AH$1,$U31,0)*SUMIF('KU-LGE Rating'!$R:$R,$D31,'KU-LGE Rating'!$G:$G)</f>
        <v>0</v>
      </c>
      <c r="AJ31" s="240">
        <f t="shared" si="6"/>
        <v>0</v>
      </c>
      <c r="AK31" s="256">
        <f>IF($F31=AK$1,$U31,0)*SUMIF('KU-LGE Rating'!$R:$R,$D31,'KU-LGE Rating'!$F:$F)</f>
        <v>0</v>
      </c>
      <c r="AL31" s="256">
        <f>IF($F31=AK$1,$U31,0)*SUMIF('KU-LGE Rating'!$R:$R,$D31,'KU-LGE Rating'!$G:$G)</f>
        <v>0</v>
      </c>
      <c r="AM31" s="240">
        <f t="shared" si="7"/>
        <v>0</v>
      </c>
      <c r="AN31" s="256">
        <f>IF($F31=AN$1,$U31,0)*SUMIF('KU-LGE Rating'!$R:$R,$D31,'KU-LGE Rating'!$F:$F)</f>
        <v>0</v>
      </c>
      <c r="AO31" s="256">
        <f>IF($F31=AN$1,$U31,0)*SUMIF('KU-LGE Rating'!$R:$R,$D31,'KU-LGE Rating'!$G:$G)</f>
        <v>0</v>
      </c>
      <c r="AP31" s="240">
        <f t="shared" si="8"/>
        <v>0</v>
      </c>
      <c r="AQ31" s="277"/>
      <c r="AR31" s="277"/>
      <c r="AV31" s="278"/>
      <c r="AW31" s="278"/>
      <c r="AX31" s="278"/>
    </row>
    <row r="32" spans="1:50">
      <c r="A32" s="1" t="s">
        <v>2756</v>
      </c>
      <c r="B32" s="1" t="s">
        <v>3</v>
      </c>
      <c r="C32" t="s">
        <v>3723</v>
      </c>
      <c r="D32" t="s">
        <v>3655</v>
      </c>
      <c r="E32" t="s">
        <v>3893</v>
      </c>
      <c r="F32">
        <v>2014</v>
      </c>
      <c r="G32" t="s">
        <v>3908</v>
      </c>
      <c r="H32">
        <v>512100</v>
      </c>
      <c r="I32">
        <v>0</v>
      </c>
      <c r="J32">
        <v>69000</v>
      </c>
      <c r="K32">
        <v>166227.99</v>
      </c>
      <c r="L32">
        <v>1513250.69</v>
      </c>
      <c r="M32">
        <v>190520.55</v>
      </c>
      <c r="N32">
        <v>31889.32</v>
      </c>
      <c r="O32">
        <v>-9496.48</v>
      </c>
      <c r="P32">
        <v>11700.09</v>
      </c>
      <c r="Q32">
        <v>-591987.18999999994</v>
      </c>
      <c r="R32">
        <v>0</v>
      </c>
      <c r="S32">
        <v>0</v>
      </c>
      <c r="T32">
        <v>0</v>
      </c>
      <c r="U32" s="8">
        <v>1381104.97</v>
      </c>
      <c r="V32" s="243" t="str">
        <f t="shared" si="0"/>
        <v>512</v>
      </c>
      <c r="W32" s="240">
        <f t="shared" si="1"/>
        <v>1312104.9700000002</v>
      </c>
      <c r="X32" s="243">
        <f t="shared" si="2"/>
        <v>0</v>
      </c>
      <c r="Y32" s="255">
        <f>$W32*SUMIF('KU-LGE Rating'!$R:$R,$D32,'KU-LGE Rating'!F:F)</f>
        <v>0</v>
      </c>
      <c r="Z32" s="256">
        <f>$W32*SUMIF('KU-LGE Rating'!$R:$R,$D32,'KU-LGE Rating'!G:G)</f>
        <v>1312104.9700000002</v>
      </c>
      <c r="AA32" s="257">
        <f t="shared" si="3"/>
        <v>1312104.9700000002</v>
      </c>
      <c r="AB32" s="255">
        <f>$X32*SUMIF('KU-LGE Rating'!$R:$R,$D32,'KU-LGE Rating'!F:F)</f>
        <v>0</v>
      </c>
      <c r="AC32" s="256">
        <f>$X32*SUMIF('KU-LGE Rating'!$R:$R,$D32,'KU-LGE Rating'!G:G)</f>
        <v>0</v>
      </c>
      <c r="AD32" s="257">
        <f t="shared" si="4"/>
        <v>0</v>
      </c>
      <c r="AE32" s="274">
        <f>IF($F32=AE$1,$U32,0)*SUMIF('KU-LGE Rating'!$R:$R,$D32,'KU-LGE Rating'!$F:$F)</f>
        <v>0</v>
      </c>
      <c r="AF32" s="274">
        <f>IF($F32=AE$1,$U32,0)*SUMIF('KU-LGE Rating'!$R:$R,$D32,'KU-LGE Rating'!$G:$G)</f>
        <v>1381104.97</v>
      </c>
      <c r="AG32" s="240">
        <f t="shared" si="5"/>
        <v>1381104.97</v>
      </c>
      <c r="AH32" s="256">
        <f>IF($F32=AH$1,$U32,0)*SUMIF('KU-LGE Rating'!$R:$R,$D32,'KU-LGE Rating'!$F:$F)</f>
        <v>0</v>
      </c>
      <c r="AI32" s="256">
        <f>IF($F32=AH$1,$U32,0)*SUMIF('KU-LGE Rating'!$R:$R,$D32,'KU-LGE Rating'!$G:$G)</f>
        <v>0</v>
      </c>
      <c r="AJ32" s="240">
        <f t="shared" si="6"/>
        <v>0</v>
      </c>
      <c r="AK32" s="256">
        <f>IF($F32=AK$1,$U32,0)*SUMIF('KU-LGE Rating'!$R:$R,$D32,'KU-LGE Rating'!$F:$F)</f>
        <v>0</v>
      </c>
      <c r="AL32" s="256">
        <f>IF($F32=AK$1,$U32,0)*SUMIF('KU-LGE Rating'!$R:$R,$D32,'KU-LGE Rating'!$G:$G)</f>
        <v>0</v>
      </c>
      <c r="AM32" s="240">
        <f t="shared" si="7"/>
        <v>0</v>
      </c>
      <c r="AN32" s="256">
        <f>IF($F32=AN$1,$U32,0)*SUMIF('KU-LGE Rating'!$R:$R,$D32,'KU-LGE Rating'!$F:$F)</f>
        <v>0</v>
      </c>
      <c r="AO32" s="256">
        <f>IF($F32=AN$1,$U32,0)*SUMIF('KU-LGE Rating'!$R:$R,$D32,'KU-LGE Rating'!$G:$G)</f>
        <v>0</v>
      </c>
      <c r="AP32" s="240">
        <f t="shared" si="8"/>
        <v>0</v>
      </c>
      <c r="AQ32" s="277"/>
      <c r="AR32" s="277"/>
      <c r="AV32" s="278"/>
      <c r="AW32" s="278"/>
      <c r="AX32" s="278"/>
    </row>
    <row r="33" spans="1:50">
      <c r="A33" s="1" t="s">
        <v>2756</v>
      </c>
      <c r="B33" s="1" t="s">
        <v>3</v>
      </c>
      <c r="C33" t="s">
        <v>3723</v>
      </c>
      <c r="D33" t="s">
        <v>3655</v>
      </c>
      <c r="E33" t="s">
        <v>3893</v>
      </c>
      <c r="F33">
        <v>2014</v>
      </c>
      <c r="G33" t="s">
        <v>3908</v>
      </c>
      <c r="H33">
        <v>513100</v>
      </c>
      <c r="I33">
        <v>0</v>
      </c>
      <c r="J33">
        <v>0</v>
      </c>
      <c r="K33">
        <v>9751.4</v>
      </c>
      <c r="L33">
        <v>123654.49</v>
      </c>
      <c r="M33">
        <v>56292.43</v>
      </c>
      <c r="N33">
        <v>-9669.9599999999991</v>
      </c>
      <c r="O33">
        <v>-17961.439999999999</v>
      </c>
      <c r="P33">
        <v>0</v>
      </c>
      <c r="Q33">
        <v>358380.11</v>
      </c>
      <c r="R33">
        <v>0</v>
      </c>
      <c r="S33">
        <v>0</v>
      </c>
      <c r="T33">
        <v>0</v>
      </c>
      <c r="U33" s="8">
        <v>520447.03</v>
      </c>
      <c r="V33" s="243" t="str">
        <f t="shared" si="0"/>
        <v>513</v>
      </c>
      <c r="W33" s="240">
        <f t="shared" si="1"/>
        <v>520447.03</v>
      </c>
      <c r="X33" s="243">
        <f t="shared" si="2"/>
        <v>0</v>
      </c>
      <c r="Y33" s="255">
        <f>$W33*SUMIF('KU-LGE Rating'!$R:$R,$D33,'KU-LGE Rating'!F:F)</f>
        <v>0</v>
      </c>
      <c r="Z33" s="256">
        <f>$W33*SUMIF('KU-LGE Rating'!$R:$R,$D33,'KU-LGE Rating'!G:G)</f>
        <v>520447.03</v>
      </c>
      <c r="AA33" s="257">
        <f t="shared" si="3"/>
        <v>520447.03</v>
      </c>
      <c r="AB33" s="255">
        <f>$X33*SUMIF('KU-LGE Rating'!$R:$R,$D33,'KU-LGE Rating'!F:F)</f>
        <v>0</v>
      </c>
      <c r="AC33" s="256">
        <f>$X33*SUMIF('KU-LGE Rating'!$R:$R,$D33,'KU-LGE Rating'!G:G)</f>
        <v>0</v>
      </c>
      <c r="AD33" s="257">
        <f t="shared" si="4"/>
        <v>0</v>
      </c>
      <c r="AE33" s="274">
        <f>IF($F33=AE$1,$U33,0)*SUMIF('KU-LGE Rating'!$R:$R,$D33,'KU-LGE Rating'!$F:$F)</f>
        <v>0</v>
      </c>
      <c r="AF33" s="274">
        <f>IF($F33=AE$1,$U33,0)*SUMIF('KU-LGE Rating'!$R:$R,$D33,'KU-LGE Rating'!$G:$G)</f>
        <v>520447.03</v>
      </c>
      <c r="AG33" s="240">
        <f t="shared" si="5"/>
        <v>520447.03</v>
      </c>
      <c r="AH33" s="256">
        <f>IF($F33=AH$1,$U33,0)*SUMIF('KU-LGE Rating'!$R:$R,$D33,'KU-LGE Rating'!$F:$F)</f>
        <v>0</v>
      </c>
      <c r="AI33" s="256">
        <f>IF($F33=AH$1,$U33,0)*SUMIF('KU-LGE Rating'!$R:$R,$D33,'KU-LGE Rating'!$G:$G)</f>
        <v>0</v>
      </c>
      <c r="AJ33" s="240">
        <f t="shared" si="6"/>
        <v>0</v>
      </c>
      <c r="AK33" s="256">
        <f>IF($F33=AK$1,$U33,0)*SUMIF('KU-LGE Rating'!$R:$R,$D33,'KU-LGE Rating'!$F:$F)</f>
        <v>0</v>
      </c>
      <c r="AL33" s="256">
        <f>IF($F33=AK$1,$U33,0)*SUMIF('KU-LGE Rating'!$R:$R,$D33,'KU-LGE Rating'!$G:$G)</f>
        <v>0</v>
      </c>
      <c r="AM33" s="240">
        <f t="shared" si="7"/>
        <v>0</v>
      </c>
      <c r="AN33" s="256">
        <f>IF($F33=AN$1,$U33,0)*SUMIF('KU-LGE Rating'!$R:$R,$D33,'KU-LGE Rating'!$F:$F)</f>
        <v>0</v>
      </c>
      <c r="AO33" s="256">
        <f>IF($F33=AN$1,$U33,0)*SUMIF('KU-LGE Rating'!$R:$R,$D33,'KU-LGE Rating'!$G:$G)</f>
        <v>0</v>
      </c>
      <c r="AP33" s="240">
        <f t="shared" si="8"/>
        <v>0</v>
      </c>
      <c r="AQ33" s="277"/>
      <c r="AR33" s="277"/>
      <c r="AV33" s="278"/>
      <c r="AW33" s="278"/>
      <c r="AX33" s="278"/>
    </row>
    <row r="34" spans="1:50">
      <c r="A34" s="1" t="s">
        <v>2756</v>
      </c>
      <c r="B34" s="1" t="s">
        <v>3</v>
      </c>
      <c r="C34" t="s">
        <v>3723</v>
      </c>
      <c r="D34" t="s">
        <v>3655</v>
      </c>
      <c r="E34" t="s">
        <v>3893</v>
      </c>
      <c r="F34">
        <v>2015</v>
      </c>
      <c r="G34" t="s">
        <v>3908</v>
      </c>
      <c r="H34">
        <v>512005</v>
      </c>
      <c r="I34">
        <v>0</v>
      </c>
      <c r="J34">
        <v>0</v>
      </c>
      <c r="K34">
        <v>50000.22</v>
      </c>
      <c r="L34">
        <v>50000.22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8">
        <v>100000.44</v>
      </c>
      <c r="V34" s="243" t="str">
        <f t="shared" si="0"/>
        <v>512</v>
      </c>
      <c r="W34" s="240">
        <f t="shared" si="1"/>
        <v>0</v>
      </c>
      <c r="X34" s="243">
        <f t="shared" si="2"/>
        <v>0</v>
      </c>
      <c r="Y34" s="255">
        <f>$W34*SUMIF('KU-LGE Rating'!$R:$R,$D34,'KU-LGE Rating'!F:F)</f>
        <v>0</v>
      </c>
      <c r="Z34" s="256">
        <f>$W34*SUMIF('KU-LGE Rating'!$R:$R,$D34,'KU-LGE Rating'!G:G)</f>
        <v>0</v>
      </c>
      <c r="AA34" s="257">
        <f t="shared" si="3"/>
        <v>0</v>
      </c>
      <c r="AB34" s="255">
        <f>$X34*SUMIF('KU-LGE Rating'!$R:$R,$D34,'KU-LGE Rating'!F:F)</f>
        <v>0</v>
      </c>
      <c r="AC34" s="256">
        <f>$X34*SUMIF('KU-LGE Rating'!$R:$R,$D34,'KU-LGE Rating'!G:G)</f>
        <v>0</v>
      </c>
      <c r="AD34" s="257">
        <f t="shared" si="4"/>
        <v>0</v>
      </c>
      <c r="AE34" s="274">
        <f>IF($F34=AE$1,$U34,0)*SUMIF('KU-LGE Rating'!$R:$R,$D34,'KU-LGE Rating'!$F:$F)</f>
        <v>0</v>
      </c>
      <c r="AF34" s="274">
        <f>IF($F34=AE$1,$U34,0)*SUMIF('KU-LGE Rating'!$R:$R,$D34,'KU-LGE Rating'!$G:$G)</f>
        <v>0</v>
      </c>
      <c r="AG34" s="240">
        <f t="shared" si="5"/>
        <v>0</v>
      </c>
      <c r="AH34" s="256">
        <f>IF($F34=AH$1,$U34,0)*SUMIF('KU-LGE Rating'!$R:$R,$D34,'KU-LGE Rating'!$F:$F)</f>
        <v>0</v>
      </c>
      <c r="AI34" s="256">
        <f>IF($F34=AH$1,$U34,0)*SUMIF('KU-LGE Rating'!$R:$R,$D34,'KU-LGE Rating'!$G:$G)</f>
        <v>100000.44</v>
      </c>
      <c r="AJ34" s="240">
        <f t="shared" si="6"/>
        <v>100000.44</v>
      </c>
      <c r="AK34" s="256">
        <f>IF($F34=AK$1,$U34,0)*SUMIF('KU-LGE Rating'!$R:$R,$D34,'KU-LGE Rating'!$F:$F)</f>
        <v>0</v>
      </c>
      <c r="AL34" s="256">
        <f>IF($F34=AK$1,$U34,0)*SUMIF('KU-LGE Rating'!$R:$R,$D34,'KU-LGE Rating'!$G:$G)</f>
        <v>0</v>
      </c>
      <c r="AM34" s="240">
        <f t="shared" si="7"/>
        <v>0</v>
      </c>
      <c r="AN34" s="256">
        <f>IF($F34=AN$1,$U34,0)*SUMIF('KU-LGE Rating'!$R:$R,$D34,'KU-LGE Rating'!$F:$F)</f>
        <v>0</v>
      </c>
      <c r="AO34" s="256">
        <f>IF($F34=AN$1,$U34,0)*SUMIF('KU-LGE Rating'!$R:$R,$D34,'KU-LGE Rating'!$G:$G)</f>
        <v>0</v>
      </c>
      <c r="AP34" s="240">
        <f t="shared" si="8"/>
        <v>0</v>
      </c>
      <c r="AQ34" s="277"/>
      <c r="AR34" s="277"/>
      <c r="AV34" s="278"/>
      <c r="AW34" s="278"/>
      <c r="AX34" s="278"/>
    </row>
    <row r="35" spans="1:50">
      <c r="A35" s="1" t="s">
        <v>2756</v>
      </c>
      <c r="B35" s="1" t="s">
        <v>3</v>
      </c>
      <c r="C35" t="s">
        <v>3723</v>
      </c>
      <c r="D35" t="s">
        <v>3655</v>
      </c>
      <c r="E35" t="s">
        <v>3893</v>
      </c>
      <c r="F35">
        <v>2015</v>
      </c>
      <c r="G35" t="s">
        <v>3908</v>
      </c>
      <c r="H35">
        <v>512100</v>
      </c>
      <c r="I35">
        <v>0</v>
      </c>
      <c r="J35">
        <v>100000.43</v>
      </c>
      <c r="K35">
        <v>580000.11</v>
      </c>
      <c r="L35">
        <v>599999.89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8">
        <v>1280000.43</v>
      </c>
      <c r="V35" s="243" t="str">
        <f t="shared" si="0"/>
        <v>512</v>
      </c>
      <c r="W35" s="240">
        <f t="shared" si="1"/>
        <v>100000.43</v>
      </c>
      <c r="X35" s="243">
        <f t="shared" si="2"/>
        <v>0</v>
      </c>
      <c r="Y35" s="255">
        <f>$W35*SUMIF('KU-LGE Rating'!$R:$R,$D35,'KU-LGE Rating'!F:F)</f>
        <v>0</v>
      </c>
      <c r="Z35" s="256">
        <f>$W35*SUMIF('KU-LGE Rating'!$R:$R,$D35,'KU-LGE Rating'!G:G)</f>
        <v>100000.43</v>
      </c>
      <c r="AA35" s="257">
        <f t="shared" si="3"/>
        <v>100000.43</v>
      </c>
      <c r="AB35" s="255">
        <f>$X35*SUMIF('KU-LGE Rating'!$R:$R,$D35,'KU-LGE Rating'!F:F)</f>
        <v>0</v>
      </c>
      <c r="AC35" s="256">
        <f>$X35*SUMIF('KU-LGE Rating'!$R:$R,$D35,'KU-LGE Rating'!G:G)</f>
        <v>0</v>
      </c>
      <c r="AD35" s="257">
        <f t="shared" si="4"/>
        <v>0</v>
      </c>
      <c r="AE35" s="274">
        <f>IF($F35=AE$1,$U35,0)*SUMIF('KU-LGE Rating'!$R:$R,$D35,'KU-LGE Rating'!$F:$F)</f>
        <v>0</v>
      </c>
      <c r="AF35" s="274">
        <f>IF($F35=AE$1,$U35,0)*SUMIF('KU-LGE Rating'!$R:$R,$D35,'KU-LGE Rating'!$G:$G)</f>
        <v>0</v>
      </c>
      <c r="AG35" s="240">
        <f t="shared" si="5"/>
        <v>0</v>
      </c>
      <c r="AH35" s="256">
        <f>IF($F35=AH$1,$U35,0)*SUMIF('KU-LGE Rating'!$R:$R,$D35,'KU-LGE Rating'!$F:$F)</f>
        <v>0</v>
      </c>
      <c r="AI35" s="256">
        <f>IF($F35=AH$1,$U35,0)*SUMIF('KU-LGE Rating'!$R:$R,$D35,'KU-LGE Rating'!$G:$G)</f>
        <v>1280000.43</v>
      </c>
      <c r="AJ35" s="240">
        <f t="shared" si="6"/>
        <v>1280000.43</v>
      </c>
      <c r="AK35" s="256">
        <f>IF($F35=AK$1,$U35,0)*SUMIF('KU-LGE Rating'!$R:$R,$D35,'KU-LGE Rating'!$F:$F)</f>
        <v>0</v>
      </c>
      <c r="AL35" s="256">
        <f>IF($F35=AK$1,$U35,0)*SUMIF('KU-LGE Rating'!$R:$R,$D35,'KU-LGE Rating'!$G:$G)</f>
        <v>0</v>
      </c>
      <c r="AM35" s="240">
        <f t="shared" si="7"/>
        <v>0</v>
      </c>
      <c r="AN35" s="256">
        <f>IF($F35=AN$1,$U35,0)*SUMIF('KU-LGE Rating'!$R:$R,$D35,'KU-LGE Rating'!$F:$F)</f>
        <v>0</v>
      </c>
      <c r="AO35" s="256">
        <f>IF($F35=AN$1,$U35,0)*SUMIF('KU-LGE Rating'!$R:$R,$D35,'KU-LGE Rating'!$G:$G)</f>
        <v>0</v>
      </c>
      <c r="AP35" s="240">
        <f t="shared" si="8"/>
        <v>0</v>
      </c>
      <c r="AQ35" s="277"/>
      <c r="AR35" s="277"/>
      <c r="AV35" s="278"/>
      <c r="AW35" s="278"/>
      <c r="AX35" s="278"/>
    </row>
    <row r="36" spans="1:50">
      <c r="A36" s="1" t="s">
        <v>2756</v>
      </c>
      <c r="B36" s="1" t="s">
        <v>3</v>
      </c>
      <c r="C36" t="s">
        <v>3723</v>
      </c>
      <c r="D36" t="s">
        <v>3655</v>
      </c>
      <c r="E36" t="s">
        <v>3893</v>
      </c>
      <c r="F36">
        <v>2015</v>
      </c>
      <c r="G36" t="s">
        <v>3908</v>
      </c>
      <c r="H36">
        <v>513100</v>
      </c>
      <c r="I36">
        <v>0</v>
      </c>
      <c r="J36">
        <v>109999.46</v>
      </c>
      <c r="K36">
        <v>499999.89</v>
      </c>
      <c r="L36">
        <v>720000.11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8">
        <v>1329999.46</v>
      </c>
      <c r="V36" s="243" t="str">
        <f t="shared" si="0"/>
        <v>513</v>
      </c>
      <c r="W36" s="240">
        <f t="shared" si="1"/>
        <v>109999.46</v>
      </c>
      <c r="X36" s="243">
        <f t="shared" si="2"/>
        <v>0</v>
      </c>
      <c r="Y36" s="255">
        <f>$W36*SUMIF('KU-LGE Rating'!$R:$R,$D36,'KU-LGE Rating'!F:F)</f>
        <v>0</v>
      </c>
      <c r="Z36" s="256">
        <f>$W36*SUMIF('KU-LGE Rating'!$R:$R,$D36,'KU-LGE Rating'!G:G)</f>
        <v>109999.46</v>
      </c>
      <c r="AA36" s="257">
        <f t="shared" si="3"/>
        <v>109999.46</v>
      </c>
      <c r="AB36" s="255">
        <f>$X36*SUMIF('KU-LGE Rating'!$R:$R,$D36,'KU-LGE Rating'!F:F)</f>
        <v>0</v>
      </c>
      <c r="AC36" s="256">
        <f>$X36*SUMIF('KU-LGE Rating'!$R:$R,$D36,'KU-LGE Rating'!G:G)</f>
        <v>0</v>
      </c>
      <c r="AD36" s="257">
        <f t="shared" si="4"/>
        <v>0</v>
      </c>
      <c r="AE36" s="274">
        <f>IF($F36=AE$1,$U36,0)*SUMIF('KU-LGE Rating'!$R:$R,$D36,'KU-LGE Rating'!$F:$F)</f>
        <v>0</v>
      </c>
      <c r="AF36" s="274">
        <f>IF($F36=AE$1,$U36,0)*SUMIF('KU-LGE Rating'!$R:$R,$D36,'KU-LGE Rating'!$G:$G)</f>
        <v>0</v>
      </c>
      <c r="AG36" s="240">
        <f t="shared" si="5"/>
        <v>0</v>
      </c>
      <c r="AH36" s="256">
        <f>IF($F36=AH$1,$U36,0)*SUMIF('KU-LGE Rating'!$R:$R,$D36,'KU-LGE Rating'!$F:$F)</f>
        <v>0</v>
      </c>
      <c r="AI36" s="256">
        <f>IF($F36=AH$1,$U36,0)*SUMIF('KU-LGE Rating'!$R:$R,$D36,'KU-LGE Rating'!$G:$G)</f>
        <v>1329999.46</v>
      </c>
      <c r="AJ36" s="240">
        <f t="shared" si="6"/>
        <v>1329999.46</v>
      </c>
      <c r="AK36" s="256">
        <f>IF($F36=AK$1,$U36,0)*SUMIF('KU-LGE Rating'!$R:$R,$D36,'KU-LGE Rating'!$F:$F)</f>
        <v>0</v>
      </c>
      <c r="AL36" s="256">
        <f>IF($F36=AK$1,$U36,0)*SUMIF('KU-LGE Rating'!$R:$R,$D36,'KU-LGE Rating'!$G:$G)</f>
        <v>0</v>
      </c>
      <c r="AM36" s="240">
        <f t="shared" si="7"/>
        <v>0</v>
      </c>
      <c r="AN36" s="256">
        <f>IF($F36=AN$1,$U36,0)*SUMIF('KU-LGE Rating'!$R:$R,$D36,'KU-LGE Rating'!$F:$F)</f>
        <v>0</v>
      </c>
      <c r="AO36" s="256">
        <f>IF($F36=AN$1,$U36,0)*SUMIF('KU-LGE Rating'!$R:$R,$D36,'KU-LGE Rating'!$G:$G)</f>
        <v>0</v>
      </c>
      <c r="AP36" s="240">
        <f t="shared" si="8"/>
        <v>0</v>
      </c>
      <c r="AQ36" s="277"/>
      <c r="AR36" s="277"/>
      <c r="AV36" s="278"/>
      <c r="AW36" s="278"/>
      <c r="AX36" s="278"/>
    </row>
    <row r="37" spans="1:50">
      <c r="A37" s="1" t="s">
        <v>2756</v>
      </c>
      <c r="B37" s="1" t="s">
        <v>3</v>
      </c>
      <c r="C37" t="s">
        <v>3723</v>
      </c>
      <c r="D37" t="s">
        <v>3655</v>
      </c>
      <c r="E37" t="s">
        <v>3893</v>
      </c>
      <c r="F37">
        <v>2016</v>
      </c>
      <c r="G37" t="s">
        <v>3908</v>
      </c>
      <c r="H37">
        <v>512100</v>
      </c>
      <c r="I37">
        <v>0</v>
      </c>
      <c r="J37">
        <v>0</v>
      </c>
      <c r="K37">
        <v>499999.89</v>
      </c>
      <c r="L37">
        <v>724999.95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8">
        <v>1224999.8400000001</v>
      </c>
      <c r="V37" s="243" t="str">
        <f t="shared" si="0"/>
        <v>512</v>
      </c>
      <c r="W37" s="240">
        <f t="shared" si="1"/>
        <v>0</v>
      </c>
      <c r="X37" s="243">
        <f t="shared" si="2"/>
        <v>1224999.8399999999</v>
      </c>
      <c r="Y37" s="255">
        <f>$W37*SUMIF('KU-LGE Rating'!$R:$R,$D37,'KU-LGE Rating'!F:F)</f>
        <v>0</v>
      </c>
      <c r="Z37" s="256">
        <f>$W37*SUMIF('KU-LGE Rating'!$R:$R,$D37,'KU-LGE Rating'!G:G)</f>
        <v>0</v>
      </c>
      <c r="AA37" s="257">
        <f t="shared" si="3"/>
        <v>0</v>
      </c>
      <c r="AB37" s="255">
        <f>$X37*SUMIF('KU-LGE Rating'!$R:$R,$D37,'KU-LGE Rating'!F:F)</f>
        <v>0</v>
      </c>
      <c r="AC37" s="256">
        <f>$X37*SUMIF('KU-LGE Rating'!$R:$R,$D37,'KU-LGE Rating'!G:G)</f>
        <v>1224999.8399999999</v>
      </c>
      <c r="AD37" s="257">
        <f t="shared" si="4"/>
        <v>1224999.8399999999</v>
      </c>
      <c r="AE37" s="274">
        <f>IF($F37=AE$1,$U37,0)*SUMIF('KU-LGE Rating'!$R:$R,$D37,'KU-LGE Rating'!$F:$F)</f>
        <v>0</v>
      </c>
      <c r="AF37" s="274">
        <f>IF($F37=AE$1,$U37,0)*SUMIF('KU-LGE Rating'!$R:$R,$D37,'KU-LGE Rating'!$G:$G)</f>
        <v>0</v>
      </c>
      <c r="AG37" s="240">
        <f t="shared" si="5"/>
        <v>0</v>
      </c>
      <c r="AH37" s="256">
        <f>IF($F37=AH$1,$U37,0)*SUMIF('KU-LGE Rating'!$R:$R,$D37,'KU-LGE Rating'!$F:$F)</f>
        <v>0</v>
      </c>
      <c r="AI37" s="256">
        <f>IF($F37=AH$1,$U37,0)*SUMIF('KU-LGE Rating'!$R:$R,$D37,'KU-LGE Rating'!$G:$G)</f>
        <v>0</v>
      </c>
      <c r="AJ37" s="240">
        <f t="shared" si="6"/>
        <v>0</v>
      </c>
      <c r="AK37" s="256">
        <f>IF($F37=AK$1,$U37,0)*SUMIF('KU-LGE Rating'!$R:$R,$D37,'KU-LGE Rating'!$F:$F)</f>
        <v>0</v>
      </c>
      <c r="AL37" s="256">
        <f>IF($F37=AK$1,$U37,0)*SUMIF('KU-LGE Rating'!$R:$R,$D37,'KU-LGE Rating'!$G:$G)</f>
        <v>1224999.8400000001</v>
      </c>
      <c r="AM37" s="240">
        <f t="shared" si="7"/>
        <v>1224999.8400000001</v>
      </c>
      <c r="AN37" s="256">
        <f>IF($F37=AN$1,$U37,0)*SUMIF('KU-LGE Rating'!$R:$R,$D37,'KU-LGE Rating'!$F:$F)</f>
        <v>0</v>
      </c>
      <c r="AO37" s="256">
        <f>IF($F37=AN$1,$U37,0)*SUMIF('KU-LGE Rating'!$R:$R,$D37,'KU-LGE Rating'!$G:$G)</f>
        <v>0</v>
      </c>
      <c r="AP37" s="240">
        <f t="shared" si="8"/>
        <v>0</v>
      </c>
      <c r="AQ37" s="277"/>
      <c r="AR37" s="277"/>
      <c r="AV37" s="278"/>
      <c r="AW37" s="278"/>
      <c r="AX37" s="278"/>
    </row>
    <row r="38" spans="1:50">
      <c r="A38" s="1" t="s">
        <v>2756</v>
      </c>
      <c r="B38" s="1" t="s">
        <v>3</v>
      </c>
      <c r="C38" t="s">
        <v>3723</v>
      </c>
      <c r="D38" t="s">
        <v>3655</v>
      </c>
      <c r="E38" t="s">
        <v>3893</v>
      </c>
      <c r="F38">
        <v>2016</v>
      </c>
      <c r="G38" t="s">
        <v>3908</v>
      </c>
      <c r="H38">
        <v>513100</v>
      </c>
      <c r="I38">
        <v>0</v>
      </c>
      <c r="J38">
        <v>0</v>
      </c>
      <c r="K38">
        <v>800000.32</v>
      </c>
      <c r="L38">
        <v>1055000.32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8">
        <v>1855000.64</v>
      </c>
      <c r="V38" s="243" t="str">
        <f t="shared" si="0"/>
        <v>513</v>
      </c>
      <c r="W38" s="240">
        <f t="shared" si="1"/>
        <v>0</v>
      </c>
      <c r="X38" s="243">
        <f t="shared" si="2"/>
        <v>1855000.6400000001</v>
      </c>
      <c r="Y38" s="255">
        <f>$W38*SUMIF('KU-LGE Rating'!$R:$R,$D38,'KU-LGE Rating'!F:F)</f>
        <v>0</v>
      </c>
      <c r="Z38" s="256">
        <f>$W38*SUMIF('KU-LGE Rating'!$R:$R,$D38,'KU-LGE Rating'!G:G)</f>
        <v>0</v>
      </c>
      <c r="AA38" s="257">
        <f t="shared" si="3"/>
        <v>0</v>
      </c>
      <c r="AB38" s="255">
        <f>$X38*SUMIF('KU-LGE Rating'!$R:$R,$D38,'KU-LGE Rating'!F:F)</f>
        <v>0</v>
      </c>
      <c r="AC38" s="256">
        <f>$X38*SUMIF('KU-LGE Rating'!$R:$R,$D38,'KU-LGE Rating'!G:G)</f>
        <v>1855000.6400000001</v>
      </c>
      <c r="AD38" s="257">
        <f t="shared" si="4"/>
        <v>1855000.6400000001</v>
      </c>
      <c r="AE38" s="274">
        <f>IF($F38=AE$1,$U38,0)*SUMIF('KU-LGE Rating'!$R:$R,$D38,'KU-LGE Rating'!$F:$F)</f>
        <v>0</v>
      </c>
      <c r="AF38" s="274">
        <f>IF($F38=AE$1,$U38,0)*SUMIF('KU-LGE Rating'!$R:$R,$D38,'KU-LGE Rating'!$G:$G)</f>
        <v>0</v>
      </c>
      <c r="AG38" s="240">
        <f t="shared" si="5"/>
        <v>0</v>
      </c>
      <c r="AH38" s="256">
        <f>IF($F38=AH$1,$U38,0)*SUMIF('KU-LGE Rating'!$R:$R,$D38,'KU-LGE Rating'!$F:$F)</f>
        <v>0</v>
      </c>
      <c r="AI38" s="256">
        <f>IF($F38=AH$1,$U38,0)*SUMIF('KU-LGE Rating'!$R:$R,$D38,'KU-LGE Rating'!$G:$G)</f>
        <v>0</v>
      </c>
      <c r="AJ38" s="240">
        <f t="shared" si="6"/>
        <v>0</v>
      </c>
      <c r="AK38" s="256">
        <f>IF($F38=AK$1,$U38,0)*SUMIF('KU-LGE Rating'!$R:$R,$D38,'KU-LGE Rating'!$F:$F)</f>
        <v>0</v>
      </c>
      <c r="AL38" s="256">
        <f>IF($F38=AK$1,$U38,0)*SUMIF('KU-LGE Rating'!$R:$R,$D38,'KU-LGE Rating'!$G:$G)</f>
        <v>1855000.64</v>
      </c>
      <c r="AM38" s="240">
        <f t="shared" si="7"/>
        <v>1855000.64</v>
      </c>
      <c r="AN38" s="256">
        <f>IF($F38=AN$1,$U38,0)*SUMIF('KU-LGE Rating'!$R:$R,$D38,'KU-LGE Rating'!$F:$F)</f>
        <v>0</v>
      </c>
      <c r="AO38" s="256">
        <f>IF($F38=AN$1,$U38,0)*SUMIF('KU-LGE Rating'!$R:$R,$D38,'KU-LGE Rating'!$G:$G)</f>
        <v>0</v>
      </c>
      <c r="AP38" s="240">
        <f t="shared" si="8"/>
        <v>0</v>
      </c>
      <c r="AQ38" s="277"/>
      <c r="AR38" s="277"/>
      <c r="AV38" s="278"/>
      <c r="AW38" s="278"/>
      <c r="AX38" s="278"/>
    </row>
    <row r="39" spans="1:50">
      <c r="A39" s="1" t="s">
        <v>2756</v>
      </c>
      <c r="B39" s="1" t="s">
        <v>3</v>
      </c>
      <c r="C39" t="s">
        <v>3723</v>
      </c>
      <c r="D39" t="s">
        <v>3655</v>
      </c>
      <c r="E39" t="s">
        <v>3893</v>
      </c>
      <c r="F39">
        <v>2017</v>
      </c>
      <c r="G39" t="s">
        <v>3908</v>
      </c>
      <c r="H39">
        <v>512100</v>
      </c>
      <c r="I39">
        <v>0</v>
      </c>
      <c r="J39">
        <v>0</v>
      </c>
      <c r="K39">
        <v>399999.89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8">
        <v>399999.89</v>
      </c>
      <c r="V39" s="243" t="str">
        <f t="shared" si="0"/>
        <v>512</v>
      </c>
      <c r="W39" s="240">
        <f t="shared" si="1"/>
        <v>0</v>
      </c>
      <c r="X39" s="243">
        <f t="shared" si="2"/>
        <v>0</v>
      </c>
      <c r="Y39" s="255">
        <f>$W39*SUMIF('KU-LGE Rating'!$R:$R,$D39,'KU-LGE Rating'!F:F)</f>
        <v>0</v>
      </c>
      <c r="Z39" s="256">
        <f>$W39*SUMIF('KU-LGE Rating'!$R:$R,$D39,'KU-LGE Rating'!G:G)</f>
        <v>0</v>
      </c>
      <c r="AA39" s="257">
        <f t="shared" si="3"/>
        <v>0</v>
      </c>
      <c r="AB39" s="255">
        <f>$X39*SUMIF('KU-LGE Rating'!$R:$R,$D39,'KU-LGE Rating'!F:F)</f>
        <v>0</v>
      </c>
      <c r="AC39" s="256">
        <f>$X39*SUMIF('KU-LGE Rating'!$R:$R,$D39,'KU-LGE Rating'!G:G)</f>
        <v>0</v>
      </c>
      <c r="AD39" s="257">
        <f t="shared" si="4"/>
        <v>0</v>
      </c>
      <c r="AE39" s="274">
        <f>IF($F39=AE$1,$U39,0)*SUMIF('KU-LGE Rating'!$R:$R,$D39,'KU-LGE Rating'!$F:$F)</f>
        <v>0</v>
      </c>
      <c r="AF39" s="274">
        <f>IF($F39=AE$1,$U39,0)*SUMIF('KU-LGE Rating'!$R:$R,$D39,'KU-LGE Rating'!$G:$G)</f>
        <v>0</v>
      </c>
      <c r="AG39" s="240">
        <f t="shared" si="5"/>
        <v>0</v>
      </c>
      <c r="AH39" s="256">
        <f>IF($F39=AH$1,$U39,0)*SUMIF('KU-LGE Rating'!$R:$R,$D39,'KU-LGE Rating'!$F:$F)</f>
        <v>0</v>
      </c>
      <c r="AI39" s="256">
        <f>IF($F39=AH$1,$U39,0)*SUMIF('KU-LGE Rating'!$R:$R,$D39,'KU-LGE Rating'!$G:$G)</f>
        <v>0</v>
      </c>
      <c r="AJ39" s="240">
        <f t="shared" si="6"/>
        <v>0</v>
      </c>
      <c r="AK39" s="256">
        <f>IF($F39=AK$1,$U39,0)*SUMIF('KU-LGE Rating'!$R:$R,$D39,'KU-LGE Rating'!$F:$F)</f>
        <v>0</v>
      </c>
      <c r="AL39" s="256">
        <f>IF($F39=AK$1,$U39,0)*SUMIF('KU-LGE Rating'!$R:$R,$D39,'KU-LGE Rating'!$G:$G)</f>
        <v>0</v>
      </c>
      <c r="AM39" s="240">
        <f t="shared" si="7"/>
        <v>0</v>
      </c>
      <c r="AN39" s="256">
        <f>IF($F39=AN$1,$U39,0)*SUMIF('KU-LGE Rating'!$R:$R,$D39,'KU-LGE Rating'!$F:$F)</f>
        <v>0</v>
      </c>
      <c r="AO39" s="256">
        <f>IF($F39=AN$1,$U39,0)*SUMIF('KU-LGE Rating'!$R:$R,$D39,'KU-LGE Rating'!$G:$G)</f>
        <v>399999.89</v>
      </c>
      <c r="AP39" s="240">
        <f t="shared" si="8"/>
        <v>399999.89</v>
      </c>
      <c r="AQ39" s="277"/>
      <c r="AR39" s="277"/>
      <c r="AV39" s="278"/>
      <c r="AW39" s="278"/>
      <c r="AX39" s="278"/>
    </row>
    <row r="40" spans="1:50">
      <c r="A40" s="1" t="s">
        <v>2756</v>
      </c>
      <c r="B40" s="1" t="s">
        <v>3</v>
      </c>
      <c r="C40" t="s">
        <v>3723</v>
      </c>
      <c r="D40" t="s">
        <v>3655</v>
      </c>
      <c r="E40" t="s">
        <v>3893</v>
      </c>
      <c r="F40">
        <v>2017</v>
      </c>
      <c r="G40" t="s">
        <v>3908</v>
      </c>
      <c r="H40">
        <v>513100</v>
      </c>
      <c r="I40">
        <v>0</v>
      </c>
      <c r="J40">
        <v>0</v>
      </c>
      <c r="K40">
        <v>349998.98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8">
        <v>349998.98</v>
      </c>
      <c r="V40" s="243" t="str">
        <f t="shared" si="0"/>
        <v>513</v>
      </c>
      <c r="W40" s="240">
        <f t="shared" si="1"/>
        <v>0</v>
      </c>
      <c r="X40" s="243">
        <f t="shared" si="2"/>
        <v>0</v>
      </c>
      <c r="Y40" s="255">
        <f>$W40*SUMIF('KU-LGE Rating'!$R:$R,$D40,'KU-LGE Rating'!F:F)</f>
        <v>0</v>
      </c>
      <c r="Z40" s="256">
        <f>$W40*SUMIF('KU-LGE Rating'!$R:$R,$D40,'KU-LGE Rating'!G:G)</f>
        <v>0</v>
      </c>
      <c r="AA40" s="257">
        <f t="shared" si="3"/>
        <v>0</v>
      </c>
      <c r="AB40" s="255">
        <f>$X40*SUMIF('KU-LGE Rating'!$R:$R,$D40,'KU-LGE Rating'!F:F)</f>
        <v>0</v>
      </c>
      <c r="AC40" s="256">
        <f>$X40*SUMIF('KU-LGE Rating'!$R:$R,$D40,'KU-LGE Rating'!G:G)</f>
        <v>0</v>
      </c>
      <c r="AD40" s="257">
        <f t="shared" si="4"/>
        <v>0</v>
      </c>
      <c r="AE40" s="274">
        <f>IF($F40=AE$1,$U40,0)*SUMIF('KU-LGE Rating'!$R:$R,$D40,'KU-LGE Rating'!$F:$F)</f>
        <v>0</v>
      </c>
      <c r="AF40" s="274">
        <f>IF($F40=AE$1,$U40,0)*SUMIF('KU-LGE Rating'!$R:$R,$D40,'KU-LGE Rating'!$G:$G)</f>
        <v>0</v>
      </c>
      <c r="AG40" s="240">
        <f t="shared" si="5"/>
        <v>0</v>
      </c>
      <c r="AH40" s="256">
        <f>IF($F40=AH$1,$U40,0)*SUMIF('KU-LGE Rating'!$R:$R,$D40,'KU-LGE Rating'!$F:$F)</f>
        <v>0</v>
      </c>
      <c r="AI40" s="256">
        <f>IF($F40=AH$1,$U40,0)*SUMIF('KU-LGE Rating'!$R:$R,$D40,'KU-LGE Rating'!$G:$G)</f>
        <v>0</v>
      </c>
      <c r="AJ40" s="240">
        <f t="shared" si="6"/>
        <v>0</v>
      </c>
      <c r="AK40" s="256">
        <f>IF($F40=AK$1,$U40,0)*SUMIF('KU-LGE Rating'!$R:$R,$D40,'KU-LGE Rating'!$F:$F)</f>
        <v>0</v>
      </c>
      <c r="AL40" s="256">
        <f>IF($F40=AK$1,$U40,0)*SUMIF('KU-LGE Rating'!$R:$R,$D40,'KU-LGE Rating'!$G:$G)</f>
        <v>0</v>
      </c>
      <c r="AM40" s="240">
        <f t="shared" si="7"/>
        <v>0</v>
      </c>
      <c r="AN40" s="256">
        <f>IF($F40=AN$1,$U40,0)*SUMIF('KU-LGE Rating'!$R:$R,$D40,'KU-LGE Rating'!$F:$F)</f>
        <v>0</v>
      </c>
      <c r="AO40" s="256">
        <f>IF($F40=AN$1,$U40,0)*SUMIF('KU-LGE Rating'!$R:$R,$D40,'KU-LGE Rating'!$G:$G)</f>
        <v>349998.98</v>
      </c>
      <c r="AP40" s="240">
        <f t="shared" si="8"/>
        <v>349998.98</v>
      </c>
      <c r="AQ40" s="277"/>
      <c r="AR40" s="277"/>
      <c r="AV40" s="278"/>
      <c r="AW40" s="278"/>
      <c r="AX40" s="278"/>
    </row>
    <row r="41" spans="1:50">
      <c r="A41" s="1" t="s">
        <v>2756</v>
      </c>
      <c r="B41" s="1" t="s">
        <v>3</v>
      </c>
      <c r="C41" t="s">
        <v>3723</v>
      </c>
      <c r="D41" t="s">
        <v>3656</v>
      </c>
      <c r="E41" t="s">
        <v>3911</v>
      </c>
      <c r="F41">
        <v>2016</v>
      </c>
      <c r="G41" t="s">
        <v>3908</v>
      </c>
      <c r="H41">
        <v>512055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100000.22</v>
      </c>
      <c r="T41">
        <v>0</v>
      </c>
      <c r="U41" s="8">
        <v>100000.22</v>
      </c>
      <c r="V41" s="243" t="str">
        <f t="shared" si="0"/>
        <v>512</v>
      </c>
      <c r="W41" s="240">
        <f t="shared" si="1"/>
        <v>0</v>
      </c>
      <c r="X41" s="243">
        <f t="shared" si="2"/>
        <v>0</v>
      </c>
      <c r="Y41" s="255">
        <f>$W41*SUMIF('KU-LGE Rating'!$R:$R,$D41,'KU-LGE Rating'!F:F)</f>
        <v>0</v>
      </c>
      <c r="Z41" s="256">
        <f>$W41*SUMIF('KU-LGE Rating'!$R:$R,$D41,'KU-LGE Rating'!G:G)</f>
        <v>0</v>
      </c>
      <c r="AA41" s="257">
        <f t="shared" si="3"/>
        <v>0</v>
      </c>
      <c r="AB41" s="255">
        <f>$X41*SUMIF('KU-LGE Rating'!$R:$R,$D41,'KU-LGE Rating'!F:F)</f>
        <v>0</v>
      </c>
      <c r="AC41" s="256">
        <f>$X41*SUMIF('KU-LGE Rating'!$R:$R,$D41,'KU-LGE Rating'!G:G)</f>
        <v>0</v>
      </c>
      <c r="AD41" s="257">
        <f t="shared" si="4"/>
        <v>0</v>
      </c>
      <c r="AE41" s="274">
        <f>IF($F41=AE$1,$U41,0)*SUMIF('KU-LGE Rating'!$R:$R,$D41,'KU-LGE Rating'!$F:$F)</f>
        <v>0</v>
      </c>
      <c r="AF41" s="274">
        <f>IF($F41=AE$1,$U41,0)*SUMIF('KU-LGE Rating'!$R:$R,$D41,'KU-LGE Rating'!$G:$G)</f>
        <v>0</v>
      </c>
      <c r="AG41" s="240">
        <f t="shared" si="5"/>
        <v>0</v>
      </c>
      <c r="AH41" s="256">
        <f>IF($F41=AH$1,$U41,0)*SUMIF('KU-LGE Rating'!$R:$R,$D41,'KU-LGE Rating'!$F:$F)</f>
        <v>0</v>
      </c>
      <c r="AI41" s="256">
        <f>IF($F41=AH$1,$U41,0)*SUMIF('KU-LGE Rating'!$R:$R,$D41,'KU-LGE Rating'!$G:$G)</f>
        <v>0</v>
      </c>
      <c r="AJ41" s="240">
        <f t="shared" si="6"/>
        <v>0</v>
      </c>
      <c r="AK41" s="256">
        <f>IF($F41=AK$1,$U41,0)*SUMIF('KU-LGE Rating'!$R:$R,$D41,'KU-LGE Rating'!$F:$F)</f>
        <v>0</v>
      </c>
      <c r="AL41" s="256">
        <f>IF($F41=AK$1,$U41,0)*SUMIF('KU-LGE Rating'!$R:$R,$D41,'KU-LGE Rating'!$G:$G)</f>
        <v>100000.22</v>
      </c>
      <c r="AM41" s="240">
        <f t="shared" si="7"/>
        <v>100000.22</v>
      </c>
      <c r="AN41" s="256">
        <f>IF($F41=AN$1,$U41,0)*SUMIF('KU-LGE Rating'!$R:$R,$D41,'KU-LGE Rating'!$F:$F)</f>
        <v>0</v>
      </c>
      <c r="AO41" s="256">
        <f>IF($F41=AN$1,$U41,0)*SUMIF('KU-LGE Rating'!$R:$R,$D41,'KU-LGE Rating'!$G:$G)</f>
        <v>0</v>
      </c>
      <c r="AP41" s="240">
        <f t="shared" si="8"/>
        <v>0</v>
      </c>
      <c r="AQ41" s="277"/>
      <c r="AR41" s="277"/>
      <c r="AV41" s="278"/>
      <c r="AW41" s="278"/>
      <c r="AX41" s="278"/>
    </row>
    <row r="42" spans="1:50">
      <c r="A42" s="1" t="s">
        <v>2756</v>
      </c>
      <c r="B42" s="1" t="s">
        <v>3</v>
      </c>
      <c r="C42" t="s">
        <v>3723</v>
      </c>
      <c r="D42" t="s">
        <v>3656</v>
      </c>
      <c r="E42" t="s">
        <v>3911</v>
      </c>
      <c r="F42">
        <v>2017</v>
      </c>
      <c r="G42" t="s">
        <v>3908</v>
      </c>
      <c r="H42">
        <v>512055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100000.22</v>
      </c>
      <c r="S42">
        <v>0</v>
      </c>
      <c r="T42">
        <v>0</v>
      </c>
      <c r="U42" s="8">
        <v>100000.22</v>
      </c>
      <c r="V42" s="243" t="str">
        <f t="shared" si="0"/>
        <v>512</v>
      </c>
      <c r="W42" s="240">
        <f t="shared" si="1"/>
        <v>0</v>
      </c>
      <c r="X42" s="243">
        <f t="shared" si="2"/>
        <v>0</v>
      </c>
      <c r="Y42" s="255">
        <f>$W42*SUMIF('KU-LGE Rating'!$R:$R,$D42,'KU-LGE Rating'!F:F)</f>
        <v>0</v>
      </c>
      <c r="Z42" s="256">
        <f>$W42*SUMIF('KU-LGE Rating'!$R:$R,$D42,'KU-LGE Rating'!G:G)</f>
        <v>0</v>
      </c>
      <c r="AA42" s="257">
        <f t="shared" si="3"/>
        <v>0</v>
      </c>
      <c r="AB42" s="255">
        <f>$X42*SUMIF('KU-LGE Rating'!$R:$R,$D42,'KU-LGE Rating'!F:F)</f>
        <v>0</v>
      </c>
      <c r="AC42" s="256">
        <f>$X42*SUMIF('KU-LGE Rating'!$R:$R,$D42,'KU-LGE Rating'!G:G)</f>
        <v>0</v>
      </c>
      <c r="AD42" s="257">
        <f t="shared" si="4"/>
        <v>0</v>
      </c>
      <c r="AE42" s="274">
        <f>IF($F42=AE$1,$U42,0)*SUMIF('KU-LGE Rating'!$R:$R,$D42,'KU-LGE Rating'!$F:$F)</f>
        <v>0</v>
      </c>
      <c r="AF42" s="274">
        <f>IF($F42=AE$1,$U42,0)*SUMIF('KU-LGE Rating'!$R:$R,$D42,'KU-LGE Rating'!$G:$G)</f>
        <v>0</v>
      </c>
      <c r="AG42" s="240">
        <f t="shared" si="5"/>
        <v>0</v>
      </c>
      <c r="AH42" s="256">
        <f>IF($F42=AH$1,$U42,0)*SUMIF('KU-LGE Rating'!$R:$R,$D42,'KU-LGE Rating'!$F:$F)</f>
        <v>0</v>
      </c>
      <c r="AI42" s="256">
        <f>IF($F42=AH$1,$U42,0)*SUMIF('KU-LGE Rating'!$R:$R,$D42,'KU-LGE Rating'!$G:$G)</f>
        <v>0</v>
      </c>
      <c r="AJ42" s="240">
        <f t="shared" si="6"/>
        <v>0</v>
      </c>
      <c r="AK42" s="256">
        <f>IF($F42=AK$1,$U42,0)*SUMIF('KU-LGE Rating'!$R:$R,$D42,'KU-LGE Rating'!$F:$F)</f>
        <v>0</v>
      </c>
      <c r="AL42" s="256">
        <f>IF($F42=AK$1,$U42,0)*SUMIF('KU-LGE Rating'!$R:$R,$D42,'KU-LGE Rating'!$G:$G)</f>
        <v>0</v>
      </c>
      <c r="AM42" s="240">
        <f t="shared" si="7"/>
        <v>0</v>
      </c>
      <c r="AN42" s="256">
        <f>IF($F42=AN$1,$U42,0)*SUMIF('KU-LGE Rating'!$R:$R,$D42,'KU-LGE Rating'!$F:$F)</f>
        <v>0</v>
      </c>
      <c r="AO42" s="256">
        <f>IF($F42=AN$1,$U42,0)*SUMIF('KU-LGE Rating'!$R:$R,$D42,'KU-LGE Rating'!$G:$G)</f>
        <v>100000.22</v>
      </c>
      <c r="AP42" s="240">
        <f t="shared" si="8"/>
        <v>100000.22</v>
      </c>
      <c r="AQ42" s="277"/>
      <c r="AR42" s="277"/>
      <c r="AV42" s="278"/>
      <c r="AW42" s="278"/>
      <c r="AX42" s="278"/>
    </row>
    <row r="43" spans="1:50">
      <c r="A43" s="1" t="s">
        <v>2756</v>
      </c>
      <c r="B43" s="1" t="s">
        <v>3</v>
      </c>
      <c r="C43" t="s">
        <v>3723</v>
      </c>
      <c r="D43" t="s">
        <v>3656</v>
      </c>
      <c r="E43" t="s">
        <v>3893</v>
      </c>
      <c r="F43">
        <v>2014</v>
      </c>
      <c r="G43" t="s">
        <v>3908</v>
      </c>
      <c r="H43">
        <v>512005</v>
      </c>
      <c r="I43">
        <v>-6429.45</v>
      </c>
      <c r="J43">
        <v>-288.70999999999998</v>
      </c>
      <c r="K43">
        <v>8072.82</v>
      </c>
      <c r="L43">
        <v>0</v>
      </c>
      <c r="M43">
        <v>0</v>
      </c>
      <c r="N43">
        <v>0</v>
      </c>
      <c r="O43">
        <v>0</v>
      </c>
      <c r="P43">
        <v>0</v>
      </c>
      <c r="Q43">
        <v>-1354.66</v>
      </c>
      <c r="R43">
        <v>10043.049999999999</v>
      </c>
      <c r="S43">
        <v>0</v>
      </c>
      <c r="T43">
        <v>0</v>
      </c>
      <c r="U43" s="8">
        <v>10043.049999999999</v>
      </c>
      <c r="V43" s="243" t="str">
        <f t="shared" si="0"/>
        <v>512</v>
      </c>
      <c r="W43" s="240">
        <f t="shared" si="1"/>
        <v>16761.21</v>
      </c>
      <c r="X43" s="243">
        <f t="shared" si="2"/>
        <v>0</v>
      </c>
      <c r="Y43" s="255">
        <f>$W43*SUMIF('KU-LGE Rating'!$R:$R,$D43,'KU-LGE Rating'!F:F)</f>
        <v>0</v>
      </c>
      <c r="Z43" s="256">
        <f>$W43*SUMIF('KU-LGE Rating'!$R:$R,$D43,'KU-LGE Rating'!G:G)</f>
        <v>16761.21</v>
      </c>
      <c r="AA43" s="257">
        <f t="shared" si="3"/>
        <v>16761.21</v>
      </c>
      <c r="AB43" s="255">
        <f>$X43*SUMIF('KU-LGE Rating'!$R:$R,$D43,'KU-LGE Rating'!F:F)</f>
        <v>0</v>
      </c>
      <c r="AC43" s="256">
        <f>$X43*SUMIF('KU-LGE Rating'!$R:$R,$D43,'KU-LGE Rating'!G:G)</f>
        <v>0</v>
      </c>
      <c r="AD43" s="257">
        <f t="shared" si="4"/>
        <v>0</v>
      </c>
      <c r="AE43" s="274">
        <f>IF($F43=AE$1,$U43,0)*SUMIF('KU-LGE Rating'!$R:$R,$D43,'KU-LGE Rating'!$F:$F)</f>
        <v>0</v>
      </c>
      <c r="AF43" s="274">
        <f>IF($F43=AE$1,$U43,0)*SUMIF('KU-LGE Rating'!$R:$R,$D43,'KU-LGE Rating'!$G:$G)</f>
        <v>10043.049999999999</v>
      </c>
      <c r="AG43" s="240">
        <f t="shared" si="5"/>
        <v>10043.049999999999</v>
      </c>
      <c r="AH43" s="256">
        <f>IF($F43=AH$1,$U43,0)*SUMIF('KU-LGE Rating'!$R:$R,$D43,'KU-LGE Rating'!$F:$F)</f>
        <v>0</v>
      </c>
      <c r="AI43" s="256">
        <f>IF($F43=AH$1,$U43,0)*SUMIF('KU-LGE Rating'!$R:$R,$D43,'KU-LGE Rating'!$G:$G)</f>
        <v>0</v>
      </c>
      <c r="AJ43" s="240">
        <f t="shared" si="6"/>
        <v>0</v>
      </c>
      <c r="AK43" s="256">
        <f>IF($F43=AK$1,$U43,0)*SUMIF('KU-LGE Rating'!$R:$R,$D43,'KU-LGE Rating'!$F:$F)</f>
        <v>0</v>
      </c>
      <c r="AL43" s="256">
        <f>IF($F43=AK$1,$U43,0)*SUMIF('KU-LGE Rating'!$R:$R,$D43,'KU-LGE Rating'!$G:$G)</f>
        <v>0</v>
      </c>
      <c r="AM43" s="240">
        <f t="shared" si="7"/>
        <v>0</v>
      </c>
      <c r="AN43" s="256">
        <f>IF($F43=AN$1,$U43,0)*SUMIF('KU-LGE Rating'!$R:$R,$D43,'KU-LGE Rating'!$F:$F)</f>
        <v>0</v>
      </c>
      <c r="AO43" s="256">
        <f>IF($F43=AN$1,$U43,0)*SUMIF('KU-LGE Rating'!$R:$R,$D43,'KU-LGE Rating'!$G:$G)</f>
        <v>0</v>
      </c>
      <c r="AP43" s="240">
        <f t="shared" si="8"/>
        <v>0</v>
      </c>
      <c r="AQ43" s="277"/>
      <c r="AR43" s="277"/>
      <c r="AV43" s="278"/>
      <c r="AW43" s="278"/>
      <c r="AX43" s="278"/>
    </row>
    <row r="44" spans="1:50">
      <c r="A44" s="1" t="s">
        <v>2756</v>
      </c>
      <c r="B44" s="1" t="s">
        <v>3</v>
      </c>
      <c r="C44" t="s">
        <v>3723</v>
      </c>
      <c r="D44" t="s">
        <v>3656</v>
      </c>
      <c r="E44" t="s">
        <v>3893</v>
      </c>
      <c r="F44">
        <v>2014</v>
      </c>
      <c r="G44" t="s">
        <v>3908</v>
      </c>
      <c r="H44">
        <v>512100</v>
      </c>
      <c r="I44">
        <v>-10183.42</v>
      </c>
      <c r="J44">
        <v>0</v>
      </c>
      <c r="K44">
        <v>1845.6</v>
      </c>
      <c r="L44">
        <v>-20.87</v>
      </c>
      <c r="M44">
        <v>0</v>
      </c>
      <c r="N44">
        <v>0</v>
      </c>
      <c r="O44">
        <v>0</v>
      </c>
      <c r="P44">
        <v>0</v>
      </c>
      <c r="Q44">
        <v>8358.69</v>
      </c>
      <c r="R44">
        <v>220169.81</v>
      </c>
      <c r="S44">
        <v>0</v>
      </c>
      <c r="T44">
        <v>0</v>
      </c>
      <c r="U44" s="8">
        <v>220169.81</v>
      </c>
      <c r="V44" s="243" t="str">
        <f t="shared" si="0"/>
        <v>512</v>
      </c>
      <c r="W44" s="240">
        <f t="shared" si="1"/>
        <v>230353.23</v>
      </c>
      <c r="X44" s="243">
        <f t="shared" si="2"/>
        <v>0</v>
      </c>
      <c r="Y44" s="255">
        <f>$W44*SUMIF('KU-LGE Rating'!$R:$R,$D44,'KU-LGE Rating'!F:F)</f>
        <v>0</v>
      </c>
      <c r="Z44" s="256">
        <f>$W44*SUMIF('KU-LGE Rating'!$R:$R,$D44,'KU-LGE Rating'!G:G)</f>
        <v>230353.23</v>
      </c>
      <c r="AA44" s="257">
        <f t="shared" si="3"/>
        <v>230353.23</v>
      </c>
      <c r="AB44" s="255">
        <f>$X44*SUMIF('KU-LGE Rating'!$R:$R,$D44,'KU-LGE Rating'!F:F)</f>
        <v>0</v>
      </c>
      <c r="AC44" s="256">
        <f>$X44*SUMIF('KU-LGE Rating'!$R:$R,$D44,'KU-LGE Rating'!G:G)</f>
        <v>0</v>
      </c>
      <c r="AD44" s="257">
        <f t="shared" si="4"/>
        <v>0</v>
      </c>
      <c r="AE44" s="274">
        <f>IF($F44=AE$1,$U44,0)*SUMIF('KU-LGE Rating'!$R:$R,$D44,'KU-LGE Rating'!$F:$F)</f>
        <v>0</v>
      </c>
      <c r="AF44" s="274">
        <f>IF($F44=AE$1,$U44,0)*SUMIF('KU-LGE Rating'!$R:$R,$D44,'KU-LGE Rating'!$G:$G)</f>
        <v>220169.81</v>
      </c>
      <c r="AG44" s="240">
        <f t="shared" si="5"/>
        <v>220169.81</v>
      </c>
      <c r="AH44" s="256">
        <f>IF($F44=AH$1,$U44,0)*SUMIF('KU-LGE Rating'!$R:$R,$D44,'KU-LGE Rating'!$F:$F)</f>
        <v>0</v>
      </c>
      <c r="AI44" s="256">
        <f>IF($F44=AH$1,$U44,0)*SUMIF('KU-LGE Rating'!$R:$R,$D44,'KU-LGE Rating'!$G:$G)</f>
        <v>0</v>
      </c>
      <c r="AJ44" s="240">
        <f t="shared" si="6"/>
        <v>0</v>
      </c>
      <c r="AK44" s="256">
        <f>IF($F44=AK$1,$U44,0)*SUMIF('KU-LGE Rating'!$R:$R,$D44,'KU-LGE Rating'!$F:$F)</f>
        <v>0</v>
      </c>
      <c r="AL44" s="256">
        <f>IF($F44=AK$1,$U44,0)*SUMIF('KU-LGE Rating'!$R:$R,$D44,'KU-LGE Rating'!$G:$G)</f>
        <v>0</v>
      </c>
      <c r="AM44" s="240">
        <f t="shared" si="7"/>
        <v>0</v>
      </c>
      <c r="AN44" s="256">
        <f>IF($F44=AN$1,$U44,0)*SUMIF('KU-LGE Rating'!$R:$R,$D44,'KU-LGE Rating'!$F:$F)</f>
        <v>0</v>
      </c>
      <c r="AO44" s="256">
        <f>IF($F44=AN$1,$U44,0)*SUMIF('KU-LGE Rating'!$R:$R,$D44,'KU-LGE Rating'!$G:$G)</f>
        <v>0</v>
      </c>
      <c r="AP44" s="240">
        <f t="shared" si="8"/>
        <v>0</v>
      </c>
      <c r="AQ44" s="277"/>
      <c r="AR44" s="277"/>
      <c r="AV44" s="278"/>
      <c r="AW44" s="278"/>
      <c r="AX44" s="278"/>
    </row>
    <row r="45" spans="1:50">
      <c r="A45" s="1" t="s">
        <v>2756</v>
      </c>
      <c r="B45" s="1" t="s">
        <v>3</v>
      </c>
      <c r="C45" t="s">
        <v>3723</v>
      </c>
      <c r="D45" t="s">
        <v>3656</v>
      </c>
      <c r="E45" t="s">
        <v>3893</v>
      </c>
      <c r="F45">
        <v>2014</v>
      </c>
      <c r="G45" t="s">
        <v>3908</v>
      </c>
      <c r="H45">
        <v>513100</v>
      </c>
      <c r="I45">
        <v>483.36</v>
      </c>
      <c r="J45">
        <v>375</v>
      </c>
      <c r="K45">
        <v>-14726.19</v>
      </c>
      <c r="L45">
        <v>0</v>
      </c>
      <c r="M45">
        <v>0</v>
      </c>
      <c r="N45">
        <v>0</v>
      </c>
      <c r="O45">
        <v>0</v>
      </c>
      <c r="P45">
        <v>0</v>
      </c>
      <c r="Q45">
        <v>13867.83</v>
      </c>
      <c r="R45">
        <v>170254.72</v>
      </c>
      <c r="S45">
        <v>0</v>
      </c>
      <c r="T45">
        <v>0</v>
      </c>
      <c r="U45" s="8">
        <v>170254.72</v>
      </c>
      <c r="V45" s="243" t="str">
        <f t="shared" si="0"/>
        <v>513</v>
      </c>
      <c r="W45" s="240">
        <f t="shared" si="1"/>
        <v>169396.36</v>
      </c>
      <c r="X45" s="243">
        <f t="shared" si="2"/>
        <v>0</v>
      </c>
      <c r="Y45" s="255">
        <f>$W45*SUMIF('KU-LGE Rating'!$R:$R,$D45,'KU-LGE Rating'!F:F)</f>
        <v>0</v>
      </c>
      <c r="Z45" s="256">
        <f>$W45*SUMIF('KU-LGE Rating'!$R:$R,$D45,'KU-LGE Rating'!G:G)</f>
        <v>169396.36</v>
      </c>
      <c r="AA45" s="257">
        <f t="shared" si="3"/>
        <v>169396.36</v>
      </c>
      <c r="AB45" s="255">
        <f>$X45*SUMIF('KU-LGE Rating'!$R:$R,$D45,'KU-LGE Rating'!F:F)</f>
        <v>0</v>
      </c>
      <c r="AC45" s="256">
        <f>$X45*SUMIF('KU-LGE Rating'!$R:$R,$D45,'KU-LGE Rating'!G:G)</f>
        <v>0</v>
      </c>
      <c r="AD45" s="257">
        <f t="shared" si="4"/>
        <v>0</v>
      </c>
      <c r="AE45" s="274">
        <f>IF($F45=AE$1,$U45,0)*SUMIF('KU-LGE Rating'!$R:$R,$D45,'KU-LGE Rating'!$F:$F)</f>
        <v>0</v>
      </c>
      <c r="AF45" s="274">
        <f>IF($F45=AE$1,$U45,0)*SUMIF('KU-LGE Rating'!$R:$R,$D45,'KU-LGE Rating'!$G:$G)</f>
        <v>170254.72</v>
      </c>
      <c r="AG45" s="240">
        <f t="shared" si="5"/>
        <v>170254.72</v>
      </c>
      <c r="AH45" s="256">
        <f>IF($F45=AH$1,$U45,0)*SUMIF('KU-LGE Rating'!$R:$R,$D45,'KU-LGE Rating'!$F:$F)</f>
        <v>0</v>
      </c>
      <c r="AI45" s="256">
        <f>IF($F45=AH$1,$U45,0)*SUMIF('KU-LGE Rating'!$R:$R,$D45,'KU-LGE Rating'!$G:$G)</f>
        <v>0</v>
      </c>
      <c r="AJ45" s="240">
        <f t="shared" si="6"/>
        <v>0</v>
      </c>
      <c r="AK45" s="256">
        <f>IF($F45=AK$1,$U45,0)*SUMIF('KU-LGE Rating'!$R:$R,$D45,'KU-LGE Rating'!$F:$F)</f>
        <v>0</v>
      </c>
      <c r="AL45" s="256">
        <f>IF($F45=AK$1,$U45,0)*SUMIF('KU-LGE Rating'!$R:$R,$D45,'KU-LGE Rating'!$G:$G)</f>
        <v>0</v>
      </c>
      <c r="AM45" s="240">
        <f t="shared" si="7"/>
        <v>0</v>
      </c>
      <c r="AN45" s="256">
        <f>IF($F45=AN$1,$U45,0)*SUMIF('KU-LGE Rating'!$R:$R,$D45,'KU-LGE Rating'!$F:$F)</f>
        <v>0</v>
      </c>
      <c r="AO45" s="256">
        <f>IF($F45=AN$1,$U45,0)*SUMIF('KU-LGE Rating'!$R:$R,$D45,'KU-LGE Rating'!$G:$G)</f>
        <v>0</v>
      </c>
      <c r="AP45" s="240">
        <f t="shared" si="8"/>
        <v>0</v>
      </c>
      <c r="AQ45" s="277"/>
      <c r="AR45" s="277"/>
      <c r="AV45" s="278"/>
      <c r="AW45" s="278"/>
      <c r="AX45" s="278"/>
    </row>
    <row r="46" spans="1:50">
      <c r="A46" s="1" t="s">
        <v>2756</v>
      </c>
      <c r="B46" s="1" t="s">
        <v>3</v>
      </c>
      <c r="C46" t="s">
        <v>3723</v>
      </c>
      <c r="D46" t="s">
        <v>3656</v>
      </c>
      <c r="E46" t="s">
        <v>3893</v>
      </c>
      <c r="F46">
        <v>2015</v>
      </c>
      <c r="G46" t="s">
        <v>3908</v>
      </c>
      <c r="H46">
        <v>512005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100000.22</v>
      </c>
      <c r="S46">
        <v>0</v>
      </c>
      <c r="T46">
        <v>0</v>
      </c>
      <c r="U46" s="8">
        <v>100000.22</v>
      </c>
      <c r="V46" s="243" t="str">
        <f t="shared" si="0"/>
        <v>512</v>
      </c>
      <c r="W46" s="240">
        <f t="shared" si="1"/>
        <v>0</v>
      </c>
      <c r="X46" s="243">
        <f t="shared" si="2"/>
        <v>100000.22</v>
      </c>
      <c r="Y46" s="255">
        <f>$W46*SUMIF('KU-LGE Rating'!$R:$R,$D46,'KU-LGE Rating'!F:F)</f>
        <v>0</v>
      </c>
      <c r="Z46" s="256">
        <f>$W46*SUMIF('KU-LGE Rating'!$R:$R,$D46,'KU-LGE Rating'!G:G)</f>
        <v>0</v>
      </c>
      <c r="AA46" s="257">
        <f t="shared" si="3"/>
        <v>0</v>
      </c>
      <c r="AB46" s="255">
        <f>$X46*SUMIF('KU-LGE Rating'!$R:$R,$D46,'KU-LGE Rating'!F:F)</f>
        <v>0</v>
      </c>
      <c r="AC46" s="256">
        <f>$X46*SUMIF('KU-LGE Rating'!$R:$R,$D46,'KU-LGE Rating'!G:G)</f>
        <v>100000.22</v>
      </c>
      <c r="AD46" s="257">
        <f t="shared" si="4"/>
        <v>100000.22</v>
      </c>
      <c r="AE46" s="274">
        <f>IF($F46=AE$1,$U46,0)*SUMIF('KU-LGE Rating'!$R:$R,$D46,'KU-LGE Rating'!$F:$F)</f>
        <v>0</v>
      </c>
      <c r="AF46" s="274">
        <f>IF($F46=AE$1,$U46,0)*SUMIF('KU-LGE Rating'!$R:$R,$D46,'KU-LGE Rating'!$G:$G)</f>
        <v>0</v>
      </c>
      <c r="AG46" s="240">
        <f t="shared" si="5"/>
        <v>0</v>
      </c>
      <c r="AH46" s="256">
        <f>IF($F46=AH$1,$U46,0)*SUMIF('KU-LGE Rating'!$R:$R,$D46,'KU-LGE Rating'!$F:$F)</f>
        <v>0</v>
      </c>
      <c r="AI46" s="256">
        <f>IF($F46=AH$1,$U46,0)*SUMIF('KU-LGE Rating'!$R:$R,$D46,'KU-LGE Rating'!$G:$G)</f>
        <v>100000.22</v>
      </c>
      <c r="AJ46" s="240">
        <f t="shared" si="6"/>
        <v>100000.22</v>
      </c>
      <c r="AK46" s="256">
        <f>IF($F46=AK$1,$U46,0)*SUMIF('KU-LGE Rating'!$R:$R,$D46,'KU-LGE Rating'!$F:$F)</f>
        <v>0</v>
      </c>
      <c r="AL46" s="256">
        <f>IF($F46=AK$1,$U46,0)*SUMIF('KU-LGE Rating'!$R:$R,$D46,'KU-LGE Rating'!$G:$G)</f>
        <v>0</v>
      </c>
      <c r="AM46" s="240">
        <f t="shared" si="7"/>
        <v>0</v>
      </c>
      <c r="AN46" s="256">
        <f>IF($F46=AN$1,$U46,0)*SUMIF('KU-LGE Rating'!$R:$R,$D46,'KU-LGE Rating'!$F:$F)</f>
        <v>0</v>
      </c>
      <c r="AO46" s="256">
        <f>IF($F46=AN$1,$U46,0)*SUMIF('KU-LGE Rating'!$R:$R,$D46,'KU-LGE Rating'!$G:$G)</f>
        <v>0</v>
      </c>
      <c r="AP46" s="240">
        <f t="shared" si="8"/>
        <v>0</v>
      </c>
      <c r="AQ46" s="277"/>
      <c r="AR46" s="277"/>
      <c r="AV46" s="278"/>
      <c r="AW46" s="278"/>
      <c r="AX46" s="278"/>
    </row>
    <row r="47" spans="1:50">
      <c r="A47" s="1" t="s">
        <v>2756</v>
      </c>
      <c r="B47" s="1" t="s">
        <v>3</v>
      </c>
      <c r="C47" t="s">
        <v>3723</v>
      </c>
      <c r="D47" t="s">
        <v>3656</v>
      </c>
      <c r="E47" t="s">
        <v>3893</v>
      </c>
      <c r="F47">
        <v>2015</v>
      </c>
      <c r="G47" t="s">
        <v>3908</v>
      </c>
      <c r="H47">
        <v>512100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349999.89</v>
      </c>
      <c r="S47">
        <v>0</v>
      </c>
      <c r="T47">
        <v>0</v>
      </c>
      <c r="U47" s="8">
        <v>349999.89</v>
      </c>
      <c r="V47" s="243" t="str">
        <f t="shared" si="0"/>
        <v>512</v>
      </c>
      <c r="W47" s="240">
        <f t="shared" si="1"/>
        <v>0</v>
      </c>
      <c r="X47" s="243">
        <f t="shared" si="2"/>
        <v>349999.89</v>
      </c>
      <c r="Y47" s="255">
        <f>$W47*SUMIF('KU-LGE Rating'!$R:$R,$D47,'KU-LGE Rating'!F:F)</f>
        <v>0</v>
      </c>
      <c r="Z47" s="256">
        <f>$W47*SUMIF('KU-LGE Rating'!$R:$R,$D47,'KU-LGE Rating'!G:G)</f>
        <v>0</v>
      </c>
      <c r="AA47" s="257">
        <f t="shared" si="3"/>
        <v>0</v>
      </c>
      <c r="AB47" s="255">
        <f>$X47*SUMIF('KU-LGE Rating'!$R:$R,$D47,'KU-LGE Rating'!F:F)</f>
        <v>0</v>
      </c>
      <c r="AC47" s="256">
        <f>$X47*SUMIF('KU-LGE Rating'!$R:$R,$D47,'KU-LGE Rating'!G:G)</f>
        <v>349999.89</v>
      </c>
      <c r="AD47" s="257">
        <f t="shared" si="4"/>
        <v>349999.89</v>
      </c>
      <c r="AE47" s="274">
        <f>IF($F47=AE$1,$U47,0)*SUMIF('KU-LGE Rating'!$R:$R,$D47,'KU-LGE Rating'!$F:$F)</f>
        <v>0</v>
      </c>
      <c r="AF47" s="274">
        <f>IF($F47=AE$1,$U47,0)*SUMIF('KU-LGE Rating'!$R:$R,$D47,'KU-LGE Rating'!$G:$G)</f>
        <v>0</v>
      </c>
      <c r="AG47" s="240">
        <f t="shared" si="5"/>
        <v>0</v>
      </c>
      <c r="AH47" s="256">
        <f>IF($F47=AH$1,$U47,0)*SUMIF('KU-LGE Rating'!$R:$R,$D47,'KU-LGE Rating'!$F:$F)</f>
        <v>0</v>
      </c>
      <c r="AI47" s="256">
        <f>IF($F47=AH$1,$U47,0)*SUMIF('KU-LGE Rating'!$R:$R,$D47,'KU-LGE Rating'!$G:$G)</f>
        <v>349999.89</v>
      </c>
      <c r="AJ47" s="240">
        <f t="shared" si="6"/>
        <v>349999.89</v>
      </c>
      <c r="AK47" s="256">
        <f>IF($F47=AK$1,$U47,0)*SUMIF('KU-LGE Rating'!$R:$R,$D47,'KU-LGE Rating'!$F:$F)</f>
        <v>0</v>
      </c>
      <c r="AL47" s="256">
        <f>IF($F47=AK$1,$U47,0)*SUMIF('KU-LGE Rating'!$R:$R,$D47,'KU-LGE Rating'!$G:$G)</f>
        <v>0</v>
      </c>
      <c r="AM47" s="240">
        <f t="shared" si="7"/>
        <v>0</v>
      </c>
      <c r="AN47" s="256">
        <f>IF($F47=AN$1,$U47,0)*SUMIF('KU-LGE Rating'!$R:$R,$D47,'KU-LGE Rating'!$F:$F)</f>
        <v>0</v>
      </c>
      <c r="AO47" s="256">
        <f>IF($F47=AN$1,$U47,0)*SUMIF('KU-LGE Rating'!$R:$R,$D47,'KU-LGE Rating'!$G:$G)</f>
        <v>0</v>
      </c>
      <c r="AP47" s="240">
        <f t="shared" si="8"/>
        <v>0</v>
      </c>
      <c r="AQ47" s="277"/>
      <c r="AR47" s="277"/>
      <c r="AV47" s="278"/>
      <c r="AW47" s="278"/>
      <c r="AX47" s="278"/>
    </row>
    <row r="48" spans="1:50">
      <c r="A48" s="1" t="s">
        <v>2756</v>
      </c>
      <c r="B48" s="1" t="s">
        <v>3</v>
      </c>
      <c r="C48" t="s">
        <v>3723</v>
      </c>
      <c r="D48" t="s">
        <v>3656</v>
      </c>
      <c r="E48" t="s">
        <v>3893</v>
      </c>
      <c r="F48">
        <v>2015</v>
      </c>
      <c r="G48" t="s">
        <v>3908</v>
      </c>
      <c r="H48">
        <v>513100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249999.95</v>
      </c>
      <c r="S48">
        <v>0</v>
      </c>
      <c r="T48">
        <v>0</v>
      </c>
      <c r="U48" s="8">
        <v>249999.95</v>
      </c>
      <c r="V48" s="243" t="str">
        <f t="shared" si="0"/>
        <v>513</v>
      </c>
      <c r="W48" s="240">
        <f t="shared" si="1"/>
        <v>0</v>
      </c>
      <c r="X48" s="243">
        <f t="shared" si="2"/>
        <v>249999.95</v>
      </c>
      <c r="Y48" s="255">
        <f>$W48*SUMIF('KU-LGE Rating'!$R:$R,$D48,'KU-LGE Rating'!F:F)</f>
        <v>0</v>
      </c>
      <c r="Z48" s="256">
        <f>$W48*SUMIF('KU-LGE Rating'!$R:$R,$D48,'KU-LGE Rating'!G:G)</f>
        <v>0</v>
      </c>
      <c r="AA48" s="257">
        <f t="shared" si="3"/>
        <v>0</v>
      </c>
      <c r="AB48" s="255">
        <f>$X48*SUMIF('KU-LGE Rating'!$R:$R,$D48,'KU-LGE Rating'!F:F)</f>
        <v>0</v>
      </c>
      <c r="AC48" s="256">
        <f>$X48*SUMIF('KU-LGE Rating'!$R:$R,$D48,'KU-LGE Rating'!G:G)</f>
        <v>249999.95</v>
      </c>
      <c r="AD48" s="257">
        <f t="shared" si="4"/>
        <v>249999.95</v>
      </c>
      <c r="AE48" s="274">
        <f>IF($F48=AE$1,$U48,0)*SUMIF('KU-LGE Rating'!$R:$R,$D48,'KU-LGE Rating'!$F:$F)</f>
        <v>0</v>
      </c>
      <c r="AF48" s="274">
        <f>IF($F48=AE$1,$U48,0)*SUMIF('KU-LGE Rating'!$R:$R,$D48,'KU-LGE Rating'!$G:$G)</f>
        <v>0</v>
      </c>
      <c r="AG48" s="240">
        <f t="shared" si="5"/>
        <v>0</v>
      </c>
      <c r="AH48" s="256">
        <f>IF($F48=AH$1,$U48,0)*SUMIF('KU-LGE Rating'!$R:$R,$D48,'KU-LGE Rating'!$F:$F)</f>
        <v>0</v>
      </c>
      <c r="AI48" s="256">
        <f>IF($F48=AH$1,$U48,0)*SUMIF('KU-LGE Rating'!$R:$R,$D48,'KU-LGE Rating'!$G:$G)</f>
        <v>249999.95</v>
      </c>
      <c r="AJ48" s="240">
        <f t="shared" si="6"/>
        <v>249999.95</v>
      </c>
      <c r="AK48" s="256">
        <f>IF($F48=AK$1,$U48,0)*SUMIF('KU-LGE Rating'!$R:$R,$D48,'KU-LGE Rating'!$F:$F)</f>
        <v>0</v>
      </c>
      <c r="AL48" s="256">
        <f>IF($F48=AK$1,$U48,0)*SUMIF('KU-LGE Rating'!$R:$R,$D48,'KU-LGE Rating'!$G:$G)</f>
        <v>0</v>
      </c>
      <c r="AM48" s="240">
        <f t="shared" si="7"/>
        <v>0</v>
      </c>
      <c r="AN48" s="256">
        <f>IF($F48=AN$1,$U48,0)*SUMIF('KU-LGE Rating'!$R:$R,$D48,'KU-LGE Rating'!$F:$F)</f>
        <v>0</v>
      </c>
      <c r="AO48" s="256">
        <f>IF($F48=AN$1,$U48,0)*SUMIF('KU-LGE Rating'!$R:$R,$D48,'KU-LGE Rating'!$G:$G)</f>
        <v>0</v>
      </c>
      <c r="AP48" s="240">
        <f t="shared" si="8"/>
        <v>0</v>
      </c>
      <c r="AQ48" s="277"/>
      <c r="AR48" s="277"/>
      <c r="AV48" s="278"/>
      <c r="AW48" s="278"/>
      <c r="AX48" s="278"/>
    </row>
    <row r="49" spans="1:50">
      <c r="A49" s="1" t="s">
        <v>2756</v>
      </c>
      <c r="B49" s="1" t="s">
        <v>3</v>
      </c>
      <c r="C49" t="s">
        <v>3723</v>
      </c>
      <c r="D49" t="s">
        <v>3656</v>
      </c>
      <c r="E49" t="s">
        <v>3893</v>
      </c>
      <c r="F49">
        <v>2016</v>
      </c>
      <c r="G49" t="s">
        <v>3908</v>
      </c>
      <c r="H49">
        <v>512005</v>
      </c>
      <c r="I49">
        <v>0</v>
      </c>
      <c r="J49">
        <v>0</v>
      </c>
      <c r="K49">
        <v>0</v>
      </c>
      <c r="L49">
        <v>0</v>
      </c>
      <c r="M49">
        <v>49999.519999999997</v>
      </c>
      <c r="N49">
        <v>49999.519999999997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 s="8">
        <v>99999.039999999994</v>
      </c>
      <c r="V49" s="243" t="str">
        <f t="shared" si="0"/>
        <v>512</v>
      </c>
      <c r="W49" s="240">
        <f t="shared" si="1"/>
        <v>0</v>
      </c>
      <c r="X49" s="243">
        <f t="shared" si="2"/>
        <v>99999.039999999994</v>
      </c>
      <c r="Y49" s="255">
        <f>$W49*SUMIF('KU-LGE Rating'!$R:$R,$D49,'KU-LGE Rating'!F:F)</f>
        <v>0</v>
      </c>
      <c r="Z49" s="256">
        <f>$W49*SUMIF('KU-LGE Rating'!$R:$R,$D49,'KU-LGE Rating'!G:G)</f>
        <v>0</v>
      </c>
      <c r="AA49" s="257">
        <f t="shared" si="3"/>
        <v>0</v>
      </c>
      <c r="AB49" s="255">
        <f>$X49*SUMIF('KU-LGE Rating'!$R:$R,$D49,'KU-LGE Rating'!F:F)</f>
        <v>0</v>
      </c>
      <c r="AC49" s="256">
        <f>$X49*SUMIF('KU-LGE Rating'!$R:$R,$D49,'KU-LGE Rating'!G:G)</f>
        <v>99999.039999999994</v>
      </c>
      <c r="AD49" s="257">
        <f t="shared" si="4"/>
        <v>99999.039999999994</v>
      </c>
      <c r="AE49" s="274">
        <f>IF($F49=AE$1,$U49,0)*SUMIF('KU-LGE Rating'!$R:$R,$D49,'KU-LGE Rating'!$F:$F)</f>
        <v>0</v>
      </c>
      <c r="AF49" s="274">
        <f>IF($F49=AE$1,$U49,0)*SUMIF('KU-LGE Rating'!$R:$R,$D49,'KU-LGE Rating'!$G:$G)</f>
        <v>0</v>
      </c>
      <c r="AG49" s="240">
        <f t="shared" si="5"/>
        <v>0</v>
      </c>
      <c r="AH49" s="256">
        <f>IF($F49=AH$1,$U49,0)*SUMIF('KU-LGE Rating'!$R:$R,$D49,'KU-LGE Rating'!$F:$F)</f>
        <v>0</v>
      </c>
      <c r="AI49" s="256">
        <f>IF($F49=AH$1,$U49,0)*SUMIF('KU-LGE Rating'!$R:$R,$D49,'KU-LGE Rating'!$G:$G)</f>
        <v>0</v>
      </c>
      <c r="AJ49" s="240">
        <f t="shared" si="6"/>
        <v>0</v>
      </c>
      <c r="AK49" s="256">
        <f>IF($F49=AK$1,$U49,0)*SUMIF('KU-LGE Rating'!$R:$R,$D49,'KU-LGE Rating'!$F:$F)</f>
        <v>0</v>
      </c>
      <c r="AL49" s="256">
        <f>IF($F49=AK$1,$U49,0)*SUMIF('KU-LGE Rating'!$R:$R,$D49,'KU-LGE Rating'!$G:$G)</f>
        <v>99999.039999999994</v>
      </c>
      <c r="AM49" s="240">
        <f t="shared" si="7"/>
        <v>99999.039999999994</v>
      </c>
      <c r="AN49" s="256">
        <f>IF($F49=AN$1,$U49,0)*SUMIF('KU-LGE Rating'!$R:$R,$D49,'KU-LGE Rating'!$F:$F)</f>
        <v>0</v>
      </c>
      <c r="AO49" s="256">
        <f>IF($F49=AN$1,$U49,0)*SUMIF('KU-LGE Rating'!$R:$R,$D49,'KU-LGE Rating'!$G:$G)</f>
        <v>0</v>
      </c>
      <c r="AP49" s="240">
        <f t="shared" si="8"/>
        <v>0</v>
      </c>
      <c r="AQ49" s="277"/>
      <c r="AR49" s="277"/>
      <c r="AV49" s="278"/>
      <c r="AW49" s="278"/>
      <c r="AX49" s="278"/>
    </row>
    <row r="50" spans="1:50">
      <c r="A50" s="1" t="s">
        <v>2756</v>
      </c>
      <c r="B50" s="1" t="s">
        <v>3</v>
      </c>
      <c r="C50" t="s">
        <v>3723</v>
      </c>
      <c r="D50" t="s">
        <v>3656</v>
      </c>
      <c r="E50" t="s">
        <v>3893</v>
      </c>
      <c r="F50">
        <v>2016</v>
      </c>
      <c r="G50" t="s">
        <v>3908</v>
      </c>
      <c r="H50">
        <v>512100</v>
      </c>
      <c r="I50">
        <v>0</v>
      </c>
      <c r="J50">
        <v>0</v>
      </c>
      <c r="K50">
        <v>0</v>
      </c>
      <c r="L50">
        <v>145000.22</v>
      </c>
      <c r="M50">
        <v>699999.89</v>
      </c>
      <c r="N50">
        <v>499999.89</v>
      </c>
      <c r="O50">
        <v>0</v>
      </c>
      <c r="P50">
        <v>0</v>
      </c>
      <c r="Q50">
        <v>0</v>
      </c>
      <c r="R50">
        <v>0</v>
      </c>
      <c r="S50">
        <v>320000.43</v>
      </c>
      <c r="T50">
        <v>0</v>
      </c>
      <c r="U50" s="8">
        <v>1665000.43</v>
      </c>
      <c r="V50" s="243" t="str">
        <f t="shared" si="0"/>
        <v>512</v>
      </c>
      <c r="W50" s="240">
        <f t="shared" si="1"/>
        <v>0</v>
      </c>
      <c r="X50" s="243">
        <f t="shared" si="2"/>
        <v>1345000</v>
      </c>
      <c r="Y50" s="255">
        <f>$W50*SUMIF('KU-LGE Rating'!$R:$R,$D50,'KU-LGE Rating'!F:F)</f>
        <v>0</v>
      </c>
      <c r="Z50" s="256">
        <f>$W50*SUMIF('KU-LGE Rating'!$R:$R,$D50,'KU-LGE Rating'!G:G)</f>
        <v>0</v>
      </c>
      <c r="AA50" s="257">
        <f t="shared" si="3"/>
        <v>0</v>
      </c>
      <c r="AB50" s="255">
        <f>$X50*SUMIF('KU-LGE Rating'!$R:$R,$D50,'KU-LGE Rating'!F:F)</f>
        <v>0</v>
      </c>
      <c r="AC50" s="256">
        <f>$X50*SUMIF('KU-LGE Rating'!$R:$R,$D50,'KU-LGE Rating'!G:G)</f>
        <v>1345000</v>
      </c>
      <c r="AD50" s="257">
        <f t="shared" si="4"/>
        <v>1345000</v>
      </c>
      <c r="AE50" s="274">
        <f>IF($F50=AE$1,$U50,0)*SUMIF('KU-LGE Rating'!$R:$R,$D50,'KU-LGE Rating'!$F:$F)</f>
        <v>0</v>
      </c>
      <c r="AF50" s="274">
        <f>IF($F50=AE$1,$U50,0)*SUMIF('KU-LGE Rating'!$R:$R,$D50,'KU-LGE Rating'!$G:$G)</f>
        <v>0</v>
      </c>
      <c r="AG50" s="240">
        <f t="shared" si="5"/>
        <v>0</v>
      </c>
      <c r="AH50" s="256">
        <f>IF($F50=AH$1,$U50,0)*SUMIF('KU-LGE Rating'!$R:$R,$D50,'KU-LGE Rating'!$F:$F)</f>
        <v>0</v>
      </c>
      <c r="AI50" s="256">
        <f>IF($F50=AH$1,$U50,0)*SUMIF('KU-LGE Rating'!$R:$R,$D50,'KU-LGE Rating'!$G:$G)</f>
        <v>0</v>
      </c>
      <c r="AJ50" s="240">
        <f t="shared" si="6"/>
        <v>0</v>
      </c>
      <c r="AK50" s="256">
        <f>IF($F50=AK$1,$U50,0)*SUMIF('KU-LGE Rating'!$R:$R,$D50,'KU-LGE Rating'!$F:$F)</f>
        <v>0</v>
      </c>
      <c r="AL50" s="256">
        <f>IF($F50=AK$1,$U50,0)*SUMIF('KU-LGE Rating'!$R:$R,$D50,'KU-LGE Rating'!$G:$G)</f>
        <v>1665000.43</v>
      </c>
      <c r="AM50" s="240">
        <f t="shared" si="7"/>
        <v>1665000.43</v>
      </c>
      <c r="AN50" s="256">
        <f>IF($F50=AN$1,$U50,0)*SUMIF('KU-LGE Rating'!$R:$R,$D50,'KU-LGE Rating'!$F:$F)</f>
        <v>0</v>
      </c>
      <c r="AO50" s="256">
        <f>IF($F50=AN$1,$U50,0)*SUMIF('KU-LGE Rating'!$R:$R,$D50,'KU-LGE Rating'!$G:$G)</f>
        <v>0</v>
      </c>
      <c r="AP50" s="240">
        <f t="shared" si="8"/>
        <v>0</v>
      </c>
      <c r="AQ50" s="277"/>
      <c r="AR50" s="277"/>
      <c r="AV50" s="278"/>
      <c r="AW50" s="278"/>
      <c r="AX50" s="278"/>
    </row>
    <row r="51" spans="1:50">
      <c r="A51" s="1" t="s">
        <v>2756</v>
      </c>
      <c r="B51" s="1" t="s">
        <v>3</v>
      </c>
      <c r="C51" t="s">
        <v>3723</v>
      </c>
      <c r="D51" t="s">
        <v>3656</v>
      </c>
      <c r="E51" t="s">
        <v>3893</v>
      </c>
      <c r="F51">
        <v>2016</v>
      </c>
      <c r="G51" t="s">
        <v>3908</v>
      </c>
      <c r="H51">
        <v>513100</v>
      </c>
      <c r="I51">
        <v>0</v>
      </c>
      <c r="J51">
        <v>0</v>
      </c>
      <c r="K51">
        <v>0</v>
      </c>
      <c r="L51">
        <v>125000.44</v>
      </c>
      <c r="M51">
        <v>1199999.78</v>
      </c>
      <c r="N51">
        <v>449999.95</v>
      </c>
      <c r="O51">
        <v>0</v>
      </c>
      <c r="P51">
        <v>0</v>
      </c>
      <c r="Q51">
        <v>0</v>
      </c>
      <c r="R51">
        <v>0</v>
      </c>
      <c r="S51">
        <v>480000.11</v>
      </c>
      <c r="T51">
        <v>0</v>
      </c>
      <c r="U51" s="8">
        <v>2255000.2799999998</v>
      </c>
      <c r="V51" s="243" t="str">
        <f t="shared" si="0"/>
        <v>513</v>
      </c>
      <c r="W51" s="240">
        <f t="shared" si="1"/>
        <v>0</v>
      </c>
      <c r="X51" s="243">
        <f t="shared" si="2"/>
        <v>1775000.17</v>
      </c>
      <c r="Y51" s="255">
        <f>$W51*SUMIF('KU-LGE Rating'!$R:$R,$D51,'KU-LGE Rating'!F:F)</f>
        <v>0</v>
      </c>
      <c r="Z51" s="256">
        <f>$W51*SUMIF('KU-LGE Rating'!$R:$R,$D51,'KU-LGE Rating'!G:G)</f>
        <v>0</v>
      </c>
      <c r="AA51" s="257">
        <f t="shared" si="3"/>
        <v>0</v>
      </c>
      <c r="AB51" s="255">
        <f>$X51*SUMIF('KU-LGE Rating'!$R:$R,$D51,'KU-LGE Rating'!F:F)</f>
        <v>0</v>
      </c>
      <c r="AC51" s="256">
        <f>$X51*SUMIF('KU-LGE Rating'!$R:$R,$D51,'KU-LGE Rating'!G:G)</f>
        <v>1775000.17</v>
      </c>
      <c r="AD51" s="257">
        <f t="shared" si="4"/>
        <v>1775000.17</v>
      </c>
      <c r="AE51" s="274">
        <f>IF($F51=AE$1,$U51,0)*SUMIF('KU-LGE Rating'!$R:$R,$D51,'KU-LGE Rating'!$F:$F)</f>
        <v>0</v>
      </c>
      <c r="AF51" s="274">
        <f>IF($F51=AE$1,$U51,0)*SUMIF('KU-LGE Rating'!$R:$R,$D51,'KU-LGE Rating'!$G:$G)</f>
        <v>0</v>
      </c>
      <c r="AG51" s="240">
        <f t="shared" si="5"/>
        <v>0</v>
      </c>
      <c r="AH51" s="256">
        <f>IF($F51=AH$1,$U51,0)*SUMIF('KU-LGE Rating'!$R:$R,$D51,'KU-LGE Rating'!$F:$F)</f>
        <v>0</v>
      </c>
      <c r="AI51" s="256">
        <f>IF($F51=AH$1,$U51,0)*SUMIF('KU-LGE Rating'!$R:$R,$D51,'KU-LGE Rating'!$G:$G)</f>
        <v>0</v>
      </c>
      <c r="AJ51" s="240">
        <f t="shared" si="6"/>
        <v>0</v>
      </c>
      <c r="AK51" s="256">
        <f>IF($F51=AK$1,$U51,0)*SUMIF('KU-LGE Rating'!$R:$R,$D51,'KU-LGE Rating'!$F:$F)</f>
        <v>0</v>
      </c>
      <c r="AL51" s="256">
        <f>IF($F51=AK$1,$U51,0)*SUMIF('KU-LGE Rating'!$R:$R,$D51,'KU-LGE Rating'!$G:$G)</f>
        <v>2255000.2799999998</v>
      </c>
      <c r="AM51" s="240">
        <f t="shared" si="7"/>
        <v>2255000.2799999998</v>
      </c>
      <c r="AN51" s="256">
        <f>IF($F51=AN$1,$U51,0)*SUMIF('KU-LGE Rating'!$R:$R,$D51,'KU-LGE Rating'!$F:$F)</f>
        <v>0</v>
      </c>
      <c r="AO51" s="256">
        <f>IF($F51=AN$1,$U51,0)*SUMIF('KU-LGE Rating'!$R:$R,$D51,'KU-LGE Rating'!$G:$G)</f>
        <v>0</v>
      </c>
      <c r="AP51" s="240">
        <f t="shared" si="8"/>
        <v>0</v>
      </c>
      <c r="AQ51" s="277"/>
      <c r="AR51" s="277"/>
      <c r="AV51" s="278"/>
      <c r="AW51" s="278"/>
      <c r="AX51" s="278"/>
    </row>
    <row r="52" spans="1:50">
      <c r="A52" s="1" t="s">
        <v>2756</v>
      </c>
      <c r="B52" s="1" t="s">
        <v>3</v>
      </c>
      <c r="C52" t="s">
        <v>3723</v>
      </c>
      <c r="D52" t="s">
        <v>3656</v>
      </c>
      <c r="E52" t="s">
        <v>3893</v>
      </c>
      <c r="F52">
        <v>2017</v>
      </c>
      <c r="G52" t="s">
        <v>3908</v>
      </c>
      <c r="H52">
        <v>512100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70000.22</v>
      </c>
      <c r="R52">
        <v>1699999.56</v>
      </c>
      <c r="S52">
        <v>100000.22</v>
      </c>
      <c r="T52">
        <v>0</v>
      </c>
      <c r="U52" s="8">
        <v>1870000</v>
      </c>
      <c r="V52" s="243" t="str">
        <f t="shared" si="0"/>
        <v>512</v>
      </c>
      <c r="W52" s="240">
        <f t="shared" si="1"/>
        <v>0</v>
      </c>
      <c r="X52" s="243">
        <f t="shared" si="2"/>
        <v>0</v>
      </c>
      <c r="Y52" s="255">
        <f>$W52*SUMIF('KU-LGE Rating'!$R:$R,$D52,'KU-LGE Rating'!F:F)</f>
        <v>0</v>
      </c>
      <c r="Z52" s="256">
        <f>$W52*SUMIF('KU-LGE Rating'!$R:$R,$D52,'KU-LGE Rating'!G:G)</f>
        <v>0</v>
      </c>
      <c r="AA52" s="257">
        <f t="shared" si="3"/>
        <v>0</v>
      </c>
      <c r="AB52" s="255">
        <f>$X52*SUMIF('KU-LGE Rating'!$R:$R,$D52,'KU-LGE Rating'!F:F)</f>
        <v>0</v>
      </c>
      <c r="AC52" s="256">
        <f>$X52*SUMIF('KU-LGE Rating'!$R:$R,$D52,'KU-LGE Rating'!G:G)</f>
        <v>0</v>
      </c>
      <c r="AD52" s="257">
        <f t="shared" si="4"/>
        <v>0</v>
      </c>
      <c r="AE52" s="274">
        <f>IF($F52=AE$1,$U52,0)*SUMIF('KU-LGE Rating'!$R:$R,$D52,'KU-LGE Rating'!$F:$F)</f>
        <v>0</v>
      </c>
      <c r="AF52" s="274">
        <f>IF($F52=AE$1,$U52,0)*SUMIF('KU-LGE Rating'!$R:$R,$D52,'KU-LGE Rating'!$G:$G)</f>
        <v>0</v>
      </c>
      <c r="AG52" s="240">
        <f t="shared" si="5"/>
        <v>0</v>
      </c>
      <c r="AH52" s="256">
        <f>IF($F52=AH$1,$U52,0)*SUMIF('KU-LGE Rating'!$R:$R,$D52,'KU-LGE Rating'!$F:$F)</f>
        <v>0</v>
      </c>
      <c r="AI52" s="256">
        <f>IF($F52=AH$1,$U52,0)*SUMIF('KU-LGE Rating'!$R:$R,$D52,'KU-LGE Rating'!$G:$G)</f>
        <v>0</v>
      </c>
      <c r="AJ52" s="240">
        <f t="shared" si="6"/>
        <v>0</v>
      </c>
      <c r="AK52" s="256">
        <f>IF($F52=AK$1,$U52,0)*SUMIF('KU-LGE Rating'!$R:$R,$D52,'KU-LGE Rating'!$F:$F)</f>
        <v>0</v>
      </c>
      <c r="AL52" s="256">
        <f>IF($F52=AK$1,$U52,0)*SUMIF('KU-LGE Rating'!$R:$R,$D52,'KU-LGE Rating'!$G:$G)</f>
        <v>0</v>
      </c>
      <c r="AM52" s="240">
        <f t="shared" si="7"/>
        <v>0</v>
      </c>
      <c r="AN52" s="256">
        <f>IF($F52=AN$1,$U52,0)*SUMIF('KU-LGE Rating'!$R:$R,$D52,'KU-LGE Rating'!$F:$F)</f>
        <v>0</v>
      </c>
      <c r="AO52" s="256">
        <f>IF($F52=AN$1,$U52,0)*SUMIF('KU-LGE Rating'!$R:$R,$D52,'KU-LGE Rating'!$G:$G)</f>
        <v>1870000</v>
      </c>
      <c r="AP52" s="240">
        <f t="shared" si="8"/>
        <v>1870000</v>
      </c>
      <c r="AQ52" s="277"/>
      <c r="AR52" s="277"/>
      <c r="AV52" s="278"/>
      <c r="AW52" s="278"/>
      <c r="AX52" s="278"/>
    </row>
    <row r="53" spans="1:50">
      <c r="A53" s="1" t="s">
        <v>2756</v>
      </c>
      <c r="B53" s="1" t="s">
        <v>3</v>
      </c>
      <c r="C53" t="s">
        <v>3723</v>
      </c>
      <c r="D53" t="s">
        <v>3656</v>
      </c>
      <c r="E53" t="s">
        <v>3893</v>
      </c>
      <c r="F53">
        <v>2017</v>
      </c>
      <c r="G53" t="s">
        <v>3908</v>
      </c>
      <c r="H53">
        <v>513100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49999.519999999997</v>
      </c>
      <c r="R53">
        <v>1649999.19</v>
      </c>
      <c r="S53">
        <v>80000.22</v>
      </c>
      <c r="T53">
        <v>0</v>
      </c>
      <c r="U53" s="8">
        <v>1779998.93</v>
      </c>
      <c r="V53" s="243" t="str">
        <f t="shared" si="0"/>
        <v>513</v>
      </c>
      <c r="W53" s="240">
        <f t="shared" si="1"/>
        <v>0</v>
      </c>
      <c r="X53" s="243">
        <f t="shared" si="2"/>
        <v>0</v>
      </c>
      <c r="Y53" s="255">
        <f>$W53*SUMIF('KU-LGE Rating'!$R:$R,$D53,'KU-LGE Rating'!F:F)</f>
        <v>0</v>
      </c>
      <c r="Z53" s="256">
        <f>$W53*SUMIF('KU-LGE Rating'!$R:$R,$D53,'KU-LGE Rating'!G:G)</f>
        <v>0</v>
      </c>
      <c r="AA53" s="257">
        <f t="shared" si="3"/>
        <v>0</v>
      </c>
      <c r="AB53" s="255">
        <f>$X53*SUMIF('KU-LGE Rating'!$R:$R,$D53,'KU-LGE Rating'!F:F)</f>
        <v>0</v>
      </c>
      <c r="AC53" s="256">
        <f>$X53*SUMIF('KU-LGE Rating'!$R:$R,$D53,'KU-LGE Rating'!G:G)</f>
        <v>0</v>
      </c>
      <c r="AD53" s="257">
        <f t="shared" si="4"/>
        <v>0</v>
      </c>
      <c r="AE53" s="274">
        <f>IF($F53=AE$1,$U53,0)*SUMIF('KU-LGE Rating'!$R:$R,$D53,'KU-LGE Rating'!$F:$F)</f>
        <v>0</v>
      </c>
      <c r="AF53" s="274">
        <f>IF($F53=AE$1,$U53,0)*SUMIF('KU-LGE Rating'!$R:$R,$D53,'KU-LGE Rating'!$G:$G)</f>
        <v>0</v>
      </c>
      <c r="AG53" s="240">
        <f t="shared" si="5"/>
        <v>0</v>
      </c>
      <c r="AH53" s="256">
        <f>IF($F53=AH$1,$U53,0)*SUMIF('KU-LGE Rating'!$R:$R,$D53,'KU-LGE Rating'!$F:$F)</f>
        <v>0</v>
      </c>
      <c r="AI53" s="256">
        <f>IF($F53=AH$1,$U53,0)*SUMIF('KU-LGE Rating'!$R:$R,$D53,'KU-LGE Rating'!$G:$G)</f>
        <v>0</v>
      </c>
      <c r="AJ53" s="240">
        <f t="shared" si="6"/>
        <v>0</v>
      </c>
      <c r="AK53" s="256">
        <f>IF($F53=AK$1,$U53,0)*SUMIF('KU-LGE Rating'!$R:$R,$D53,'KU-LGE Rating'!$F:$F)</f>
        <v>0</v>
      </c>
      <c r="AL53" s="256">
        <f>IF($F53=AK$1,$U53,0)*SUMIF('KU-LGE Rating'!$R:$R,$D53,'KU-LGE Rating'!$G:$G)</f>
        <v>0</v>
      </c>
      <c r="AM53" s="240">
        <f t="shared" si="7"/>
        <v>0</v>
      </c>
      <c r="AN53" s="256">
        <f>IF($F53=AN$1,$U53,0)*SUMIF('KU-LGE Rating'!$R:$R,$D53,'KU-LGE Rating'!$F:$F)</f>
        <v>0</v>
      </c>
      <c r="AO53" s="256">
        <f>IF($F53=AN$1,$U53,0)*SUMIF('KU-LGE Rating'!$R:$R,$D53,'KU-LGE Rating'!$G:$G)</f>
        <v>1779998.93</v>
      </c>
      <c r="AP53" s="240">
        <f t="shared" si="8"/>
        <v>1779998.93</v>
      </c>
      <c r="AQ53" s="277"/>
      <c r="AR53" s="277"/>
      <c r="AV53" s="278"/>
      <c r="AW53" s="278"/>
      <c r="AX53" s="278"/>
    </row>
    <row r="54" spans="1:50">
      <c r="A54" s="1" t="s">
        <v>2756</v>
      </c>
      <c r="B54" s="1" t="s">
        <v>3</v>
      </c>
      <c r="C54" t="s">
        <v>3723</v>
      </c>
      <c r="D54" t="s">
        <v>3657</v>
      </c>
      <c r="E54" t="s">
        <v>3911</v>
      </c>
      <c r="F54">
        <v>2015</v>
      </c>
      <c r="G54" t="s">
        <v>3908</v>
      </c>
      <c r="H54">
        <v>512055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100000.22</v>
      </c>
      <c r="T54">
        <v>0</v>
      </c>
      <c r="U54" s="8">
        <v>100000.22</v>
      </c>
      <c r="V54" s="243" t="str">
        <f t="shared" si="0"/>
        <v>512</v>
      </c>
      <c r="W54" s="240">
        <f t="shared" si="1"/>
        <v>0</v>
      </c>
      <c r="X54" s="243">
        <f t="shared" si="2"/>
        <v>100000.22</v>
      </c>
      <c r="Y54" s="255">
        <f>$W54*SUMIF('KU-LGE Rating'!$R:$R,$D54,'KU-LGE Rating'!F:F)</f>
        <v>0</v>
      </c>
      <c r="Z54" s="256">
        <f>$W54*SUMIF('KU-LGE Rating'!$R:$R,$D54,'KU-LGE Rating'!G:G)</f>
        <v>0</v>
      </c>
      <c r="AA54" s="257">
        <f t="shared" ref="AA54:AA111" si="9">Y54+Z54</f>
        <v>0</v>
      </c>
      <c r="AB54" s="255">
        <f>$X54*SUMIF('KU-LGE Rating'!$R:$R,$D54,'KU-LGE Rating'!F:F)</f>
        <v>0</v>
      </c>
      <c r="AC54" s="256">
        <f>$X54*SUMIF('KU-LGE Rating'!$R:$R,$D54,'KU-LGE Rating'!G:G)</f>
        <v>100000.22</v>
      </c>
      <c r="AD54" s="257">
        <f t="shared" si="4"/>
        <v>100000.22</v>
      </c>
      <c r="AE54" s="274">
        <f>IF($F54=AE$1,$U54,0)*SUMIF('KU-LGE Rating'!$R:$R,$D54,'KU-LGE Rating'!$F:$F)</f>
        <v>0</v>
      </c>
      <c r="AF54" s="274">
        <f>IF($F54=AE$1,$U54,0)*SUMIF('KU-LGE Rating'!$R:$R,$D54,'KU-LGE Rating'!$G:$G)</f>
        <v>0</v>
      </c>
      <c r="AG54" s="240">
        <f t="shared" si="5"/>
        <v>0</v>
      </c>
      <c r="AH54" s="256">
        <f>IF($F54=AH$1,$U54,0)*SUMIF('KU-LGE Rating'!$R:$R,$D54,'KU-LGE Rating'!$F:$F)</f>
        <v>0</v>
      </c>
      <c r="AI54" s="256">
        <f>IF($F54=AH$1,$U54,0)*SUMIF('KU-LGE Rating'!$R:$R,$D54,'KU-LGE Rating'!$G:$G)</f>
        <v>100000.22</v>
      </c>
      <c r="AJ54" s="240">
        <f t="shared" si="6"/>
        <v>100000.22</v>
      </c>
      <c r="AK54" s="256">
        <f>IF($F54=AK$1,$U54,0)*SUMIF('KU-LGE Rating'!$R:$R,$D54,'KU-LGE Rating'!$F:$F)</f>
        <v>0</v>
      </c>
      <c r="AL54" s="256">
        <f>IF($F54=AK$1,$U54,0)*SUMIF('KU-LGE Rating'!$R:$R,$D54,'KU-LGE Rating'!$G:$G)</f>
        <v>0</v>
      </c>
      <c r="AM54" s="240">
        <f t="shared" si="7"/>
        <v>0</v>
      </c>
      <c r="AN54" s="256">
        <f>IF($F54=AN$1,$U54,0)*SUMIF('KU-LGE Rating'!$R:$R,$D54,'KU-LGE Rating'!$F:$F)</f>
        <v>0</v>
      </c>
      <c r="AO54" s="256">
        <f>IF($F54=AN$1,$U54,0)*SUMIF('KU-LGE Rating'!$R:$R,$D54,'KU-LGE Rating'!$G:$G)</f>
        <v>0</v>
      </c>
      <c r="AP54" s="240">
        <f t="shared" si="8"/>
        <v>0</v>
      </c>
      <c r="AQ54" s="277"/>
      <c r="AR54" s="277"/>
      <c r="AV54" s="278"/>
      <c r="AW54" s="278"/>
      <c r="AX54" s="278"/>
    </row>
    <row r="55" spans="1:50">
      <c r="A55" s="1" t="s">
        <v>2756</v>
      </c>
      <c r="B55" s="1" t="s">
        <v>3</v>
      </c>
      <c r="C55" t="s">
        <v>3723</v>
      </c>
      <c r="D55" t="s">
        <v>3657</v>
      </c>
      <c r="E55" t="s">
        <v>3911</v>
      </c>
      <c r="F55">
        <v>2016</v>
      </c>
      <c r="G55" t="s">
        <v>3908</v>
      </c>
      <c r="H55">
        <v>512055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100000.22</v>
      </c>
      <c r="S55">
        <v>0</v>
      </c>
      <c r="T55">
        <v>0</v>
      </c>
      <c r="U55" s="8">
        <v>100000.22</v>
      </c>
      <c r="V55" s="243" t="str">
        <f t="shared" si="0"/>
        <v>512</v>
      </c>
      <c r="W55" s="240">
        <f t="shared" si="1"/>
        <v>0</v>
      </c>
      <c r="X55" s="243">
        <f t="shared" si="2"/>
        <v>0</v>
      </c>
      <c r="Y55" s="255">
        <f>$W55*SUMIF('KU-LGE Rating'!$R:$R,$D55,'KU-LGE Rating'!F:F)</f>
        <v>0</v>
      </c>
      <c r="Z55" s="256">
        <f>$W55*SUMIF('KU-LGE Rating'!$R:$R,$D55,'KU-LGE Rating'!G:G)</f>
        <v>0</v>
      </c>
      <c r="AA55" s="257">
        <f t="shared" si="9"/>
        <v>0</v>
      </c>
      <c r="AB55" s="255">
        <f>$X55*SUMIF('KU-LGE Rating'!$R:$R,$D55,'KU-LGE Rating'!F:F)</f>
        <v>0</v>
      </c>
      <c r="AC55" s="256">
        <f>$X55*SUMIF('KU-LGE Rating'!$R:$R,$D55,'KU-LGE Rating'!G:G)</f>
        <v>0</v>
      </c>
      <c r="AD55" s="257">
        <f t="shared" si="4"/>
        <v>0</v>
      </c>
      <c r="AE55" s="274">
        <f>IF($F55=AE$1,$U55,0)*SUMIF('KU-LGE Rating'!$R:$R,$D55,'KU-LGE Rating'!$F:$F)</f>
        <v>0</v>
      </c>
      <c r="AF55" s="274">
        <f>IF($F55=AE$1,$U55,0)*SUMIF('KU-LGE Rating'!$R:$R,$D55,'KU-LGE Rating'!$G:$G)</f>
        <v>0</v>
      </c>
      <c r="AG55" s="240">
        <f t="shared" si="5"/>
        <v>0</v>
      </c>
      <c r="AH55" s="256">
        <f>IF($F55=AH$1,$U55,0)*SUMIF('KU-LGE Rating'!$R:$R,$D55,'KU-LGE Rating'!$F:$F)</f>
        <v>0</v>
      </c>
      <c r="AI55" s="256">
        <f>IF($F55=AH$1,$U55,0)*SUMIF('KU-LGE Rating'!$R:$R,$D55,'KU-LGE Rating'!$G:$G)</f>
        <v>0</v>
      </c>
      <c r="AJ55" s="240">
        <f t="shared" si="6"/>
        <v>0</v>
      </c>
      <c r="AK55" s="256">
        <f>IF($F55=AK$1,$U55,0)*SUMIF('KU-LGE Rating'!$R:$R,$D55,'KU-LGE Rating'!$F:$F)</f>
        <v>0</v>
      </c>
      <c r="AL55" s="256">
        <f>IF($F55=AK$1,$U55,0)*SUMIF('KU-LGE Rating'!$R:$R,$D55,'KU-LGE Rating'!$G:$G)</f>
        <v>100000.22</v>
      </c>
      <c r="AM55" s="240">
        <f t="shared" si="7"/>
        <v>100000.22</v>
      </c>
      <c r="AN55" s="256">
        <f>IF($F55=AN$1,$U55,0)*SUMIF('KU-LGE Rating'!$R:$R,$D55,'KU-LGE Rating'!$F:$F)</f>
        <v>0</v>
      </c>
      <c r="AO55" s="256">
        <f>IF($F55=AN$1,$U55,0)*SUMIF('KU-LGE Rating'!$R:$R,$D55,'KU-LGE Rating'!$G:$G)</f>
        <v>0</v>
      </c>
      <c r="AP55" s="240">
        <f t="shared" si="8"/>
        <v>0</v>
      </c>
      <c r="AQ55" s="277"/>
      <c r="AR55" s="277"/>
      <c r="AV55" s="278"/>
      <c r="AW55" s="278"/>
      <c r="AX55" s="278"/>
    </row>
    <row r="56" spans="1:50">
      <c r="A56" s="1" t="s">
        <v>2756</v>
      </c>
      <c r="B56" s="1" t="s">
        <v>3</v>
      </c>
      <c r="C56" t="s">
        <v>3723</v>
      </c>
      <c r="D56" t="s">
        <v>3657</v>
      </c>
      <c r="E56" t="s">
        <v>3911</v>
      </c>
      <c r="F56">
        <v>2017</v>
      </c>
      <c r="G56" t="s">
        <v>3908</v>
      </c>
      <c r="H56">
        <v>512055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100000.22</v>
      </c>
      <c r="T56">
        <v>0</v>
      </c>
      <c r="U56" s="8">
        <v>100000.22</v>
      </c>
      <c r="V56" s="243" t="str">
        <f t="shared" si="0"/>
        <v>512</v>
      </c>
      <c r="W56" s="240">
        <f t="shared" si="1"/>
        <v>0</v>
      </c>
      <c r="X56" s="243">
        <f t="shared" si="2"/>
        <v>0</v>
      </c>
      <c r="Y56" s="255">
        <f>$W56*SUMIF('KU-LGE Rating'!$R:$R,$D56,'KU-LGE Rating'!F:F)</f>
        <v>0</v>
      </c>
      <c r="Z56" s="256">
        <f>$W56*SUMIF('KU-LGE Rating'!$R:$R,$D56,'KU-LGE Rating'!G:G)</f>
        <v>0</v>
      </c>
      <c r="AA56" s="257">
        <f t="shared" si="9"/>
        <v>0</v>
      </c>
      <c r="AB56" s="255">
        <f>$X56*SUMIF('KU-LGE Rating'!$R:$R,$D56,'KU-LGE Rating'!F:F)</f>
        <v>0</v>
      </c>
      <c r="AC56" s="256">
        <f>$X56*SUMIF('KU-LGE Rating'!$R:$R,$D56,'KU-LGE Rating'!G:G)</f>
        <v>0</v>
      </c>
      <c r="AD56" s="257">
        <f t="shared" si="4"/>
        <v>0</v>
      </c>
      <c r="AE56" s="274">
        <f>IF($F56=AE$1,$U56,0)*SUMIF('KU-LGE Rating'!$R:$R,$D56,'KU-LGE Rating'!$F:$F)</f>
        <v>0</v>
      </c>
      <c r="AF56" s="274">
        <f>IF($F56=AE$1,$U56,0)*SUMIF('KU-LGE Rating'!$R:$R,$D56,'KU-LGE Rating'!$G:$G)</f>
        <v>0</v>
      </c>
      <c r="AG56" s="240">
        <f t="shared" si="5"/>
        <v>0</v>
      </c>
      <c r="AH56" s="256">
        <f>IF($F56=AH$1,$U56,0)*SUMIF('KU-LGE Rating'!$R:$R,$D56,'KU-LGE Rating'!$F:$F)</f>
        <v>0</v>
      </c>
      <c r="AI56" s="256">
        <f>IF($F56=AH$1,$U56,0)*SUMIF('KU-LGE Rating'!$R:$R,$D56,'KU-LGE Rating'!$G:$G)</f>
        <v>0</v>
      </c>
      <c r="AJ56" s="240">
        <f t="shared" si="6"/>
        <v>0</v>
      </c>
      <c r="AK56" s="256">
        <f>IF($F56=AK$1,$U56,0)*SUMIF('KU-LGE Rating'!$R:$R,$D56,'KU-LGE Rating'!$F:$F)</f>
        <v>0</v>
      </c>
      <c r="AL56" s="256">
        <f>IF($F56=AK$1,$U56,0)*SUMIF('KU-LGE Rating'!$R:$R,$D56,'KU-LGE Rating'!$G:$G)</f>
        <v>0</v>
      </c>
      <c r="AM56" s="240">
        <f t="shared" si="7"/>
        <v>0</v>
      </c>
      <c r="AN56" s="256">
        <f>IF($F56=AN$1,$U56,0)*SUMIF('KU-LGE Rating'!$R:$R,$D56,'KU-LGE Rating'!$F:$F)</f>
        <v>0</v>
      </c>
      <c r="AO56" s="256">
        <f>IF($F56=AN$1,$U56,0)*SUMIF('KU-LGE Rating'!$R:$R,$D56,'KU-LGE Rating'!$G:$G)</f>
        <v>100000.22</v>
      </c>
      <c r="AP56" s="240">
        <f t="shared" si="8"/>
        <v>100000.22</v>
      </c>
      <c r="AQ56" s="277"/>
      <c r="AR56" s="277"/>
      <c r="AV56" s="278"/>
      <c r="AW56" s="278"/>
      <c r="AX56" s="278"/>
    </row>
    <row r="57" spans="1:50">
      <c r="A57" s="1" t="s">
        <v>2756</v>
      </c>
      <c r="B57" s="1" t="s">
        <v>3</v>
      </c>
      <c r="C57" t="s">
        <v>3723</v>
      </c>
      <c r="D57" t="s">
        <v>3657</v>
      </c>
      <c r="E57" t="s">
        <v>3893</v>
      </c>
      <c r="F57">
        <v>2014</v>
      </c>
      <c r="G57" t="s">
        <v>3908</v>
      </c>
      <c r="H57">
        <v>512005</v>
      </c>
      <c r="I57">
        <v>0</v>
      </c>
      <c r="J57">
        <v>0</v>
      </c>
      <c r="K57">
        <v>52837.53</v>
      </c>
      <c r="L57">
        <v>13187.13</v>
      </c>
      <c r="M57">
        <v>0</v>
      </c>
      <c r="N57">
        <v>0</v>
      </c>
      <c r="O57">
        <v>0</v>
      </c>
      <c r="P57">
        <v>0</v>
      </c>
      <c r="Q57">
        <v>-66024.66</v>
      </c>
      <c r="R57">
        <v>0</v>
      </c>
      <c r="S57">
        <v>0</v>
      </c>
      <c r="T57">
        <v>0</v>
      </c>
      <c r="U57" s="8">
        <v>0</v>
      </c>
      <c r="V57" s="243" t="str">
        <f t="shared" si="0"/>
        <v>512</v>
      </c>
      <c r="W57" s="240">
        <f t="shared" si="1"/>
        <v>0</v>
      </c>
      <c r="X57" s="243">
        <f t="shared" si="2"/>
        <v>0</v>
      </c>
      <c r="Y57" s="255">
        <f>$W57*SUMIF('KU-LGE Rating'!$R:$R,$D57,'KU-LGE Rating'!F:F)</f>
        <v>0</v>
      </c>
      <c r="Z57" s="256">
        <f>$W57*SUMIF('KU-LGE Rating'!$R:$R,$D57,'KU-LGE Rating'!G:G)</f>
        <v>0</v>
      </c>
      <c r="AA57" s="257">
        <f t="shared" si="9"/>
        <v>0</v>
      </c>
      <c r="AB57" s="255">
        <f>$X57*SUMIF('KU-LGE Rating'!$R:$R,$D57,'KU-LGE Rating'!F:F)</f>
        <v>0</v>
      </c>
      <c r="AC57" s="256">
        <f>$X57*SUMIF('KU-LGE Rating'!$R:$R,$D57,'KU-LGE Rating'!G:G)</f>
        <v>0</v>
      </c>
      <c r="AD57" s="257">
        <f t="shared" si="4"/>
        <v>0</v>
      </c>
      <c r="AE57" s="274">
        <f>IF($F57=AE$1,$U57,0)*SUMIF('KU-LGE Rating'!$R:$R,$D57,'KU-LGE Rating'!$F:$F)</f>
        <v>0</v>
      </c>
      <c r="AF57" s="274">
        <f>IF($F57=AE$1,$U57,0)*SUMIF('KU-LGE Rating'!$R:$R,$D57,'KU-LGE Rating'!$G:$G)</f>
        <v>0</v>
      </c>
      <c r="AG57" s="240">
        <f t="shared" si="5"/>
        <v>0</v>
      </c>
      <c r="AH57" s="256">
        <f>IF($F57=AH$1,$U57,0)*SUMIF('KU-LGE Rating'!$R:$R,$D57,'KU-LGE Rating'!$F:$F)</f>
        <v>0</v>
      </c>
      <c r="AI57" s="256">
        <f>IF($F57=AH$1,$U57,0)*SUMIF('KU-LGE Rating'!$R:$R,$D57,'KU-LGE Rating'!$G:$G)</f>
        <v>0</v>
      </c>
      <c r="AJ57" s="240">
        <f t="shared" si="6"/>
        <v>0</v>
      </c>
      <c r="AK57" s="256">
        <f>IF($F57=AK$1,$U57,0)*SUMIF('KU-LGE Rating'!$R:$R,$D57,'KU-LGE Rating'!$F:$F)</f>
        <v>0</v>
      </c>
      <c r="AL57" s="256">
        <f>IF($F57=AK$1,$U57,0)*SUMIF('KU-LGE Rating'!$R:$R,$D57,'KU-LGE Rating'!$G:$G)</f>
        <v>0</v>
      </c>
      <c r="AM57" s="240">
        <f t="shared" si="7"/>
        <v>0</v>
      </c>
      <c r="AN57" s="256">
        <f>IF($F57=AN$1,$U57,0)*SUMIF('KU-LGE Rating'!$R:$R,$D57,'KU-LGE Rating'!$F:$F)</f>
        <v>0</v>
      </c>
      <c r="AO57" s="256">
        <f>IF($F57=AN$1,$U57,0)*SUMIF('KU-LGE Rating'!$R:$R,$D57,'KU-LGE Rating'!$G:$G)</f>
        <v>0</v>
      </c>
      <c r="AP57" s="240">
        <f t="shared" si="8"/>
        <v>0</v>
      </c>
      <c r="AQ57" s="277"/>
      <c r="AR57" s="277"/>
      <c r="AV57" s="278"/>
      <c r="AW57" s="278"/>
      <c r="AX57" s="278"/>
    </row>
    <row r="58" spans="1:50">
      <c r="A58" s="1" t="s">
        <v>2756</v>
      </c>
      <c r="B58" s="1" t="s">
        <v>3</v>
      </c>
      <c r="C58" t="s">
        <v>3723</v>
      </c>
      <c r="D58" t="s">
        <v>3657</v>
      </c>
      <c r="E58" t="s">
        <v>3893</v>
      </c>
      <c r="F58">
        <v>2014</v>
      </c>
      <c r="G58" t="s">
        <v>3908</v>
      </c>
      <c r="H58">
        <v>512100</v>
      </c>
      <c r="I58">
        <v>0</v>
      </c>
      <c r="J58">
        <v>0</v>
      </c>
      <c r="K58">
        <v>394121.47</v>
      </c>
      <c r="L58">
        <v>32686.86</v>
      </c>
      <c r="M58">
        <v>-954.81</v>
      </c>
      <c r="N58">
        <v>50000</v>
      </c>
      <c r="O58">
        <v>51.25</v>
      </c>
      <c r="P58">
        <v>156128.95000000001</v>
      </c>
      <c r="Q58">
        <v>428650.28</v>
      </c>
      <c r="R58">
        <v>340001.53</v>
      </c>
      <c r="S58">
        <v>378044.53</v>
      </c>
      <c r="T58">
        <v>40000</v>
      </c>
      <c r="U58" s="8">
        <v>1818730.06</v>
      </c>
      <c r="V58" s="243" t="str">
        <f t="shared" si="0"/>
        <v>512</v>
      </c>
      <c r="W58" s="240">
        <f t="shared" si="1"/>
        <v>1818730.06</v>
      </c>
      <c r="X58" s="243">
        <f t="shared" si="2"/>
        <v>0</v>
      </c>
      <c r="Y58" s="255">
        <f>$W58*SUMIF('KU-LGE Rating'!$R:$R,$D58,'KU-LGE Rating'!F:F)</f>
        <v>0</v>
      </c>
      <c r="Z58" s="256">
        <f>$W58*SUMIF('KU-LGE Rating'!$R:$R,$D58,'KU-LGE Rating'!G:G)</f>
        <v>1818730.06</v>
      </c>
      <c r="AA58" s="257">
        <f t="shared" si="9"/>
        <v>1818730.06</v>
      </c>
      <c r="AB58" s="255">
        <f>$X58*SUMIF('KU-LGE Rating'!$R:$R,$D58,'KU-LGE Rating'!F:F)</f>
        <v>0</v>
      </c>
      <c r="AC58" s="256">
        <f>$X58*SUMIF('KU-LGE Rating'!$R:$R,$D58,'KU-LGE Rating'!G:G)</f>
        <v>0</v>
      </c>
      <c r="AD58" s="257">
        <f t="shared" si="4"/>
        <v>0</v>
      </c>
      <c r="AE58" s="274">
        <f>IF($F58=AE$1,$U58,0)*SUMIF('KU-LGE Rating'!$R:$R,$D58,'KU-LGE Rating'!$F:$F)</f>
        <v>0</v>
      </c>
      <c r="AF58" s="274">
        <f>IF($F58=AE$1,$U58,0)*SUMIF('KU-LGE Rating'!$R:$R,$D58,'KU-LGE Rating'!$G:$G)</f>
        <v>1818730.06</v>
      </c>
      <c r="AG58" s="240">
        <f t="shared" si="5"/>
        <v>1818730.06</v>
      </c>
      <c r="AH58" s="256">
        <f>IF($F58=AH$1,$U58,0)*SUMIF('KU-LGE Rating'!$R:$R,$D58,'KU-LGE Rating'!$F:$F)</f>
        <v>0</v>
      </c>
      <c r="AI58" s="256">
        <f>IF($F58=AH$1,$U58,0)*SUMIF('KU-LGE Rating'!$R:$R,$D58,'KU-LGE Rating'!$G:$G)</f>
        <v>0</v>
      </c>
      <c r="AJ58" s="240">
        <f t="shared" si="6"/>
        <v>0</v>
      </c>
      <c r="AK58" s="256">
        <f>IF($F58=AK$1,$U58,0)*SUMIF('KU-LGE Rating'!$R:$R,$D58,'KU-LGE Rating'!$F:$F)</f>
        <v>0</v>
      </c>
      <c r="AL58" s="256">
        <f>IF($F58=AK$1,$U58,0)*SUMIF('KU-LGE Rating'!$R:$R,$D58,'KU-LGE Rating'!$G:$G)</f>
        <v>0</v>
      </c>
      <c r="AM58" s="240">
        <f t="shared" si="7"/>
        <v>0</v>
      </c>
      <c r="AN58" s="256">
        <f>IF($F58=AN$1,$U58,0)*SUMIF('KU-LGE Rating'!$R:$R,$D58,'KU-LGE Rating'!$F:$F)</f>
        <v>0</v>
      </c>
      <c r="AO58" s="256">
        <f>IF($F58=AN$1,$U58,0)*SUMIF('KU-LGE Rating'!$R:$R,$D58,'KU-LGE Rating'!$G:$G)</f>
        <v>0</v>
      </c>
      <c r="AP58" s="240">
        <f t="shared" si="8"/>
        <v>0</v>
      </c>
      <c r="AQ58" s="277"/>
      <c r="AR58" s="277"/>
      <c r="AV58" s="278"/>
      <c r="AW58" s="278"/>
      <c r="AX58" s="278"/>
    </row>
    <row r="59" spans="1:50">
      <c r="A59" s="1" t="s">
        <v>2756</v>
      </c>
      <c r="B59" s="1" t="s">
        <v>3</v>
      </c>
      <c r="C59" t="s">
        <v>3723</v>
      </c>
      <c r="D59" t="s">
        <v>3657</v>
      </c>
      <c r="E59" t="s">
        <v>3893</v>
      </c>
      <c r="F59">
        <v>2014</v>
      </c>
      <c r="G59" t="s">
        <v>3908</v>
      </c>
      <c r="H59">
        <v>512101</v>
      </c>
      <c r="I59">
        <v>0</v>
      </c>
      <c r="J59">
        <v>0</v>
      </c>
      <c r="K59">
        <v>439.82</v>
      </c>
      <c r="L59">
        <v>6946.33</v>
      </c>
      <c r="M59">
        <v>0</v>
      </c>
      <c r="N59">
        <v>0</v>
      </c>
      <c r="O59">
        <v>0</v>
      </c>
      <c r="P59">
        <v>0</v>
      </c>
      <c r="Q59">
        <v>-7386.15</v>
      </c>
      <c r="R59">
        <v>0</v>
      </c>
      <c r="S59">
        <v>0</v>
      </c>
      <c r="T59">
        <v>0</v>
      </c>
      <c r="U59" s="8">
        <v>0</v>
      </c>
      <c r="V59" s="243" t="str">
        <f t="shared" si="0"/>
        <v>512</v>
      </c>
      <c r="W59" s="240">
        <f t="shared" si="1"/>
        <v>0</v>
      </c>
      <c r="X59" s="243">
        <f t="shared" si="2"/>
        <v>0</v>
      </c>
      <c r="Y59" s="255">
        <f>$W59*SUMIF('KU-LGE Rating'!$R:$R,$D59,'KU-LGE Rating'!F:F)</f>
        <v>0</v>
      </c>
      <c r="Z59" s="256">
        <f>$W59*SUMIF('KU-LGE Rating'!$R:$R,$D59,'KU-LGE Rating'!G:G)</f>
        <v>0</v>
      </c>
      <c r="AA59" s="257">
        <f t="shared" si="9"/>
        <v>0</v>
      </c>
      <c r="AB59" s="255">
        <f>$X59*SUMIF('KU-LGE Rating'!$R:$R,$D59,'KU-LGE Rating'!F:F)</f>
        <v>0</v>
      </c>
      <c r="AC59" s="256">
        <f>$X59*SUMIF('KU-LGE Rating'!$R:$R,$D59,'KU-LGE Rating'!G:G)</f>
        <v>0</v>
      </c>
      <c r="AD59" s="257">
        <f t="shared" si="4"/>
        <v>0</v>
      </c>
      <c r="AE59" s="274">
        <f>IF($F59=AE$1,$U59,0)*SUMIF('KU-LGE Rating'!$R:$R,$D59,'KU-LGE Rating'!$F:$F)</f>
        <v>0</v>
      </c>
      <c r="AF59" s="274">
        <f>IF($F59=AE$1,$U59,0)*SUMIF('KU-LGE Rating'!$R:$R,$D59,'KU-LGE Rating'!$G:$G)</f>
        <v>0</v>
      </c>
      <c r="AG59" s="240">
        <f t="shared" si="5"/>
        <v>0</v>
      </c>
      <c r="AH59" s="256">
        <f>IF($F59=AH$1,$U59,0)*SUMIF('KU-LGE Rating'!$R:$R,$D59,'KU-LGE Rating'!$F:$F)</f>
        <v>0</v>
      </c>
      <c r="AI59" s="256">
        <f>IF($F59=AH$1,$U59,0)*SUMIF('KU-LGE Rating'!$R:$R,$D59,'KU-LGE Rating'!$G:$G)</f>
        <v>0</v>
      </c>
      <c r="AJ59" s="240">
        <f t="shared" si="6"/>
        <v>0</v>
      </c>
      <c r="AK59" s="256">
        <f>IF($F59=AK$1,$U59,0)*SUMIF('KU-LGE Rating'!$R:$R,$D59,'KU-LGE Rating'!$F:$F)</f>
        <v>0</v>
      </c>
      <c r="AL59" s="256">
        <f>IF($F59=AK$1,$U59,0)*SUMIF('KU-LGE Rating'!$R:$R,$D59,'KU-LGE Rating'!$G:$G)</f>
        <v>0</v>
      </c>
      <c r="AM59" s="240">
        <f t="shared" si="7"/>
        <v>0</v>
      </c>
      <c r="AN59" s="256">
        <f>IF($F59=AN$1,$U59,0)*SUMIF('KU-LGE Rating'!$R:$R,$D59,'KU-LGE Rating'!$F:$F)</f>
        <v>0</v>
      </c>
      <c r="AO59" s="256">
        <f>IF($F59=AN$1,$U59,0)*SUMIF('KU-LGE Rating'!$R:$R,$D59,'KU-LGE Rating'!$G:$G)</f>
        <v>0</v>
      </c>
      <c r="AP59" s="240">
        <f t="shared" si="8"/>
        <v>0</v>
      </c>
      <c r="AQ59" s="277"/>
      <c r="AR59" s="277"/>
      <c r="AV59" s="278"/>
      <c r="AW59" s="278"/>
      <c r="AX59" s="278"/>
    </row>
    <row r="60" spans="1:50">
      <c r="A60" s="1" t="s">
        <v>2756</v>
      </c>
      <c r="B60" s="1" t="s">
        <v>3</v>
      </c>
      <c r="C60" t="s">
        <v>3723</v>
      </c>
      <c r="D60" t="s">
        <v>3657</v>
      </c>
      <c r="E60" t="s">
        <v>3893</v>
      </c>
      <c r="F60">
        <v>2014</v>
      </c>
      <c r="G60" t="s">
        <v>3908</v>
      </c>
      <c r="H60">
        <v>513100</v>
      </c>
      <c r="I60">
        <v>0</v>
      </c>
      <c r="J60">
        <v>0</v>
      </c>
      <c r="K60">
        <v>24359.45</v>
      </c>
      <c r="L60">
        <v>52726.43</v>
      </c>
      <c r="M60">
        <v>-10340.530000000001</v>
      </c>
      <c r="N60">
        <v>223.93</v>
      </c>
      <c r="O60">
        <v>195.09</v>
      </c>
      <c r="P60">
        <v>2177.0500000000002</v>
      </c>
      <c r="Q60">
        <v>-441615.63</v>
      </c>
      <c r="R60">
        <v>1464529.5</v>
      </c>
      <c r="S60">
        <v>2320955.2200000002</v>
      </c>
      <c r="T60">
        <v>1050000</v>
      </c>
      <c r="U60" s="8">
        <v>4463210.51</v>
      </c>
      <c r="V60" s="243" t="str">
        <f t="shared" si="0"/>
        <v>513</v>
      </c>
      <c r="W60" s="240">
        <f t="shared" si="1"/>
        <v>4463210.51</v>
      </c>
      <c r="X60" s="243">
        <f t="shared" si="2"/>
        <v>0</v>
      </c>
      <c r="Y60" s="255">
        <f>$W60*SUMIF('KU-LGE Rating'!$R:$R,$D60,'KU-LGE Rating'!F:F)</f>
        <v>0</v>
      </c>
      <c r="Z60" s="256">
        <f>$W60*SUMIF('KU-LGE Rating'!$R:$R,$D60,'KU-LGE Rating'!G:G)</f>
        <v>4463210.51</v>
      </c>
      <c r="AA60" s="257">
        <f t="shared" si="9"/>
        <v>4463210.51</v>
      </c>
      <c r="AB60" s="255">
        <f>$X60*SUMIF('KU-LGE Rating'!$R:$R,$D60,'KU-LGE Rating'!F:F)</f>
        <v>0</v>
      </c>
      <c r="AC60" s="256">
        <f>$X60*SUMIF('KU-LGE Rating'!$R:$R,$D60,'KU-LGE Rating'!G:G)</f>
        <v>0</v>
      </c>
      <c r="AD60" s="257">
        <f t="shared" si="4"/>
        <v>0</v>
      </c>
      <c r="AE60" s="274">
        <f>IF($F60=AE$1,$U60,0)*SUMIF('KU-LGE Rating'!$R:$R,$D60,'KU-LGE Rating'!$F:$F)</f>
        <v>0</v>
      </c>
      <c r="AF60" s="274">
        <f>IF($F60=AE$1,$U60,0)*SUMIF('KU-LGE Rating'!$R:$R,$D60,'KU-LGE Rating'!$G:$G)</f>
        <v>4463210.51</v>
      </c>
      <c r="AG60" s="240">
        <f t="shared" si="5"/>
        <v>4463210.51</v>
      </c>
      <c r="AH60" s="256">
        <f>IF($F60=AH$1,$U60,0)*SUMIF('KU-LGE Rating'!$R:$R,$D60,'KU-LGE Rating'!$F:$F)</f>
        <v>0</v>
      </c>
      <c r="AI60" s="256">
        <f>IF($F60=AH$1,$U60,0)*SUMIF('KU-LGE Rating'!$R:$R,$D60,'KU-LGE Rating'!$G:$G)</f>
        <v>0</v>
      </c>
      <c r="AJ60" s="240">
        <f t="shared" si="6"/>
        <v>0</v>
      </c>
      <c r="AK60" s="256">
        <f>IF($F60=AK$1,$U60,0)*SUMIF('KU-LGE Rating'!$R:$R,$D60,'KU-LGE Rating'!$F:$F)</f>
        <v>0</v>
      </c>
      <c r="AL60" s="256">
        <f>IF($F60=AK$1,$U60,0)*SUMIF('KU-LGE Rating'!$R:$R,$D60,'KU-LGE Rating'!$G:$G)</f>
        <v>0</v>
      </c>
      <c r="AM60" s="240">
        <f t="shared" si="7"/>
        <v>0</v>
      </c>
      <c r="AN60" s="256">
        <f>IF($F60=AN$1,$U60,0)*SUMIF('KU-LGE Rating'!$R:$R,$D60,'KU-LGE Rating'!$F:$F)</f>
        <v>0</v>
      </c>
      <c r="AO60" s="256">
        <f>IF($F60=AN$1,$U60,0)*SUMIF('KU-LGE Rating'!$R:$R,$D60,'KU-LGE Rating'!$G:$G)</f>
        <v>0</v>
      </c>
      <c r="AP60" s="240">
        <f t="shared" si="8"/>
        <v>0</v>
      </c>
      <c r="AQ60" s="277"/>
      <c r="AR60" s="277"/>
      <c r="AV60" s="278"/>
      <c r="AW60" s="278"/>
      <c r="AX60" s="278"/>
    </row>
    <row r="61" spans="1:50">
      <c r="A61" s="1" t="s">
        <v>2756</v>
      </c>
      <c r="B61" s="1" t="s">
        <v>3</v>
      </c>
      <c r="C61" t="s">
        <v>3723</v>
      </c>
      <c r="D61" t="s">
        <v>3657</v>
      </c>
      <c r="E61" t="s">
        <v>3893</v>
      </c>
      <c r="F61">
        <v>2015</v>
      </c>
      <c r="G61" t="s">
        <v>3908</v>
      </c>
      <c r="H61">
        <v>512100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20000.22</v>
      </c>
      <c r="S61">
        <v>350000.43</v>
      </c>
      <c r="T61">
        <v>0</v>
      </c>
      <c r="U61" s="8">
        <v>370000.65</v>
      </c>
      <c r="V61" s="243" t="str">
        <f t="shared" si="0"/>
        <v>512</v>
      </c>
      <c r="W61" s="240">
        <f t="shared" si="1"/>
        <v>0</v>
      </c>
      <c r="X61" s="243">
        <f t="shared" si="2"/>
        <v>370000.65</v>
      </c>
      <c r="Y61" s="255">
        <f>$W61*SUMIF('KU-LGE Rating'!$R:$R,$D61,'KU-LGE Rating'!F:F)</f>
        <v>0</v>
      </c>
      <c r="Z61" s="256">
        <f>$W61*SUMIF('KU-LGE Rating'!$R:$R,$D61,'KU-LGE Rating'!G:G)</f>
        <v>0</v>
      </c>
      <c r="AA61" s="257">
        <f t="shared" si="9"/>
        <v>0</v>
      </c>
      <c r="AB61" s="255">
        <f>$X61*SUMIF('KU-LGE Rating'!$R:$R,$D61,'KU-LGE Rating'!F:F)</f>
        <v>0</v>
      </c>
      <c r="AC61" s="256">
        <f>$X61*SUMIF('KU-LGE Rating'!$R:$R,$D61,'KU-LGE Rating'!G:G)</f>
        <v>370000.65</v>
      </c>
      <c r="AD61" s="257">
        <f t="shared" si="4"/>
        <v>370000.65</v>
      </c>
      <c r="AE61" s="274">
        <f>IF($F61=AE$1,$U61,0)*SUMIF('KU-LGE Rating'!$R:$R,$D61,'KU-LGE Rating'!$F:$F)</f>
        <v>0</v>
      </c>
      <c r="AF61" s="274">
        <f>IF($F61=AE$1,$U61,0)*SUMIF('KU-LGE Rating'!$R:$R,$D61,'KU-LGE Rating'!$G:$G)</f>
        <v>0</v>
      </c>
      <c r="AG61" s="240">
        <f t="shared" si="5"/>
        <v>0</v>
      </c>
      <c r="AH61" s="256">
        <f>IF($F61=AH$1,$U61,0)*SUMIF('KU-LGE Rating'!$R:$R,$D61,'KU-LGE Rating'!$F:$F)</f>
        <v>0</v>
      </c>
      <c r="AI61" s="256">
        <f>IF($F61=AH$1,$U61,0)*SUMIF('KU-LGE Rating'!$R:$R,$D61,'KU-LGE Rating'!$G:$G)</f>
        <v>370000.65</v>
      </c>
      <c r="AJ61" s="240">
        <f t="shared" si="6"/>
        <v>370000.65</v>
      </c>
      <c r="AK61" s="256">
        <f>IF($F61=AK$1,$U61,0)*SUMIF('KU-LGE Rating'!$R:$R,$D61,'KU-LGE Rating'!$F:$F)</f>
        <v>0</v>
      </c>
      <c r="AL61" s="256">
        <f>IF($F61=AK$1,$U61,0)*SUMIF('KU-LGE Rating'!$R:$R,$D61,'KU-LGE Rating'!$G:$G)</f>
        <v>0</v>
      </c>
      <c r="AM61" s="240">
        <f t="shared" si="7"/>
        <v>0</v>
      </c>
      <c r="AN61" s="256">
        <f>IF($F61=AN$1,$U61,0)*SUMIF('KU-LGE Rating'!$R:$R,$D61,'KU-LGE Rating'!$F:$F)</f>
        <v>0</v>
      </c>
      <c r="AO61" s="256">
        <f>IF($F61=AN$1,$U61,0)*SUMIF('KU-LGE Rating'!$R:$R,$D61,'KU-LGE Rating'!$G:$G)</f>
        <v>0</v>
      </c>
      <c r="AP61" s="240">
        <f t="shared" si="8"/>
        <v>0</v>
      </c>
      <c r="AQ61" s="277"/>
      <c r="AR61" s="277"/>
      <c r="AV61" s="278"/>
      <c r="AW61" s="278"/>
      <c r="AX61" s="278"/>
    </row>
    <row r="62" spans="1:50">
      <c r="A62" s="1" t="s">
        <v>2756</v>
      </c>
      <c r="B62" s="1" t="s">
        <v>3</v>
      </c>
      <c r="C62" t="s">
        <v>3723</v>
      </c>
      <c r="D62" t="s">
        <v>3657</v>
      </c>
      <c r="E62" t="s">
        <v>3893</v>
      </c>
      <c r="F62">
        <v>2015</v>
      </c>
      <c r="G62" t="s">
        <v>3908</v>
      </c>
      <c r="H62">
        <v>513100</v>
      </c>
      <c r="I62">
        <v>0</v>
      </c>
      <c r="J62">
        <v>0</v>
      </c>
      <c r="K62">
        <v>0</v>
      </c>
      <c r="L62">
        <v>1572000</v>
      </c>
      <c r="M62">
        <v>0</v>
      </c>
      <c r="N62">
        <v>0</v>
      </c>
      <c r="O62">
        <v>0</v>
      </c>
      <c r="P62">
        <v>0</v>
      </c>
      <c r="Q62">
        <v>0</v>
      </c>
      <c r="R62">
        <v>60000.22</v>
      </c>
      <c r="S62">
        <v>320000.44</v>
      </c>
      <c r="T62">
        <v>0</v>
      </c>
      <c r="U62" s="8">
        <v>1952000.66</v>
      </c>
      <c r="V62" s="243" t="str">
        <f t="shared" si="0"/>
        <v>513</v>
      </c>
      <c r="W62" s="240">
        <f t="shared" si="1"/>
        <v>0</v>
      </c>
      <c r="X62" s="243">
        <f t="shared" si="2"/>
        <v>380000.66000000003</v>
      </c>
      <c r="Y62" s="255">
        <f>$W62*SUMIF('KU-LGE Rating'!$R:$R,$D62,'KU-LGE Rating'!F:F)</f>
        <v>0</v>
      </c>
      <c r="Z62" s="256">
        <f>$W62*SUMIF('KU-LGE Rating'!$R:$R,$D62,'KU-LGE Rating'!G:G)</f>
        <v>0</v>
      </c>
      <c r="AA62" s="257">
        <f t="shared" si="9"/>
        <v>0</v>
      </c>
      <c r="AB62" s="255">
        <f>$X62*SUMIF('KU-LGE Rating'!$R:$R,$D62,'KU-LGE Rating'!F:F)</f>
        <v>0</v>
      </c>
      <c r="AC62" s="256">
        <f>$X62*SUMIF('KU-LGE Rating'!$R:$R,$D62,'KU-LGE Rating'!G:G)</f>
        <v>380000.66000000003</v>
      </c>
      <c r="AD62" s="257">
        <f t="shared" si="4"/>
        <v>380000.66000000003</v>
      </c>
      <c r="AE62" s="274">
        <f>IF($F62=AE$1,$U62,0)*SUMIF('KU-LGE Rating'!$R:$R,$D62,'KU-LGE Rating'!$F:$F)</f>
        <v>0</v>
      </c>
      <c r="AF62" s="274">
        <f>IF($F62=AE$1,$U62,0)*SUMIF('KU-LGE Rating'!$R:$R,$D62,'KU-LGE Rating'!$G:$G)</f>
        <v>0</v>
      </c>
      <c r="AG62" s="240">
        <f t="shared" si="5"/>
        <v>0</v>
      </c>
      <c r="AH62" s="256">
        <f>IF($F62=AH$1,$U62,0)*SUMIF('KU-LGE Rating'!$R:$R,$D62,'KU-LGE Rating'!$F:$F)</f>
        <v>0</v>
      </c>
      <c r="AI62" s="256">
        <f>IF($F62=AH$1,$U62,0)*SUMIF('KU-LGE Rating'!$R:$R,$D62,'KU-LGE Rating'!$G:$G)</f>
        <v>1952000.66</v>
      </c>
      <c r="AJ62" s="240">
        <f t="shared" si="6"/>
        <v>1952000.66</v>
      </c>
      <c r="AK62" s="256">
        <f>IF($F62=AK$1,$U62,0)*SUMIF('KU-LGE Rating'!$R:$R,$D62,'KU-LGE Rating'!$F:$F)</f>
        <v>0</v>
      </c>
      <c r="AL62" s="256">
        <f>IF($F62=AK$1,$U62,0)*SUMIF('KU-LGE Rating'!$R:$R,$D62,'KU-LGE Rating'!$G:$G)</f>
        <v>0</v>
      </c>
      <c r="AM62" s="240">
        <f t="shared" si="7"/>
        <v>0</v>
      </c>
      <c r="AN62" s="256">
        <f>IF($F62=AN$1,$U62,0)*SUMIF('KU-LGE Rating'!$R:$R,$D62,'KU-LGE Rating'!$F:$F)</f>
        <v>0</v>
      </c>
      <c r="AO62" s="256">
        <f>IF($F62=AN$1,$U62,0)*SUMIF('KU-LGE Rating'!$R:$R,$D62,'KU-LGE Rating'!$G:$G)</f>
        <v>0</v>
      </c>
      <c r="AP62" s="240">
        <f t="shared" si="8"/>
        <v>0</v>
      </c>
      <c r="AQ62" s="277"/>
      <c r="AR62" s="277"/>
      <c r="AV62" s="278"/>
      <c r="AW62" s="278"/>
      <c r="AX62" s="278"/>
    </row>
    <row r="63" spans="1:50">
      <c r="A63" s="1" t="s">
        <v>2756</v>
      </c>
      <c r="B63" s="1" t="s">
        <v>3</v>
      </c>
      <c r="C63" t="s">
        <v>3723</v>
      </c>
      <c r="D63" t="s">
        <v>3657</v>
      </c>
      <c r="E63" t="s">
        <v>3893</v>
      </c>
      <c r="F63">
        <v>2016</v>
      </c>
      <c r="G63" t="s">
        <v>3908</v>
      </c>
      <c r="H63">
        <v>512100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100000.22</v>
      </c>
      <c r="R63">
        <v>1199999.8899999999</v>
      </c>
      <c r="S63">
        <v>180000.43</v>
      </c>
      <c r="T63">
        <v>0</v>
      </c>
      <c r="U63" s="8">
        <v>1480000.54</v>
      </c>
      <c r="V63" s="243" t="str">
        <f t="shared" si="0"/>
        <v>512</v>
      </c>
      <c r="W63" s="240">
        <f t="shared" si="1"/>
        <v>0</v>
      </c>
      <c r="X63" s="243">
        <f t="shared" si="2"/>
        <v>0</v>
      </c>
      <c r="Y63" s="255">
        <f>$W63*SUMIF('KU-LGE Rating'!$R:$R,$D63,'KU-LGE Rating'!F:F)</f>
        <v>0</v>
      </c>
      <c r="Z63" s="256">
        <f>$W63*SUMIF('KU-LGE Rating'!$R:$R,$D63,'KU-LGE Rating'!G:G)</f>
        <v>0</v>
      </c>
      <c r="AA63" s="257">
        <f t="shared" si="9"/>
        <v>0</v>
      </c>
      <c r="AB63" s="255">
        <f>$X63*SUMIF('KU-LGE Rating'!$R:$R,$D63,'KU-LGE Rating'!F:F)</f>
        <v>0</v>
      </c>
      <c r="AC63" s="256">
        <f>$X63*SUMIF('KU-LGE Rating'!$R:$R,$D63,'KU-LGE Rating'!G:G)</f>
        <v>0</v>
      </c>
      <c r="AD63" s="257">
        <f t="shared" si="4"/>
        <v>0</v>
      </c>
      <c r="AE63" s="274">
        <f>IF($F63=AE$1,$U63,0)*SUMIF('KU-LGE Rating'!$R:$R,$D63,'KU-LGE Rating'!$F:$F)</f>
        <v>0</v>
      </c>
      <c r="AF63" s="274">
        <f>IF($F63=AE$1,$U63,0)*SUMIF('KU-LGE Rating'!$R:$R,$D63,'KU-LGE Rating'!$G:$G)</f>
        <v>0</v>
      </c>
      <c r="AG63" s="240">
        <f t="shared" si="5"/>
        <v>0</v>
      </c>
      <c r="AH63" s="256">
        <f>IF($F63=AH$1,$U63,0)*SUMIF('KU-LGE Rating'!$R:$R,$D63,'KU-LGE Rating'!$F:$F)</f>
        <v>0</v>
      </c>
      <c r="AI63" s="256">
        <f>IF($F63=AH$1,$U63,0)*SUMIF('KU-LGE Rating'!$R:$R,$D63,'KU-LGE Rating'!$G:$G)</f>
        <v>0</v>
      </c>
      <c r="AJ63" s="240">
        <f t="shared" si="6"/>
        <v>0</v>
      </c>
      <c r="AK63" s="256">
        <f>IF($F63=AK$1,$U63,0)*SUMIF('KU-LGE Rating'!$R:$R,$D63,'KU-LGE Rating'!$F:$F)</f>
        <v>0</v>
      </c>
      <c r="AL63" s="256">
        <f>IF($F63=AK$1,$U63,0)*SUMIF('KU-LGE Rating'!$R:$R,$D63,'KU-LGE Rating'!$G:$G)</f>
        <v>1480000.54</v>
      </c>
      <c r="AM63" s="240">
        <f t="shared" si="7"/>
        <v>1480000.54</v>
      </c>
      <c r="AN63" s="256">
        <f>IF($F63=AN$1,$U63,0)*SUMIF('KU-LGE Rating'!$R:$R,$D63,'KU-LGE Rating'!$F:$F)</f>
        <v>0</v>
      </c>
      <c r="AO63" s="256">
        <f>IF($F63=AN$1,$U63,0)*SUMIF('KU-LGE Rating'!$R:$R,$D63,'KU-LGE Rating'!$G:$G)</f>
        <v>0</v>
      </c>
      <c r="AP63" s="240">
        <f t="shared" si="8"/>
        <v>0</v>
      </c>
      <c r="AQ63" s="277"/>
      <c r="AR63" s="277"/>
      <c r="AV63" s="278"/>
      <c r="AW63" s="278"/>
      <c r="AX63" s="278"/>
    </row>
    <row r="64" spans="1:50">
      <c r="A64" s="1" t="s">
        <v>2756</v>
      </c>
      <c r="B64" s="1" t="s">
        <v>3</v>
      </c>
      <c r="C64" t="s">
        <v>3723</v>
      </c>
      <c r="D64" t="s">
        <v>3657</v>
      </c>
      <c r="E64" t="s">
        <v>3893</v>
      </c>
      <c r="F64">
        <v>2016</v>
      </c>
      <c r="G64" t="s">
        <v>3908</v>
      </c>
      <c r="H64">
        <v>513100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99999.89</v>
      </c>
      <c r="R64">
        <v>1650000.21</v>
      </c>
      <c r="S64">
        <v>120000.22</v>
      </c>
      <c r="T64">
        <v>0</v>
      </c>
      <c r="U64" s="8">
        <v>1870000.32</v>
      </c>
      <c r="V64" s="243" t="str">
        <f t="shared" si="0"/>
        <v>513</v>
      </c>
      <c r="W64" s="240">
        <f t="shared" si="1"/>
        <v>0</v>
      </c>
      <c r="X64" s="243">
        <f t="shared" si="2"/>
        <v>0</v>
      </c>
      <c r="Y64" s="255">
        <f>$W64*SUMIF('KU-LGE Rating'!$R:$R,$D64,'KU-LGE Rating'!F:F)</f>
        <v>0</v>
      </c>
      <c r="Z64" s="256">
        <f>$W64*SUMIF('KU-LGE Rating'!$R:$R,$D64,'KU-LGE Rating'!G:G)</f>
        <v>0</v>
      </c>
      <c r="AA64" s="257">
        <f t="shared" si="9"/>
        <v>0</v>
      </c>
      <c r="AB64" s="255">
        <f>$X64*SUMIF('KU-LGE Rating'!$R:$R,$D64,'KU-LGE Rating'!F:F)</f>
        <v>0</v>
      </c>
      <c r="AC64" s="256">
        <f>$X64*SUMIF('KU-LGE Rating'!$R:$R,$D64,'KU-LGE Rating'!G:G)</f>
        <v>0</v>
      </c>
      <c r="AD64" s="257">
        <f t="shared" si="4"/>
        <v>0</v>
      </c>
      <c r="AE64" s="274">
        <f>IF($F64=AE$1,$U64,0)*SUMIF('KU-LGE Rating'!$R:$R,$D64,'KU-LGE Rating'!$F:$F)</f>
        <v>0</v>
      </c>
      <c r="AF64" s="274">
        <f>IF($F64=AE$1,$U64,0)*SUMIF('KU-LGE Rating'!$R:$R,$D64,'KU-LGE Rating'!$G:$G)</f>
        <v>0</v>
      </c>
      <c r="AG64" s="240">
        <f t="shared" si="5"/>
        <v>0</v>
      </c>
      <c r="AH64" s="256">
        <f>IF($F64=AH$1,$U64,0)*SUMIF('KU-LGE Rating'!$R:$R,$D64,'KU-LGE Rating'!$F:$F)</f>
        <v>0</v>
      </c>
      <c r="AI64" s="256">
        <f>IF($F64=AH$1,$U64,0)*SUMIF('KU-LGE Rating'!$R:$R,$D64,'KU-LGE Rating'!$G:$G)</f>
        <v>0</v>
      </c>
      <c r="AJ64" s="240">
        <f t="shared" si="6"/>
        <v>0</v>
      </c>
      <c r="AK64" s="256">
        <f>IF($F64=AK$1,$U64,0)*SUMIF('KU-LGE Rating'!$R:$R,$D64,'KU-LGE Rating'!$F:$F)</f>
        <v>0</v>
      </c>
      <c r="AL64" s="256">
        <f>IF($F64=AK$1,$U64,0)*SUMIF('KU-LGE Rating'!$R:$R,$D64,'KU-LGE Rating'!$G:$G)</f>
        <v>1870000.32</v>
      </c>
      <c r="AM64" s="240">
        <f t="shared" si="7"/>
        <v>1870000.32</v>
      </c>
      <c r="AN64" s="256">
        <f>IF($F64=AN$1,$U64,0)*SUMIF('KU-LGE Rating'!$R:$R,$D64,'KU-LGE Rating'!$F:$F)</f>
        <v>0</v>
      </c>
      <c r="AO64" s="256">
        <f>IF($F64=AN$1,$U64,0)*SUMIF('KU-LGE Rating'!$R:$R,$D64,'KU-LGE Rating'!$G:$G)</f>
        <v>0</v>
      </c>
      <c r="AP64" s="240">
        <f t="shared" si="8"/>
        <v>0</v>
      </c>
      <c r="AQ64" s="277"/>
      <c r="AR64" s="277"/>
      <c r="AV64" s="278"/>
      <c r="AW64" s="278"/>
      <c r="AX64" s="278"/>
    </row>
    <row r="65" spans="1:50">
      <c r="A65" s="1" t="s">
        <v>2756</v>
      </c>
      <c r="B65" s="1" t="s">
        <v>3</v>
      </c>
      <c r="C65" t="s">
        <v>3723</v>
      </c>
      <c r="D65" t="s">
        <v>3657</v>
      </c>
      <c r="E65" t="s">
        <v>3893</v>
      </c>
      <c r="F65">
        <v>2017</v>
      </c>
      <c r="G65" t="s">
        <v>3908</v>
      </c>
      <c r="H65">
        <v>512100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489999.89</v>
      </c>
      <c r="T65">
        <v>0</v>
      </c>
      <c r="U65" s="8">
        <v>489999.89</v>
      </c>
      <c r="V65" s="243" t="str">
        <f t="shared" si="0"/>
        <v>512</v>
      </c>
      <c r="W65" s="240">
        <f t="shared" si="1"/>
        <v>0</v>
      </c>
      <c r="X65" s="243">
        <f t="shared" si="2"/>
        <v>0</v>
      </c>
      <c r="Y65" s="255">
        <f>$W65*SUMIF('KU-LGE Rating'!$R:$R,$D65,'KU-LGE Rating'!F:F)</f>
        <v>0</v>
      </c>
      <c r="Z65" s="256">
        <f>$W65*SUMIF('KU-LGE Rating'!$R:$R,$D65,'KU-LGE Rating'!G:G)</f>
        <v>0</v>
      </c>
      <c r="AA65" s="257">
        <f t="shared" si="9"/>
        <v>0</v>
      </c>
      <c r="AB65" s="255">
        <f>$X65*SUMIF('KU-LGE Rating'!$R:$R,$D65,'KU-LGE Rating'!F:F)</f>
        <v>0</v>
      </c>
      <c r="AC65" s="256">
        <f>$X65*SUMIF('KU-LGE Rating'!$R:$R,$D65,'KU-LGE Rating'!G:G)</f>
        <v>0</v>
      </c>
      <c r="AD65" s="257">
        <f t="shared" si="4"/>
        <v>0</v>
      </c>
      <c r="AE65" s="274">
        <f>IF($F65=AE$1,$U65,0)*SUMIF('KU-LGE Rating'!$R:$R,$D65,'KU-LGE Rating'!$F:$F)</f>
        <v>0</v>
      </c>
      <c r="AF65" s="274">
        <f>IF($F65=AE$1,$U65,0)*SUMIF('KU-LGE Rating'!$R:$R,$D65,'KU-LGE Rating'!$G:$G)</f>
        <v>0</v>
      </c>
      <c r="AG65" s="240">
        <f t="shared" si="5"/>
        <v>0</v>
      </c>
      <c r="AH65" s="256">
        <f>IF($F65=AH$1,$U65,0)*SUMIF('KU-LGE Rating'!$R:$R,$D65,'KU-LGE Rating'!$F:$F)</f>
        <v>0</v>
      </c>
      <c r="AI65" s="256">
        <f>IF($F65=AH$1,$U65,0)*SUMIF('KU-LGE Rating'!$R:$R,$D65,'KU-LGE Rating'!$G:$G)</f>
        <v>0</v>
      </c>
      <c r="AJ65" s="240">
        <f t="shared" si="6"/>
        <v>0</v>
      </c>
      <c r="AK65" s="256">
        <f>IF($F65=AK$1,$U65,0)*SUMIF('KU-LGE Rating'!$R:$R,$D65,'KU-LGE Rating'!$F:$F)</f>
        <v>0</v>
      </c>
      <c r="AL65" s="256">
        <f>IF($F65=AK$1,$U65,0)*SUMIF('KU-LGE Rating'!$R:$R,$D65,'KU-LGE Rating'!$G:$G)</f>
        <v>0</v>
      </c>
      <c r="AM65" s="240">
        <f t="shared" si="7"/>
        <v>0</v>
      </c>
      <c r="AN65" s="256">
        <f>IF($F65=AN$1,$U65,0)*SUMIF('KU-LGE Rating'!$R:$R,$D65,'KU-LGE Rating'!$F:$F)</f>
        <v>0</v>
      </c>
      <c r="AO65" s="256">
        <f>IF($F65=AN$1,$U65,0)*SUMIF('KU-LGE Rating'!$R:$R,$D65,'KU-LGE Rating'!$G:$G)</f>
        <v>489999.89</v>
      </c>
      <c r="AP65" s="240">
        <f t="shared" si="8"/>
        <v>489999.89</v>
      </c>
      <c r="AQ65" s="277"/>
      <c r="AR65" s="277"/>
      <c r="AV65" s="278"/>
      <c r="AW65" s="278"/>
      <c r="AX65" s="278"/>
    </row>
    <row r="66" spans="1:50">
      <c r="A66" s="1" t="s">
        <v>2756</v>
      </c>
      <c r="B66" s="1" t="s">
        <v>3</v>
      </c>
      <c r="C66" t="s">
        <v>3723</v>
      </c>
      <c r="D66" t="s">
        <v>3657</v>
      </c>
      <c r="E66" t="s">
        <v>3893</v>
      </c>
      <c r="F66">
        <v>2017</v>
      </c>
      <c r="G66" t="s">
        <v>3908</v>
      </c>
      <c r="H66">
        <v>513100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259999.95</v>
      </c>
      <c r="T66">
        <v>0</v>
      </c>
      <c r="U66" s="8">
        <v>259999.95</v>
      </c>
      <c r="V66" s="243" t="str">
        <f t="shared" si="0"/>
        <v>513</v>
      </c>
      <c r="W66" s="240">
        <f t="shared" si="1"/>
        <v>0</v>
      </c>
      <c r="X66" s="243">
        <f t="shared" si="2"/>
        <v>0</v>
      </c>
      <c r="Y66" s="255">
        <f>$W66*SUMIF('KU-LGE Rating'!$R:$R,$D66,'KU-LGE Rating'!F:F)</f>
        <v>0</v>
      </c>
      <c r="Z66" s="256">
        <f>$W66*SUMIF('KU-LGE Rating'!$R:$R,$D66,'KU-LGE Rating'!G:G)</f>
        <v>0</v>
      </c>
      <c r="AA66" s="257">
        <f t="shared" si="9"/>
        <v>0</v>
      </c>
      <c r="AB66" s="255">
        <f>$X66*SUMIF('KU-LGE Rating'!$R:$R,$D66,'KU-LGE Rating'!F:F)</f>
        <v>0</v>
      </c>
      <c r="AC66" s="256">
        <f>$X66*SUMIF('KU-LGE Rating'!$R:$R,$D66,'KU-LGE Rating'!G:G)</f>
        <v>0</v>
      </c>
      <c r="AD66" s="257">
        <f t="shared" si="4"/>
        <v>0</v>
      </c>
      <c r="AE66" s="274">
        <f>IF($F66=AE$1,$U66,0)*SUMIF('KU-LGE Rating'!$R:$R,$D66,'KU-LGE Rating'!$F:$F)</f>
        <v>0</v>
      </c>
      <c r="AF66" s="274">
        <f>IF($F66=AE$1,$U66,0)*SUMIF('KU-LGE Rating'!$R:$R,$D66,'KU-LGE Rating'!$G:$G)</f>
        <v>0</v>
      </c>
      <c r="AG66" s="240">
        <f t="shared" si="5"/>
        <v>0</v>
      </c>
      <c r="AH66" s="256">
        <f>IF($F66=AH$1,$U66,0)*SUMIF('KU-LGE Rating'!$R:$R,$D66,'KU-LGE Rating'!$F:$F)</f>
        <v>0</v>
      </c>
      <c r="AI66" s="256">
        <f>IF($F66=AH$1,$U66,0)*SUMIF('KU-LGE Rating'!$R:$R,$D66,'KU-LGE Rating'!$G:$G)</f>
        <v>0</v>
      </c>
      <c r="AJ66" s="240">
        <f t="shared" si="6"/>
        <v>0</v>
      </c>
      <c r="AK66" s="256">
        <f>IF($F66=AK$1,$U66,0)*SUMIF('KU-LGE Rating'!$R:$R,$D66,'KU-LGE Rating'!$F:$F)</f>
        <v>0</v>
      </c>
      <c r="AL66" s="256">
        <f>IF($F66=AK$1,$U66,0)*SUMIF('KU-LGE Rating'!$R:$R,$D66,'KU-LGE Rating'!$G:$G)</f>
        <v>0</v>
      </c>
      <c r="AM66" s="240">
        <f t="shared" si="7"/>
        <v>0</v>
      </c>
      <c r="AN66" s="256">
        <f>IF($F66=AN$1,$U66,0)*SUMIF('KU-LGE Rating'!$R:$R,$D66,'KU-LGE Rating'!$F:$F)</f>
        <v>0</v>
      </c>
      <c r="AO66" s="256">
        <f>IF($F66=AN$1,$U66,0)*SUMIF('KU-LGE Rating'!$R:$R,$D66,'KU-LGE Rating'!$G:$G)</f>
        <v>259999.95</v>
      </c>
      <c r="AP66" s="240">
        <f t="shared" si="8"/>
        <v>259999.95</v>
      </c>
      <c r="AQ66" s="277"/>
      <c r="AR66" s="277"/>
      <c r="AV66" s="278"/>
      <c r="AW66" s="278"/>
      <c r="AX66" s="278"/>
    </row>
    <row r="67" spans="1:50">
      <c r="A67" s="1" t="s">
        <v>2756</v>
      </c>
      <c r="B67" s="1" t="s">
        <v>3</v>
      </c>
      <c r="C67" t="s">
        <v>3723</v>
      </c>
      <c r="D67" t="s">
        <v>3733</v>
      </c>
      <c r="E67" t="s">
        <v>3893</v>
      </c>
      <c r="F67">
        <v>2014</v>
      </c>
      <c r="G67" t="s">
        <v>3908</v>
      </c>
      <c r="H67">
        <v>553100</v>
      </c>
      <c r="I67">
        <v>0</v>
      </c>
      <c r="J67">
        <v>145831.57</v>
      </c>
      <c r="K67">
        <v>25381.88</v>
      </c>
      <c r="L67">
        <v>0.53</v>
      </c>
      <c r="M67">
        <v>0</v>
      </c>
      <c r="N67">
        <v>0</v>
      </c>
      <c r="O67">
        <v>0</v>
      </c>
      <c r="P67">
        <v>0</v>
      </c>
      <c r="Q67">
        <v>109.73</v>
      </c>
      <c r="R67">
        <v>0</v>
      </c>
      <c r="S67">
        <v>0</v>
      </c>
      <c r="T67">
        <v>0</v>
      </c>
      <c r="U67" s="8">
        <v>171323.71</v>
      </c>
      <c r="V67" s="243" t="str">
        <f t="shared" si="0"/>
        <v>553</v>
      </c>
      <c r="W67" s="240">
        <f t="shared" si="1"/>
        <v>25492.14</v>
      </c>
      <c r="X67" s="243">
        <f t="shared" si="2"/>
        <v>0</v>
      </c>
      <c r="Y67" s="255">
        <f>$W67*SUMIF('KU-LGE Rating'!$R:$R,$D67,'KU-LGE Rating'!F:F)</f>
        <v>11981.305799999998</v>
      </c>
      <c r="Z67" s="256">
        <f>$W67*SUMIF('KU-LGE Rating'!$R:$R,$D67,'KU-LGE Rating'!G:G)</f>
        <v>13510.834200000001</v>
      </c>
      <c r="AA67" s="257">
        <f t="shared" si="9"/>
        <v>25492.14</v>
      </c>
      <c r="AB67" s="255">
        <f>$X67*SUMIF('KU-LGE Rating'!$R:$R,$D67,'KU-LGE Rating'!F:F)</f>
        <v>0</v>
      </c>
      <c r="AC67" s="256">
        <f>$X67*SUMIF('KU-LGE Rating'!$R:$R,$D67,'KU-LGE Rating'!G:G)</f>
        <v>0</v>
      </c>
      <c r="AD67" s="257">
        <f t="shared" si="4"/>
        <v>0</v>
      </c>
      <c r="AE67" s="274">
        <f>IF($F67=AE$1,$U67,0)*SUMIF('KU-LGE Rating'!$R:$R,$D67,'KU-LGE Rating'!$F:$F)</f>
        <v>80522.143699999986</v>
      </c>
      <c r="AF67" s="274">
        <f>IF($F67=AE$1,$U67,0)*SUMIF('KU-LGE Rating'!$R:$R,$D67,'KU-LGE Rating'!$G:$G)</f>
        <v>90801.566300000006</v>
      </c>
      <c r="AG67" s="240">
        <f t="shared" si="5"/>
        <v>171323.71</v>
      </c>
      <c r="AH67" s="256">
        <f>IF($F67=AH$1,$U67,0)*SUMIF('KU-LGE Rating'!$R:$R,$D67,'KU-LGE Rating'!$F:$F)</f>
        <v>0</v>
      </c>
      <c r="AI67" s="256">
        <f>IF($F67=AH$1,$U67,0)*SUMIF('KU-LGE Rating'!$R:$R,$D67,'KU-LGE Rating'!$G:$G)</f>
        <v>0</v>
      </c>
      <c r="AJ67" s="240">
        <f t="shared" si="6"/>
        <v>0</v>
      </c>
      <c r="AK67" s="256">
        <f>IF($F67=AK$1,$U67,0)*SUMIF('KU-LGE Rating'!$R:$R,$D67,'KU-LGE Rating'!$F:$F)</f>
        <v>0</v>
      </c>
      <c r="AL67" s="256">
        <f>IF($F67=AK$1,$U67,0)*SUMIF('KU-LGE Rating'!$R:$R,$D67,'KU-LGE Rating'!$G:$G)</f>
        <v>0</v>
      </c>
      <c r="AM67" s="240">
        <f t="shared" si="7"/>
        <v>0</v>
      </c>
      <c r="AN67" s="256">
        <f>IF($F67=AN$1,$U67,0)*SUMIF('KU-LGE Rating'!$R:$R,$D67,'KU-LGE Rating'!$F:$F)</f>
        <v>0</v>
      </c>
      <c r="AO67" s="256">
        <f>IF($F67=AN$1,$U67,0)*SUMIF('KU-LGE Rating'!$R:$R,$D67,'KU-LGE Rating'!$G:$G)</f>
        <v>0</v>
      </c>
      <c r="AP67" s="240">
        <f t="shared" si="8"/>
        <v>0</v>
      </c>
      <c r="AQ67" s="277"/>
      <c r="AR67" s="277"/>
      <c r="AV67" s="278"/>
      <c r="AW67" s="278"/>
      <c r="AX67" s="278"/>
    </row>
    <row r="68" spans="1:50">
      <c r="A68" s="1" t="s">
        <v>2756</v>
      </c>
      <c r="B68" s="1" t="s">
        <v>3</v>
      </c>
      <c r="C68" t="s">
        <v>3723</v>
      </c>
      <c r="D68" t="s">
        <v>3733</v>
      </c>
      <c r="E68" t="s">
        <v>3893</v>
      </c>
      <c r="F68">
        <v>2015</v>
      </c>
      <c r="G68" t="s">
        <v>3908</v>
      </c>
      <c r="H68">
        <v>553100</v>
      </c>
      <c r="I68">
        <v>0</v>
      </c>
      <c r="J68">
        <v>0</v>
      </c>
      <c r="K68">
        <v>119891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8">
        <v>119891</v>
      </c>
      <c r="V68" s="243" t="str">
        <f t="shared" ref="V68:V131" si="10">LEFT(H68,3)</f>
        <v>553</v>
      </c>
      <c r="W68" s="240">
        <f t="shared" ref="W68:W131" si="11">IF(F68=2014,SUM(K68:T68),IF(F68=2015,SUM(I68:J68),0))</f>
        <v>0</v>
      </c>
      <c r="X68" s="243">
        <f t="shared" ref="X68:X131" si="12">IF(F68=2015,SUM(O68:T68),IF(F68=2016,SUM(I68:N68),0))</f>
        <v>0</v>
      </c>
      <c r="Y68" s="255">
        <f>$W68*SUMIF('KU-LGE Rating'!$R:$R,$D68,'KU-LGE Rating'!F:F)</f>
        <v>0</v>
      </c>
      <c r="Z68" s="256">
        <f>$W68*SUMIF('KU-LGE Rating'!$R:$R,$D68,'KU-LGE Rating'!G:G)</f>
        <v>0</v>
      </c>
      <c r="AA68" s="257">
        <f t="shared" si="9"/>
        <v>0</v>
      </c>
      <c r="AB68" s="255">
        <f>$X68*SUMIF('KU-LGE Rating'!$R:$R,$D68,'KU-LGE Rating'!F:F)</f>
        <v>0</v>
      </c>
      <c r="AC68" s="256">
        <f>$X68*SUMIF('KU-LGE Rating'!$R:$R,$D68,'KU-LGE Rating'!G:G)</f>
        <v>0</v>
      </c>
      <c r="AD68" s="257">
        <f t="shared" ref="AD68:AD111" si="13">AB68+AC68</f>
        <v>0</v>
      </c>
      <c r="AE68" s="274">
        <f>IF($F68=AE$1,$U68,0)*SUMIF('KU-LGE Rating'!$R:$R,$D68,'KU-LGE Rating'!$F:$F)</f>
        <v>0</v>
      </c>
      <c r="AF68" s="274">
        <f>IF($F68=AE$1,$U68,0)*SUMIF('KU-LGE Rating'!$R:$R,$D68,'KU-LGE Rating'!$G:$G)</f>
        <v>0</v>
      </c>
      <c r="AG68" s="240">
        <f t="shared" ref="AG68:AG131" si="14">IF($F68=AE$1,$U68,0)</f>
        <v>0</v>
      </c>
      <c r="AH68" s="256">
        <f>IF($F68=AH$1,$U68,0)*SUMIF('KU-LGE Rating'!$R:$R,$D68,'KU-LGE Rating'!$F:$F)</f>
        <v>56348.77</v>
      </c>
      <c r="AI68" s="256">
        <f>IF($F68=AH$1,$U68,0)*SUMIF('KU-LGE Rating'!$R:$R,$D68,'KU-LGE Rating'!$G:$G)</f>
        <v>63542.23</v>
      </c>
      <c r="AJ68" s="240">
        <f t="shared" ref="AJ68:AJ131" si="15">IF($F68=AH$1,$U68,0)</f>
        <v>119891</v>
      </c>
      <c r="AK68" s="256">
        <f>IF($F68=AK$1,$U68,0)*SUMIF('KU-LGE Rating'!$R:$R,$D68,'KU-LGE Rating'!$F:$F)</f>
        <v>0</v>
      </c>
      <c r="AL68" s="256">
        <f>IF($F68=AK$1,$U68,0)*SUMIF('KU-LGE Rating'!$R:$R,$D68,'KU-LGE Rating'!$G:$G)</f>
        <v>0</v>
      </c>
      <c r="AM68" s="240">
        <f t="shared" ref="AM68:AM131" si="16">IF($F68=AK$1,$U68,0)</f>
        <v>0</v>
      </c>
      <c r="AN68" s="256">
        <f>IF($F68=AN$1,$U68,0)*SUMIF('KU-LGE Rating'!$R:$R,$D68,'KU-LGE Rating'!$F:$F)</f>
        <v>0</v>
      </c>
      <c r="AO68" s="256">
        <f>IF($F68=AN$1,$U68,0)*SUMIF('KU-LGE Rating'!$R:$R,$D68,'KU-LGE Rating'!$G:$G)</f>
        <v>0</v>
      </c>
      <c r="AP68" s="240">
        <f t="shared" ref="AP68:AP131" si="17">IF($F68=AN$1,$U68,0)</f>
        <v>0</v>
      </c>
      <c r="AQ68" s="277"/>
      <c r="AR68" s="277"/>
      <c r="AV68" s="278"/>
      <c r="AW68" s="278"/>
      <c r="AX68" s="278"/>
    </row>
    <row r="69" spans="1:50">
      <c r="A69" s="1" t="s">
        <v>2756</v>
      </c>
      <c r="B69" s="1" t="s">
        <v>3</v>
      </c>
      <c r="C69" t="s">
        <v>3723</v>
      </c>
      <c r="D69" t="s">
        <v>3733</v>
      </c>
      <c r="E69" t="s">
        <v>3893</v>
      </c>
      <c r="F69">
        <v>2016</v>
      </c>
      <c r="G69" t="s">
        <v>3908</v>
      </c>
      <c r="H69">
        <v>553100</v>
      </c>
      <c r="I69">
        <v>0</v>
      </c>
      <c r="J69">
        <v>0</v>
      </c>
      <c r="K69">
        <v>0</v>
      </c>
      <c r="L69">
        <v>122289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8">
        <v>122289</v>
      </c>
      <c r="V69" s="243" t="str">
        <f t="shared" si="10"/>
        <v>553</v>
      </c>
      <c r="W69" s="240">
        <f t="shared" si="11"/>
        <v>0</v>
      </c>
      <c r="X69" s="243">
        <f t="shared" si="12"/>
        <v>122289</v>
      </c>
      <c r="Y69" s="255">
        <f>$W69*SUMIF('KU-LGE Rating'!$R:$R,$D69,'KU-LGE Rating'!F:F)</f>
        <v>0</v>
      </c>
      <c r="Z69" s="256">
        <f>$W69*SUMIF('KU-LGE Rating'!$R:$R,$D69,'KU-LGE Rating'!G:G)</f>
        <v>0</v>
      </c>
      <c r="AA69" s="257">
        <f t="shared" si="9"/>
        <v>0</v>
      </c>
      <c r="AB69" s="255">
        <f>$X69*SUMIF('KU-LGE Rating'!$R:$R,$D69,'KU-LGE Rating'!F:F)</f>
        <v>57475.829999999994</v>
      </c>
      <c r="AC69" s="256">
        <f>$X69*SUMIF('KU-LGE Rating'!$R:$R,$D69,'KU-LGE Rating'!G:G)</f>
        <v>64813.170000000006</v>
      </c>
      <c r="AD69" s="257">
        <f t="shared" si="13"/>
        <v>122289</v>
      </c>
      <c r="AE69" s="274">
        <f>IF($F69=AE$1,$U69,0)*SUMIF('KU-LGE Rating'!$R:$R,$D69,'KU-LGE Rating'!$F:$F)</f>
        <v>0</v>
      </c>
      <c r="AF69" s="274">
        <f>IF($F69=AE$1,$U69,0)*SUMIF('KU-LGE Rating'!$R:$R,$D69,'KU-LGE Rating'!$G:$G)</f>
        <v>0</v>
      </c>
      <c r="AG69" s="240">
        <f t="shared" si="14"/>
        <v>0</v>
      </c>
      <c r="AH69" s="256">
        <f>IF($F69=AH$1,$U69,0)*SUMIF('KU-LGE Rating'!$R:$R,$D69,'KU-LGE Rating'!$F:$F)</f>
        <v>0</v>
      </c>
      <c r="AI69" s="256">
        <f>IF($F69=AH$1,$U69,0)*SUMIF('KU-LGE Rating'!$R:$R,$D69,'KU-LGE Rating'!$G:$G)</f>
        <v>0</v>
      </c>
      <c r="AJ69" s="240">
        <f t="shared" si="15"/>
        <v>0</v>
      </c>
      <c r="AK69" s="256">
        <f>IF($F69=AK$1,$U69,0)*SUMIF('KU-LGE Rating'!$R:$R,$D69,'KU-LGE Rating'!$F:$F)</f>
        <v>57475.829999999994</v>
      </c>
      <c r="AL69" s="256">
        <f>IF($F69=AK$1,$U69,0)*SUMIF('KU-LGE Rating'!$R:$R,$D69,'KU-LGE Rating'!$G:$G)</f>
        <v>64813.170000000006</v>
      </c>
      <c r="AM69" s="240">
        <f t="shared" si="16"/>
        <v>122289</v>
      </c>
      <c r="AN69" s="256">
        <f>IF($F69=AN$1,$U69,0)*SUMIF('KU-LGE Rating'!$R:$R,$D69,'KU-LGE Rating'!$F:$F)</f>
        <v>0</v>
      </c>
      <c r="AO69" s="256">
        <f>IF($F69=AN$1,$U69,0)*SUMIF('KU-LGE Rating'!$R:$R,$D69,'KU-LGE Rating'!$G:$G)</f>
        <v>0</v>
      </c>
      <c r="AP69" s="240">
        <f t="shared" si="17"/>
        <v>0</v>
      </c>
      <c r="AQ69" s="277"/>
      <c r="AR69" s="277"/>
      <c r="AV69" s="278"/>
      <c r="AW69" s="278"/>
      <c r="AX69" s="278"/>
    </row>
    <row r="70" spans="1:50">
      <c r="A70" s="1" t="s">
        <v>2756</v>
      </c>
      <c r="B70" s="1" t="s">
        <v>3</v>
      </c>
      <c r="C70" t="s">
        <v>3723</v>
      </c>
      <c r="D70" t="s">
        <v>3733</v>
      </c>
      <c r="E70" t="s">
        <v>3893</v>
      </c>
      <c r="F70">
        <v>2017</v>
      </c>
      <c r="G70" t="s">
        <v>3908</v>
      </c>
      <c r="H70">
        <v>553100</v>
      </c>
      <c r="I70">
        <v>0</v>
      </c>
      <c r="J70">
        <v>0</v>
      </c>
      <c r="K70">
        <v>201234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8">
        <v>201234</v>
      </c>
      <c r="V70" s="243" t="str">
        <f t="shared" si="10"/>
        <v>553</v>
      </c>
      <c r="W70" s="240">
        <f t="shared" si="11"/>
        <v>0</v>
      </c>
      <c r="X70" s="243">
        <f t="shared" si="12"/>
        <v>0</v>
      </c>
      <c r="Y70" s="255">
        <f>$W70*SUMIF('KU-LGE Rating'!$R:$R,$D70,'KU-LGE Rating'!F:F)</f>
        <v>0</v>
      </c>
      <c r="Z70" s="256">
        <f>$W70*SUMIF('KU-LGE Rating'!$R:$R,$D70,'KU-LGE Rating'!G:G)</f>
        <v>0</v>
      </c>
      <c r="AA70" s="257">
        <f t="shared" si="9"/>
        <v>0</v>
      </c>
      <c r="AB70" s="255">
        <f>$X70*SUMIF('KU-LGE Rating'!$R:$R,$D70,'KU-LGE Rating'!F:F)</f>
        <v>0</v>
      </c>
      <c r="AC70" s="256">
        <f>$X70*SUMIF('KU-LGE Rating'!$R:$R,$D70,'KU-LGE Rating'!G:G)</f>
        <v>0</v>
      </c>
      <c r="AD70" s="257">
        <f t="shared" si="13"/>
        <v>0</v>
      </c>
      <c r="AE70" s="274">
        <f>IF($F70=AE$1,$U70,0)*SUMIF('KU-LGE Rating'!$R:$R,$D70,'KU-LGE Rating'!$F:$F)</f>
        <v>0</v>
      </c>
      <c r="AF70" s="274">
        <f>IF($F70=AE$1,$U70,0)*SUMIF('KU-LGE Rating'!$R:$R,$D70,'KU-LGE Rating'!$G:$G)</f>
        <v>0</v>
      </c>
      <c r="AG70" s="240">
        <f t="shared" si="14"/>
        <v>0</v>
      </c>
      <c r="AH70" s="256">
        <f>IF($F70=AH$1,$U70,0)*SUMIF('KU-LGE Rating'!$R:$R,$D70,'KU-LGE Rating'!$F:$F)</f>
        <v>0</v>
      </c>
      <c r="AI70" s="256">
        <f>IF($F70=AH$1,$U70,0)*SUMIF('KU-LGE Rating'!$R:$R,$D70,'KU-LGE Rating'!$G:$G)</f>
        <v>0</v>
      </c>
      <c r="AJ70" s="240">
        <f t="shared" si="15"/>
        <v>0</v>
      </c>
      <c r="AK70" s="256">
        <f>IF($F70=AK$1,$U70,0)*SUMIF('KU-LGE Rating'!$R:$R,$D70,'KU-LGE Rating'!$F:$F)</f>
        <v>0</v>
      </c>
      <c r="AL70" s="256">
        <f>IF($F70=AK$1,$U70,0)*SUMIF('KU-LGE Rating'!$R:$R,$D70,'KU-LGE Rating'!$G:$G)</f>
        <v>0</v>
      </c>
      <c r="AM70" s="240">
        <f t="shared" si="16"/>
        <v>0</v>
      </c>
      <c r="AN70" s="256">
        <f>IF($F70=AN$1,$U70,0)*SUMIF('KU-LGE Rating'!$R:$R,$D70,'KU-LGE Rating'!$F:$F)</f>
        <v>94579.98</v>
      </c>
      <c r="AO70" s="256">
        <f>IF($F70=AN$1,$U70,0)*SUMIF('KU-LGE Rating'!$R:$R,$D70,'KU-LGE Rating'!$G:$G)</f>
        <v>106654.02</v>
      </c>
      <c r="AP70" s="240">
        <f t="shared" si="17"/>
        <v>201234</v>
      </c>
      <c r="AQ70" s="277"/>
      <c r="AR70" s="277"/>
      <c r="AV70" s="278"/>
      <c r="AW70" s="278"/>
      <c r="AX70" s="278"/>
    </row>
    <row r="71" spans="1:50">
      <c r="A71" s="1" t="s">
        <v>2756</v>
      </c>
      <c r="B71" s="1" t="s">
        <v>3</v>
      </c>
      <c r="C71" t="s">
        <v>3723</v>
      </c>
      <c r="D71" t="s">
        <v>3734</v>
      </c>
      <c r="E71" t="s">
        <v>3893</v>
      </c>
      <c r="F71">
        <v>2014</v>
      </c>
      <c r="G71" t="s">
        <v>3908</v>
      </c>
      <c r="H71">
        <v>512005</v>
      </c>
      <c r="I71">
        <v>465.48</v>
      </c>
      <c r="J71">
        <v>13343.45</v>
      </c>
      <c r="K71">
        <v>0</v>
      </c>
      <c r="L71">
        <v>1.1399999999999999</v>
      </c>
      <c r="M71">
        <v>1752.36</v>
      </c>
      <c r="N71">
        <v>0</v>
      </c>
      <c r="O71">
        <v>0</v>
      </c>
      <c r="P71">
        <v>0</v>
      </c>
      <c r="Q71">
        <v>-15562.43</v>
      </c>
      <c r="R71">
        <v>0</v>
      </c>
      <c r="S71">
        <v>0</v>
      </c>
      <c r="T71">
        <v>0</v>
      </c>
      <c r="U71" s="8">
        <v>0</v>
      </c>
      <c r="V71" s="243" t="str">
        <f t="shared" si="10"/>
        <v>512</v>
      </c>
      <c r="W71" s="240">
        <f t="shared" si="11"/>
        <v>-13808.93</v>
      </c>
      <c r="X71" s="243">
        <f t="shared" si="12"/>
        <v>0</v>
      </c>
      <c r="Y71" s="255">
        <f>$W71*SUMIF('KU-LGE Rating'!$R:$R,$D71,'KU-LGE Rating'!F:F)</f>
        <v>0</v>
      </c>
      <c r="Z71" s="256">
        <f>$W71*SUMIF('KU-LGE Rating'!$R:$R,$D71,'KU-LGE Rating'!G:G)</f>
        <v>-13808.93</v>
      </c>
      <c r="AA71" s="257">
        <f t="shared" si="9"/>
        <v>-13808.93</v>
      </c>
      <c r="AB71" s="255">
        <f>$X71*SUMIF('KU-LGE Rating'!$R:$R,$D71,'KU-LGE Rating'!F:F)</f>
        <v>0</v>
      </c>
      <c r="AC71" s="256">
        <f>$X71*SUMIF('KU-LGE Rating'!$R:$R,$D71,'KU-LGE Rating'!G:G)</f>
        <v>0</v>
      </c>
      <c r="AD71" s="257">
        <f t="shared" si="13"/>
        <v>0</v>
      </c>
      <c r="AE71" s="274">
        <f>IF($F71=AE$1,$U71,0)*SUMIF('KU-LGE Rating'!$R:$R,$D71,'KU-LGE Rating'!$F:$F)</f>
        <v>0</v>
      </c>
      <c r="AF71" s="274">
        <f>IF($F71=AE$1,$U71,0)*SUMIF('KU-LGE Rating'!$R:$R,$D71,'KU-LGE Rating'!$G:$G)</f>
        <v>0</v>
      </c>
      <c r="AG71" s="240">
        <f t="shared" si="14"/>
        <v>0</v>
      </c>
      <c r="AH71" s="256">
        <f>IF($F71=AH$1,$U71,0)*SUMIF('KU-LGE Rating'!$R:$R,$D71,'KU-LGE Rating'!$F:$F)</f>
        <v>0</v>
      </c>
      <c r="AI71" s="256">
        <f>IF($F71=AH$1,$U71,0)*SUMIF('KU-LGE Rating'!$R:$R,$D71,'KU-LGE Rating'!$G:$G)</f>
        <v>0</v>
      </c>
      <c r="AJ71" s="240">
        <f t="shared" si="15"/>
        <v>0</v>
      </c>
      <c r="AK71" s="256">
        <f>IF($F71=AK$1,$U71,0)*SUMIF('KU-LGE Rating'!$R:$R,$D71,'KU-LGE Rating'!$F:$F)</f>
        <v>0</v>
      </c>
      <c r="AL71" s="256">
        <f>IF($F71=AK$1,$U71,0)*SUMIF('KU-LGE Rating'!$R:$R,$D71,'KU-LGE Rating'!$G:$G)</f>
        <v>0</v>
      </c>
      <c r="AM71" s="240">
        <f t="shared" si="16"/>
        <v>0</v>
      </c>
      <c r="AN71" s="256">
        <f>IF($F71=AN$1,$U71,0)*SUMIF('KU-LGE Rating'!$R:$R,$D71,'KU-LGE Rating'!$F:$F)</f>
        <v>0</v>
      </c>
      <c r="AO71" s="256">
        <f>IF($F71=AN$1,$U71,0)*SUMIF('KU-LGE Rating'!$R:$R,$D71,'KU-LGE Rating'!$G:$G)</f>
        <v>0</v>
      </c>
      <c r="AP71" s="240">
        <f t="shared" si="17"/>
        <v>0</v>
      </c>
      <c r="AQ71" s="277"/>
      <c r="AR71" s="277"/>
      <c r="AV71" s="278"/>
      <c r="AW71" s="278"/>
      <c r="AX71" s="278"/>
    </row>
    <row r="72" spans="1:50">
      <c r="A72" s="1" t="s">
        <v>2756</v>
      </c>
      <c r="B72" s="1" t="s">
        <v>3</v>
      </c>
      <c r="C72" t="s">
        <v>3723</v>
      </c>
      <c r="D72" t="s">
        <v>3734</v>
      </c>
      <c r="E72" t="s">
        <v>3893</v>
      </c>
      <c r="F72">
        <v>2014</v>
      </c>
      <c r="G72" t="s">
        <v>3908</v>
      </c>
      <c r="H72">
        <v>512100</v>
      </c>
      <c r="I72">
        <v>-23885.39</v>
      </c>
      <c r="J72">
        <v>270.60000000000002</v>
      </c>
      <c r="K72">
        <v>-270.60000000000002</v>
      </c>
      <c r="L72">
        <v>1484</v>
      </c>
      <c r="M72">
        <v>0</v>
      </c>
      <c r="N72">
        <v>0</v>
      </c>
      <c r="O72">
        <v>0</v>
      </c>
      <c r="P72">
        <v>0</v>
      </c>
      <c r="Q72">
        <v>28635.39</v>
      </c>
      <c r="R72">
        <v>0</v>
      </c>
      <c r="S72">
        <v>0</v>
      </c>
      <c r="T72">
        <v>0</v>
      </c>
      <c r="U72" s="8">
        <v>6234</v>
      </c>
      <c r="V72" s="243" t="str">
        <f t="shared" si="10"/>
        <v>512</v>
      </c>
      <c r="W72" s="240">
        <f t="shared" si="11"/>
        <v>29848.79</v>
      </c>
      <c r="X72" s="243">
        <f t="shared" si="12"/>
        <v>0</v>
      </c>
      <c r="Y72" s="255">
        <f>$W72*SUMIF('KU-LGE Rating'!$R:$R,$D72,'KU-LGE Rating'!F:F)</f>
        <v>0</v>
      </c>
      <c r="Z72" s="256">
        <f>$W72*SUMIF('KU-LGE Rating'!$R:$R,$D72,'KU-LGE Rating'!G:G)</f>
        <v>29848.79</v>
      </c>
      <c r="AA72" s="257">
        <f t="shared" si="9"/>
        <v>29848.79</v>
      </c>
      <c r="AB72" s="255">
        <f>$X72*SUMIF('KU-LGE Rating'!$R:$R,$D72,'KU-LGE Rating'!F:F)</f>
        <v>0</v>
      </c>
      <c r="AC72" s="256">
        <f>$X72*SUMIF('KU-LGE Rating'!$R:$R,$D72,'KU-LGE Rating'!G:G)</f>
        <v>0</v>
      </c>
      <c r="AD72" s="257">
        <f t="shared" si="13"/>
        <v>0</v>
      </c>
      <c r="AE72" s="274">
        <f>IF($F72=AE$1,$U72,0)*SUMIF('KU-LGE Rating'!$R:$R,$D72,'KU-LGE Rating'!$F:$F)</f>
        <v>0</v>
      </c>
      <c r="AF72" s="274">
        <f>IF($F72=AE$1,$U72,0)*SUMIF('KU-LGE Rating'!$R:$R,$D72,'KU-LGE Rating'!$G:$G)</f>
        <v>6234</v>
      </c>
      <c r="AG72" s="240">
        <f t="shared" si="14"/>
        <v>6234</v>
      </c>
      <c r="AH72" s="256">
        <f>IF($F72=AH$1,$U72,0)*SUMIF('KU-LGE Rating'!$R:$R,$D72,'KU-LGE Rating'!$F:$F)</f>
        <v>0</v>
      </c>
      <c r="AI72" s="256">
        <f>IF($F72=AH$1,$U72,0)*SUMIF('KU-LGE Rating'!$R:$R,$D72,'KU-LGE Rating'!$G:$G)</f>
        <v>0</v>
      </c>
      <c r="AJ72" s="240">
        <f t="shared" si="15"/>
        <v>0</v>
      </c>
      <c r="AK72" s="256">
        <f>IF($F72=AK$1,$U72,0)*SUMIF('KU-LGE Rating'!$R:$R,$D72,'KU-LGE Rating'!$F:$F)</f>
        <v>0</v>
      </c>
      <c r="AL72" s="256">
        <f>IF($F72=AK$1,$U72,0)*SUMIF('KU-LGE Rating'!$R:$R,$D72,'KU-LGE Rating'!$G:$G)</f>
        <v>0</v>
      </c>
      <c r="AM72" s="240">
        <f t="shared" si="16"/>
        <v>0</v>
      </c>
      <c r="AN72" s="256">
        <f>IF($F72=AN$1,$U72,0)*SUMIF('KU-LGE Rating'!$R:$R,$D72,'KU-LGE Rating'!$F:$F)</f>
        <v>0</v>
      </c>
      <c r="AO72" s="256">
        <f>IF($F72=AN$1,$U72,0)*SUMIF('KU-LGE Rating'!$R:$R,$D72,'KU-LGE Rating'!$G:$G)</f>
        <v>0</v>
      </c>
      <c r="AP72" s="240">
        <f t="shared" si="17"/>
        <v>0</v>
      </c>
      <c r="AQ72" s="277"/>
      <c r="AR72" s="277"/>
      <c r="AV72" s="278"/>
      <c r="AW72" s="278"/>
      <c r="AX72" s="278"/>
    </row>
    <row r="73" spans="1:50">
      <c r="A73" s="1" t="s">
        <v>2756</v>
      </c>
      <c r="B73" s="1" t="s">
        <v>3</v>
      </c>
      <c r="C73" t="s">
        <v>3723</v>
      </c>
      <c r="D73" t="s">
        <v>3734</v>
      </c>
      <c r="E73" t="s">
        <v>3893</v>
      </c>
      <c r="F73">
        <v>2014</v>
      </c>
      <c r="G73" t="s">
        <v>3908</v>
      </c>
      <c r="H73">
        <v>513100</v>
      </c>
      <c r="I73">
        <v>9675</v>
      </c>
      <c r="J73">
        <v>989.23</v>
      </c>
      <c r="K73">
        <v>0</v>
      </c>
      <c r="L73">
        <v>0</v>
      </c>
      <c r="M73">
        <v>2409.19</v>
      </c>
      <c r="N73">
        <v>0</v>
      </c>
      <c r="O73">
        <v>0</v>
      </c>
      <c r="P73">
        <v>145.91999999999999</v>
      </c>
      <c r="Q73">
        <v>-13219.34</v>
      </c>
      <c r="R73">
        <v>0</v>
      </c>
      <c r="S73">
        <v>0</v>
      </c>
      <c r="T73">
        <v>0</v>
      </c>
      <c r="U73" s="8">
        <v>0</v>
      </c>
      <c r="V73" s="243" t="str">
        <f t="shared" si="10"/>
        <v>513</v>
      </c>
      <c r="W73" s="240">
        <f t="shared" si="11"/>
        <v>-10664.23</v>
      </c>
      <c r="X73" s="243">
        <f t="shared" si="12"/>
        <v>0</v>
      </c>
      <c r="Y73" s="255">
        <f>$W73*SUMIF('KU-LGE Rating'!$R:$R,$D73,'KU-LGE Rating'!F:F)</f>
        <v>0</v>
      </c>
      <c r="Z73" s="256">
        <f>$W73*SUMIF('KU-LGE Rating'!$R:$R,$D73,'KU-LGE Rating'!G:G)</f>
        <v>-10664.23</v>
      </c>
      <c r="AA73" s="257">
        <f t="shared" si="9"/>
        <v>-10664.23</v>
      </c>
      <c r="AB73" s="255">
        <f>$X73*SUMIF('KU-LGE Rating'!$R:$R,$D73,'KU-LGE Rating'!F:F)</f>
        <v>0</v>
      </c>
      <c r="AC73" s="256">
        <f>$X73*SUMIF('KU-LGE Rating'!$R:$R,$D73,'KU-LGE Rating'!G:G)</f>
        <v>0</v>
      </c>
      <c r="AD73" s="257">
        <f t="shared" si="13"/>
        <v>0</v>
      </c>
      <c r="AE73" s="274">
        <f>IF($F73=AE$1,$U73,0)*SUMIF('KU-LGE Rating'!$R:$R,$D73,'KU-LGE Rating'!$F:$F)</f>
        <v>0</v>
      </c>
      <c r="AF73" s="274">
        <f>IF($F73=AE$1,$U73,0)*SUMIF('KU-LGE Rating'!$R:$R,$D73,'KU-LGE Rating'!$G:$G)</f>
        <v>0</v>
      </c>
      <c r="AG73" s="240">
        <f t="shared" si="14"/>
        <v>0</v>
      </c>
      <c r="AH73" s="256">
        <f>IF($F73=AH$1,$U73,0)*SUMIF('KU-LGE Rating'!$R:$R,$D73,'KU-LGE Rating'!$F:$F)</f>
        <v>0</v>
      </c>
      <c r="AI73" s="256">
        <f>IF($F73=AH$1,$U73,0)*SUMIF('KU-LGE Rating'!$R:$R,$D73,'KU-LGE Rating'!$G:$G)</f>
        <v>0</v>
      </c>
      <c r="AJ73" s="240">
        <f t="shared" si="15"/>
        <v>0</v>
      </c>
      <c r="AK73" s="256">
        <f>IF($F73=AK$1,$U73,0)*SUMIF('KU-LGE Rating'!$R:$R,$D73,'KU-LGE Rating'!$F:$F)</f>
        <v>0</v>
      </c>
      <c r="AL73" s="256">
        <f>IF($F73=AK$1,$U73,0)*SUMIF('KU-LGE Rating'!$R:$R,$D73,'KU-LGE Rating'!$G:$G)</f>
        <v>0</v>
      </c>
      <c r="AM73" s="240">
        <f t="shared" si="16"/>
        <v>0</v>
      </c>
      <c r="AN73" s="256">
        <f>IF($F73=AN$1,$U73,0)*SUMIF('KU-LGE Rating'!$R:$R,$D73,'KU-LGE Rating'!$F:$F)</f>
        <v>0</v>
      </c>
      <c r="AO73" s="256">
        <f>IF($F73=AN$1,$U73,0)*SUMIF('KU-LGE Rating'!$R:$R,$D73,'KU-LGE Rating'!$G:$G)</f>
        <v>0</v>
      </c>
      <c r="AP73" s="240">
        <f t="shared" si="17"/>
        <v>0</v>
      </c>
      <c r="AQ73" s="277"/>
      <c r="AR73" s="277"/>
      <c r="AV73" s="278"/>
      <c r="AW73" s="278"/>
      <c r="AX73" s="278"/>
    </row>
    <row r="74" spans="1:50">
      <c r="A74" s="1" t="s">
        <v>2756</v>
      </c>
      <c r="B74" s="1" t="s">
        <v>3</v>
      </c>
      <c r="C74" t="s">
        <v>3723</v>
      </c>
      <c r="D74" t="s">
        <v>3734</v>
      </c>
      <c r="E74" t="s">
        <v>3893</v>
      </c>
      <c r="F74">
        <v>2015</v>
      </c>
      <c r="G74" t="s">
        <v>3908</v>
      </c>
      <c r="H74">
        <v>512100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3264000</v>
      </c>
      <c r="S74">
        <v>0</v>
      </c>
      <c r="T74">
        <v>0</v>
      </c>
      <c r="U74" s="8">
        <v>3264000</v>
      </c>
      <c r="V74" s="243" t="str">
        <f t="shared" si="10"/>
        <v>512</v>
      </c>
      <c r="W74" s="240">
        <f t="shared" si="11"/>
        <v>0</v>
      </c>
      <c r="X74" s="243">
        <f t="shared" si="12"/>
        <v>3264000</v>
      </c>
      <c r="Y74" s="255">
        <f>$W74*SUMIF('KU-LGE Rating'!$R:$R,$D74,'KU-LGE Rating'!F:F)</f>
        <v>0</v>
      </c>
      <c r="Z74" s="256">
        <f>$W74*SUMIF('KU-LGE Rating'!$R:$R,$D74,'KU-LGE Rating'!G:G)</f>
        <v>0</v>
      </c>
      <c r="AA74" s="257">
        <f t="shared" si="9"/>
        <v>0</v>
      </c>
      <c r="AB74" s="255">
        <f>$X74*SUMIF('KU-LGE Rating'!$R:$R,$D74,'KU-LGE Rating'!F:F)</f>
        <v>0</v>
      </c>
      <c r="AC74" s="256">
        <f>$X74*SUMIF('KU-LGE Rating'!$R:$R,$D74,'KU-LGE Rating'!G:G)</f>
        <v>3264000</v>
      </c>
      <c r="AD74" s="257">
        <f t="shared" si="13"/>
        <v>3264000</v>
      </c>
      <c r="AE74" s="274">
        <f>IF($F74=AE$1,$U74,0)*SUMIF('KU-LGE Rating'!$R:$R,$D74,'KU-LGE Rating'!$F:$F)</f>
        <v>0</v>
      </c>
      <c r="AF74" s="274">
        <f>IF($F74=AE$1,$U74,0)*SUMIF('KU-LGE Rating'!$R:$R,$D74,'KU-LGE Rating'!$G:$G)</f>
        <v>0</v>
      </c>
      <c r="AG74" s="240">
        <f t="shared" si="14"/>
        <v>0</v>
      </c>
      <c r="AH74" s="256">
        <f>IF($F74=AH$1,$U74,0)*SUMIF('KU-LGE Rating'!$R:$R,$D74,'KU-LGE Rating'!$F:$F)</f>
        <v>0</v>
      </c>
      <c r="AI74" s="256">
        <f>IF($F74=AH$1,$U74,0)*SUMIF('KU-LGE Rating'!$R:$R,$D74,'KU-LGE Rating'!$G:$G)</f>
        <v>3264000</v>
      </c>
      <c r="AJ74" s="240">
        <f t="shared" si="15"/>
        <v>3264000</v>
      </c>
      <c r="AK74" s="256">
        <f>IF($F74=AK$1,$U74,0)*SUMIF('KU-LGE Rating'!$R:$R,$D74,'KU-LGE Rating'!$F:$F)</f>
        <v>0</v>
      </c>
      <c r="AL74" s="256">
        <f>IF($F74=AK$1,$U74,0)*SUMIF('KU-LGE Rating'!$R:$R,$D74,'KU-LGE Rating'!$G:$G)</f>
        <v>0</v>
      </c>
      <c r="AM74" s="240">
        <f t="shared" si="16"/>
        <v>0</v>
      </c>
      <c r="AN74" s="256">
        <f>IF($F74=AN$1,$U74,0)*SUMIF('KU-LGE Rating'!$R:$R,$D74,'KU-LGE Rating'!$F:$F)</f>
        <v>0</v>
      </c>
      <c r="AO74" s="256">
        <f>IF($F74=AN$1,$U74,0)*SUMIF('KU-LGE Rating'!$R:$R,$D74,'KU-LGE Rating'!$G:$G)</f>
        <v>0</v>
      </c>
      <c r="AP74" s="240">
        <f t="shared" si="17"/>
        <v>0</v>
      </c>
      <c r="AQ74" s="277"/>
      <c r="AR74" s="277"/>
      <c r="AV74" s="278"/>
      <c r="AW74" s="278"/>
      <c r="AX74" s="278"/>
    </row>
    <row r="75" spans="1:50">
      <c r="A75" s="1" t="s">
        <v>2756</v>
      </c>
      <c r="B75" s="1" t="s">
        <v>3</v>
      </c>
      <c r="C75" t="s">
        <v>3723</v>
      </c>
      <c r="D75" t="s">
        <v>3734</v>
      </c>
      <c r="E75" t="s">
        <v>3893</v>
      </c>
      <c r="F75">
        <v>2015</v>
      </c>
      <c r="G75" t="s">
        <v>3908</v>
      </c>
      <c r="H75">
        <v>513100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750000</v>
      </c>
      <c r="S75">
        <v>0</v>
      </c>
      <c r="T75">
        <v>0</v>
      </c>
      <c r="U75" s="8">
        <v>750000</v>
      </c>
      <c r="V75" s="243" t="str">
        <f t="shared" si="10"/>
        <v>513</v>
      </c>
      <c r="W75" s="240">
        <f t="shared" si="11"/>
        <v>0</v>
      </c>
      <c r="X75" s="243">
        <f t="shared" si="12"/>
        <v>750000</v>
      </c>
      <c r="Y75" s="255">
        <f>$W75*SUMIF('KU-LGE Rating'!$R:$R,$D75,'KU-LGE Rating'!F:F)</f>
        <v>0</v>
      </c>
      <c r="Z75" s="256">
        <f>$W75*SUMIF('KU-LGE Rating'!$R:$R,$D75,'KU-LGE Rating'!G:G)</f>
        <v>0</v>
      </c>
      <c r="AA75" s="257">
        <f t="shared" si="9"/>
        <v>0</v>
      </c>
      <c r="AB75" s="255">
        <f>$X75*SUMIF('KU-LGE Rating'!$R:$R,$D75,'KU-LGE Rating'!F:F)</f>
        <v>0</v>
      </c>
      <c r="AC75" s="256">
        <f>$X75*SUMIF('KU-LGE Rating'!$R:$R,$D75,'KU-LGE Rating'!G:G)</f>
        <v>750000</v>
      </c>
      <c r="AD75" s="257">
        <f t="shared" si="13"/>
        <v>750000</v>
      </c>
      <c r="AE75" s="274">
        <f>IF($F75=AE$1,$U75,0)*SUMIF('KU-LGE Rating'!$R:$R,$D75,'KU-LGE Rating'!$F:$F)</f>
        <v>0</v>
      </c>
      <c r="AF75" s="274">
        <f>IF($F75=AE$1,$U75,0)*SUMIF('KU-LGE Rating'!$R:$R,$D75,'KU-LGE Rating'!$G:$G)</f>
        <v>0</v>
      </c>
      <c r="AG75" s="240">
        <f t="shared" si="14"/>
        <v>0</v>
      </c>
      <c r="AH75" s="256">
        <f>IF($F75=AH$1,$U75,0)*SUMIF('KU-LGE Rating'!$R:$R,$D75,'KU-LGE Rating'!$F:$F)</f>
        <v>0</v>
      </c>
      <c r="AI75" s="256">
        <f>IF($F75=AH$1,$U75,0)*SUMIF('KU-LGE Rating'!$R:$R,$D75,'KU-LGE Rating'!$G:$G)</f>
        <v>750000</v>
      </c>
      <c r="AJ75" s="240">
        <f t="shared" si="15"/>
        <v>750000</v>
      </c>
      <c r="AK75" s="256">
        <f>IF($F75=AK$1,$U75,0)*SUMIF('KU-LGE Rating'!$R:$R,$D75,'KU-LGE Rating'!$F:$F)</f>
        <v>0</v>
      </c>
      <c r="AL75" s="256">
        <f>IF($F75=AK$1,$U75,0)*SUMIF('KU-LGE Rating'!$R:$R,$D75,'KU-LGE Rating'!$G:$G)</f>
        <v>0</v>
      </c>
      <c r="AM75" s="240">
        <f t="shared" si="16"/>
        <v>0</v>
      </c>
      <c r="AN75" s="256">
        <f>IF($F75=AN$1,$U75,0)*SUMIF('KU-LGE Rating'!$R:$R,$D75,'KU-LGE Rating'!$F:$F)</f>
        <v>0</v>
      </c>
      <c r="AO75" s="256">
        <f>IF($F75=AN$1,$U75,0)*SUMIF('KU-LGE Rating'!$R:$R,$D75,'KU-LGE Rating'!$G:$G)</f>
        <v>0</v>
      </c>
      <c r="AP75" s="240">
        <f t="shared" si="17"/>
        <v>0</v>
      </c>
      <c r="AQ75" s="277"/>
      <c r="AR75" s="277"/>
      <c r="AV75" s="278"/>
      <c r="AW75" s="278"/>
      <c r="AX75" s="278"/>
    </row>
    <row r="76" spans="1:50">
      <c r="A76" s="1" t="s">
        <v>2756</v>
      </c>
      <c r="B76" s="1" t="s">
        <v>3</v>
      </c>
      <c r="C76" t="s">
        <v>3723</v>
      </c>
      <c r="D76" t="s">
        <v>3734</v>
      </c>
      <c r="E76" t="s">
        <v>3893</v>
      </c>
      <c r="F76">
        <v>2016</v>
      </c>
      <c r="G76" t="s">
        <v>3908</v>
      </c>
      <c r="H76">
        <v>512100</v>
      </c>
      <c r="I76">
        <v>0</v>
      </c>
      <c r="J76">
        <v>0</v>
      </c>
      <c r="K76">
        <v>0</v>
      </c>
      <c r="L76">
        <v>226000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8">
        <v>226000</v>
      </c>
      <c r="V76" s="243" t="str">
        <f t="shared" si="10"/>
        <v>512</v>
      </c>
      <c r="W76" s="240">
        <f t="shared" si="11"/>
        <v>0</v>
      </c>
      <c r="X76" s="243">
        <f t="shared" si="12"/>
        <v>226000</v>
      </c>
      <c r="Y76" s="255">
        <f>$W76*SUMIF('KU-LGE Rating'!$R:$R,$D76,'KU-LGE Rating'!F:F)</f>
        <v>0</v>
      </c>
      <c r="Z76" s="256">
        <f>$W76*SUMIF('KU-LGE Rating'!$R:$R,$D76,'KU-LGE Rating'!G:G)</f>
        <v>0</v>
      </c>
      <c r="AA76" s="257">
        <f t="shared" si="9"/>
        <v>0</v>
      </c>
      <c r="AB76" s="255">
        <f>$X76*SUMIF('KU-LGE Rating'!$R:$R,$D76,'KU-LGE Rating'!F:F)</f>
        <v>0</v>
      </c>
      <c r="AC76" s="256">
        <f>$X76*SUMIF('KU-LGE Rating'!$R:$R,$D76,'KU-LGE Rating'!G:G)</f>
        <v>226000</v>
      </c>
      <c r="AD76" s="257">
        <f t="shared" si="13"/>
        <v>226000</v>
      </c>
      <c r="AE76" s="274">
        <f>IF($F76=AE$1,$U76,0)*SUMIF('KU-LGE Rating'!$R:$R,$D76,'KU-LGE Rating'!$F:$F)</f>
        <v>0</v>
      </c>
      <c r="AF76" s="274">
        <f>IF($F76=AE$1,$U76,0)*SUMIF('KU-LGE Rating'!$R:$R,$D76,'KU-LGE Rating'!$G:$G)</f>
        <v>0</v>
      </c>
      <c r="AG76" s="240">
        <f t="shared" si="14"/>
        <v>0</v>
      </c>
      <c r="AH76" s="256">
        <f>IF($F76=AH$1,$U76,0)*SUMIF('KU-LGE Rating'!$R:$R,$D76,'KU-LGE Rating'!$F:$F)</f>
        <v>0</v>
      </c>
      <c r="AI76" s="256">
        <f>IF($F76=AH$1,$U76,0)*SUMIF('KU-LGE Rating'!$R:$R,$D76,'KU-LGE Rating'!$G:$G)</f>
        <v>0</v>
      </c>
      <c r="AJ76" s="240">
        <f t="shared" si="15"/>
        <v>0</v>
      </c>
      <c r="AK76" s="256">
        <f>IF($F76=AK$1,$U76,0)*SUMIF('KU-LGE Rating'!$R:$R,$D76,'KU-LGE Rating'!$F:$F)</f>
        <v>0</v>
      </c>
      <c r="AL76" s="256">
        <f>IF($F76=AK$1,$U76,0)*SUMIF('KU-LGE Rating'!$R:$R,$D76,'KU-LGE Rating'!$G:$G)</f>
        <v>226000</v>
      </c>
      <c r="AM76" s="240">
        <f t="shared" si="16"/>
        <v>226000</v>
      </c>
      <c r="AN76" s="256">
        <f>IF($F76=AN$1,$U76,0)*SUMIF('KU-LGE Rating'!$R:$R,$D76,'KU-LGE Rating'!$F:$F)</f>
        <v>0</v>
      </c>
      <c r="AO76" s="256">
        <f>IF($F76=AN$1,$U76,0)*SUMIF('KU-LGE Rating'!$R:$R,$D76,'KU-LGE Rating'!$G:$G)</f>
        <v>0</v>
      </c>
      <c r="AP76" s="240">
        <f t="shared" si="17"/>
        <v>0</v>
      </c>
      <c r="AQ76" s="277"/>
      <c r="AR76" s="277"/>
      <c r="AV76" s="278"/>
      <c r="AW76" s="278"/>
      <c r="AX76" s="278"/>
    </row>
    <row r="77" spans="1:50">
      <c r="A77" s="1" t="s">
        <v>2756</v>
      </c>
      <c r="B77" s="1" t="s">
        <v>3</v>
      </c>
      <c r="C77" t="s">
        <v>3723</v>
      </c>
      <c r="D77" t="s">
        <v>3734</v>
      </c>
      <c r="E77" t="s">
        <v>3893</v>
      </c>
      <c r="F77">
        <v>2017</v>
      </c>
      <c r="G77" t="s">
        <v>3908</v>
      </c>
      <c r="H77">
        <v>512100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8000000</v>
      </c>
      <c r="S77">
        <v>0</v>
      </c>
      <c r="T77">
        <v>0</v>
      </c>
      <c r="U77" s="8">
        <v>8000000</v>
      </c>
      <c r="V77" s="243" t="str">
        <f t="shared" si="10"/>
        <v>512</v>
      </c>
      <c r="W77" s="240">
        <f t="shared" si="11"/>
        <v>0</v>
      </c>
      <c r="X77" s="243">
        <f t="shared" si="12"/>
        <v>0</v>
      </c>
      <c r="Y77" s="255">
        <f>$W77*SUMIF('KU-LGE Rating'!$R:$R,$D77,'KU-LGE Rating'!F:F)</f>
        <v>0</v>
      </c>
      <c r="Z77" s="256">
        <f>$W77*SUMIF('KU-LGE Rating'!$R:$R,$D77,'KU-LGE Rating'!G:G)</f>
        <v>0</v>
      </c>
      <c r="AA77" s="257">
        <f t="shared" si="9"/>
        <v>0</v>
      </c>
      <c r="AB77" s="255">
        <f>$X77*SUMIF('KU-LGE Rating'!$R:$R,$D77,'KU-LGE Rating'!F:F)</f>
        <v>0</v>
      </c>
      <c r="AC77" s="256">
        <f>$X77*SUMIF('KU-LGE Rating'!$R:$R,$D77,'KU-LGE Rating'!G:G)</f>
        <v>0</v>
      </c>
      <c r="AD77" s="257">
        <f t="shared" si="13"/>
        <v>0</v>
      </c>
      <c r="AE77" s="274">
        <f>IF($F77=AE$1,$U77,0)*SUMIF('KU-LGE Rating'!$R:$R,$D77,'KU-LGE Rating'!$F:$F)</f>
        <v>0</v>
      </c>
      <c r="AF77" s="274">
        <f>IF($F77=AE$1,$U77,0)*SUMIF('KU-LGE Rating'!$R:$R,$D77,'KU-LGE Rating'!$G:$G)</f>
        <v>0</v>
      </c>
      <c r="AG77" s="240">
        <f t="shared" si="14"/>
        <v>0</v>
      </c>
      <c r="AH77" s="256">
        <f>IF($F77=AH$1,$U77,0)*SUMIF('KU-LGE Rating'!$R:$R,$D77,'KU-LGE Rating'!$F:$F)</f>
        <v>0</v>
      </c>
      <c r="AI77" s="256">
        <f>IF($F77=AH$1,$U77,0)*SUMIF('KU-LGE Rating'!$R:$R,$D77,'KU-LGE Rating'!$G:$G)</f>
        <v>0</v>
      </c>
      <c r="AJ77" s="240">
        <f t="shared" si="15"/>
        <v>0</v>
      </c>
      <c r="AK77" s="256">
        <f>IF($F77=AK$1,$U77,0)*SUMIF('KU-LGE Rating'!$R:$R,$D77,'KU-LGE Rating'!$F:$F)</f>
        <v>0</v>
      </c>
      <c r="AL77" s="256">
        <f>IF($F77=AK$1,$U77,0)*SUMIF('KU-LGE Rating'!$R:$R,$D77,'KU-LGE Rating'!$G:$G)</f>
        <v>0</v>
      </c>
      <c r="AM77" s="240">
        <f t="shared" si="16"/>
        <v>0</v>
      </c>
      <c r="AN77" s="256">
        <f>IF($F77=AN$1,$U77,0)*SUMIF('KU-LGE Rating'!$R:$R,$D77,'KU-LGE Rating'!$F:$F)</f>
        <v>0</v>
      </c>
      <c r="AO77" s="256">
        <f>IF($F77=AN$1,$U77,0)*SUMIF('KU-LGE Rating'!$R:$R,$D77,'KU-LGE Rating'!$G:$G)</f>
        <v>8000000</v>
      </c>
      <c r="AP77" s="240">
        <f t="shared" si="17"/>
        <v>8000000</v>
      </c>
      <c r="AQ77" s="277"/>
      <c r="AR77" s="277"/>
      <c r="AV77" s="278"/>
      <c r="AW77" s="278"/>
      <c r="AX77" s="278"/>
    </row>
    <row r="78" spans="1:50">
      <c r="A78" s="1" t="s">
        <v>2756</v>
      </c>
      <c r="B78" s="1" t="s">
        <v>3</v>
      </c>
      <c r="C78" t="s">
        <v>3723</v>
      </c>
      <c r="D78" t="s">
        <v>3734</v>
      </c>
      <c r="E78" t="s">
        <v>3893</v>
      </c>
      <c r="F78">
        <v>2017</v>
      </c>
      <c r="G78" t="s">
        <v>3908</v>
      </c>
      <c r="H78">
        <v>513100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852954</v>
      </c>
      <c r="S78">
        <v>0</v>
      </c>
      <c r="T78">
        <v>0</v>
      </c>
      <c r="U78" s="8">
        <v>852954</v>
      </c>
      <c r="V78" s="243" t="str">
        <f t="shared" si="10"/>
        <v>513</v>
      </c>
      <c r="W78" s="240">
        <f t="shared" si="11"/>
        <v>0</v>
      </c>
      <c r="X78" s="243">
        <f t="shared" si="12"/>
        <v>0</v>
      </c>
      <c r="Y78" s="255">
        <f>$W78*SUMIF('KU-LGE Rating'!$R:$R,$D78,'KU-LGE Rating'!F:F)</f>
        <v>0</v>
      </c>
      <c r="Z78" s="256">
        <f>$W78*SUMIF('KU-LGE Rating'!$R:$R,$D78,'KU-LGE Rating'!G:G)</f>
        <v>0</v>
      </c>
      <c r="AA78" s="257">
        <f t="shared" si="9"/>
        <v>0</v>
      </c>
      <c r="AB78" s="255">
        <f>$X78*SUMIF('KU-LGE Rating'!$R:$R,$D78,'KU-LGE Rating'!F:F)</f>
        <v>0</v>
      </c>
      <c r="AC78" s="256">
        <f>$X78*SUMIF('KU-LGE Rating'!$R:$R,$D78,'KU-LGE Rating'!G:G)</f>
        <v>0</v>
      </c>
      <c r="AD78" s="257">
        <f t="shared" si="13"/>
        <v>0</v>
      </c>
      <c r="AE78" s="274">
        <f>IF($F78=AE$1,$U78,0)*SUMIF('KU-LGE Rating'!$R:$R,$D78,'KU-LGE Rating'!$F:$F)</f>
        <v>0</v>
      </c>
      <c r="AF78" s="274">
        <f>IF($F78=AE$1,$U78,0)*SUMIF('KU-LGE Rating'!$R:$R,$D78,'KU-LGE Rating'!$G:$G)</f>
        <v>0</v>
      </c>
      <c r="AG78" s="240">
        <f t="shared" si="14"/>
        <v>0</v>
      </c>
      <c r="AH78" s="256">
        <f>IF($F78=AH$1,$U78,0)*SUMIF('KU-LGE Rating'!$R:$R,$D78,'KU-LGE Rating'!$F:$F)</f>
        <v>0</v>
      </c>
      <c r="AI78" s="256">
        <f>IF($F78=AH$1,$U78,0)*SUMIF('KU-LGE Rating'!$R:$R,$D78,'KU-LGE Rating'!$G:$G)</f>
        <v>0</v>
      </c>
      <c r="AJ78" s="240">
        <f t="shared" si="15"/>
        <v>0</v>
      </c>
      <c r="AK78" s="256">
        <f>IF($F78=AK$1,$U78,0)*SUMIF('KU-LGE Rating'!$R:$R,$D78,'KU-LGE Rating'!$F:$F)</f>
        <v>0</v>
      </c>
      <c r="AL78" s="256">
        <f>IF($F78=AK$1,$U78,0)*SUMIF('KU-LGE Rating'!$R:$R,$D78,'KU-LGE Rating'!$G:$G)</f>
        <v>0</v>
      </c>
      <c r="AM78" s="240">
        <f t="shared" si="16"/>
        <v>0</v>
      </c>
      <c r="AN78" s="256">
        <f>IF($F78=AN$1,$U78,0)*SUMIF('KU-LGE Rating'!$R:$R,$D78,'KU-LGE Rating'!$F:$F)</f>
        <v>0</v>
      </c>
      <c r="AO78" s="256">
        <f>IF($F78=AN$1,$U78,0)*SUMIF('KU-LGE Rating'!$R:$R,$D78,'KU-LGE Rating'!$G:$G)</f>
        <v>852954</v>
      </c>
      <c r="AP78" s="240">
        <f t="shared" si="17"/>
        <v>852954</v>
      </c>
      <c r="AQ78" s="277"/>
      <c r="AR78" s="277"/>
      <c r="AV78" s="278"/>
      <c r="AW78" s="278"/>
      <c r="AX78" s="278"/>
    </row>
    <row r="79" spans="1:50">
      <c r="A79" s="1" t="s">
        <v>2756</v>
      </c>
      <c r="B79" s="1" t="s">
        <v>3</v>
      </c>
      <c r="C79" t="s">
        <v>3723</v>
      </c>
      <c r="D79" t="s">
        <v>3735</v>
      </c>
      <c r="E79" t="s">
        <v>3893</v>
      </c>
      <c r="F79">
        <v>2014</v>
      </c>
      <c r="G79" t="s">
        <v>3908</v>
      </c>
      <c r="H79">
        <v>553100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21000</v>
      </c>
      <c r="S79">
        <v>0</v>
      </c>
      <c r="T79">
        <v>0</v>
      </c>
      <c r="U79" s="8">
        <v>21000</v>
      </c>
      <c r="V79" s="243" t="str">
        <f t="shared" si="10"/>
        <v>553</v>
      </c>
      <c r="W79" s="240">
        <f t="shared" si="11"/>
        <v>21000</v>
      </c>
      <c r="X79" s="243">
        <f t="shared" si="12"/>
        <v>0</v>
      </c>
      <c r="Y79" s="255">
        <f>$W79*SUMIF('KU-LGE Rating'!$R:$R,$D79,'KU-LGE Rating'!F:F)</f>
        <v>13230</v>
      </c>
      <c r="Z79" s="256">
        <f>$W79*SUMIF('KU-LGE Rating'!$R:$R,$D79,'KU-LGE Rating'!G:G)</f>
        <v>7770</v>
      </c>
      <c r="AA79" s="257">
        <f t="shared" si="9"/>
        <v>21000</v>
      </c>
      <c r="AB79" s="255">
        <f>$X79*SUMIF('KU-LGE Rating'!$R:$R,$D79,'KU-LGE Rating'!F:F)</f>
        <v>0</v>
      </c>
      <c r="AC79" s="256">
        <f>$X79*SUMIF('KU-LGE Rating'!$R:$R,$D79,'KU-LGE Rating'!G:G)</f>
        <v>0</v>
      </c>
      <c r="AD79" s="257">
        <f t="shared" si="13"/>
        <v>0</v>
      </c>
      <c r="AE79" s="274">
        <f>IF($F79=AE$1,$U79,0)*SUMIF('KU-LGE Rating'!$R:$R,$D79,'KU-LGE Rating'!$F:$F)</f>
        <v>13230</v>
      </c>
      <c r="AF79" s="274">
        <f>IF($F79=AE$1,$U79,0)*SUMIF('KU-LGE Rating'!$R:$R,$D79,'KU-LGE Rating'!$G:$G)</f>
        <v>7770</v>
      </c>
      <c r="AG79" s="240">
        <f t="shared" si="14"/>
        <v>21000</v>
      </c>
      <c r="AH79" s="256">
        <f>IF($F79=AH$1,$U79,0)*SUMIF('KU-LGE Rating'!$R:$R,$D79,'KU-LGE Rating'!$F:$F)</f>
        <v>0</v>
      </c>
      <c r="AI79" s="256">
        <f>IF($F79=AH$1,$U79,0)*SUMIF('KU-LGE Rating'!$R:$R,$D79,'KU-LGE Rating'!$G:$G)</f>
        <v>0</v>
      </c>
      <c r="AJ79" s="240">
        <f t="shared" si="15"/>
        <v>0</v>
      </c>
      <c r="AK79" s="256">
        <f>IF($F79=AK$1,$U79,0)*SUMIF('KU-LGE Rating'!$R:$R,$D79,'KU-LGE Rating'!$F:$F)</f>
        <v>0</v>
      </c>
      <c r="AL79" s="256">
        <f>IF($F79=AK$1,$U79,0)*SUMIF('KU-LGE Rating'!$R:$R,$D79,'KU-LGE Rating'!$G:$G)</f>
        <v>0</v>
      </c>
      <c r="AM79" s="240">
        <f t="shared" si="16"/>
        <v>0</v>
      </c>
      <c r="AN79" s="256">
        <f>IF($F79=AN$1,$U79,0)*SUMIF('KU-LGE Rating'!$R:$R,$D79,'KU-LGE Rating'!$F:$F)</f>
        <v>0</v>
      </c>
      <c r="AO79" s="256">
        <f>IF($F79=AN$1,$U79,0)*SUMIF('KU-LGE Rating'!$R:$R,$D79,'KU-LGE Rating'!$G:$G)</f>
        <v>0</v>
      </c>
      <c r="AP79" s="240">
        <f t="shared" si="17"/>
        <v>0</v>
      </c>
      <c r="AQ79" s="277"/>
      <c r="AR79" s="277"/>
      <c r="AV79" s="278"/>
      <c r="AW79" s="278"/>
      <c r="AX79" s="278"/>
    </row>
    <row r="80" spans="1:50">
      <c r="A80" s="1" t="s">
        <v>2756</v>
      </c>
      <c r="B80" s="1" t="s">
        <v>3</v>
      </c>
      <c r="C80" t="s">
        <v>3723</v>
      </c>
      <c r="D80" t="s">
        <v>3735</v>
      </c>
      <c r="E80" t="s">
        <v>3893</v>
      </c>
      <c r="F80">
        <v>2015</v>
      </c>
      <c r="G80" t="s">
        <v>3908</v>
      </c>
      <c r="H80">
        <v>553100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15300</v>
      </c>
      <c r="S80">
        <v>0</v>
      </c>
      <c r="T80">
        <v>0</v>
      </c>
      <c r="U80" s="8">
        <v>15300</v>
      </c>
      <c r="V80" s="243" t="str">
        <f t="shared" si="10"/>
        <v>553</v>
      </c>
      <c r="W80" s="240">
        <f t="shared" si="11"/>
        <v>0</v>
      </c>
      <c r="X80" s="243">
        <f t="shared" si="12"/>
        <v>15300</v>
      </c>
      <c r="Y80" s="255">
        <f>$W80*SUMIF('KU-LGE Rating'!$R:$R,$D80,'KU-LGE Rating'!F:F)</f>
        <v>0</v>
      </c>
      <c r="Z80" s="256">
        <f>$W80*SUMIF('KU-LGE Rating'!$R:$R,$D80,'KU-LGE Rating'!G:G)</f>
        <v>0</v>
      </c>
      <c r="AA80" s="257">
        <f t="shared" si="9"/>
        <v>0</v>
      </c>
      <c r="AB80" s="255">
        <f>$X80*SUMIF('KU-LGE Rating'!$R:$R,$D80,'KU-LGE Rating'!F:F)</f>
        <v>9639</v>
      </c>
      <c r="AC80" s="256">
        <f>$X80*SUMIF('KU-LGE Rating'!$R:$R,$D80,'KU-LGE Rating'!G:G)</f>
        <v>5661</v>
      </c>
      <c r="AD80" s="257">
        <f t="shared" si="13"/>
        <v>15300</v>
      </c>
      <c r="AE80" s="274">
        <f>IF($F80=AE$1,$U80,0)*SUMIF('KU-LGE Rating'!$R:$R,$D80,'KU-LGE Rating'!$F:$F)</f>
        <v>0</v>
      </c>
      <c r="AF80" s="274">
        <f>IF($F80=AE$1,$U80,0)*SUMIF('KU-LGE Rating'!$R:$R,$D80,'KU-LGE Rating'!$G:$G)</f>
        <v>0</v>
      </c>
      <c r="AG80" s="240">
        <f t="shared" si="14"/>
        <v>0</v>
      </c>
      <c r="AH80" s="256">
        <f>IF($F80=AH$1,$U80,0)*SUMIF('KU-LGE Rating'!$R:$R,$D80,'KU-LGE Rating'!$F:$F)</f>
        <v>9639</v>
      </c>
      <c r="AI80" s="256">
        <f>IF($F80=AH$1,$U80,0)*SUMIF('KU-LGE Rating'!$R:$R,$D80,'KU-LGE Rating'!$G:$G)</f>
        <v>5661</v>
      </c>
      <c r="AJ80" s="240">
        <f t="shared" si="15"/>
        <v>15300</v>
      </c>
      <c r="AK80" s="256">
        <f>IF($F80=AK$1,$U80,0)*SUMIF('KU-LGE Rating'!$R:$R,$D80,'KU-LGE Rating'!$F:$F)</f>
        <v>0</v>
      </c>
      <c r="AL80" s="256">
        <f>IF($F80=AK$1,$U80,0)*SUMIF('KU-LGE Rating'!$R:$R,$D80,'KU-LGE Rating'!$G:$G)</f>
        <v>0</v>
      </c>
      <c r="AM80" s="240">
        <f t="shared" si="16"/>
        <v>0</v>
      </c>
      <c r="AN80" s="256">
        <f>IF($F80=AN$1,$U80,0)*SUMIF('KU-LGE Rating'!$R:$R,$D80,'KU-LGE Rating'!$F:$F)</f>
        <v>0</v>
      </c>
      <c r="AO80" s="256">
        <f>IF($F80=AN$1,$U80,0)*SUMIF('KU-LGE Rating'!$R:$R,$D80,'KU-LGE Rating'!$G:$G)</f>
        <v>0</v>
      </c>
      <c r="AP80" s="240">
        <f t="shared" si="17"/>
        <v>0</v>
      </c>
      <c r="AQ80" s="277"/>
      <c r="AR80" s="277"/>
      <c r="AV80" s="278"/>
      <c r="AW80" s="278"/>
      <c r="AX80" s="278"/>
    </row>
    <row r="81" spans="1:50">
      <c r="A81" s="1" t="s">
        <v>2756</v>
      </c>
      <c r="B81" s="1" t="s">
        <v>3</v>
      </c>
      <c r="C81" t="s">
        <v>3723</v>
      </c>
      <c r="D81" t="s">
        <v>3735</v>
      </c>
      <c r="E81" t="s">
        <v>3893</v>
      </c>
      <c r="F81">
        <v>2016</v>
      </c>
      <c r="G81" t="s">
        <v>3908</v>
      </c>
      <c r="H81">
        <v>553100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21848.400000000001</v>
      </c>
      <c r="S81">
        <v>0</v>
      </c>
      <c r="T81">
        <v>0</v>
      </c>
      <c r="U81" s="8">
        <v>21848.400000000001</v>
      </c>
      <c r="V81" s="243" t="str">
        <f t="shared" si="10"/>
        <v>553</v>
      </c>
      <c r="W81" s="240">
        <f t="shared" si="11"/>
        <v>0</v>
      </c>
      <c r="X81" s="243">
        <f t="shared" si="12"/>
        <v>0</v>
      </c>
      <c r="Y81" s="255">
        <f>$W81*SUMIF('KU-LGE Rating'!$R:$R,$D81,'KU-LGE Rating'!F:F)</f>
        <v>0</v>
      </c>
      <c r="Z81" s="256">
        <f>$W81*SUMIF('KU-LGE Rating'!$R:$R,$D81,'KU-LGE Rating'!G:G)</f>
        <v>0</v>
      </c>
      <c r="AA81" s="257">
        <f t="shared" si="9"/>
        <v>0</v>
      </c>
      <c r="AB81" s="255">
        <f>$X81*SUMIF('KU-LGE Rating'!$R:$R,$D81,'KU-LGE Rating'!F:F)</f>
        <v>0</v>
      </c>
      <c r="AC81" s="256">
        <f>$X81*SUMIF('KU-LGE Rating'!$R:$R,$D81,'KU-LGE Rating'!G:G)</f>
        <v>0</v>
      </c>
      <c r="AD81" s="257">
        <f t="shared" si="13"/>
        <v>0</v>
      </c>
      <c r="AE81" s="274">
        <f>IF($F81=AE$1,$U81,0)*SUMIF('KU-LGE Rating'!$R:$R,$D81,'KU-LGE Rating'!$F:$F)</f>
        <v>0</v>
      </c>
      <c r="AF81" s="274">
        <f>IF($F81=AE$1,$U81,0)*SUMIF('KU-LGE Rating'!$R:$R,$D81,'KU-LGE Rating'!$G:$G)</f>
        <v>0</v>
      </c>
      <c r="AG81" s="240">
        <f t="shared" si="14"/>
        <v>0</v>
      </c>
      <c r="AH81" s="256">
        <f>IF($F81=AH$1,$U81,0)*SUMIF('KU-LGE Rating'!$R:$R,$D81,'KU-LGE Rating'!$F:$F)</f>
        <v>0</v>
      </c>
      <c r="AI81" s="256">
        <f>IF($F81=AH$1,$U81,0)*SUMIF('KU-LGE Rating'!$R:$R,$D81,'KU-LGE Rating'!$G:$G)</f>
        <v>0</v>
      </c>
      <c r="AJ81" s="240">
        <f t="shared" si="15"/>
        <v>0</v>
      </c>
      <c r="AK81" s="256">
        <f>IF($F81=AK$1,$U81,0)*SUMIF('KU-LGE Rating'!$R:$R,$D81,'KU-LGE Rating'!$F:$F)</f>
        <v>13764.492</v>
      </c>
      <c r="AL81" s="256">
        <f>IF($F81=AK$1,$U81,0)*SUMIF('KU-LGE Rating'!$R:$R,$D81,'KU-LGE Rating'!$G:$G)</f>
        <v>8083.9080000000004</v>
      </c>
      <c r="AM81" s="240">
        <f t="shared" si="16"/>
        <v>21848.400000000001</v>
      </c>
      <c r="AN81" s="256">
        <f>IF($F81=AN$1,$U81,0)*SUMIF('KU-LGE Rating'!$R:$R,$D81,'KU-LGE Rating'!$F:$F)</f>
        <v>0</v>
      </c>
      <c r="AO81" s="256">
        <f>IF($F81=AN$1,$U81,0)*SUMIF('KU-LGE Rating'!$R:$R,$D81,'KU-LGE Rating'!$G:$G)</f>
        <v>0</v>
      </c>
      <c r="AP81" s="240">
        <f t="shared" si="17"/>
        <v>0</v>
      </c>
      <c r="AQ81" s="277"/>
      <c r="AR81" s="277"/>
      <c r="AV81" s="278"/>
      <c r="AW81" s="278"/>
      <c r="AX81" s="278"/>
    </row>
    <row r="82" spans="1:50">
      <c r="A82" s="1" t="s">
        <v>2756</v>
      </c>
      <c r="B82" s="1" t="s">
        <v>3</v>
      </c>
      <c r="C82" t="s">
        <v>3723</v>
      </c>
      <c r="D82" t="s">
        <v>3735</v>
      </c>
      <c r="E82" t="s">
        <v>3893</v>
      </c>
      <c r="F82">
        <v>2017</v>
      </c>
      <c r="G82" t="s">
        <v>3908</v>
      </c>
      <c r="H82">
        <v>553100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15918.12</v>
      </c>
      <c r="S82">
        <v>0</v>
      </c>
      <c r="T82">
        <v>0</v>
      </c>
      <c r="U82" s="8">
        <v>15918.12</v>
      </c>
      <c r="V82" s="243" t="str">
        <f t="shared" si="10"/>
        <v>553</v>
      </c>
      <c r="W82" s="240">
        <f t="shared" si="11"/>
        <v>0</v>
      </c>
      <c r="X82" s="243">
        <f t="shared" si="12"/>
        <v>0</v>
      </c>
      <c r="Y82" s="255">
        <f>$W82*SUMIF('KU-LGE Rating'!$R:$R,$D82,'KU-LGE Rating'!F:F)</f>
        <v>0</v>
      </c>
      <c r="Z82" s="256">
        <f>$W82*SUMIF('KU-LGE Rating'!$R:$R,$D82,'KU-LGE Rating'!G:G)</f>
        <v>0</v>
      </c>
      <c r="AA82" s="257">
        <f t="shared" si="9"/>
        <v>0</v>
      </c>
      <c r="AB82" s="255">
        <f>$X82*SUMIF('KU-LGE Rating'!$R:$R,$D82,'KU-LGE Rating'!F:F)</f>
        <v>0</v>
      </c>
      <c r="AC82" s="256">
        <f>$X82*SUMIF('KU-LGE Rating'!$R:$R,$D82,'KU-LGE Rating'!G:G)</f>
        <v>0</v>
      </c>
      <c r="AD82" s="257">
        <f t="shared" si="13"/>
        <v>0</v>
      </c>
      <c r="AE82" s="274">
        <f>IF($F82=AE$1,$U82,0)*SUMIF('KU-LGE Rating'!$R:$R,$D82,'KU-LGE Rating'!$F:$F)</f>
        <v>0</v>
      </c>
      <c r="AF82" s="274">
        <f>IF($F82=AE$1,$U82,0)*SUMIF('KU-LGE Rating'!$R:$R,$D82,'KU-LGE Rating'!$G:$G)</f>
        <v>0</v>
      </c>
      <c r="AG82" s="240">
        <f t="shared" si="14"/>
        <v>0</v>
      </c>
      <c r="AH82" s="256">
        <f>IF($F82=AH$1,$U82,0)*SUMIF('KU-LGE Rating'!$R:$R,$D82,'KU-LGE Rating'!$F:$F)</f>
        <v>0</v>
      </c>
      <c r="AI82" s="256">
        <f>IF($F82=AH$1,$U82,0)*SUMIF('KU-LGE Rating'!$R:$R,$D82,'KU-LGE Rating'!$G:$G)</f>
        <v>0</v>
      </c>
      <c r="AJ82" s="240">
        <f t="shared" si="15"/>
        <v>0</v>
      </c>
      <c r="AK82" s="256">
        <f>IF($F82=AK$1,$U82,0)*SUMIF('KU-LGE Rating'!$R:$R,$D82,'KU-LGE Rating'!$F:$F)</f>
        <v>0</v>
      </c>
      <c r="AL82" s="256">
        <f>IF($F82=AK$1,$U82,0)*SUMIF('KU-LGE Rating'!$R:$R,$D82,'KU-LGE Rating'!$G:$G)</f>
        <v>0</v>
      </c>
      <c r="AM82" s="240">
        <f t="shared" si="16"/>
        <v>0</v>
      </c>
      <c r="AN82" s="256">
        <f>IF($F82=AN$1,$U82,0)*SUMIF('KU-LGE Rating'!$R:$R,$D82,'KU-LGE Rating'!$F:$F)</f>
        <v>10028.4156</v>
      </c>
      <c r="AO82" s="256">
        <f>IF($F82=AN$1,$U82,0)*SUMIF('KU-LGE Rating'!$R:$R,$D82,'KU-LGE Rating'!$G:$G)</f>
        <v>5889.7044000000005</v>
      </c>
      <c r="AP82" s="240">
        <f t="shared" si="17"/>
        <v>15918.12</v>
      </c>
      <c r="AQ82" s="277"/>
      <c r="AR82" s="277"/>
      <c r="AV82" s="278"/>
      <c r="AW82" s="278"/>
      <c r="AX82" s="278"/>
    </row>
    <row r="83" spans="1:50">
      <c r="A83" s="1" t="s">
        <v>2756</v>
      </c>
      <c r="B83" s="1" t="s">
        <v>3</v>
      </c>
      <c r="C83" t="s">
        <v>3723</v>
      </c>
      <c r="D83" t="s">
        <v>3736</v>
      </c>
      <c r="E83" t="s">
        <v>3893</v>
      </c>
      <c r="F83">
        <v>2014</v>
      </c>
      <c r="G83" t="s">
        <v>3908</v>
      </c>
      <c r="H83">
        <v>512005</v>
      </c>
      <c r="I83">
        <v>0</v>
      </c>
      <c r="J83">
        <v>511.82</v>
      </c>
      <c r="K83">
        <v>17996.53</v>
      </c>
      <c r="L83">
        <v>165330.46</v>
      </c>
      <c r="M83">
        <v>60278.33</v>
      </c>
      <c r="N83">
        <v>4392.3100000000004</v>
      </c>
      <c r="O83">
        <v>0</v>
      </c>
      <c r="P83">
        <v>-114.24</v>
      </c>
      <c r="Q83">
        <v>-248395.21</v>
      </c>
      <c r="R83">
        <v>0</v>
      </c>
      <c r="S83">
        <v>0</v>
      </c>
      <c r="T83">
        <v>0</v>
      </c>
      <c r="U83" s="8">
        <v>0</v>
      </c>
      <c r="V83" s="243" t="str">
        <f t="shared" si="10"/>
        <v>512</v>
      </c>
      <c r="W83" s="240">
        <f t="shared" si="11"/>
        <v>-511.81999999997788</v>
      </c>
      <c r="X83" s="243">
        <f t="shared" si="12"/>
        <v>0</v>
      </c>
      <c r="Y83" s="255">
        <f>$W83*SUMIF('KU-LGE Rating'!$R:$R,$D83,'KU-LGE Rating'!F:F)</f>
        <v>-414.57419999998211</v>
      </c>
      <c r="Z83" s="256">
        <f>$W83*SUMIF('KU-LGE Rating'!$R:$R,$D83,'KU-LGE Rating'!G:G)</f>
        <v>-97.245799999995796</v>
      </c>
      <c r="AA83" s="257">
        <f t="shared" si="9"/>
        <v>-511.81999999997788</v>
      </c>
      <c r="AB83" s="255">
        <f>$X83*SUMIF('KU-LGE Rating'!$R:$R,$D83,'KU-LGE Rating'!F:F)</f>
        <v>0</v>
      </c>
      <c r="AC83" s="256">
        <f>$X83*SUMIF('KU-LGE Rating'!$R:$R,$D83,'KU-LGE Rating'!G:G)</f>
        <v>0</v>
      </c>
      <c r="AD83" s="257">
        <f t="shared" si="13"/>
        <v>0</v>
      </c>
      <c r="AE83" s="274">
        <f>IF($F83=AE$1,$U83,0)*SUMIF('KU-LGE Rating'!$R:$R,$D83,'KU-LGE Rating'!$F:$F)</f>
        <v>0</v>
      </c>
      <c r="AF83" s="274">
        <f>IF($F83=AE$1,$U83,0)*SUMIF('KU-LGE Rating'!$R:$R,$D83,'KU-LGE Rating'!$G:$G)</f>
        <v>0</v>
      </c>
      <c r="AG83" s="240">
        <f t="shared" si="14"/>
        <v>0</v>
      </c>
      <c r="AH83" s="256">
        <f>IF($F83=AH$1,$U83,0)*SUMIF('KU-LGE Rating'!$R:$R,$D83,'KU-LGE Rating'!$F:$F)</f>
        <v>0</v>
      </c>
      <c r="AI83" s="256">
        <f>IF($F83=AH$1,$U83,0)*SUMIF('KU-LGE Rating'!$R:$R,$D83,'KU-LGE Rating'!$G:$G)</f>
        <v>0</v>
      </c>
      <c r="AJ83" s="240">
        <f t="shared" si="15"/>
        <v>0</v>
      </c>
      <c r="AK83" s="256">
        <f>IF($F83=AK$1,$U83,0)*SUMIF('KU-LGE Rating'!$R:$R,$D83,'KU-LGE Rating'!$F:$F)</f>
        <v>0</v>
      </c>
      <c r="AL83" s="256">
        <f>IF($F83=AK$1,$U83,0)*SUMIF('KU-LGE Rating'!$R:$R,$D83,'KU-LGE Rating'!$G:$G)</f>
        <v>0</v>
      </c>
      <c r="AM83" s="240">
        <f t="shared" si="16"/>
        <v>0</v>
      </c>
      <c r="AN83" s="256">
        <f>IF($F83=AN$1,$U83,0)*SUMIF('KU-LGE Rating'!$R:$R,$D83,'KU-LGE Rating'!$F:$F)</f>
        <v>0</v>
      </c>
      <c r="AO83" s="256">
        <f>IF($F83=AN$1,$U83,0)*SUMIF('KU-LGE Rating'!$R:$R,$D83,'KU-LGE Rating'!$G:$G)</f>
        <v>0</v>
      </c>
      <c r="AP83" s="240">
        <f t="shared" si="17"/>
        <v>0</v>
      </c>
      <c r="AQ83" s="277"/>
      <c r="AR83" s="277"/>
      <c r="AV83" s="278"/>
      <c r="AW83" s="278"/>
      <c r="AX83" s="278"/>
    </row>
    <row r="84" spans="1:50">
      <c r="A84" s="1" t="s">
        <v>2756</v>
      </c>
      <c r="B84" s="1" t="s">
        <v>3</v>
      </c>
      <c r="C84" t="s">
        <v>3723</v>
      </c>
      <c r="D84" t="s">
        <v>3736</v>
      </c>
      <c r="E84" t="s">
        <v>3893</v>
      </c>
      <c r="F84">
        <v>2014</v>
      </c>
      <c r="G84" t="s">
        <v>3908</v>
      </c>
      <c r="H84">
        <v>512011</v>
      </c>
      <c r="I84">
        <v>0</v>
      </c>
      <c r="J84">
        <v>317.39</v>
      </c>
      <c r="K84">
        <v>45749.41</v>
      </c>
      <c r="L84">
        <v>33114.559999999998</v>
      </c>
      <c r="M84">
        <v>72086.91</v>
      </c>
      <c r="N84">
        <v>20156.28</v>
      </c>
      <c r="O84">
        <v>2336.63</v>
      </c>
      <c r="P84">
        <v>2274.58</v>
      </c>
      <c r="Q84">
        <v>-176035.76</v>
      </c>
      <c r="R84">
        <v>0</v>
      </c>
      <c r="S84">
        <v>0</v>
      </c>
      <c r="T84">
        <v>0</v>
      </c>
      <c r="U84" s="8">
        <v>0</v>
      </c>
      <c r="V84" s="243" t="str">
        <f t="shared" si="10"/>
        <v>512</v>
      </c>
      <c r="W84" s="240">
        <f t="shared" si="11"/>
        <v>-317.39000000001397</v>
      </c>
      <c r="X84" s="243">
        <f t="shared" si="12"/>
        <v>0</v>
      </c>
      <c r="Y84" s="255">
        <f>$W84*SUMIF('KU-LGE Rating'!$R:$R,$D84,'KU-LGE Rating'!F:F)</f>
        <v>-257.08590000001135</v>
      </c>
      <c r="Z84" s="256">
        <f>$W84*SUMIF('KU-LGE Rating'!$R:$R,$D84,'KU-LGE Rating'!G:G)</f>
        <v>-60.304100000002656</v>
      </c>
      <c r="AA84" s="257">
        <f t="shared" si="9"/>
        <v>-317.39000000001403</v>
      </c>
      <c r="AB84" s="255">
        <f>$X84*SUMIF('KU-LGE Rating'!$R:$R,$D84,'KU-LGE Rating'!F:F)</f>
        <v>0</v>
      </c>
      <c r="AC84" s="256">
        <f>$X84*SUMIF('KU-LGE Rating'!$R:$R,$D84,'KU-LGE Rating'!G:G)</f>
        <v>0</v>
      </c>
      <c r="AD84" s="257">
        <f t="shared" si="13"/>
        <v>0</v>
      </c>
      <c r="AE84" s="274">
        <f>IF($F84=AE$1,$U84,0)*SUMIF('KU-LGE Rating'!$R:$R,$D84,'KU-LGE Rating'!$F:$F)</f>
        <v>0</v>
      </c>
      <c r="AF84" s="274">
        <f>IF($F84=AE$1,$U84,0)*SUMIF('KU-LGE Rating'!$R:$R,$D84,'KU-LGE Rating'!$G:$G)</f>
        <v>0</v>
      </c>
      <c r="AG84" s="240">
        <f t="shared" si="14"/>
        <v>0</v>
      </c>
      <c r="AH84" s="256">
        <f>IF($F84=AH$1,$U84,0)*SUMIF('KU-LGE Rating'!$R:$R,$D84,'KU-LGE Rating'!$F:$F)</f>
        <v>0</v>
      </c>
      <c r="AI84" s="256">
        <f>IF($F84=AH$1,$U84,0)*SUMIF('KU-LGE Rating'!$R:$R,$D84,'KU-LGE Rating'!$G:$G)</f>
        <v>0</v>
      </c>
      <c r="AJ84" s="240">
        <f t="shared" si="15"/>
        <v>0</v>
      </c>
      <c r="AK84" s="256">
        <f>IF($F84=AK$1,$U84,0)*SUMIF('KU-LGE Rating'!$R:$R,$D84,'KU-LGE Rating'!$F:$F)</f>
        <v>0</v>
      </c>
      <c r="AL84" s="256">
        <f>IF($F84=AK$1,$U84,0)*SUMIF('KU-LGE Rating'!$R:$R,$D84,'KU-LGE Rating'!$G:$G)</f>
        <v>0</v>
      </c>
      <c r="AM84" s="240">
        <f t="shared" si="16"/>
        <v>0</v>
      </c>
      <c r="AN84" s="256">
        <f>IF($F84=AN$1,$U84,0)*SUMIF('KU-LGE Rating'!$R:$R,$D84,'KU-LGE Rating'!$F:$F)</f>
        <v>0</v>
      </c>
      <c r="AO84" s="256">
        <f>IF($F84=AN$1,$U84,0)*SUMIF('KU-LGE Rating'!$R:$R,$D84,'KU-LGE Rating'!$G:$G)</f>
        <v>0</v>
      </c>
      <c r="AP84" s="240">
        <f t="shared" si="17"/>
        <v>0</v>
      </c>
      <c r="AQ84" s="277"/>
      <c r="AR84" s="277"/>
      <c r="AV84" s="278"/>
      <c r="AW84" s="278"/>
      <c r="AX84" s="278"/>
    </row>
    <row r="85" spans="1:50">
      <c r="A85" s="1" t="s">
        <v>2756</v>
      </c>
      <c r="B85" s="1" t="s">
        <v>3</v>
      </c>
      <c r="C85" t="s">
        <v>3723</v>
      </c>
      <c r="D85" t="s">
        <v>3736</v>
      </c>
      <c r="E85" t="s">
        <v>3893</v>
      </c>
      <c r="F85">
        <v>2014</v>
      </c>
      <c r="G85" t="s">
        <v>3908</v>
      </c>
      <c r="H85">
        <v>512017</v>
      </c>
      <c r="I85">
        <v>0</v>
      </c>
      <c r="J85">
        <v>3872.34</v>
      </c>
      <c r="K85">
        <v>87021.99</v>
      </c>
      <c r="L85">
        <v>31275.07</v>
      </c>
      <c r="M85">
        <v>32729.22</v>
      </c>
      <c r="N85">
        <v>0</v>
      </c>
      <c r="O85">
        <v>0</v>
      </c>
      <c r="P85">
        <v>0</v>
      </c>
      <c r="Q85">
        <v>-154898.62</v>
      </c>
      <c r="R85">
        <v>0</v>
      </c>
      <c r="S85">
        <v>0</v>
      </c>
      <c r="T85">
        <v>0</v>
      </c>
      <c r="U85" s="8">
        <v>0</v>
      </c>
      <c r="V85" s="243" t="str">
        <f t="shared" si="10"/>
        <v>512</v>
      </c>
      <c r="W85" s="240">
        <f t="shared" si="11"/>
        <v>-3872.3399999999965</v>
      </c>
      <c r="X85" s="243">
        <f t="shared" si="12"/>
        <v>0</v>
      </c>
      <c r="Y85" s="255">
        <f>$W85*SUMIF('KU-LGE Rating'!$R:$R,$D85,'KU-LGE Rating'!F:F)</f>
        <v>-3136.5953999999974</v>
      </c>
      <c r="Z85" s="256">
        <f>$W85*SUMIF('KU-LGE Rating'!$R:$R,$D85,'KU-LGE Rating'!G:G)</f>
        <v>-735.74459999999931</v>
      </c>
      <c r="AA85" s="257">
        <f t="shared" si="9"/>
        <v>-3872.3399999999965</v>
      </c>
      <c r="AB85" s="255">
        <f>$X85*SUMIF('KU-LGE Rating'!$R:$R,$D85,'KU-LGE Rating'!F:F)</f>
        <v>0</v>
      </c>
      <c r="AC85" s="256">
        <f>$X85*SUMIF('KU-LGE Rating'!$R:$R,$D85,'KU-LGE Rating'!G:G)</f>
        <v>0</v>
      </c>
      <c r="AD85" s="257">
        <f t="shared" si="13"/>
        <v>0</v>
      </c>
      <c r="AE85" s="274">
        <f>IF($F85=AE$1,$U85,0)*SUMIF('KU-LGE Rating'!$R:$R,$D85,'KU-LGE Rating'!$F:$F)</f>
        <v>0</v>
      </c>
      <c r="AF85" s="274">
        <f>IF($F85=AE$1,$U85,0)*SUMIF('KU-LGE Rating'!$R:$R,$D85,'KU-LGE Rating'!$G:$G)</f>
        <v>0</v>
      </c>
      <c r="AG85" s="240">
        <f t="shared" si="14"/>
        <v>0</v>
      </c>
      <c r="AH85" s="256">
        <f>IF($F85=AH$1,$U85,0)*SUMIF('KU-LGE Rating'!$R:$R,$D85,'KU-LGE Rating'!$F:$F)</f>
        <v>0</v>
      </c>
      <c r="AI85" s="256">
        <f>IF($F85=AH$1,$U85,0)*SUMIF('KU-LGE Rating'!$R:$R,$D85,'KU-LGE Rating'!$G:$G)</f>
        <v>0</v>
      </c>
      <c r="AJ85" s="240">
        <f t="shared" si="15"/>
        <v>0</v>
      </c>
      <c r="AK85" s="256">
        <f>IF($F85=AK$1,$U85,0)*SUMIF('KU-LGE Rating'!$R:$R,$D85,'KU-LGE Rating'!$F:$F)</f>
        <v>0</v>
      </c>
      <c r="AL85" s="256">
        <f>IF($F85=AK$1,$U85,0)*SUMIF('KU-LGE Rating'!$R:$R,$D85,'KU-LGE Rating'!$G:$G)</f>
        <v>0</v>
      </c>
      <c r="AM85" s="240">
        <f t="shared" si="16"/>
        <v>0</v>
      </c>
      <c r="AN85" s="256">
        <f>IF($F85=AN$1,$U85,0)*SUMIF('KU-LGE Rating'!$R:$R,$D85,'KU-LGE Rating'!$F:$F)</f>
        <v>0</v>
      </c>
      <c r="AO85" s="256">
        <f>IF($F85=AN$1,$U85,0)*SUMIF('KU-LGE Rating'!$R:$R,$D85,'KU-LGE Rating'!$G:$G)</f>
        <v>0</v>
      </c>
      <c r="AP85" s="240">
        <f t="shared" si="17"/>
        <v>0</v>
      </c>
      <c r="AQ85" s="277"/>
      <c r="AR85" s="277"/>
      <c r="AV85" s="278"/>
      <c r="AW85" s="278"/>
      <c r="AX85" s="278"/>
    </row>
    <row r="86" spans="1:50">
      <c r="A86" s="1" t="s">
        <v>2756</v>
      </c>
      <c r="B86" s="1" t="s">
        <v>3</v>
      </c>
      <c r="C86" t="s">
        <v>3723</v>
      </c>
      <c r="D86" t="s">
        <v>3736</v>
      </c>
      <c r="E86" t="s">
        <v>3893</v>
      </c>
      <c r="F86">
        <v>2014</v>
      </c>
      <c r="G86" t="s">
        <v>3908</v>
      </c>
      <c r="H86">
        <v>512100</v>
      </c>
      <c r="I86">
        <v>0</v>
      </c>
      <c r="J86">
        <v>178318.41</v>
      </c>
      <c r="K86">
        <v>753362.07</v>
      </c>
      <c r="L86">
        <v>584011.26</v>
      </c>
      <c r="M86">
        <v>385483.73</v>
      </c>
      <c r="N86">
        <v>666325.84</v>
      </c>
      <c r="O86">
        <v>223667.05</v>
      </c>
      <c r="P86">
        <v>8421.7099999999991</v>
      </c>
      <c r="Q86">
        <v>572932.35</v>
      </c>
      <c r="R86">
        <v>0</v>
      </c>
      <c r="S86">
        <v>0</v>
      </c>
      <c r="T86">
        <v>0</v>
      </c>
      <c r="U86" s="8">
        <v>3372522.42</v>
      </c>
      <c r="V86" s="243" t="str">
        <f t="shared" si="10"/>
        <v>512</v>
      </c>
      <c r="W86" s="240">
        <f t="shared" si="11"/>
        <v>3194204.01</v>
      </c>
      <c r="X86" s="243">
        <f t="shared" si="12"/>
        <v>0</v>
      </c>
      <c r="Y86" s="255">
        <f>$W86*SUMIF('KU-LGE Rating'!$R:$R,$D86,'KU-LGE Rating'!F:F)</f>
        <v>2587305.2481</v>
      </c>
      <c r="Z86" s="256">
        <f>$W86*SUMIF('KU-LGE Rating'!$R:$R,$D86,'KU-LGE Rating'!G:G)</f>
        <v>606898.76189999992</v>
      </c>
      <c r="AA86" s="257">
        <f t="shared" si="9"/>
        <v>3194204.01</v>
      </c>
      <c r="AB86" s="255">
        <f>$X86*SUMIF('KU-LGE Rating'!$R:$R,$D86,'KU-LGE Rating'!F:F)</f>
        <v>0</v>
      </c>
      <c r="AC86" s="256">
        <f>$X86*SUMIF('KU-LGE Rating'!$R:$R,$D86,'KU-LGE Rating'!G:G)</f>
        <v>0</v>
      </c>
      <c r="AD86" s="257">
        <f t="shared" si="13"/>
        <v>0</v>
      </c>
      <c r="AE86" s="274">
        <f>IF($F86=AE$1,$U86,0)*SUMIF('KU-LGE Rating'!$R:$R,$D86,'KU-LGE Rating'!$F:$F)</f>
        <v>2731743.1602000003</v>
      </c>
      <c r="AF86" s="274">
        <f>IF($F86=AE$1,$U86,0)*SUMIF('KU-LGE Rating'!$R:$R,$D86,'KU-LGE Rating'!$G:$G)</f>
        <v>640779.2598</v>
      </c>
      <c r="AG86" s="240">
        <f t="shared" si="14"/>
        <v>3372522.42</v>
      </c>
      <c r="AH86" s="256">
        <f>IF($F86=AH$1,$U86,0)*SUMIF('KU-LGE Rating'!$R:$R,$D86,'KU-LGE Rating'!$F:$F)</f>
        <v>0</v>
      </c>
      <c r="AI86" s="256">
        <f>IF($F86=AH$1,$U86,0)*SUMIF('KU-LGE Rating'!$R:$R,$D86,'KU-LGE Rating'!$G:$G)</f>
        <v>0</v>
      </c>
      <c r="AJ86" s="240">
        <f t="shared" si="15"/>
        <v>0</v>
      </c>
      <c r="AK86" s="256">
        <f>IF($F86=AK$1,$U86,0)*SUMIF('KU-LGE Rating'!$R:$R,$D86,'KU-LGE Rating'!$F:$F)</f>
        <v>0</v>
      </c>
      <c r="AL86" s="256">
        <f>IF($F86=AK$1,$U86,0)*SUMIF('KU-LGE Rating'!$R:$R,$D86,'KU-LGE Rating'!$G:$G)</f>
        <v>0</v>
      </c>
      <c r="AM86" s="240">
        <f t="shared" si="16"/>
        <v>0</v>
      </c>
      <c r="AN86" s="256">
        <f>IF($F86=AN$1,$U86,0)*SUMIF('KU-LGE Rating'!$R:$R,$D86,'KU-LGE Rating'!$F:$F)</f>
        <v>0</v>
      </c>
      <c r="AO86" s="256">
        <f>IF($F86=AN$1,$U86,0)*SUMIF('KU-LGE Rating'!$R:$R,$D86,'KU-LGE Rating'!$G:$G)</f>
        <v>0</v>
      </c>
      <c r="AP86" s="240">
        <f t="shared" si="17"/>
        <v>0</v>
      </c>
      <c r="AQ86" s="277"/>
      <c r="AR86" s="277"/>
      <c r="AV86" s="278"/>
      <c r="AW86" s="278"/>
      <c r="AX86" s="278"/>
    </row>
    <row r="87" spans="1:50">
      <c r="A87" s="1" t="s">
        <v>2756</v>
      </c>
      <c r="B87" s="1" t="s">
        <v>3</v>
      </c>
      <c r="C87" t="s">
        <v>3723</v>
      </c>
      <c r="D87" t="s">
        <v>3736</v>
      </c>
      <c r="E87" t="s">
        <v>3893</v>
      </c>
      <c r="F87">
        <v>2014</v>
      </c>
      <c r="G87" t="s">
        <v>3908</v>
      </c>
      <c r="H87">
        <v>512101</v>
      </c>
      <c r="I87">
        <v>0</v>
      </c>
      <c r="J87">
        <v>1424.38</v>
      </c>
      <c r="K87">
        <v>0.54</v>
      </c>
      <c r="L87">
        <v>3701.28</v>
      </c>
      <c r="M87">
        <v>1490.12</v>
      </c>
      <c r="N87">
        <v>0</v>
      </c>
      <c r="O87">
        <v>0</v>
      </c>
      <c r="P87">
        <v>0</v>
      </c>
      <c r="Q87">
        <v>-6616.32</v>
      </c>
      <c r="R87">
        <v>0</v>
      </c>
      <c r="S87">
        <v>0</v>
      </c>
      <c r="T87">
        <v>0</v>
      </c>
      <c r="U87" s="8">
        <v>0</v>
      </c>
      <c r="V87" s="243" t="str">
        <f t="shared" si="10"/>
        <v>512</v>
      </c>
      <c r="W87" s="240">
        <f t="shared" si="11"/>
        <v>-1424.3799999999992</v>
      </c>
      <c r="X87" s="243">
        <f t="shared" si="12"/>
        <v>0</v>
      </c>
      <c r="Y87" s="255">
        <f>$W87*SUMIF('KU-LGE Rating'!$R:$R,$D87,'KU-LGE Rating'!F:F)</f>
        <v>-1153.7477999999994</v>
      </c>
      <c r="Z87" s="256">
        <f>$W87*SUMIF('KU-LGE Rating'!$R:$R,$D87,'KU-LGE Rating'!G:G)</f>
        <v>-270.63219999999984</v>
      </c>
      <c r="AA87" s="257">
        <f t="shared" si="9"/>
        <v>-1424.3799999999992</v>
      </c>
      <c r="AB87" s="255">
        <f>$X87*SUMIF('KU-LGE Rating'!$R:$R,$D87,'KU-LGE Rating'!F:F)</f>
        <v>0</v>
      </c>
      <c r="AC87" s="256">
        <f>$X87*SUMIF('KU-LGE Rating'!$R:$R,$D87,'KU-LGE Rating'!G:G)</f>
        <v>0</v>
      </c>
      <c r="AD87" s="257">
        <f t="shared" si="13"/>
        <v>0</v>
      </c>
      <c r="AE87" s="274">
        <f>IF($F87=AE$1,$U87,0)*SUMIF('KU-LGE Rating'!$R:$R,$D87,'KU-LGE Rating'!$F:$F)</f>
        <v>0</v>
      </c>
      <c r="AF87" s="274">
        <f>IF($F87=AE$1,$U87,0)*SUMIF('KU-LGE Rating'!$R:$R,$D87,'KU-LGE Rating'!$G:$G)</f>
        <v>0</v>
      </c>
      <c r="AG87" s="240">
        <f t="shared" si="14"/>
        <v>0</v>
      </c>
      <c r="AH87" s="256">
        <f>IF($F87=AH$1,$U87,0)*SUMIF('KU-LGE Rating'!$R:$R,$D87,'KU-LGE Rating'!$F:$F)</f>
        <v>0</v>
      </c>
      <c r="AI87" s="256">
        <f>IF($F87=AH$1,$U87,0)*SUMIF('KU-LGE Rating'!$R:$R,$D87,'KU-LGE Rating'!$G:$G)</f>
        <v>0</v>
      </c>
      <c r="AJ87" s="240">
        <f t="shared" si="15"/>
        <v>0</v>
      </c>
      <c r="AK87" s="256">
        <f>IF($F87=AK$1,$U87,0)*SUMIF('KU-LGE Rating'!$R:$R,$D87,'KU-LGE Rating'!$F:$F)</f>
        <v>0</v>
      </c>
      <c r="AL87" s="256">
        <f>IF($F87=AK$1,$U87,0)*SUMIF('KU-LGE Rating'!$R:$R,$D87,'KU-LGE Rating'!$G:$G)</f>
        <v>0</v>
      </c>
      <c r="AM87" s="240">
        <f t="shared" si="16"/>
        <v>0</v>
      </c>
      <c r="AN87" s="256">
        <f>IF($F87=AN$1,$U87,0)*SUMIF('KU-LGE Rating'!$R:$R,$D87,'KU-LGE Rating'!$F:$F)</f>
        <v>0</v>
      </c>
      <c r="AO87" s="256">
        <f>IF($F87=AN$1,$U87,0)*SUMIF('KU-LGE Rating'!$R:$R,$D87,'KU-LGE Rating'!$G:$G)</f>
        <v>0</v>
      </c>
      <c r="AP87" s="240">
        <f t="shared" si="17"/>
        <v>0</v>
      </c>
      <c r="AQ87" s="277"/>
      <c r="AR87" s="277"/>
      <c r="AV87" s="278"/>
      <c r="AW87" s="278"/>
      <c r="AX87" s="278"/>
    </row>
    <row r="88" spans="1:50">
      <c r="A88" s="1" t="s">
        <v>2756</v>
      </c>
      <c r="B88" s="1" t="s">
        <v>3</v>
      </c>
      <c r="C88" t="s">
        <v>3723</v>
      </c>
      <c r="D88" t="s">
        <v>3736</v>
      </c>
      <c r="E88" t="s">
        <v>3893</v>
      </c>
      <c r="F88">
        <v>2014</v>
      </c>
      <c r="G88" t="s">
        <v>3908</v>
      </c>
      <c r="H88">
        <v>512102</v>
      </c>
      <c r="I88">
        <v>0</v>
      </c>
      <c r="J88">
        <v>0</v>
      </c>
      <c r="K88">
        <v>2.41</v>
      </c>
      <c r="L88">
        <v>0</v>
      </c>
      <c r="M88">
        <v>0</v>
      </c>
      <c r="N88">
        <v>0</v>
      </c>
      <c r="O88">
        <v>0</v>
      </c>
      <c r="P88">
        <v>0</v>
      </c>
      <c r="Q88">
        <v>-2.41</v>
      </c>
      <c r="R88">
        <v>0</v>
      </c>
      <c r="S88">
        <v>0</v>
      </c>
      <c r="T88">
        <v>0</v>
      </c>
      <c r="U88" s="8">
        <v>0</v>
      </c>
      <c r="V88" s="243" t="str">
        <f t="shared" si="10"/>
        <v>512</v>
      </c>
      <c r="W88" s="240">
        <f t="shared" si="11"/>
        <v>0</v>
      </c>
      <c r="X88" s="243">
        <f t="shared" si="12"/>
        <v>0</v>
      </c>
      <c r="Y88" s="255">
        <f>$W88*SUMIF('KU-LGE Rating'!$R:$R,$D88,'KU-LGE Rating'!F:F)</f>
        <v>0</v>
      </c>
      <c r="Z88" s="256">
        <f>$W88*SUMIF('KU-LGE Rating'!$R:$R,$D88,'KU-LGE Rating'!G:G)</f>
        <v>0</v>
      </c>
      <c r="AA88" s="257">
        <f t="shared" si="9"/>
        <v>0</v>
      </c>
      <c r="AB88" s="255">
        <f>$X88*SUMIF('KU-LGE Rating'!$R:$R,$D88,'KU-LGE Rating'!F:F)</f>
        <v>0</v>
      </c>
      <c r="AC88" s="256">
        <f>$X88*SUMIF('KU-LGE Rating'!$R:$R,$D88,'KU-LGE Rating'!G:G)</f>
        <v>0</v>
      </c>
      <c r="AD88" s="257">
        <f t="shared" si="13"/>
        <v>0</v>
      </c>
      <c r="AE88" s="274">
        <f>IF($F88=AE$1,$U88,0)*SUMIF('KU-LGE Rating'!$R:$R,$D88,'KU-LGE Rating'!$F:$F)</f>
        <v>0</v>
      </c>
      <c r="AF88" s="274">
        <f>IF($F88=AE$1,$U88,0)*SUMIF('KU-LGE Rating'!$R:$R,$D88,'KU-LGE Rating'!$G:$G)</f>
        <v>0</v>
      </c>
      <c r="AG88" s="240">
        <f t="shared" si="14"/>
        <v>0</v>
      </c>
      <c r="AH88" s="256">
        <f>IF($F88=AH$1,$U88,0)*SUMIF('KU-LGE Rating'!$R:$R,$D88,'KU-LGE Rating'!$F:$F)</f>
        <v>0</v>
      </c>
      <c r="AI88" s="256">
        <f>IF($F88=AH$1,$U88,0)*SUMIF('KU-LGE Rating'!$R:$R,$D88,'KU-LGE Rating'!$G:$G)</f>
        <v>0</v>
      </c>
      <c r="AJ88" s="240">
        <f t="shared" si="15"/>
        <v>0</v>
      </c>
      <c r="AK88" s="256">
        <f>IF($F88=AK$1,$U88,0)*SUMIF('KU-LGE Rating'!$R:$R,$D88,'KU-LGE Rating'!$F:$F)</f>
        <v>0</v>
      </c>
      <c r="AL88" s="256">
        <f>IF($F88=AK$1,$U88,0)*SUMIF('KU-LGE Rating'!$R:$R,$D88,'KU-LGE Rating'!$G:$G)</f>
        <v>0</v>
      </c>
      <c r="AM88" s="240">
        <f t="shared" si="16"/>
        <v>0</v>
      </c>
      <c r="AN88" s="256">
        <f>IF($F88=AN$1,$U88,0)*SUMIF('KU-LGE Rating'!$R:$R,$D88,'KU-LGE Rating'!$F:$F)</f>
        <v>0</v>
      </c>
      <c r="AO88" s="256">
        <f>IF($F88=AN$1,$U88,0)*SUMIF('KU-LGE Rating'!$R:$R,$D88,'KU-LGE Rating'!$G:$G)</f>
        <v>0</v>
      </c>
      <c r="AP88" s="240">
        <f t="shared" si="17"/>
        <v>0</v>
      </c>
      <c r="AQ88" s="277"/>
      <c r="AR88" s="277"/>
      <c r="AV88" s="278"/>
      <c r="AW88" s="278"/>
      <c r="AX88" s="278"/>
    </row>
    <row r="89" spans="1:50">
      <c r="A89" s="1" t="s">
        <v>2756</v>
      </c>
      <c r="B89" s="1" t="s">
        <v>3</v>
      </c>
      <c r="C89" t="s">
        <v>3723</v>
      </c>
      <c r="D89" t="s">
        <v>3736</v>
      </c>
      <c r="E89" t="s">
        <v>3893</v>
      </c>
      <c r="F89">
        <v>2014</v>
      </c>
      <c r="G89" t="s">
        <v>3908</v>
      </c>
      <c r="H89">
        <v>513100</v>
      </c>
      <c r="I89">
        <v>0</v>
      </c>
      <c r="J89">
        <v>1840.81</v>
      </c>
      <c r="K89">
        <v>90399.2</v>
      </c>
      <c r="L89">
        <v>54583.59</v>
      </c>
      <c r="M89">
        <v>26753.98</v>
      </c>
      <c r="N89">
        <v>32713</v>
      </c>
      <c r="O89">
        <v>27865.67</v>
      </c>
      <c r="P89">
        <v>50.27</v>
      </c>
      <c r="Q89">
        <v>12929.52</v>
      </c>
      <c r="R89">
        <v>0</v>
      </c>
      <c r="S89">
        <v>0</v>
      </c>
      <c r="T89">
        <v>0</v>
      </c>
      <c r="U89" s="8">
        <v>247136.04</v>
      </c>
      <c r="V89" s="243" t="str">
        <f t="shared" si="10"/>
        <v>513</v>
      </c>
      <c r="W89" s="240">
        <f t="shared" si="11"/>
        <v>245295.22999999998</v>
      </c>
      <c r="X89" s="243">
        <f t="shared" si="12"/>
        <v>0</v>
      </c>
      <c r="Y89" s="255">
        <f>$W89*SUMIF('KU-LGE Rating'!$R:$R,$D89,'KU-LGE Rating'!F:F)</f>
        <v>198689.13629999998</v>
      </c>
      <c r="Z89" s="256">
        <f>$W89*SUMIF('KU-LGE Rating'!$R:$R,$D89,'KU-LGE Rating'!G:G)</f>
        <v>46606.093699999998</v>
      </c>
      <c r="AA89" s="257">
        <f t="shared" si="9"/>
        <v>245295.22999999998</v>
      </c>
      <c r="AB89" s="255">
        <f>$X89*SUMIF('KU-LGE Rating'!$R:$R,$D89,'KU-LGE Rating'!F:F)</f>
        <v>0</v>
      </c>
      <c r="AC89" s="256">
        <f>$X89*SUMIF('KU-LGE Rating'!$R:$R,$D89,'KU-LGE Rating'!G:G)</f>
        <v>0</v>
      </c>
      <c r="AD89" s="257">
        <f t="shared" si="13"/>
        <v>0</v>
      </c>
      <c r="AE89" s="274">
        <f>IF($F89=AE$1,$U89,0)*SUMIF('KU-LGE Rating'!$R:$R,$D89,'KU-LGE Rating'!$F:$F)</f>
        <v>200180.19240000003</v>
      </c>
      <c r="AF89" s="274">
        <f>IF($F89=AE$1,$U89,0)*SUMIF('KU-LGE Rating'!$R:$R,$D89,'KU-LGE Rating'!$G:$G)</f>
        <v>46955.847600000001</v>
      </c>
      <c r="AG89" s="240">
        <f t="shared" si="14"/>
        <v>247136.04</v>
      </c>
      <c r="AH89" s="256">
        <f>IF($F89=AH$1,$U89,0)*SUMIF('KU-LGE Rating'!$R:$R,$D89,'KU-LGE Rating'!$F:$F)</f>
        <v>0</v>
      </c>
      <c r="AI89" s="256">
        <f>IF($F89=AH$1,$U89,0)*SUMIF('KU-LGE Rating'!$R:$R,$D89,'KU-LGE Rating'!$G:$G)</f>
        <v>0</v>
      </c>
      <c r="AJ89" s="240">
        <f t="shared" si="15"/>
        <v>0</v>
      </c>
      <c r="AK89" s="256">
        <f>IF($F89=AK$1,$U89,0)*SUMIF('KU-LGE Rating'!$R:$R,$D89,'KU-LGE Rating'!$F:$F)</f>
        <v>0</v>
      </c>
      <c r="AL89" s="256">
        <f>IF($F89=AK$1,$U89,0)*SUMIF('KU-LGE Rating'!$R:$R,$D89,'KU-LGE Rating'!$G:$G)</f>
        <v>0</v>
      </c>
      <c r="AM89" s="240">
        <f t="shared" si="16"/>
        <v>0</v>
      </c>
      <c r="AN89" s="256">
        <f>IF($F89=AN$1,$U89,0)*SUMIF('KU-LGE Rating'!$R:$R,$D89,'KU-LGE Rating'!$F:$F)</f>
        <v>0</v>
      </c>
      <c r="AO89" s="256">
        <f>IF($F89=AN$1,$U89,0)*SUMIF('KU-LGE Rating'!$R:$R,$D89,'KU-LGE Rating'!$G:$G)</f>
        <v>0</v>
      </c>
      <c r="AP89" s="240">
        <f t="shared" si="17"/>
        <v>0</v>
      </c>
      <c r="AQ89" s="277"/>
      <c r="AR89" s="277"/>
      <c r="AV89" s="278"/>
      <c r="AW89" s="278"/>
      <c r="AX89" s="278"/>
    </row>
    <row r="90" spans="1:50">
      <c r="A90" s="1" t="s">
        <v>2756</v>
      </c>
      <c r="B90" s="1" t="s">
        <v>3</v>
      </c>
      <c r="C90" t="s">
        <v>3723</v>
      </c>
      <c r="D90" t="s">
        <v>3736</v>
      </c>
      <c r="E90" t="s">
        <v>3893</v>
      </c>
      <c r="F90">
        <v>2015</v>
      </c>
      <c r="G90" t="s">
        <v>3908</v>
      </c>
      <c r="H90">
        <v>512100</v>
      </c>
      <c r="I90">
        <v>0</v>
      </c>
      <c r="J90">
        <v>0</v>
      </c>
      <c r="K90">
        <v>0</v>
      </c>
      <c r="L90">
        <v>1200000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8">
        <v>1200000</v>
      </c>
      <c r="V90" s="243" t="str">
        <f t="shared" si="10"/>
        <v>512</v>
      </c>
      <c r="W90" s="240">
        <f t="shared" si="11"/>
        <v>0</v>
      </c>
      <c r="X90" s="243">
        <f t="shared" si="12"/>
        <v>0</v>
      </c>
      <c r="Y90" s="255">
        <f>$W90*SUMIF('KU-LGE Rating'!$R:$R,$D90,'KU-LGE Rating'!F:F)</f>
        <v>0</v>
      </c>
      <c r="Z90" s="256">
        <f>$W90*SUMIF('KU-LGE Rating'!$R:$R,$D90,'KU-LGE Rating'!G:G)</f>
        <v>0</v>
      </c>
      <c r="AA90" s="257">
        <f t="shared" si="9"/>
        <v>0</v>
      </c>
      <c r="AB90" s="255">
        <f>$X90*SUMIF('KU-LGE Rating'!$R:$R,$D90,'KU-LGE Rating'!F:F)</f>
        <v>0</v>
      </c>
      <c r="AC90" s="256">
        <f>$X90*SUMIF('KU-LGE Rating'!$R:$R,$D90,'KU-LGE Rating'!G:G)</f>
        <v>0</v>
      </c>
      <c r="AD90" s="257">
        <f t="shared" si="13"/>
        <v>0</v>
      </c>
      <c r="AE90" s="274">
        <f>IF($F90=AE$1,$U90,0)*SUMIF('KU-LGE Rating'!$R:$R,$D90,'KU-LGE Rating'!$F:$F)</f>
        <v>0</v>
      </c>
      <c r="AF90" s="274">
        <f>IF($F90=AE$1,$U90,0)*SUMIF('KU-LGE Rating'!$R:$R,$D90,'KU-LGE Rating'!$G:$G)</f>
        <v>0</v>
      </c>
      <c r="AG90" s="240">
        <f t="shared" si="14"/>
        <v>0</v>
      </c>
      <c r="AH90" s="256">
        <f>IF($F90=AH$1,$U90,0)*SUMIF('KU-LGE Rating'!$R:$R,$D90,'KU-LGE Rating'!$F:$F)</f>
        <v>972000.00000000012</v>
      </c>
      <c r="AI90" s="256">
        <f>IF($F90=AH$1,$U90,0)*SUMIF('KU-LGE Rating'!$R:$R,$D90,'KU-LGE Rating'!$G:$G)</f>
        <v>228000</v>
      </c>
      <c r="AJ90" s="240">
        <f t="shared" si="15"/>
        <v>1200000</v>
      </c>
      <c r="AK90" s="256">
        <f>IF($F90=AK$1,$U90,0)*SUMIF('KU-LGE Rating'!$R:$R,$D90,'KU-LGE Rating'!$F:$F)</f>
        <v>0</v>
      </c>
      <c r="AL90" s="256">
        <f>IF($F90=AK$1,$U90,0)*SUMIF('KU-LGE Rating'!$R:$R,$D90,'KU-LGE Rating'!$G:$G)</f>
        <v>0</v>
      </c>
      <c r="AM90" s="240">
        <f t="shared" si="16"/>
        <v>0</v>
      </c>
      <c r="AN90" s="256">
        <f>IF($F90=AN$1,$U90,0)*SUMIF('KU-LGE Rating'!$R:$R,$D90,'KU-LGE Rating'!$F:$F)</f>
        <v>0</v>
      </c>
      <c r="AO90" s="256">
        <f>IF($F90=AN$1,$U90,0)*SUMIF('KU-LGE Rating'!$R:$R,$D90,'KU-LGE Rating'!$G:$G)</f>
        <v>0</v>
      </c>
      <c r="AP90" s="240">
        <f t="shared" si="17"/>
        <v>0</v>
      </c>
      <c r="AQ90" s="277"/>
      <c r="AR90" s="277"/>
      <c r="AV90" s="278"/>
      <c r="AW90" s="278"/>
      <c r="AX90" s="278"/>
    </row>
    <row r="91" spans="1:50">
      <c r="A91" s="1" t="s">
        <v>2756</v>
      </c>
      <c r="B91" s="1" t="s">
        <v>3</v>
      </c>
      <c r="C91" t="s">
        <v>3723</v>
      </c>
      <c r="D91" t="s">
        <v>3736</v>
      </c>
      <c r="E91" t="s">
        <v>3893</v>
      </c>
      <c r="F91">
        <v>2015</v>
      </c>
      <c r="G91" t="s">
        <v>3908</v>
      </c>
      <c r="H91">
        <v>513100</v>
      </c>
      <c r="I91">
        <v>0</v>
      </c>
      <c r="J91">
        <v>0</v>
      </c>
      <c r="K91">
        <v>0</v>
      </c>
      <c r="L91">
        <v>300200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8">
        <v>300200</v>
      </c>
      <c r="V91" s="243" t="str">
        <f t="shared" si="10"/>
        <v>513</v>
      </c>
      <c r="W91" s="240">
        <f t="shared" si="11"/>
        <v>0</v>
      </c>
      <c r="X91" s="243">
        <f t="shared" si="12"/>
        <v>0</v>
      </c>
      <c r="Y91" s="255">
        <f>$W91*SUMIF('KU-LGE Rating'!$R:$R,$D91,'KU-LGE Rating'!F:F)</f>
        <v>0</v>
      </c>
      <c r="Z91" s="256">
        <f>$W91*SUMIF('KU-LGE Rating'!$R:$R,$D91,'KU-LGE Rating'!G:G)</f>
        <v>0</v>
      </c>
      <c r="AA91" s="257">
        <f t="shared" si="9"/>
        <v>0</v>
      </c>
      <c r="AB91" s="255">
        <f>$X91*SUMIF('KU-LGE Rating'!$R:$R,$D91,'KU-LGE Rating'!F:F)</f>
        <v>0</v>
      </c>
      <c r="AC91" s="256">
        <f>$X91*SUMIF('KU-LGE Rating'!$R:$R,$D91,'KU-LGE Rating'!G:G)</f>
        <v>0</v>
      </c>
      <c r="AD91" s="257">
        <f t="shared" si="13"/>
        <v>0</v>
      </c>
      <c r="AE91" s="274">
        <f>IF($F91=AE$1,$U91,0)*SUMIF('KU-LGE Rating'!$R:$R,$D91,'KU-LGE Rating'!$F:$F)</f>
        <v>0</v>
      </c>
      <c r="AF91" s="274">
        <f>IF($F91=AE$1,$U91,0)*SUMIF('KU-LGE Rating'!$R:$R,$D91,'KU-LGE Rating'!$G:$G)</f>
        <v>0</v>
      </c>
      <c r="AG91" s="240">
        <f t="shared" si="14"/>
        <v>0</v>
      </c>
      <c r="AH91" s="256">
        <f>IF($F91=AH$1,$U91,0)*SUMIF('KU-LGE Rating'!$R:$R,$D91,'KU-LGE Rating'!$F:$F)</f>
        <v>243162.00000000003</v>
      </c>
      <c r="AI91" s="256">
        <f>IF($F91=AH$1,$U91,0)*SUMIF('KU-LGE Rating'!$R:$R,$D91,'KU-LGE Rating'!$G:$G)</f>
        <v>57038</v>
      </c>
      <c r="AJ91" s="240">
        <f t="shared" si="15"/>
        <v>300200</v>
      </c>
      <c r="AK91" s="256">
        <f>IF($F91=AK$1,$U91,0)*SUMIF('KU-LGE Rating'!$R:$R,$D91,'KU-LGE Rating'!$F:$F)</f>
        <v>0</v>
      </c>
      <c r="AL91" s="256">
        <f>IF($F91=AK$1,$U91,0)*SUMIF('KU-LGE Rating'!$R:$R,$D91,'KU-LGE Rating'!$G:$G)</f>
        <v>0</v>
      </c>
      <c r="AM91" s="240">
        <f t="shared" si="16"/>
        <v>0</v>
      </c>
      <c r="AN91" s="256">
        <f>IF($F91=AN$1,$U91,0)*SUMIF('KU-LGE Rating'!$R:$R,$D91,'KU-LGE Rating'!$F:$F)</f>
        <v>0</v>
      </c>
      <c r="AO91" s="256">
        <f>IF($F91=AN$1,$U91,0)*SUMIF('KU-LGE Rating'!$R:$R,$D91,'KU-LGE Rating'!$G:$G)</f>
        <v>0</v>
      </c>
      <c r="AP91" s="240">
        <f t="shared" si="17"/>
        <v>0</v>
      </c>
      <c r="AQ91" s="277"/>
      <c r="AR91" s="277"/>
      <c r="AV91" s="278"/>
      <c r="AW91" s="278"/>
      <c r="AX91" s="278"/>
    </row>
    <row r="92" spans="1:50">
      <c r="A92" s="1" t="s">
        <v>2756</v>
      </c>
      <c r="B92" s="1" t="s">
        <v>3</v>
      </c>
      <c r="C92" t="s">
        <v>3723</v>
      </c>
      <c r="D92" t="s">
        <v>3736</v>
      </c>
      <c r="E92" t="s">
        <v>3893</v>
      </c>
      <c r="F92">
        <v>2016</v>
      </c>
      <c r="G92" t="s">
        <v>3908</v>
      </c>
      <c r="H92">
        <v>512100</v>
      </c>
      <c r="I92">
        <v>0</v>
      </c>
      <c r="J92">
        <v>0</v>
      </c>
      <c r="K92">
        <v>0</v>
      </c>
      <c r="L92">
        <v>4536049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8">
        <v>4536049</v>
      </c>
      <c r="V92" s="243" t="str">
        <f t="shared" si="10"/>
        <v>512</v>
      </c>
      <c r="W92" s="240">
        <f t="shared" si="11"/>
        <v>0</v>
      </c>
      <c r="X92" s="243">
        <f t="shared" si="12"/>
        <v>4536049</v>
      </c>
      <c r="Y92" s="255">
        <f>$W92*SUMIF('KU-LGE Rating'!$R:$R,$D92,'KU-LGE Rating'!F:F)</f>
        <v>0</v>
      </c>
      <c r="Z92" s="256">
        <f>$W92*SUMIF('KU-LGE Rating'!$R:$R,$D92,'KU-LGE Rating'!G:G)</f>
        <v>0</v>
      </c>
      <c r="AA92" s="257">
        <f t="shared" si="9"/>
        <v>0</v>
      </c>
      <c r="AB92" s="255">
        <f>$X92*SUMIF('KU-LGE Rating'!$R:$R,$D92,'KU-LGE Rating'!F:F)</f>
        <v>3674199.6900000004</v>
      </c>
      <c r="AC92" s="256">
        <f>$X92*SUMIF('KU-LGE Rating'!$R:$R,$D92,'KU-LGE Rating'!G:G)</f>
        <v>861849.31</v>
      </c>
      <c r="AD92" s="257">
        <f t="shared" si="13"/>
        <v>4536049</v>
      </c>
      <c r="AE92" s="274">
        <f>IF($F92=AE$1,$U92,0)*SUMIF('KU-LGE Rating'!$R:$R,$D92,'KU-LGE Rating'!$F:$F)</f>
        <v>0</v>
      </c>
      <c r="AF92" s="274">
        <f>IF($F92=AE$1,$U92,0)*SUMIF('KU-LGE Rating'!$R:$R,$D92,'KU-LGE Rating'!$G:$G)</f>
        <v>0</v>
      </c>
      <c r="AG92" s="240">
        <f t="shared" si="14"/>
        <v>0</v>
      </c>
      <c r="AH92" s="256">
        <f>IF($F92=AH$1,$U92,0)*SUMIF('KU-LGE Rating'!$R:$R,$D92,'KU-LGE Rating'!$F:$F)</f>
        <v>0</v>
      </c>
      <c r="AI92" s="256">
        <f>IF($F92=AH$1,$U92,0)*SUMIF('KU-LGE Rating'!$R:$R,$D92,'KU-LGE Rating'!$G:$G)</f>
        <v>0</v>
      </c>
      <c r="AJ92" s="240">
        <f t="shared" si="15"/>
        <v>0</v>
      </c>
      <c r="AK92" s="256">
        <f>IF($F92=AK$1,$U92,0)*SUMIF('KU-LGE Rating'!$R:$R,$D92,'KU-LGE Rating'!$F:$F)</f>
        <v>3674199.6900000004</v>
      </c>
      <c r="AL92" s="256">
        <f>IF($F92=AK$1,$U92,0)*SUMIF('KU-LGE Rating'!$R:$R,$D92,'KU-LGE Rating'!$G:$G)</f>
        <v>861849.31</v>
      </c>
      <c r="AM92" s="240">
        <f t="shared" si="16"/>
        <v>4536049</v>
      </c>
      <c r="AN92" s="256">
        <f>IF($F92=AN$1,$U92,0)*SUMIF('KU-LGE Rating'!$R:$R,$D92,'KU-LGE Rating'!$F:$F)</f>
        <v>0</v>
      </c>
      <c r="AO92" s="256">
        <f>IF($F92=AN$1,$U92,0)*SUMIF('KU-LGE Rating'!$R:$R,$D92,'KU-LGE Rating'!$G:$G)</f>
        <v>0</v>
      </c>
      <c r="AP92" s="240">
        <f t="shared" si="17"/>
        <v>0</v>
      </c>
      <c r="AQ92" s="277"/>
      <c r="AR92" s="277"/>
      <c r="AV92" s="278"/>
      <c r="AW92" s="278"/>
      <c r="AX92" s="278"/>
    </row>
    <row r="93" spans="1:50">
      <c r="A93" s="1" t="s">
        <v>2756</v>
      </c>
      <c r="B93" s="1" t="s">
        <v>3</v>
      </c>
      <c r="C93" t="s">
        <v>3723</v>
      </c>
      <c r="D93" t="s">
        <v>3736</v>
      </c>
      <c r="E93" t="s">
        <v>3893</v>
      </c>
      <c r="F93">
        <v>2016</v>
      </c>
      <c r="G93" t="s">
        <v>3908</v>
      </c>
      <c r="H93">
        <v>513100</v>
      </c>
      <c r="I93">
        <v>0</v>
      </c>
      <c r="J93">
        <v>0</v>
      </c>
      <c r="K93">
        <v>0</v>
      </c>
      <c r="L93">
        <v>800000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8">
        <v>800000</v>
      </c>
      <c r="V93" s="243" t="str">
        <f t="shared" si="10"/>
        <v>513</v>
      </c>
      <c r="W93" s="240">
        <f t="shared" si="11"/>
        <v>0</v>
      </c>
      <c r="X93" s="243">
        <f t="shared" si="12"/>
        <v>800000</v>
      </c>
      <c r="Y93" s="255">
        <f>$W93*SUMIF('KU-LGE Rating'!$R:$R,$D93,'KU-LGE Rating'!F:F)</f>
        <v>0</v>
      </c>
      <c r="Z93" s="256">
        <f>$W93*SUMIF('KU-LGE Rating'!$R:$R,$D93,'KU-LGE Rating'!G:G)</f>
        <v>0</v>
      </c>
      <c r="AA93" s="257">
        <f t="shared" si="9"/>
        <v>0</v>
      </c>
      <c r="AB93" s="255">
        <f>$X93*SUMIF('KU-LGE Rating'!$R:$R,$D93,'KU-LGE Rating'!F:F)</f>
        <v>648000</v>
      </c>
      <c r="AC93" s="256">
        <f>$X93*SUMIF('KU-LGE Rating'!$R:$R,$D93,'KU-LGE Rating'!G:G)</f>
        <v>152000</v>
      </c>
      <c r="AD93" s="257">
        <f t="shared" si="13"/>
        <v>800000</v>
      </c>
      <c r="AE93" s="274">
        <f>IF($F93=AE$1,$U93,0)*SUMIF('KU-LGE Rating'!$R:$R,$D93,'KU-LGE Rating'!$F:$F)</f>
        <v>0</v>
      </c>
      <c r="AF93" s="274">
        <f>IF($F93=AE$1,$U93,0)*SUMIF('KU-LGE Rating'!$R:$R,$D93,'KU-LGE Rating'!$G:$G)</f>
        <v>0</v>
      </c>
      <c r="AG93" s="240">
        <f t="shared" si="14"/>
        <v>0</v>
      </c>
      <c r="AH93" s="256">
        <f>IF($F93=AH$1,$U93,0)*SUMIF('KU-LGE Rating'!$R:$R,$D93,'KU-LGE Rating'!$F:$F)</f>
        <v>0</v>
      </c>
      <c r="AI93" s="256">
        <f>IF($F93=AH$1,$U93,0)*SUMIF('KU-LGE Rating'!$R:$R,$D93,'KU-LGE Rating'!$G:$G)</f>
        <v>0</v>
      </c>
      <c r="AJ93" s="240">
        <f t="shared" si="15"/>
        <v>0</v>
      </c>
      <c r="AK93" s="256">
        <f>IF($F93=AK$1,$U93,0)*SUMIF('KU-LGE Rating'!$R:$R,$D93,'KU-LGE Rating'!$F:$F)</f>
        <v>648000</v>
      </c>
      <c r="AL93" s="256">
        <f>IF($F93=AK$1,$U93,0)*SUMIF('KU-LGE Rating'!$R:$R,$D93,'KU-LGE Rating'!$G:$G)</f>
        <v>152000</v>
      </c>
      <c r="AM93" s="240">
        <f t="shared" si="16"/>
        <v>800000</v>
      </c>
      <c r="AN93" s="256">
        <f>IF($F93=AN$1,$U93,0)*SUMIF('KU-LGE Rating'!$R:$R,$D93,'KU-LGE Rating'!$F:$F)</f>
        <v>0</v>
      </c>
      <c r="AO93" s="256">
        <f>IF($F93=AN$1,$U93,0)*SUMIF('KU-LGE Rating'!$R:$R,$D93,'KU-LGE Rating'!$G:$G)</f>
        <v>0</v>
      </c>
      <c r="AP93" s="240">
        <f t="shared" si="17"/>
        <v>0</v>
      </c>
      <c r="AQ93" s="277"/>
      <c r="AR93" s="277"/>
      <c r="AV93" s="278"/>
      <c r="AW93" s="278"/>
      <c r="AX93" s="278"/>
    </row>
    <row r="94" spans="1:50">
      <c r="A94" s="1" t="s">
        <v>2756</v>
      </c>
      <c r="B94" s="1" t="s">
        <v>3</v>
      </c>
      <c r="C94" t="s">
        <v>3723</v>
      </c>
      <c r="D94" t="s">
        <v>3736</v>
      </c>
      <c r="E94" t="s">
        <v>3893</v>
      </c>
      <c r="F94">
        <v>2017</v>
      </c>
      <c r="G94" t="s">
        <v>3908</v>
      </c>
      <c r="H94">
        <v>512100</v>
      </c>
      <c r="I94">
        <v>0</v>
      </c>
      <c r="J94">
        <v>0</v>
      </c>
      <c r="K94">
        <v>0</v>
      </c>
      <c r="L94">
        <v>1000000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8">
        <v>1000000</v>
      </c>
      <c r="V94" s="243" t="str">
        <f t="shared" si="10"/>
        <v>512</v>
      </c>
      <c r="W94" s="240">
        <f t="shared" si="11"/>
        <v>0</v>
      </c>
      <c r="X94" s="243">
        <f t="shared" si="12"/>
        <v>0</v>
      </c>
      <c r="Y94" s="255">
        <f>$W94*SUMIF('KU-LGE Rating'!$R:$R,$D94,'KU-LGE Rating'!F:F)</f>
        <v>0</v>
      </c>
      <c r="Z94" s="256">
        <f>$W94*SUMIF('KU-LGE Rating'!$R:$R,$D94,'KU-LGE Rating'!G:G)</f>
        <v>0</v>
      </c>
      <c r="AA94" s="257">
        <f t="shared" si="9"/>
        <v>0</v>
      </c>
      <c r="AB94" s="255">
        <f>$X94*SUMIF('KU-LGE Rating'!$R:$R,$D94,'KU-LGE Rating'!F:F)</f>
        <v>0</v>
      </c>
      <c r="AC94" s="256">
        <f>$X94*SUMIF('KU-LGE Rating'!$R:$R,$D94,'KU-LGE Rating'!G:G)</f>
        <v>0</v>
      </c>
      <c r="AD94" s="257">
        <f t="shared" si="13"/>
        <v>0</v>
      </c>
      <c r="AE94" s="274">
        <f>IF($F94=AE$1,$U94,0)*SUMIF('KU-LGE Rating'!$R:$R,$D94,'KU-LGE Rating'!$F:$F)</f>
        <v>0</v>
      </c>
      <c r="AF94" s="274">
        <f>IF($F94=AE$1,$U94,0)*SUMIF('KU-LGE Rating'!$R:$R,$D94,'KU-LGE Rating'!$G:$G)</f>
        <v>0</v>
      </c>
      <c r="AG94" s="240">
        <f t="shared" si="14"/>
        <v>0</v>
      </c>
      <c r="AH94" s="256">
        <f>IF($F94=AH$1,$U94,0)*SUMIF('KU-LGE Rating'!$R:$R,$D94,'KU-LGE Rating'!$F:$F)</f>
        <v>0</v>
      </c>
      <c r="AI94" s="256">
        <f>IF($F94=AH$1,$U94,0)*SUMIF('KU-LGE Rating'!$R:$R,$D94,'KU-LGE Rating'!$G:$G)</f>
        <v>0</v>
      </c>
      <c r="AJ94" s="240">
        <f t="shared" si="15"/>
        <v>0</v>
      </c>
      <c r="AK94" s="256">
        <f>IF($F94=AK$1,$U94,0)*SUMIF('KU-LGE Rating'!$R:$R,$D94,'KU-LGE Rating'!$F:$F)</f>
        <v>0</v>
      </c>
      <c r="AL94" s="256">
        <f>IF($F94=AK$1,$U94,0)*SUMIF('KU-LGE Rating'!$R:$R,$D94,'KU-LGE Rating'!$G:$G)</f>
        <v>0</v>
      </c>
      <c r="AM94" s="240">
        <f t="shared" si="16"/>
        <v>0</v>
      </c>
      <c r="AN94" s="256">
        <f>IF($F94=AN$1,$U94,0)*SUMIF('KU-LGE Rating'!$R:$R,$D94,'KU-LGE Rating'!$F:$F)</f>
        <v>810000</v>
      </c>
      <c r="AO94" s="256">
        <f>IF($F94=AN$1,$U94,0)*SUMIF('KU-LGE Rating'!$R:$R,$D94,'KU-LGE Rating'!$G:$G)</f>
        <v>190000</v>
      </c>
      <c r="AP94" s="240">
        <f t="shared" si="17"/>
        <v>1000000</v>
      </c>
      <c r="AQ94" s="277"/>
      <c r="AR94" s="277"/>
      <c r="AV94" s="278"/>
      <c r="AW94" s="278"/>
      <c r="AX94" s="278"/>
    </row>
    <row r="95" spans="1:50">
      <c r="A95" s="1" t="s">
        <v>2756</v>
      </c>
      <c r="B95" s="1" t="s">
        <v>3</v>
      </c>
      <c r="C95" t="s">
        <v>3723</v>
      </c>
      <c r="D95" t="s">
        <v>3736</v>
      </c>
      <c r="E95" t="s">
        <v>3893</v>
      </c>
      <c r="F95">
        <v>2017</v>
      </c>
      <c r="G95" t="s">
        <v>3908</v>
      </c>
      <c r="H95">
        <v>513100</v>
      </c>
      <c r="I95">
        <v>0</v>
      </c>
      <c r="J95">
        <v>0</v>
      </c>
      <c r="K95">
        <v>0</v>
      </c>
      <c r="L95">
        <v>499632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8">
        <v>499632</v>
      </c>
      <c r="V95" s="243" t="str">
        <f t="shared" si="10"/>
        <v>513</v>
      </c>
      <c r="W95" s="240">
        <f t="shared" si="11"/>
        <v>0</v>
      </c>
      <c r="X95" s="243">
        <f t="shared" si="12"/>
        <v>0</v>
      </c>
      <c r="Y95" s="255">
        <f>$W95*SUMIF('KU-LGE Rating'!$R:$R,$D95,'KU-LGE Rating'!F:F)</f>
        <v>0</v>
      </c>
      <c r="Z95" s="256">
        <f>$W95*SUMIF('KU-LGE Rating'!$R:$R,$D95,'KU-LGE Rating'!G:G)</f>
        <v>0</v>
      </c>
      <c r="AA95" s="257">
        <f t="shared" si="9"/>
        <v>0</v>
      </c>
      <c r="AB95" s="255">
        <f>$X95*SUMIF('KU-LGE Rating'!$R:$R,$D95,'KU-LGE Rating'!F:F)</f>
        <v>0</v>
      </c>
      <c r="AC95" s="256">
        <f>$X95*SUMIF('KU-LGE Rating'!$R:$R,$D95,'KU-LGE Rating'!G:G)</f>
        <v>0</v>
      </c>
      <c r="AD95" s="257">
        <f t="shared" si="13"/>
        <v>0</v>
      </c>
      <c r="AE95" s="274">
        <f>IF($F95=AE$1,$U95,0)*SUMIF('KU-LGE Rating'!$R:$R,$D95,'KU-LGE Rating'!$F:$F)</f>
        <v>0</v>
      </c>
      <c r="AF95" s="274">
        <f>IF($F95=AE$1,$U95,0)*SUMIF('KU-LGE Rating'!$R:$R,$D95,'KU-LGE Rating'!$G:$G)</f>
        <v>0</v>
      </c>
      <c r="AG95" s="240">
        <f t="shared" si="14"/>
        <v>0</v>
      </c>
      <c r="AH95" s="256">
        <f>IF($F95=AH$1,$U95,0)*SUMIF('KU-LGE Rating'!$R:$R,$D95,'KU-LGE Rating'!$F:$F)</f>
        <v>0</v>
      </c>
      <c r="AI95" s="256">
        <f>IF($F95=AH$1,$U95,0)*SUMIF('KU-LGE Rating'!$R:$R,$D95,'KU-LGE Rating'!$G:$G)</f>
        <v>0</v>
      </c>
      <c r="AJ95" s="240">
        <f t="shared" si="15"/>
        <v>0</v>
      </c>
      <c r="AK95" s="256">
        <f>IF($F95=AK$1,$U95,0)*SUMIF('KU-LGE Rating'!$R:$R,$D95,'KU-LGE Rating'!$F:$F)</f>
        <v>0</v>
      </c>
      <c r="AL95" s="256">
        <f>IF($F95=AK$1,$U95,0)*SUMIF('KU-LGE Rating'!$R:$R,$D95,'KU-LGE Rating'!$G:$G)</f>
        <v>0</v>
      </c>
      <c r="AM95" s="240">
        <f t="shared" si="16"/>
        <v>0</v>
      </c>
      <c r="AN95" s="256">
        <f>IF($F95=AN$1,$U95,0)*SUMIF('KU-LGE Rating'!$R:$R,$D95,'KU-LGE Rating'!$F:$F)</f>
        <v>404701.92000000004</v>
      </c>
      <c r="AO95" s="256">
        <f>IF($F95=AN$1,$U95,0)*SUMIF('KU-LGE Rating'!$R:$R,$D95,'KU-LGE Rating'!$G:$G)</f>
        <v>94930.08</v>
      </c>
      <c r="AP95" s="240">
        <f t="shared" si="17"/>
        <v>499632</v>
      </c>
      <c r="AQ95" s="277"/>
      <c r="AR95" s="277"/>
      <c r="AV95" s="278"/>
      <c r="AW95" s="278"/>
      <c r="AX95" s="278"/>
    </row>
    <row r="96" spans="1:50">
      <c r="A96" s="1" t="s">
        <v>2756</v>
      </c>
      <c r="B96" s="1" t="s">
        <v>3</v>
      </c>
      <c r="C96" t="s">
        <v>3723</v>
      </c>
      <c r="D96" t="s">
        <v>3737</v>
      </c>
      <c r="E96" t="s">
        <v>3893</v>
      </c>
      <c r="F96">
        <v>2014</v>
      </c>
      <c r="G96" t="s">
        <v>3908</v>
      </c>
      <c r="H96">
        <v>553100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21000</v>
      </c>
      <c r="S96">
        <v>0</v>
      </c>
      <c r="T96">
        <v>0</v>
      </c>
      <c r="U96" s="8">
        <v>21000</v>
      </c>
      <c r="V96" s="243" t="str">
        <f t="shared" si="10"/>
        <v>553</v>
      </c>
      <c r="W96" s="240">
        <f t="shared" si="11"/>
        <v>21000</v>
      </c>
      <c r="X96" s="243">
        <f t="shared" si="12"/>
        <v>0</v>
      </c>
      <c r="Y96" s="255">
        <f>$W96*SUMIF('KU-LGE Rating'!$R:$R,$D96,'KU-LGE Rating'!F:F)</f>
        <v>14910</v>
      </c>
      <c r="Z96" s="256">
        <f>$W96*SUMIF('KU-LGE Rating'!$R:$R,$D96,'KU-LGE Rating'!G:G)</f>
        <v>6090</v>
      </c>
      <c r="AA96" s="257">
        <f t="shared" si="9"/>
        <v>21000</v>
      </c>
      <c r="AB96" s="255">
        <f>$X96*SUMIF('KU-LGE Rating'!$R:$R,$D96,'KU-LGE Rating'!F:F)</f>
        <v>0</v>
      </c>
      <c r="AC96" s="256">
        <f>$X96*SUMIF('KU-LGE Rating'!$R:$R,$D96,'KU-LGE Rating'!G:G)</f>
        <v>0</v>
      </c>
      <c r="AD96" s="257">
        <f t="shared" si="13"/>
        <v>0</v>
      </c>
      <c r="AE96" s="274">
        <f>IF($F96=AE$1,$U96,0)*SUMIF('KU-LGE Rating'!$R:$R,$D96,'KU-LGE Rating'!$F:$F)</f>
        <v>14910</v>
      </c>
      <c r="AF96" s="274">
        <f>IF($F96=AE$1,$U96,0)*SUMIF('KU-LGE Rating'!$R:$R,$D96,'KU-LGE Rating'!$G:$G)</f>
        <v>6090</v>
      </c>
      <c r="AG96" s="240">
        <f t="shared" si="14"/>
        <v>21000</v>
      </c>
      <c r="AH96" s="256">
        <f>IF($F96=AH$1,$U96,0)*SUMIF('KU-LGE Rating'!$R:$R,$D96,'KU-LGE Rating'!$F:$F)</f>
        <v>0</v>
      </c>
      <c r="AI96" s="256">
        <f>IF($F96=AH$1,$U96,0)*SUMIF('KU-LGE Rating'!$R:$R,$D96,'KU-LGE Rating'!$G:$G)</f>
        <v>0</v>
      </c>
      <c r="AJ96" s="240">
        <f t="shared" si="15"/>
        <v>0</v>
      </c>
      <c r="AK96" s="256">
        <f>IF($F96=AK$1,$U96,0)*SUMIF('KU-LGE Rating'!$R:$R,$D96,'KU-LGE Rating'!$F:$F)</f>
        <v>0</v>
      </c>
      <c r="AL96" s="256">
        <f>IF($F96=AK$1,$U96,0)*SUMIF('KU-LGE Rating'!$R:$R,$D96,'KU-LGE Rating'!$G:$G)</f>
        <v>0</v>
      </c>
      <c r="AM96" s="240">
        <f t="shared" si="16"/>
        <v>0</v>
      </c>
      <c r="AN96" s="256">
        <f>IF($F96=AN$1,$U96,0)*SUMIF('KU-LGE Rating'!$R:$R,$D96,'KU-LGE Rating'!$F:$F)</f>
        <v>0</v>
      </c>
      <c r="AO96" s="256">
        <f>IF($F96=AN$1,$U96,0)*SUMIF('KU-LGE Rating'!$R:$R,$D96,'KU-LGE Rating'!$G:$G)</f>
        <v>0</v>
      </c>
      <c r="AP96" s="240">
        <f t="shared" si="17"/>
        <v>0</v>
      </c>
      <c r="AQ96" s="277"/>
      <c r="AR96" s="277"/>
      <c r="AV96" s="278"/>
      <c r="AW96" s="278"/>
      <c r="AX96" s="278"/>
    </row>
    <row r="97" spans="1:50">
      <c r="A97" s="1" t="s">
        <v>2756</v>
      </c>
      <c r="B97" s="1" t="s">
        <v>3</v>
      </c>
      <c r="C97" t="s">
        <v>3723</v>
      </c>
      <c r="D97" t="s">
        <v>3737</v>
      </c>
      <c r="E97" t="s">
        <v>3893</v>
      </c>
      <c r="F97">
        <v>2015</v>
      </c>
      <c r="G97" t="s">
        <v>3908</v>
      </c>
      <c r="H97">
        <v>553100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15300</v>
      </c>
      <c r="S97">
        <v>0</v>
      </c>
      <c r="T97">
        <v>0</v>
      </c>
      <c r="U97" s="8">
        <v>15300</v>
      </c>
      <c r="V97" s="243" t="str">
        <f t="shared" si="10"/>
        <v>553</v>
      </c>
      <c r="W97" s="240">
        <f t="shared" si="11"/>
        <v>0</v>
      </c>
      <c r="X97" s="243">
        <f t="shared" si="12"/>
        <v>15300</v>
      </c>
      <c r="Y97" s="255">
        <f>$W97*SUMIF('KU-LGE Rating'!$R:$R,$D97,'KU-LGE Rating'!F:F)</f>
        <v>0</v>
      </c>
      <c r="Z97" s="256">
        <f>$W97*SUMIF('KU-LGE Rating'!$R:$R,$D97,'KU-LGE Rating'!G:G)</f>
        <v>0</v>
      </c>
      <c r="AA97" s="257">
        <f t="shared" si="9"/>
        <v>0</v>
      </c>
      <c r="AB97" s="255">
        <f>$X97*SUMIF('KU-LGE Rating'!$R:$R,$D97,'KU-LGE Rating'!F:F)</f>
        <v>10863</v>
      </c>
      <c r="AC97" s="256">
        <f>$X97*SUMIF('KU-LGE Rating'!$R:$R,$D97,'KU-LGE Rating'!G:G)</f>
        <v>4437</v>
      </c>
      <c r="AD97" s="257">
        <f t="shared" si="13"/>
        <v>15300</v>
      </c>
      <c r="AE97" s="274">
        <f>IF($F97=AE$1,$U97,0)*SUMIF('KU-LGE Rating'!$R:$R,$D97,'KU-LGE Rating'!$F:$F)</f>
        <v>0</v>
      </c>
      <c r="AF97" s="274">
        <f>IF($F97=AE$1,$U97,0)*SUMIF('KU-LGE Rating'!$R:$R,$D97,'KU-LGE Rating'!$G:$G)</f>
        <v>0</v>
      </c>
      <c r="AG97" s="240">
        <f t="shared" si="14"/>
        <v>0</v>
      </c>
      <c r="AH97" s="256">
        <f>IF($F97=AH$1,$U97,0)*SUMIF('KU-LGE Rating'!$R:$R,$D97,'KU-LGE Rating'!$F:$F)</f>
        <v>10863</v>
      </c>
      <c r="AI97" s="256">
        <f>IF($F97=AH$1,$U97,0)*SUMIF('KU-LGE Rating'!$R:$R,$D97,'KU-LGE Rating'!$G:$G)</f>
        <v>4437</v>
      </c>
      <c r="AJ97" s="240">
        <f t="shared" si="15"/>
        <v>15300</v>
      </c>
      <c r="AK97" s="256">
        <f>IF($F97=AK$1,$U97,0)*SUMIF('KU-LGE Rating'!$R:$R,$D97,'KU-LGE Rating'!$F:$F)</f>
        <v>0</v>
      </c>
      <c r="AL97" s="256">
        <f>IF($F97=AK$1,$U97,0)*SUMIF('KU-LGE Rating'!$R:$R,$D97,'KU-LGE Rating'!$G:$G)</f>
        <v>0</v>
      </c>
      <c r="AM97" s="240">
        <f t="shared" si="16"/>
        <v>0</v>
      </c>
      <c r="AN97" s="256">
        <f>IF($F97=AN$1,$U97,0)*SUMIF('KU-LGE Rating'!$R:$R,$D97,'KU-LGE Rating'!$F:$F)</f>
        <v>0</v>
      </c>
      <c r="AO97" s="256">
        <f>IF($F97=AN$1,$U97,0)*SUMIF('KU-LGE Rating'!$R:$R,$D97,'KU-LGE Rating'!$G:$G)</f>
        <v>0</v>
      </c>
      <c r="AP97" s="240">
        <f t="shared" si="17"/>
        <v>0</v>
      </c>
      <c r="AQ97" s="277"/>
      <c r="AR97" s="277"/>
      <c r="AV97" s="278"/>
      <c r="AW97" s="278"/>
      <c r="AX97" s="278"/>
    </row>
    <row r="98" spans="1:50">
      <c r="A98" s="1" t="s">
        <v>2756</v>
      </c>
      <c r="B98" s="1" t="s">
        <v>3</v>
      </c>
      <c r="C98" t="s">
        <v>3723</v>
      </c>
      <c r="D98" t="s">
        <v>3737</v>
      </c>
      <c r="E98" t="s">
        <v>3893</v>
      </c>
      <c r="F98">
        <v>2016</v>
      </c>
      <c r="G98" t="s">
        <v>3908</v>
      </c>
      <c r="H98">
        <v>553100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21848.400000000001</v>
      </c>
      <c r="S98">
        <v>0</v>
      </c>
      <c r="T98">
        <v>0</v>
      </c>
      <c r="U98" s="8">
        <v>21848.400000000001</v>
      </c>
      <c r="V98" s="243" t="str">
        <f t="shared" si="10"/>
        <v>553</v>
      </c>
      <c r="W98" s="240">
        <f t="shared" si="11"/>
        <v>0</v>
      </c>
      <c r="X98" s="243">
        <f t="shared" si="12"/>
        <v>0</v>
      </c>
      <c r="Y98" s="255">
        <f>$W98*SUMIF('KU-LGE Rating'!$R:$R,$D98,'KU-LGE Rating'!F:F)</f>
        <v>0</v>
      </c>
      <c r="Z98" s="256">
        <f>$W98*SUMIF('KU-LGE Rating'!$R:$R,$D98,'KU-LGE Rating'!G:G)</f>
        <v>0</v>
      </c>
      <c r="AA98" s="257">
        <f t="shared" si="9"/>
        <v>0</v>
      </c>
      <c r="AB98" s="255">
        <f>$X98*SUMIF('KU-LGE Rating'!$R:$R,$D98,'KU-LGE Rating'!F:F)</f>
        <v>0</v>
      </c>
      <c r="AC98" s="256">
        <f>$X98*SUMIF('KU-LGE Rating'!$R:$R,$D98,'KU-LGE Rating'!G:G)</f>
        <v>0</v>
      </c>
      <c r="AD98" s="257">
        <f t="shared" si="13"/>
        <v>0</v>
      </c>
      <c r="AE98" s="274">
        <f>IF($F98=AE$1,$U98,0)*SUMIF('KU-LGE Rating'!$R:$R,$D98,'KU-LGE Rating'!$F:$F)</f>
        <v>0</v>
      </c>
      <c r="AF98" s="274">
        <f>IF($F98=AE$1,$U98,0)*SUMIF('KU-LGE Rating'!$R:$R,$D98,'KU-LGE Rating'!$G:$G)</f>
        <v>0</v>
      </c>
      <c r="AG98" s="240">
        <f t="shared" si="14"/>
        <v>0</v>
      </c>
      <c r="AH98" s="256">
        <f>IF($F98=AH$1,$U98,0)*SUMIF('KU-LGE Rating'!$R:$R,$D98,'KU-LGE Rating'!$F:$F)</f>
        <v>0</v>
      </c>
      <c r="AI98" s="256">
        <f>IF($F98=AH$1,$U98,0)*SUMIF('KU-LGE Rating'!$R:$R,$D98,'KU-LGE Rating'!$G:$G)</f>
        <v>0</v>
      </c>
      <c r="AJ98" s="240">
        <f t="shared" si="15"/>
        <v>0</v>
      </c>
      <c r="AK98" s="256">
        <f>IF($F98=AK$1,$U98,0)*SUMIF('KU-LGE Rating'!$R:$R,$D98,'KU-LGE Rating'!$F:$F)</f>
        <v>15512.364</v>
      </c>
      <c r="AL98" s="256">
        <f>IF($F98=AK$1,$U98,0)*SUMIF('KU-LGE Rating'!$R:$R,$D98,'KU-LGE Rating'!$G:$G)</f>
        <v>6336.0360000000001</v>
      </c>
      <c r="AM98" s="240">
        <f t="shared" si="16"/>
        <v>21848.400000000001</v>
      </c>
      <c r="AN98" s="256">
        <f>IF($F98=AN$1,$U98,0)*SUMIF('KU-LGE Rating'!$R:$R,$D98,'KU-LGE Rating'!$F:$F)</f>
        <v>0</v>
      </c>
      <c r="AO98" s="256">
        <f>IF($F98=AN$1,$U98,0)*SUMIF('KU-LGE Rating'!$R:$R,$D98,'KU-LGE Rating'!$G:$G)</f>
        <v>0</v>
      </c>
      <c r="AP98" s="240">
        <f t="shared" si="17"/>
        <v>0</v>
      </c>
      <c r="AQ98" s="277"/>
      <c r="AR98" s="277"/>
      <c r="AV98" s="278"/>
      <c r="AW98" s="278"/>
      <c r="AX98" s="278"/>
    </row>
    <row r="99" spans="1:50">
      <c r="A99" s="1" t="s">
        <v>2756</v>
      </c>
      <c r="B99" s="1" t="s">
        <v>3</v>
      </c>
      <c r="C99" t="s">
        <v>3723</v>
      </c>
      <c r="D99" t="s">
        <v>3737</v>
      </c>
      <c r="E99" t="s">
        <v>3893</v>
      </c>
      <c r="F99">
        <v>2017</v>
      </c>
      <c r="G99" t="s">
        <v>3908</v>
      </c>
      <c r="H99">
        <v>553100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15918.12</v>
      </c>
      <c r="S99">
        <v>0</v>
      </c>
      <c r="T99">
        <v>0</v>
      </c>
      <c r="U99" s="8">
        <v>15918.12</v>
      </c>
      <c r="V99" s="243" t="str">
        <f t="shared" si="10"/>
        <v>553</v>
      </c>
      <c r="W99" s="240">
        <f t="shared" si="11"/>
        <v>0</v>
      </c>
      <c r="X99" s="243">
        <f t="shared" si="12"/>
        <v>0</v>
      </c>
      <c r="Y99" s="255">
        <f>$W99*SUMIF('KU-LGE Rating'!$R:$R,$D99,'KU-LGE Rating'!F:F)</f>
        <v>0</v>
      </c>
      <c r="Z99" s="256">
        <f>$W99*SUMIF('KU-LGE Rating'!$R:$R,$D99,'KU-LGE Rating'!G:G)</f>
        <v>0</v>
      </c>
      <c r="AA99" s="257">
        <f t="shared" si="9"/>
        <v>0</v>
      </c>
      <c r="AB99" s="255">
        <f>$X99*SUMIF('KU-LGE Rating'!$R:$R,$D99,'KU-LGE Rating'!F:F)</f>
        <v>0</v>
      </c>
      <c r="AC99" s="256">
        <f>$X99*SUMIF('KU-LGE Rating'!$R:$R,$D99,'KU-LGE Rating'!G:G)</f>
        <v>0</v>
      </c>
      <c r="AD99" s="257">
        <f t="shared" si="13"/>
        <v>0</v>
      </c>
      <c r="AE99" s="274">
        <f>IF($F99=AE$1,$U99,0)*SUMIF('KU-LGE Rating'!$R:$R,$D99,'KU-LGE Rating'!$F:$F)</f>
        <v>0</v>
      </c>
      <c r="AF99" s="274">
        <f>IF($F99=AE$1,$U99,0)*SUMIF('KU-LGE Rating'!$R:$R,$D99,'KU-LGE Rating'!$G:$G)</f>
        <v>0</v>
      </c>
      <c r="AG99" s="240">
        <f t="shared" si="14"/>
        <v>0</v>
      </c>
      <c r="AH99" s="256">
        <f>IF($F99=AH$1,$U99,0)*SUMIF('KU-LGE Rating'!$R:$R,$D99,'KU-LGE Rating'!$F:$F)</f>
        <v>0</v>
      </c>
      <c r="AI99" s="256">
        <f>IF($F99=AH$1,$U99,0)*SUMIF('KU-LGE Rating'!$R:$R,$D99,'KU-LGE Rating'!$G:$G)</f>
        <v>0</v>
      </c>
      <c r="AJ99" s="240">
        <f t="shared" si="15"/>
        <v>0</v>
      </c>
      <c r="AK99" s="256">
        <f>IF($F99=AK$1,$U99,0)*SUMIF('KU-LGE Rating'!$R:$R,$D99,'KU-LGE Rating'!$F:$F)</f>
        <v>0</v>
      </c>
      <c r="AL99" s="256">
        <f>IF($F99=AK$1,$U99,0)*SUMIF('KU-LGE Rating'!$R:$R,$D99,'KU-LGE Rating'!$G:$G)</f>
        <v>0</v>
      </c>
      <c r="AM99" s="240">
        <f t="shared" si="16"/>
        <v>0</v>
      </c>
      <c r="AN99" s="256">
        <f>IF($F99=AN$1,$U99,0)*SUMIF('KU-LGE Rating'!$R:$R,$D99,'KU-LGE Rating'!$F:$F)</f>
        <v>11301.8652</v>
      </c>
      <c r="AO99" s="256">
        <f>IF($F99=AN$1,$U99,0)*SUMIF('KU-LGE Rating'!$R:$R,$D99,'KU-LGE Rating'!$G:$G)</f>
        <v>4616.2547999999997</v>
      </c>
      <c r="AP99" s="240">
        <f t="shared" si="17"/>
        <v>15918.12</v>
      </c>
      <c r="AQ99" s="277"/>
      <c r="AR99" s="277"/>
      <c r="AV99" s="278"/>
      <c r="AW99" s="278"/>
      <c r="AX99" s="278"/>
    </row>
    <row r="100" spans="1:50">
      <c r="A100" s="1" t="s">
        <v>2756</v>
      </c>
      <c r="B100" s="1" t="s">
        <v>3</v>
      </c>
      <c r="C100" t="s">
        <v>3723</v>
      </c>
      <c r="D100" t="s">
        <v>3738</v>
      </c>
      <c r="E100" t="s">
        <v>3893</v>
      </c>
      <c r="F100">
        <v>2014</v>
      </c>
      <c r="G100" t="s">
        <v>3908</v>
      </c>
      <c r="H100">
        <v>553100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21000</v>
      </c>
      <c r="S100">
        <v>0</v>
      </c>
      <c r="T100">
        <v>0</v>
      </c>
      <c r="U100" s="8">
        <v>21000</v>
      </c>
      <c r="V100" s="243" t="str">
        <f t="shared" si="10"/>
        <v>553</v>
      </c>
      <c r="W100" s="240">
        <f t="shared" si="11"/>
        <v>21000</v>
      </c>
      <c r="X100" s="243">
        <f t="shared" si="12"/>
        <v>0</v>
      </c>
      <c r="Y100" s="255">
        <f>$W100*SUMIF('KU-LGE Rating'!$R:$R,$D100,'KU-LGE Rating'!F:F)</f>
        <v>14910</v>
      </c>
      <c r="Z100" s="256">
        <f>$W100*SUMIF('KU-LGE Rating'!$R:$R,$D100,'KU-LGE Rating'!G:G)</f>
        <v>6090</v>
      </c>
      <c r="AA100" s="257">
        <f t="shared" si="9"/>
        <v>21000</v>
      </c>
      <c r="AB100" s="255">
        <f>$X100*SUMIF('KU-LGE Rating'!$R:$R,$D100,'KU-LGE Rating'!F:F)</f>
        <v>0</v>
      </c>
      <c r="AC100" s="256">
        <f>$X100*SUMIF('KU-LGE Rating'!$R:$R,$D100,'KU-LGE Rating'!G:G)</f>
        <v>0</v>
      </c>
      <c r="AD100" s="257">
        <f t="shared" si="13"/>
        <v>0</v>
      </c>
      <c r="AE100" s="274">
        <f>IF($F100=AE$1,$U100,0)*SUMIF('KU-LGE Rating'!$R:$R,$D100,'KU-LGE Rating'!$F:$F)</f>
        <v>14910</v>
      </c>
      <c r="AF100" s="274">
        <f>IF($F100=AE$1,$U100,0)*SUMIF('KU-LGE Rating'!$R:$R,$D100,'KU-LGE Rating'!$G:$G)</f>
        <v>6090</v>
      </c>
      <c r="AG100" s="240">
        <f t="shared" si="14"/>
        <v>21000</v>
      </c>
      <c r="AH100" s="256">
        <f>IF($F100=AH$1,$U100,0)*SUMIF('KU-LGE Rating'!$R:$R,$D100,'KU-LGE Rating'!$F:$F)</f>
        <v>0</v>
      </c>
      <c r="AI100" s="256">
        <f>IF($F100=AH$1,$U100,0)*SUMIF('KU-LGE Rating'!$R:$R,$D100,'KU-LGE Rating'!$G:$G)</f>
        <v>0</v>
      </c>
      <c r="AJ100" s="240">
        <f t="shared" si="15"/>
        <v>0</v>
      </c>
      <c r="AK100" s="256">
        <f>IF($F100=AK$1,$U100,0)*SUMIF('KU-LGE Rating'!$R:$R,$D100,'KU-LGE Rating'!$F:$F)</f>
        <v>0</v>
      </c>
      <c r="AL100" s="256">
        <f>IF($F100=AK$1,$U100,0)*SUMIF('KU-LGE Rating'!$R:$R,$D100,'KU-LGE Rating'!$G:$G)</f>
        <v>0</v>
      </c>
      <c r="AM100" s="240">
        <f t="shared" si="16"/>
        <v>0</v>
      </c>
      <c r="AN100" s="256">
        <f>IF($F100=AN$1,$U100,0)*SUMIF('KU-LGE Rating'!$R:$R,$D100,'KU-LGE Rating'!$F:$F)</f>
        <v>0</v>
      </c>
      <c r="AO100" s="256">
        <f>IF($F100=AN$1,$U100,0)*SUMIF('KU-LGE Rating'!$R:$R,$D100,'KU-LGE Rating'!$G:$G)</f>
        <v>0</v>
      </c>
      <c r="AP100" s="240">
        <f t="shared" si="17"/>
        <v>0</v>
      </c>
      <c r="AQ100" s="277"/>
      <c r="AR100" s="277"/>
      <c r="AV100" s="278"/>
      <c r="AW100" s="278"/>
      <c r="AX100" s="278"/>
    </row>
    <row r="101" spans="1:50">
      <c r="A101" s="1" t="s">
        <v>2756</v>
      </c>
      <c r="B101" s="1" t="s">
        <v>3</v>
      </c>
      <c r="C101" t="s">
        <v>3723</v>
      </c>
      <c r="D101" t="s">
        <v>3738</v>
      </c>
      <c r="E101" t="s">
        <v>3893</v>
      </c>
      <c r="F101">
        <v>2015</v>
      </c>
      <c r="G101" t="s">
        <v>3908</v>
      </c>
      <c r="H101">
        <v>553100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15300</v>
      </c>
      <c r="S101">
        <v>0</v>
      </c>
      <c r="T101">
        <v>0</v>
      </c>
      <c r="U101" s="8">
        <v>15300</v>
      </c>
      <c r="V101" s="243" t="str">
        <f t="shared" si="10"/>
        <v>553</v>
      </c>
      <c r="W101" s="240">
        <f t="shared" si="11"/>
        <v>0</v>
      </c>
      <c r="X101" s="243">
        <f t="shared" si="12"/>
        <v>15300</v>
      </c>
      <c r="Y101" s="255">
        <f>$W101*SUMIF('KU-LGE Rating'!$R:$R,$D101,'KU-LGE Rating'!F:F)</f>
        <v>0</v>
      </c>
      <c r="Z101" s="256">
        <f>$W101*SUMIF('KU-LGE Rating'!$R:$R,$D101,'KU-LGE Rating'!G:G)</f>
        <v>0</v>
      </c>
      <c r="AA101" s="257">
        <f t="shared" si="9"/>
        <v>0</v>
      </c>
      <c r="AB101" s="255">
        <f>$X101*SUMIF('KU-LGE Rating'!$R:$R,$D101,'KU-LGE Rating'!F:F)</f>
        <v>10863</v>
      </c>
      <c r="AC101" s="256">
        <f>$X101*SUMIF('KU-LGE Rating'!$R:$R,$D101,'KU-LGE Rating'!G:G)</f>
        <v>4437</v>
      </c>
      <c r="AD101" s="257">
        <f t="shared" si="13"/>
        <v>15300</v>
      </c>
      <c r="AE101" s="274">
        <f>IF($F101=AE$1,$U101,0)*SUMIF('KU-LGE Rating'!$R:$R,$D101,'KU-LGE Rating'!$F:$F)</f>
        <v>0</v>
      </c>
      <c r="AF101" s="274">
        <f>IF($F101=AE$1,$U101,0)*SUMIF('KU-LGE Rating'!$R:$R,$D101,'KU-LGE Rating'!$G:$G)</f>
        <v>0</v>
      </c>
      <c r="AG101" s="240">
        <f t="shared" si="14"/>
        <v>0</v>
      </c>
      <c r="AH101" s="256">
        <f>IF($F101=AH$1,$U101,0)*SUMIF('KU-LGE Rating'!$R:$R,$D101,'KU-LGE Rating'!$F:$F)</f>
        <v>10863</v>
      </c>
      <c r="AI101" s="256">
        <f>IF($F101=AH$1,$U101,0)*SUMIF('KU-LGE Rating'!$R:$R,$D101,'KU-LGE Rating'!$G:$G)</f>
        <v>4437</v>
      </c>
      <c r="AJ101" s="240">
        <f t="shared" si="15"/>
        <v>15300</v>
      </c>
      <c r="AK101" s="256">
        <f>IF($F101=AK$1,$U101,0)*SUMIF('KU-LGE Rating'!$R:$R,$D101,'KU-LGE Rating'!$F:$F)</f>
        <v>0</v>
      </c>
      <c r="AL101" s="256">
        <f>IF($F101=AK$1,$U101,0)*SUMIF('KU-LGE Rating'!$R:$R,$D101,'KU-LGE Rating'!$G:$G)</f>
        <v>0</v>
      </c>
      <c r="AM101" s="240">
        <f t="shared" si="16"/>
        <v>0</v>
      </c>
      <c r="AN101" s="256">
        <f>IF($F101=AN$1,$U101,0)*SUMIF('KU-LGE Rating'!$R:$R,$D101,'KU-LGE Rating'!$F:$F)</f>
        <v>0</v>
      </c>
      <c r="AO101" s="256">
        <f>IF($F101=AN$1,$U101,0)*SUMIF('KU-LGE Rating'!$R:$R,$D101,'KU-LGE Rating'!$G:$G)</f>
        <v>0</v>
      </c>
      <c r="AP101" s="240">
        <f t="shared" si="17"/>
        <v>0</v>
      </c>
      <c r="AQ101" s="277"/>
      <c r="AR101" s="277"/>
      <c r="AV101" s="278"/>
      <c r="AW101" s="278"/>
      <c r="AX101" s="278"/>
    </row>
    <row r="102" spans="1:50">
      <c r="A102" s="1" t="s">
        <v>2756</v>
      </c>
      <c r="B102" s="1" t="s">
        <v>3</v>
      </c>
      <c r="C102" t="s">
        <v>3723</v>
      </c>
      <c r="D102" t="s">
        <v>3738</v>
      </c>
      <c r="E102" t="s">
        <v>3893</v>
      </c>
      <c r="F102">
        <v>2016</v>
      </c>
      <c r="G102" t="s">
        <v>3908</v>
      </c>
      <c r="H102">
        <v>553100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21848.400000000001</v>
      </c>
      <c r="S102">
        <v>0</v>
      </c>
      <c r="T102">
        <v>0</v>
      </c>
      <c r="U102" s="8">
        <v>21848.400000000001</v>
      </c>
      <c r="V102" s="243" t="str">
        <f t="shared" si="10"/>
        <v>553</v>
      </c>
      <c r="W102" s="240">
        <f t="shared" si="11"/>
        <v>0</v>
      </c>
      <c r="X102" s="243">
        <f t="shared" si="12"/>
        <v>0</v>
      </c>
      <c r="Y102" s="255">
        <f>$W102*SUMIF('KU-LGE Rating'!$R:$R,$D102,'KU-LGE Rating'!F:F)</f>
        <v>0</v>
      </c>
      <c r="Z102" s="256">
        <f>$W102*SUMIF('KU-LGE Rating'!$R:$R,$D102,'KU-LGE Rating'!G:G)</f>
        <v>0</v>
      </c>
      <c r="AA102" s="257">
        <f t="shared" si="9"/>
        <v>0</v>
      </c>
      <c r="AB102" s="255">
        <f>$X102*SUMIF('KU-LGE Rating'!$R:$R,$D102,'KU-LGE Rating'!F:F)</f>
        <v>0</v>
      </c>
      <c r="AC102" s="256">
        <f>$X102*SUMIF('KU-LGE Rating'!$R:$R,$D102,'KU-LGE Rating'!G:G)</f>
        <v>0</v>
      </c>
      <c r="AD102" s="257">
        <f t="shared" si="13"/>
        <v>0</v>
      </c>
      <c r="AE102" s="274">
        <f>IF($F102=AE$1,$U102,0)*SUMIF('KU-LGE Rating'!$R:$R,$D102,'KU-LGE Rating'!$F:$F)</f>
        <v>0</v>
      </c>
      <c r="AF102" s="274">
        <f>IF($F102=AE$1,$U102,0)*SUMIF('KU-LGE Rating'!$R:$R,$D102,'KU-LGE Rating'!$G:$G)</f>
        <v>0</v>
      </c>
      <c r="AG102" s="240">
        <f t="shared" si="14"/>
        <v>0</v>
      </c>
      <c r="AH102" s="256">
        <f>IF($F102=AH$1,$U102,0)*SUMIF('KU-LGE Rating'!$R:$R,$D102,'KU-LGE Rating'!$F:$F)</f>
        <v>0</v>
      </c>
      <c r="AI102" s="256">
        <f>IF($F102=AH$1,$U102,0)*SUMIF('KU-LGE Rating'!$R:$R,$D102,'KU-LGE Rating'!$G:$G)</f>
        <v>0</v>
      </c>
      <c r="AJ102" s="240">
        <f t="shared" si="15"/>
        <v>0</v>
      </c>
      <c r="AK102" s="256">
        <f>IF($F102=AK$1,$U102,0)*SUMIF('KU-LGE Rating'!$R:$R,$D102,'KU-LGE Rating'!$F:$F)</f>
        <v>15512.364</v>
      </c>
      <c r="AL102" s="256">
        <f>IF($F102=AK$1,$U102,0)*SUMIF('KU-LGE Rating'!$R:$R,$D102,'KU-LGE Rating'!$G:$G)</f>
        <v>6336.0360000000001</v>
      </c>
      <c r="AM102" s="240">
        <f t="shared" si="16"/>
        <v>21848.400000000001</v>
      </c>
      <c r="AN102" s="256">
        <f>IF($F102=AN$1,$U102,0)*SUMIF('KU-LGE Rating'!$R:$R,$D102,'KU-LGE Rating'!$F:$F)</f>
        <v>0</v>
      </c>
      <c r="AO102" s="256">
        <f>IF($F102=AN$1,$U102,0)*SUMIF('KU-LGE Rating'!$R:$R,$D102,'KU-LGE Rating'!$G:$G)</f>
        <v>0</v>
      </c>
      <c r="AP102" s="240">
        <f t="shared" si="17"/>
        <v>0</v>
      </c>
      <c r="AQ102" s="277"/>
      <c r="AR102" s="277"/>
      <c r="AV102" s="278"/>
      <c r="AW102" s="278"/>
      <c r="AX102" s="278"/>
    </row>
    <row r="103" spans="1:50">
      <c r="A103" s="1" t="s">
        <v>2756</v>
      </c>
      <c r="B103" s="1" t="s">
        <v>3</v>
      </c>
      <c r="C103" t="s">
        <v>3723</v>
      </c>
      <c r="D103" t="s">
        <v>3738</v>
      </c>
      <c r="E103" t="s">
        <v>3893</v>
      </c>
      <c r="F103">
        <v>2017</v>
      </c>
      <c r="G103" t="s">
        <v>3908</v>
      </c>
      <c r="H103">
        <v>553100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15918.12</v>
      </c>
      <c r="S103">
        <v>0</v>
      </c>
      <c r="T103">
        <v>0</v>
      </c>
      <c r="U103" s="8">
        <v>15918.12</v>
      </c>
      <c r="V103" s="243" t="str">
        <f t="shared" si="10"/>
        <v>553</v>
      </c>
      <c r="W103" s="240">
        <f t="shared" si="11"/>
        <v>0</v>
      </c>
      <c r="X103" s="243">
        <f t="shared" si="12"/>
        <v>0</v>
      </c>
      <c r="Y103" s="255">
        <f>$W103*SUMIF('KU-LGE Rating'!$R:$R,$D103,'KU-LGE Rating'!F:F)</f>
        <v>0</v>
      </c>
      <c r="Z103" s="256">
        <f>$W103*SUMIF('KU-LGE Rating'!$R:$R,$D103,'KU-LGE Rating'!G:G)</f>
        <v>0</v>
      </c>
      <c r="AA103" s="257">
        <f t="shared" si="9"/>
        <v>0</v>
      </c>
      <c r="AB103" s="255">
        <f>$X103*SUMIF('KU-LGE Rating'!$R:$R,$D103,'KU-LGE Rating'!F:F)</f>
        <v>0</v>
      </c>
      <c r="AC103" s="256">
        <f>$X103*SUMIF('KU-LGE Rating'!$R:$R,$D103,'KU-LGE Rating'!G:G)</f>
        <v>0</v>
      </c>
      <c r="AD103" s="257">
        <f t="shared" si="13"/>
        <v>0</v>
      </c>
      <c r="AE103" s="274">
        <f>IF($F103=AE$1,$U103,0)*SUMIF('KU-LGE Rating'!$R:$R,$D103,'KU-LGE Rating'!$F:$F)</f>
        <v>0</v>
      </c>
      <c r="AF103" s="274">
        <f>IF($F103=AE$1,$U103,0)*SUMIF('KU-LGE Rating'!$R:$R,$D103,'KU-LGE Rating'!$G:$G)</f>
        <v>0</v>
      </c>
      <c r="AG103" s="240">
        <f t="shared" si="14"/>
        <v>0</v>
      </c>
      <c r="AH103" s="256">
        <f>IF($F103=AH$1,$U103,0)*SUMIF('KU-LGE Rating'!$R:$R,$D103,'KU-LGE Rating'!$F:$F)</f>
        <v>0</v>
      </c>
      <c r="AI103" s="256">
        <f>IF($F103=AH$1,$U103,0)*SUMIF('KU-LGE Rating'!$R:$R,$D103,'KU-LGE Rating'!$G:$G)</f>
        <v>0</v>
      </c>
      <c r="AJ103" s="240">
        <f t="shared" si="15"/>
        <v>0</v>
      </c>
      <c r="AK103" s="256">
        <f>IF($F103=AK$1,$U103,0)*SUMIF('KU-LGE Rating'!$R:$R,$D103,'KU-LGE Rating'!$F:$F)</f>
        <v>0</v>
      </c>
      <c r="AL103" s="256">
        <f>IF($F103=AK$1,$U103,0)*SUMIF('KU-LGE Rating'!$R:$R,$D103,'KU-LGE Rating'!$G:$G)</f>
        <v>0</v>
      </c>
      <c r="AM103" s="240">
        <f t="shared" si="16"/>
        <v>0</v>
      </c>
      <c r="AN103" s="256">
        <f>IF($F103=AN$1,$U103,0)*SUMIF('KU-LGE Rating'!$R:$R,$D103,'KU-LGE Rating'!$F:$F)</f>
        <v>11301.8652</v>
      </c>
      <c r="AO103" s="256">
        <f>IF($F103=AN$1,$U103,0)*SUMIF('KU-LGE Rating'!$R:$R,$D103,'KU-LGE Rating'!$G:$G)</f>
        <v>4616.2547999999997</v>
      </c>
      <c r="AP103" s="240">
        <f t="shared" si="17"/>
        <v>15918.12</v>
      </c>
      <c r="AQ103" s="277"/>
      <c r="AR103" s="277"/>
      <c r="AV103" s="278"/>
      <c r="AW103" s="278"/>
      <c r="AX103" s="278"/>
    </row>
    <row r="104" spans="1:50">
      <c r="A104" s="1" t="s">
        <v>2756</v>
      </c>
      <c r="B104" s="1" t="s">
        <v>3</v>
      </c>
      <c r="C104" t="s">
        <v>3723</v>
      </c>
      <c r="D104" t="s">
        <v>3739</v>
      </c>
      <c r="E104" t="s">
        <v>3893</v>
      </c>
      <c r="F104">
        <v>2014</v>
      </c>
      <c r="G104" t="s">
        <v>3908</v>
      </c>
      <c r="H104">
        <v>553100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21000</v>
      </c>
      <c r="S104">
        <v>0</v>
      </c>
      <c r="T104">
        <v>0</v>
      </c>
      <c r="U104" s="8">
        <v>21000</v>
      </c>
      <c r="V104" s="243" t="str">
        <f t="shared" si="10"/>
        <v>553</v>
      </c>
      <c r="W104" s="240">
        <f t="shared" si="11"/>
        <v>21000</v>
      </c>
      <c r="X104" s="243">
        <f t="shared" si="12"/>
        <v>0</v>
      </c>
      <c r="Y104" s="255">
        <f>$W104*SUMIF('KU-LGE Rating'!$R:$R,$D104,'KU-LGE Rating'!F:F)</f>
        <v>13230</v>
      </c>
      <c r="Z104" s="256">
        <f>$W104*SUMIF('KU-LGE Rating'!$R:$R,$D104,'KU-LGE Rating'!G:G)</f>
        <v>7770</v>
      </c>
      <c r="AA104" s="257">
        <f t="shared" si="9"/>
        <v>21000</v>
      </c>
      <c r="AB104" s="255">
        <f>$X104*SUMIF('KU-LGE Rating'!$R:$R,$D104,'KU-LGE Rating'!F:F)</f>
        <v>0</v>
      </c>
      <c r="AC104" s="256">
        <f>$X104*SUMIF('KU-LGE Rating'!$R:$R,$D104,'KU-LGE Rating'!G:G)</f>
        <v>0</v>
      </c>
      <c r="AD104" s="257">
        <f t="shared" si="13"/>
        <v>0</v>
      </c>
      <c r="AE104" s="274">
        <f>IF($F104=AE$1,$U104,0)*SUMIF('KU-LGE Rating'!$R:$R,$D104,'KU-LGE Rating'!$F:$F)</f>
        <v>13230</v>
      </c>
      <c r="AF104" s="274">
        <f>IF($F104=AE$1,$U104,0)*SUMIF('KU-LGE Rating'!$R:$R,$D104,'KU-LGE Rating'!$G:$G)</f>
        <v>7770</v>
      </c>
      <c r="AG104" s="240">
        <f t="shared" si="14"/>
        <v>21000</v>
      </c>
      <c r="AH104" s="256">
        <f>IF($F104=AH$1,$U104,0)*SUMIF('KU-LGE Rating'!$R:$R,$D104,'KU-LGE Rating'!$F:$F)</f>
        <v>0</v>
      </c>
      <c r="AI104" s="256">
        <f>IF($F104=AH$1,$U104,0)*SUMIF('KU-LGE Rating'!$R:$R,$D104,'KU-LGE Rating'!$G:$G)</f>
        <v>0</v>
      </c>
      <c r="AJ104" s="240">
        <f t="shared" si="15"/>
        <v>0</v>
      </c>
      <c r="AK104" s="256">
        <f>IF($F104=AK$1,$U104,0)*SUMIF('KU-LGE Rating'!$R:$R,$D104,'KU-LGE Rating'!$F:$F)</f>
        <v>0</v>
      </c>
      <c r="AL104" s="256">
        <f>IF($F104=AK$1,$U104,0)*SUMIF('KU-LGE Rating'!$R:$R,$D104,'KU-LGE Rating'!$G:$G)</f>
        <v>0</v>
      </c>
      <c r="AM104" s="240">
        <f t="shared" si="16"/>
        <v>0</v>
      </c>
      <c r="AN104" s="256">
        <f>IF($F104=AN$1,$U104,0)*SUMIF('KU-LGE Rating'!$R:$R,$D104,'KU-LGE Rating'!$F:$F)</f>
        <v>0</v>
      </c>
      <c r="AO104" s="256">
        <f>IF($F104=AN$1,$U104,0)*SUMIF('KU-LGE Rating'!$R:$R,$D104,'KU-LGE Rating'!$G:$G)</f>
        <v>0</v>
      </c>
      <c r="AP104" s="240">
        <f t="shared" si="17"/>
        <v>0</v>
      </c>
      <c r="AQ104" s="277"/>
      <c r="AR104" s="277"/>
      <c r="AV104" s="278"/>
      <c r="AW104" s="278"/>
      <c r="AX104" s="278"/>
    </row>
    <row r="105" spans="1:50">
      <c r="A105" s="1" t="s">
        <v>2756</v>
      </c>
      <c r="B105" s="1" t="s">
        <v>3</v>
      </c>
      <c r="C105" t="s">
        <v>3723</v>
      </c>
      <c r="D105" t="s">
        <v>3739</v>
      </c>
      <c r="E105" t="s">
        <v>3893</v>
      </c>
      <c r="F105">
        <v>2015</v>
      </c>
      <c r="G105" t="s">
        <v>3908</v>
      </c>
      <c r="H105">
        <v>553100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15300</v>
      </c>
      <c r="S105">
        <v>0</v>
      </c>
      <c r="T105">
        <v>0</v>
      </c>
      <c r="U105" s="8">
        <v>15300</v>
      </c>
      <c r="V105" s="243" t="str">
        <f t="shared" si="10"/>
        <v>553</v>
      </c>
      <c r="W105" s="240">
        <f t="shared" si="11"/>
        <v>0</v>
      </c>
      <c r="X105" s="243">
        <f t="shared" si="12"/>
        <v>15300</v>
      </c>
      <c r="Y105" s="255">
        <f>$W105*SUMIF('KU-LGE Rating'!$R:$R,$D105,'KU-LGE Rating'!F:F)</f>
        <v>0</v>
      </c>
      <c r="Z105" s="256">
        <f>$W105*SUMIF('KU-LGE Rating'!$R:$R,$D105,'KU-LGE Rating'!G:G)</f>
        <v>0</v>
      </c>
      <c r="AA105" s="257">
        <f t="shared" si="9"/>
        <v>0</v>
      </c>
      <c r="AB105" s="255">
        <f>$X105*SUMIF('KU-LGE Rating'!$R:$R,$D105,'KU-LGE Rating'!F:F)</f>
        <v>9639</v>
      </c>
      <c r="AC105" s="256">
        <f>$X105*SUMIF('KU-LGE Rating'!$R:$R,$D105,'KU-LGE Rating'!G:G)</f>
        <v>5661</v>
      </c>
      <c r="AD105" s="257">
        <f t="shared" si="13"/>
        <v>15300</v>
      </c>
      <c r="AE105" s="274">
        <f>IF($F105=AE$1,$U105,0)*SUMIF('KU-LGE Rating'!$R:$R,$D105,'KU-LGE Rating'!$F:$F)</f>
        <v>0</v>
      </c>
      <c r="AF105" s="274">
        <f>IF($F105=AE$1,$U105,0)*SUMIF('KU-LGE Rating'!$R:$R,$D105,'KU-LGE Rating'!$G:$G)</f>
        <v>0</v>
      </c>
      <c r="AG105" s="240">
        <f t="shared" si="14"/>
        <v>0</v>
      </c>
      <c r="AH105" s="256">
        <f>IF($F105=AH$1,$U105,0)*SUMIF('KU-LGE Rating'!$R:$R,$D105,'KU-LGE Rating'!$F:$F)</f>
        <v>9639</v>
      </c>
      <c r="AI105" s="256">
        <f>IF($F105=AH$1,$U105,0)*SUMIF('KU-LGE Rating'!$R:$R,$D105,'KU-LGE Rating'!$G:$G)</f>
        <v>5661</v>
      </c>
      <c r="AJ105" s="240">
        <f t="shared" si="15"/>
        <v>15300</v>
      </c>
      <c r="AK105" s="256">
        <f>IF($F105=AK$1,$U105,0)*SUMIF('KU-LGE Rating'!$R:$R,$D105,'KU-LGE Rating'!$F:$F)</f>
        <v>0</v>
      </c>
      <c r="AL105" s="256">
        <f>IF($F105=AK$1,$U105,0)*SUMIF('KU-LGE Rating'!$R:$R,$D105,'KU-LGE Rating'!$G:$G)</f>
        <v>0</v>
      </c>
      <c r="AM105" s="240">
        <f t="shared" si="16"/>
        <v>0</v>
      </c>
      <c r="AN105" s="256">
        <f>IF($F105=AN$1,$U105,0)*SUMIF('KU-LGE Rating'!$R:$R,$D105,'KU-LGE Rating'!$F:$F)</f>
        <v>0</v>
      </c>
      <c r="AO105" s="256">
        <f>IF($F105=AN$1,$U105,0)*SUMIF('KU-LGE Rating'!$R:$R,$D105,'KU-LGE Rating'!$G:$G)</f>
        <v>0</v>
      </c>
      <c r="AP105" s="240">
        <f t="shared" si="17"/>
        <v>0</v>
      </c>
      <c r="AQ105" s="277"/>
      <c r="AR105" s="277"/>
      <c r="AV105" s="278"/>
      <c r="AW105" s="278"/>
      <c r="AX105" s="278"/>
    </row>
    <row r="106" spans="1:50">
      <c r="A106" s="1" t="s">
        <v>2756</v>
      </c>
      <c r="B106" s="1" t="s">
        <v>3</v>
      </c>
      <c r="C106" t="s">
        <v>3723</v>
      </c>
      <c r="D106" t="s">
        <v>3739</v>
      </c>
      <c r="E106" t="s">
        <v>3893</v>
      </c>
      <c r="F106">
        <v>2016</v>
      </c>
      <c r="G106" t="s">
        <v>3908</v>
      </c>
      <c r="H106">
        <v>553100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21848.400000000001</v>
      </c>
      <c r="S106">
        <v>0</v>
      </c>
      <c r="T106">
        <v>0</v>
      </c>
      <c r="U106" s="8">
        <v>21848.400000000001</v>
      </c>
      <c r="V106" s="243" t="str">
        <f t="shared" si="10"/>
        <v>553</v>
      </c>
      <c r="W106" s="240">
        <f t="shared" si="11"/>
        <v>0</v>
      </c>
      <c r="X106" s="243">
        <f t="shared" si="12"/>
        <v>0</v>
      </c>
      <c r="Y106" s="255">
        <f>$W106*SUMIF('KU-LGE Rating'!$R:$R,$D106,'KU-LGE Rating'!F:F)</f>
        <v>0</v>
      </c>
      <c r="Z106" s="256">
        <f>$W106*SUMIF('KU-LGE Rating'!$R:$R,$D106,'KU-LGE Rating'!G:G)</f>
        <v>0</v>
      </c>
      <c r="AA106" s="257">
        <f t="shared" si="9"/>
        <v>0</v>
      </c>
      <c r="AB106" s="255">
        <f>$X106*SUMIF('KU-LGE Rating'!$R:$R,$D106,'KU-LGE Rating'!F:F)</f>
        <v>0</v>
      </c>
      <c r="AC106" s="256">
        <f>$X106*SUMIF('KU-LGE Rating'!$R:$R,$D106,'KU-LGE Rating'!G:G)</f>
        <v>0</v>
      </c>
      <c r="AD106" s="257">
        <f t="shared" si="13"/>
        <v>0</v>
      </c>
      <c r="AE106" s="274">
        <f>IF($F106=AE$1,$U106,0)*SUMIF('KU-LGE Rating'!$R:$R,$D106,'KU-LGE Rating'!$F:$F)</f>
        <v>0</v>
      </c>
      <c r="AF106" s="274">
        <f>IF($F106=AE$1,$U106,0)*SUMIF('KU-LGE Rating'!$R:$R,$D106,'KU-LGE Rating'!$G:$G)</f>
        <v>0</v>
      </c>
      <c r="AG106" s="240">
        <f t="shared" si="14"/>
        <v>0</v>
      </c>
      <c r="AH106" s="256">
        <f>IF($F106=AH$1,$U106,0)*SUMIF('KU-LGE Rating'!$R:$R,$D106,'KU-LGE Rating'!$F:$F)</f>
        <v>0</v>
      </c>
      <c r="AI106" s="256">
        <f>IF($F106=AH$1,$U106,0)*SUMIF('KU-LGE Rating'!$R:$R,$D106,'KU-LGE Rating'!$G:$G)</f>
        <v>0</v>
      </c>
      <c r="AJ106" s="240">
        <f t="shared" si="15"/>
        <v>0</v>
      </c>
      <c r="AK106" s="256">
        <f>IF($F106=AK$1,$U106,0)*SUMIF('KU-LGE Rating'!$R:$R,$D106,'KU-LGE Rating'!$F:$F)</f>
        <v>13764.492</v>
      </c>
      <c r="AL106" s="256">
        <f>IF($F106=AK$1,$U106,0)*SUMIF('KU-LGE Rating'!$R:$R,$D106,'KU-LGE Rating'!$G:$G)</f>
        <v>8083.9080000000004</v>
      </c>
      <c r="AM106" s="240">
        <f t="shared" si="16"/>
        <v>21848.400000000001</v>
      </c>
      <c r="AN106" s="256">
        <f>IF($F106=AN$1,$U106,0)*SUMIF('KU-LGE Rating'!$R:$R,$D106,'KU-LGE Rating'!$F:$F)</f>
        <v>0</v>
      </c>
      <c r="AO106" s="256">
        <f>IF($F106=AN$1,$U106,0)*SUMIF('KU-LGE Rating'!$R:$R,$D106,'KU-LGE Rating'!$G:$G)</f>
        <v>0</v>
      </c>
      <c r="AP106" s="240">
        <f t="shared" si="17"/>
        <v>0</v>
      </c>
      <c r="AQ106" s="277"/>
      <c r="AR106" s="277"/>
      <c r="AV106" s="278"/>
      <c r="AW106" s="278"/>
      <c r="AX106" s="278"/>
    </row>
    <row r="107" spans="1:50">
      <c r="A107" s="1" t="s">
        <v>2756</v>
      </c>
      <c r="B107" s="1" t="s">
        <v>3</v>
      </c>
      <c r="C107" t="s">
        <v>3723</v>
      </c>
      <c r="D107" t="s">
        <v>3739</v>
      </c>
      <c r="E107" t="s">
        <v>3893</v>
      </c>
      <c r="F107">
        <v>2017</v>
      </c>
      <c r="G107" t="s">
        <v>3908</v>
      </c>
      <c r="H107">
        <v>553100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15918.12</v>
      </c>
      <c r="S107">
        <v>0</v>
      </c>
      <c r="T107">
        <v>0</v>
      </c>
      <c r="U107" s="8">
        <v>15918.12</v>
      </c>
      <c r="V107" s="243" t="str">
        <f t="shared" si="10"/>
        <v>553</v>
      </c>
      <c r="W107" s="240">
        <f t="shared" si="11"/>
        <v>0</v>
      </c>
      <c r="X107" s="243">
        <f t="shared" si="12"/>
        <v>0</v>
      </c>
      <c r="Y107" s="255">
        <f>$W107*SUMIF('KU-LGE Rating'!$R:$R,$D107,'KU-LGE Rating'!F:F)</f>
        <v>0</v>
      </c>
      <c r="Z107" s="256">
        <f>$W107*SUMIF('KU-LGE Rating'!$R:$R,$D107,'KU-LGE Rating'!G:G)</f>
        <v>0</v>
      </c>
      <c r="AA107" s="257">
        <f t="shared" si="9"/>
        <v>0</v>
      </c>
      <c r="AB107" s="255">
        <f>$X107*SUMIF('KU-LGE Rating'!$R:$R,$D107,'KU-LGE Rating'!F:F)</f>
        <v>0</v>
      </c>
      <c r="AC107" s="256">
        <f>$X107*SUMIF('KU-LGE Rating'!$R:$R,$D107,'KU-LGE Rating'!G:G)</f>
        <v>0</v>
      </c>
      <c r="AD107" s="257">
        <f t="shared" si="13"/>
        <v>0</v>
      </c>
      <c r="AE107" s="274">
        <f>IF($F107=AE$1,$U107,0)*SUMIF('KU-LGE Rating'!$R:$R,$D107,'KU-LGE Rating'!$F:$F)</f>
        <v>0</v>
      </c>
      <c r="AF107" s="274">
        <f>IF($F107=AE$1,$U107,0)*SUMIF('KU-LGE Rating'!$R:$R,$D107,'KU-LGE Rating'!$G:$G)</f>
        <v>0</v>
      </c>
      <c r="AG107" s="240">
        <f t="shared" si="14"/>
        <v>0</v>
      </c>
      <c r="AH107" s="256">
        <f>IF($F107=AH$1,$U107,0)*SUMIF('KU-LGE Rating'!$R:$R,$D107,'KU-LGE Rating'!$F:$F)</f>
        <v>0</v>
      </c>
      <c r="AI107" s="256">
        <f>IF($F107=AH$1,$U107,0)*SUMIF('KU-LGE Rating'!$R:$R,$D107,'KU-LGE Rating'!$G:$G)</f>
        <v>0</v>
      </c>
      <c r="AJ107" s="240">
        <f t="shared" si="15"/>
        <v>0</v>
      </c>
      <c r="AK107" s="256">
        <f>IF($F107=AK$1,$U107,0)*SUMIF('KU-LGE Rating'!$R:$R,$D107,'KU-LGE Rating'!$F:$F)</f>
        <v>0</v>
      </c>
      <c r="AL107" s="256">
        <f>IF($F107=AK$1,$U107,0)*SUMIF('KU-LGE Rating'!$R:$R,$D107,'KU-LGE Rating'!$G:$G)</f>
        <v>0</v>
      </c>
      <c r="AM107" s="240">
        <f t="shared" si="16"/>
        <v>0</v>
      </c>
      <c r="AN107" s="256">
        <f>IF($F107=AN$1,$U107,0)*SUMIF('KU-LGE Rating'!$R:$R,$D107,'KU-LGE Rating'!$F:$F)</f>
        <v>10028.4156</v>
      </c>
      <c r="AO107" s="256">
        <f>IF($F107=AN$1,$U107,0)*SUMIF('KU-LGE Rating'!$R:$R,$D107,'KU-LGE Rating'!$G:$G)</f>
        <v>5889.7044000000005</v>
      </c>
      <c r="AP107" s="240">
        <f t="shared" si="17"/>
        <v>15918.12</v>
      </c>
      <c r="AQ107" s="277"/>
      <c r="AR107" s="277"/>
      <c r="AV107" s="278"/>
      <c r="AW107" s="278"/>
      <c r="AX107" s="278"/>
    </row>
    <row r="108" spans="1:50">
      <c r="A108" s="1" t="s">
        <v>2756</v>
      </c>
      <c r="B108" s="1" t="s">
        <v>3</v>
      </c>
      <c r="C108" t="s">
        <v>3723</v>
      </c>
      <c r="D108" t="s">
        <v>3740</v>
      </c>
      <c r="E108" t="s">
        <v>3893</v>
      </c>
      <c r="F108">
        <v>2014</v>
      </c>
      <c r="G108" t="s">
        <v>3908</v>
      </c>
      <c r="H108">
        <v>553100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21000</v>
      </c>
      <c r="S108">
        <v>0</v>
      </c>
      <c r="T108">
        <v>0</v>
      </c>
      <c r="U108" s="8">
        <v>21000</v>
      </c>
      <c r="V108" s="243" t="str">
        <f t="shared" si="10"/>
        <v>553</v>
      </c>
      <c r="W108" s="240">
        <f t="shared" si="11"/>
        <v>21000</v>
      </c>
      <c r="X108" s="243">
        <f t="shared" si="12"/>
        <v>0</v>
      </c>
      <c r="Y108" s="255">
        <f>$W108*SUMIF('KU-LGE Rating'!$R:$R,$D108,'KU-LGE Rating'!F:F)</f>
        <v>13230</v>
      </c>
      <c r="Z108" s="256">
        <f>$W108*SUMIF('KU-LGE Rating'!$R:$R,$D108,'KU-LGE Rating'!G:G)</f>
        <v>7770</v>
      </c>
      <c r="AA108" s="257">
        <f t="shared" si="9"/>
        <v>21000</v>
      </c>
      <c r="AB108" s="255">
        <f>$X108*SUMIF('KU-LGE Rating'!$R:$R,$D108,'KU-LGE Rating'!F:F)</f>
        <v>0</v>
      </c>
      <c r="AC108" s="256">
        <f>$X108*SUMIF('KU-LGE Rating'!$R:$R,$D108,'KU-LGE Rating'!G:G)</f>
        <v>0</v>
      </c>
      <c r="AD108" s="257">
        <f t="shared" si="13"/>
        <v>0</v>
      </c>
      <c r="AE108" s="274">
        <f>IF($F108=AE$1,$U108,0)*SUMIF('KU-LGE Rating'!$R:$R,$D108,'KU-LGE Rating'!$F:$F)</f>
        <v>13230</v>
      </c>
      <c r="AF108" s="274">
        <f>IF($F108=AE$1,$U108,0)*SUMIF('KU-LGE Rating'!$R:$R,$D108,'KU-LGE Rating'!$G:$G)</f>
        <v>7770</v>
      </c>
      <c r="AG108" s="240">
        <f t="shared" si="14"/>
        <v>21000</v>
      </c>
      <c r="AH108" s="256">
        <f>IF($F108=AH$1,$U108,0)*SUMIF('KU-LGE Rating'!$R:$R,$D108,'KU-LGE Rating'!$F:$F)</f>
        <v>0</v>
      </c>
      <c r="AI108" s="256">
        <f>IF($F108=AH$1,$U108,0)*SUMIF('KU-LGE Rating'!$R:$R,$D108,'KU-LGE Rating'!$G:$G)</f>
        <v>0</v>
      </c>
      <c r="AJ108" s="240">
        <f t="shared" si="15"/>
        <v>0</v>
      </c>
      <c r="AK108" s="256">
        <f>IF($F108=AK$1,$U108,0)*SUMIF('KU-LGE Rating'!$R:$R,$D108,'KU-LGE Rating'!$F:$F)</f>
        <v>0</v>
      </c>
      <c r="AL108" s="256">
        <f>IF($F108=AK$1,$U108,0)*SUMIF('KU-LGE Rating'!$R:$R,$D108,'KU-LGE Rating'!$G:$G)</f>
        <v>0</v>
      </c>
      <c r="AM108" s="240">
        <f t="shared" si="16"/>
        <v>0</v>
      </c>
      <c r="AN108" s="256">
        <f>IF($F108=AN$1,$U108,0)*SUMIF('KU-LGE Rating'!$R:$R,$D108,'KU-LGE Rating'!$F:$F)</f>
        <v>0</v>
      </c>
      <c r="AO108" s="256">
        <f>IF($F108=AN$1,$U108,0)*SUMIF('KU-LGE Rating'!$R:$R,$D108,'KU-LGE Rating'!$G:$G)</f>
        <v>0</v>
      </c>
      <c r="AP108" s="240">
        <f t="shared" si="17"/>
        <v>0</v>
      </c>
      <c r="AQ108" s="277"/>
      <c r="AR108" s="277"/>
      <c r="AV108" s="278"/>
      <c r="AW108" s="278"/>
      <c r="AX108" s="278"/>
    </row>
    <row r="109" spans="1:50">
      <c r="A109" s="1" t="s">
        <v>2756</v>
      </c>
      <c r="B109" s="1" t="s">
        <v>3</v>
      </c>
      <c r="C109" t="s">
        <v>3723</v>
      </c>
      <c r="D109" t="s">
        <v>3740</v>
      </c>
      <c r="E109" t="s">
        <v>3893</v>
      </c>
      <c r="F109">
        <v>2015</v>
      </c>
      <c r="G109" t="s">
        <v>3908</v>
      </c>
      <c r="H109">
        <v>553100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15300</v>
      </c>
      <c r="S109">
        <v>0</v>
      </c>
      <c r="T109">
        <v>0</v>
      </c>
      <c r="U109" s="8">
        <v>15300</v>
      </c>
      <c r="V109" s="243" t="str">
        <f t="shared" si="10"/>
        <v>553</v>
      </c>
      <c r="W109" s="240">
        <f t="shared" si="11"/>
        <v>0</v>
      </c>
      <c r="X109" s="243">
        <f t="shared" si="12"/>
        <v>15300</v>
      </c>
      <c r="Y109" s="255">
        <f>$W109*SUMIF('KU-LGE Rating'!$R:$R,$D109,'KU-LGE Rating'!F:F)</f>
        <v>0</v>
      </c>
      <c r="Z109" s="256">
        <f>$W109*SUMIF('KU-LGE Rating'!$R:$R,$D109,'KU-LGE Rating'!G:G)</f>
        <v>0</v>
      </c>
      <c r="AA109" s="257">
        <f t="shared" si="9"/>
        <v>0</v>
      </c>
      <c r="AB109" s="255">
        <f>$X109*SUMIF('KU-LGE Rating'!$R:$R,$D109,'KU-LGE Rating'!F:F)</f>
        <v>9639</v>
      </c>
      <c r="AC109" s="256">
        <f>$X109*SUMIF('KU-LGE Rating'!$R:$R,$D109,'KU-LGE Rating'!G:G)</f>
        <v>5661</v>
      </c>
      <c r="AD109" s="257">
        <f t="shared" si="13"/>
        <v>15300</v>
      </c>
      <c r="AE109" s="274">
        <f>IF($F109=AE$1,$U109,0)*SUMIF('KU-LGE Rating'!$R:$R,$D109,'KU-LGE Rating'!$F:$F)</f>
        <v>0</v>
      </c>
      <c r="AF109" s="274">
        <f>IF($F109=AE$1,$U109,0)*SUMIF('KU-LGE Rating'!$R:$R,$D109,'KU-LGE Rating'!$G:$G)</f>
        <v>0</v>
      </c>
      <c r="AG109" s="240">
        <f t="shared" si="14"/>
        <v>0</v>
      </c>
      <c r="AH109" s="256">
        <f>IF($F109=AH$1,$U109,0)*SUMIF('KU-LGE Rating'!$R:$R,$D109,'KU-LGE Rating'!$F:$F)</f>
        <v>9639</v>
      </c>
      <c r="AI109" s="256">
        <f>IF($F109=AH$1,$U109,0)*SUMIF('KU-LGE Rating'!$R:$R,$D109,'KU-LGE Rating'!$G:$G)</f>
        <v>5661</v>
      </c>
      <c r="AJ109" s="240">
        <f t="shared" si="15"/>
        <v>15300</v>
      </c>
      <c r="AK109" s="256">
        <f>IF($F109=AK$1,$U109,0)*SUMIF('KU-LGE Rating'!$R:$R,$D109,'KU-LGE Rating'!$F:$F)</f>
        <v>0</v>
      </c>
      <c r="AL109" s="256">
        <f>IF($F109=AK$1,$U109,0)*SUMIF('KU-LGE Rating'!$R:$R,$D109,'KU-LGE Rating'!$G:$G)</f>
        <v>0</v>
      </c>
      <c r="AM109" s="240">
        <f t="shared" si="16"/>
        <v>0</v>
      </c>
      <c r="AN109" s="256">
        <f>IF($F109=AN$1,$U109,0)*SUMIF('KU-LGE Rating'!$R:$R,$D109,'KU-LGE Rating'!$F:$F)</f>
        <v>0</v>
      </c>
      <c r="AO109" s="256">
        <f>IF($F109=AN$1,$U109,0)*SUMIF('KU-LGE Rating'!$R:$R,$D109,'KU-LGE Rating'!$G:$G)</f>
        <v>0</v>
      </c>
      <c r="AP109" s="240">
        <f t="shared" si="17"/>
        <v>0</v>
      </c>
      <c r="AQ109" s="277"/>
      <c r="AR109" s="277"/>
      <c r="AV109" s="278"/>
      <c r="AW109" s="278"/>
      <c r="AX109" s="278"/>
    </row>
    <row r="110" spans="1:50">
      <c r="A110" s="1" t="s">
        <v>2756</v>
      </c>
      <c r="B110" s="1" t="s">
        <v>3</v>
      </c>
      <c r="C110" t="s">
        <v>3723</v>
      </c>
      <c r="D110" t="s">
        <v>3740</v>
      </c>
      <c r="E110" t="s">
        <v>3893</v>
      </c>
      <c r="F110">
        <v>2016</v>
      </c>
      <c r="G110" t="s">
        <v>3908</v>
      </c>
      <c r="H110">
        <v>553100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21848.400000000001</v>
      </c>
      <c r="S110">
        <v>0</v>
      </c>
      <c r="T110">
        <v>0</v>
      </c>
      <c r="U110" s="8">
        <v>21848.400000000001</v>
      </c>
      <c r="V110" s="243" t="str">
        <f t="shared" si="10"/>
        <v>553</v>
      </c>
      <c r="W110" s="240">
        <f t="shared" si="11"/>
        <v>0</v>
      </c>
      <c r="X110" s="243">
        <f t="shared" si="12"/>
        <v>0</v>
      </c>
      <c r="Y110" s="255">
        <f>$W110*SUMIF('KU-LGE Rating'!$R:$R,$D110,'KU-LGE Rating'!F:F)</f>
        <v>0</v>
      </c>
      <c r="Z110" s="256">
        <f>$W110*SUMIF('KU-LGE Rating'!$R:$R,$D110,'KU-LGE Rating'!G:G)</f>
        <v>0</v>
      </c>
      <c r="AA110" s="257">
        <f t="shared" si="9"/>
        <v>0</v>
      </c>
      <c r="AB110" s="255">
        <f>$X110*SUMIF('KU-LGE Rating'!$R:$R,$D110,'KU-LGE Rating'!F:F)</f>
        <v>0</v>
      </c>
      <c r="AC110" s="256">
        <f>$X110*SUMIF('KU-LGE Rating'!$R:$R,$D110,'KU-LGE Rating'!G:G)</f>
        <v>0</v>
      </c>
      <c r="AD110" s="257">
        <f t="shared" si="13"/>
        <v>0</v>
      </c>
      <c r="AE110" s="274">
        <f>IF($F110=AE$1,$U110,0)*SUMIF('KU-LGE Rating'!$R:$R,$D110,'KU-LGE Rating'!$F:$F)</f>
        <v>0</v>
      </c>
      <c r="AF110" s="274">
        <f>IF($F110=AE$1,$U110,0)*SUMIF('KU-LGE Rating'!$R:$R,$D110,'KU-LGE Rating'!$G:$G)</f>
        <v>0</v>
      </c>
      <c r="AG110" s="240">
        <f t="shared" si="14"/>
        <v>0</v>
      </c>
      <c r="AH110" s="256">
        <f>IF($F110=AH$1,$U110,0)*SUMIF('KU-LGE Rating'!$R:$R,$D110,'KU-LGE Rating'!$F:$F)</f>
        <v>0</v>
      </c>
      <c r="AI110" s="256">
        <f>IF($F110=AH$1,$U110,0)*SUMIF('KU-LGE Rating'!$R:$R,$D110,'KU-LGE Rating'!$G:$G)</f>
        <v>0</v>
      </c>
      <c r="AJ110" s="240">
        <f t="shared" si="15"/>
        <v>0</v>
      </c>
      <c r="AK110" s="256">
        <f>IF($F110=AK$1,$U110,0)*SUMIF('KU-LGE Rating'!$R:$R,$D110,'KU-LGE Rating'!$F:$F)</f>
        <v>13764.492</v>
      </c>
      <c r="AL110" s="256">
        <f>IF($F110=AK$1,$U110,0)*SUMIF('KU-LGE Rating'!$R:$R,$D110,'KU-LGE Rating'!$G:$G)</f>
        <v>8083.9080000000004</v>
      </c>
      <c r="AM110" s="240">
        <f t="shared" si="16"/>
        <v>21848.400000000001</v>
      </c>
      <c r="AN110" s="256">
        <f>IF($F110=AN$1,$U110,0)*SUMIF('KU-LGE Rating'!$R:$R,$D110,'KU-LGE Rating'!$F:$F)</f>
        <v>0</v>
      </c>
      <c r="AO110" s="256">
        <f>IF($F110=AN$1,$U110,0)*SUMIF('KU-LGE Rating'!$R:$R,$D110,'KU-LGE Rating'!$G:$G)</f>
        <v>0</v>
      </c>
      <c r="AP110" s="240">
        <f t="shared" si="17"/>
        <v>0</v>
      </c>
      <c r="AQ110" s="277"/>
      <c r="AR110" s="277"/>
      <c r="AV110" s="278"/>
      <c r="AW110" s="278"/>
      <c r="AX110" s="278"/>
    </row>
    <row r="111" spans="1:50">
      <c r="A111" s="1" t="s">
        <v>2756</v>
      </c>
      <c r="B111" s="1" t="s">
        <v>3</v>
      </c>
      <c r="C111" t="s">
        <v>3723</v>
      </c>
      <c r="D111" t="s">
        <v>3740</v>
      </c>
      <c r="E111" t="s">
        <v>3893</v>
      </c>
      <c r="F111">
        <v>2017</v>
      </c>
      <c r="G111" t="s">
        <v>3908</v>
      </c>
      <c r="H111">
        <v>553100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15918.12</v>
      </c>
      <c r="S111">
        <v>0</v>
      </c>
      <c r="T111">
        <v>0</v>
      </c>
      <c r="U111" s="8">
        <v>15918.12</v>
      </c>
      <c r="V111" s="243" t="str">
        <f t="shared" si="10"/>
        <v>553</v>
      </c>
      <c r="W111" s="240">
        <f t="shared" si="11"/>
        <v>0</v>
      </c>
      <c r="X111" s="243">
        <f t="shared" si="12"/>
        <v>0</v>
      </c>
      <c r="Y111" s="255">
        <f>$W111*SUMIF('KU-LGE Rating'!$R:$R,$D111,'KU-LGE Rating'!F:F)</f>
        <v>0</v>
      </c>
      <c r="Z111" s="256">
        <f>$W111*SUMIF('KU-LGE Rating'!$R:$R,$D111,'KU-LGE Rating'!G:G)</f>
        <v>0</v>
      </c>
      <c r="AA111" s="257">
        <f t="shared" si="9"/>
        <v>0</v>
      </c>
      <c r="AB111" s="255">
        <f>$X111*SUMIF('KU-LGE Rating'!$R:$R,$D111,'KU-LGE Rating'!F:F)</f>
        <v>0</v>
      </c>
      <c r="AC111" s="256">
        <f>$X111*SUMIF('KU-LGE Rating'!$R:$R,$D111,'KU-LGE Rating'!G:G)</f>
        <v>0</v>
      </c>
      <c r="AD111" s="257">
        <f t="shared" si="13"/>
        <v>0</v>
      </c>
      <c r="AE111" s="274">
        <f>IF($F111=AE$1,$U111,0)*SUMIF('KU-LGE Rating'!$R:$R,$D111,'KU-LGE Rating'!$F:$F)</f>
        <v>0</v>
      </c>
      <c r="AF111" s="274">
        <f>IF($F111=AE$1,$U111,0)*SUMIF('KU-LGE Rating'!$R:$R,$D111,'KU-LGE Rating'!$G:$G)</f>
        <v>0</v>
      </c>
      <c r="AG111" s="240">
        <f t="shared" si="14"/>
        <v>0</v>
      </c>
      <c r="AH111" s="256">
        <f>IF($F111=AH$1,$U111,0)*SUMIF('KU-LGE Rating'!$R:$R,$D111,'KU-LGE Rating'!$F:$F)</f>
        <v>0</v>
      </c>
      <c r="AI111" s="256">
        <f>IF($F111=AH$1,$U111,0)*SUMIF('KU-LGE Rating'!$R:$R,$D111,'KU-LGE Rating'!$G:$G)</f>
        <v>0</v>
      </c>
      <c r="AJ111" s="240">
        <f t="shared" si="15"/>
        <v>0</v>
      </c>
      <c r="AK111" s="256">
        <f>IF($F111=AK$1,$U111,0)*SUMIF('KU-LGE Rating'!$R:$R,$D111,'KU-LGE Rating'!$F:$F)</f>
        <v>0</v>
      </c>
      <c r="AL111" s="256">
        <f>IF($F111=AK$1,$U111,0)*SUMIF('KU-LGE Rating'!$R:$R,$D111,'KU-LGE Rating'!$G:$G)</f>
        <v>0</v>
      </c>
      <c r="AM111" s="240">
        <f t="shared" si="16"/>
        <v>0</v>
      </c>
      <c r="AN111" s="256">
        <f>IF($F111=AN$1,$U111,0)*SUMIF('KU-LGE Rating'!$R:$R,$D111,'KU-LGE Rating'!$F:$F)</f>
        <v>10028.4156</v>
      </c>
      <c r="AO111" s="256">
        <f>IF($F111=AN$1,$U111,0)*SUMIF('KU-LGE Rating'!$R:$R,$D111,'KU-LGE Rating'!$G:$G)</f>
        <v>5889.7044000000005</v>
      </c>
      <c r="AP111" s="240">
        <f t="shared" si="17"/>
        <v>15918.12</v>
      </c>
      <c r="AQ111" s="277"/>
      <c r="AR111" s="277"/>
      <c r="AV111" s="278"/>
      <c r="AW111" s="278"/>
      <c r="AX111" s="278"/>
    </row>
    <row r="112" spans="1:50">
      <c r="A112" s="1" t="s">
        <v>2756</v>
      </c>
      <c r="B112" s="1" t="s">
        <v>3</v>
      </c>
      <c r="C112" t="s">
        <v>3723</v>
      </c>
      <c r="D112" t="s">
        <v>3741</v>
      </c>
      <c r="E112" t="s">
        <v>3893</v>
      </c>
      <c r="F112">
        <v>2014</v>
      </c>
      <c r="G112" t="s">
        <v>3908</v>
      </c>
      <c r="H112">
        <v>553100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21000</v>
      </c>
      <c r="S112">
        <v>0</v>
      </c>
      <c r="T112">
        <v>0</v>
      </c>
      <c r="U112" s="8">
        <v>21000</v>
      </c>
      <c r="V112" s="243" t="str">
        <f t="shared" si="10"/>
        <v>553</v>
      </c>
      <c r="W112" s="240">
        <f t="shared" si="11"/>
        <v>21000</v>
      </c>
      <c r="X112" s="243">
        <f t="shared" si="12"/>
        <v>0</v>
      </c>
      <c r="Y112" s="255">
        <f>$W112*SUMIF('KU-LGE Rating'!$R:$R,$D112,'KU-LGE Rating'!F:F)</f>
        <v>13230</v>
      </c>
      <c r="Z112" s="256">
        <f>$W112*SUMIF('KU-LGE Rating'!$R:$R,$D112,'KU-LGE Rating'!G:G)</f>
        <v>7770</v>
      </c>
      <c r="AA112" s="257">
        <f t="shared" ref="AA112:AA175" si="18">Y112+Z112</f>
        <v>21000</v>
      </c>
      <c r="AB112" s="255">
        <f>$X112*SUMIF('KU-LGE Rating'!$R:$R,$D112,'KU-LGE Rating'!F:F)</f>
        <v>0</v>
      </c>
      <c r="AC112" s="256">
        <f>$X112*SUMIF('KU-LGE Rating'!$R:$R,$D112,'KU-LGE Rating'!G:G)</f>
        <v>0</v>
      </c>
      <c r="AD112" s="257">
        <f t="shared" ref="AD112:AD175" si="19">AB112+AC112</f>
        <v>0</v>
      </c>
      <c r="AE112" s="274">
        <f>IF($F112=AE$1,$U112,0)*SUMIF('KU-LGE Rating'!$R:$R,$D112,'KU-LGE Rating'!$F:$F)</f>
        <v>13230</v>
      </c>
      <c r="AF112" s="274">
        <f>IF($F112=AE$1,$U112,0)*SUMIF('KU-LGE Rating'!$R:$R,$D112,'KU-LGE Rating'!$G:$G)</f>
        <v>7770</v>
      </c>
      <c r="AG112" s="240">
        <f t="shared" si="14"/>
        <v>21000</v>
      </c>
      <c r="AH112" s="256">
        <f>IF($F112=AH$1,$U112,0)*SUMIF('KU-LGE Rating'!$R:$R,$D112,'KU-LGE Rating'!$F:$F)</f>
        <v>0</v>
      </c>
      <c r="AI112" s="256">
        <f>IF($F112=AH$1,$U112,0)*SUMIF('KU-LGE Rating'!$R:$R,$D112,'KU-LGE Rating'!$G:$G)</f>
        <v>0</v>
      </c>
      <c r="AJ112" s="240">
        <f t="shared" si="15"/>
        <v>0</v>
      </c>
      <c r="AK112" s="256">
        <f>IF($F112=AK$1,$U112,0)*SUMIF('KU-LGE Rating'!$R:$R,$D112,'KU-LGE Rating'!$F:$F)</f>
        <v>0</v>
      </c>
      <c r="AL112" s="256">
        <f>IF($F112=AK$1,$U112,0)*SUMIF('KU-LGE Rating'!$R:$R,$D112,'KU-LGE Rating'!$G:$G)</f>
        <v>0</v>
      </c>
      <c r="AM112" s="240">
        <f t="shared" si="16"/>
        <v>0</v>
      </c>
      <c r="AN112" s="256">
        <f>IF($F112=AN$1,$U112,0)*SUMIF('KU-LGE Rating'!$R:$R,$D112,'KU-LGE Rating'!$F:$F)</f>
        <v>0</v>
      </c>
      <c r="AO112" s="256">
        <f>IF($F112=AN$1,$U112,0)*SUMIF('KU-LGE Rating'!$R:$R,$D112,'KU-LGE Rating'!$G:$G)</f>
        <v>0</v>
      </c>
      <c r="AP112" s="240">
        <f t="shared" si="17"/>
        <v>0</v>
      </c>
      <c r="AQ112" s="277"/>
      <c r="AR112" s="277"/>
      <c r="AV112" s="278"/>
      <c r="AW112" s="278"/>
      <c r="AX112" s="278"/>
    </row>
    <row r="113" spans="1:50">
      <c r="A113" s="1" t="s">
        <v>2756</v>
      </c>
      <c r="B113" s="1" t="s">
        <v>3</v>
      </c>
      <c r="C113" t="s">
        <v>3723</v>
      </c>
      <c r="D113" t="s">
        <v>3741</v>
      </c>
      <c r="E113" t="s">
        <v>3893</v>
      </c>
      <c r="F113">
        <v>2015</v>
      </c>
      <c r="G113" t="s">
        <v>3908</v>
      </c>
      <c r="H113">
        <v>553100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15300</v>
      </c>
      <c r="S113">
        <v>0</v>
      </c>
      <c r="T113">
        <v>0</v>
      </c>
      <c r="U113" s="8">
        <v>15300</v>
      </c>
      <c r="V113" s="243" t="str">
        <f t="shared" si="10"/>
        <v>553</v>
      </c>
      <c r="W113" s="240">
        <f t="shared" si="11"/>
        <v>0</v>
      </c>
      <c r="X113" s="243">
        <f t="shared" si="12"/>
        <v>15300</v>
      </c>
      <c r="Y113" s="255">
        <f>$W113*SUMIF('KU-LGE Rating'!$R:$R,$D113,'KU-LGE Rating'!F:F)</f>
        <v>0</v>
      </c>
      <c r="Z113" s="256">
        <f>$W113*SUMIF('KU-LGE Rating'!$R:$R,$D113,'KU-LGE Rating'!G:G)</f>
        <v>0</v>
      </c>
      <c r="AA113" s="257">
        <f t="shared" si="18"/>
        <v>0</v>
      </c>
      <c r="AB113" s="255">
        <f>$X113*SUMIF('KU-LGE Rating'!$R:$R,$D113,'KU-LGE Rating'!F:F)</f>
        <v>9639</v>
      </c>
      <c r="AC113" s="256">
        <f>$X113*SUMIF('KU-LGE Rating'!$R:$R,$D113,'KU-LGE Rating'!G:G)</f>
        <v>5661</v>
      </c>
      <c r="AD113" s="257">
        <f t="shared" si="19"/>
        <v>15300</v>
      </c>
      <c r="AE113" s="274">
        <f>IF($F113=AE$1,$U113,0)*SUMIF('KU-LGE Rating'!$R:$R,$D113,'KU-LGE Rating'!$F:$F)</f>
        <v>0</v>
      </c>
      <c r="AF113" s="274">
        <f>IF($F113=AE$1,$U113,0)*SUMIF('KU-LGE Rating'!$R:$R,$D113,'KU-LGE Rating'!$G:$G)</f>
        <v>0</v>
      </c>
      <c r="AG113" s="240">
        <f t="shared" si="14"/>
        <v>0</v>
      </c>
      <c r="AH113" s="256">
        <f>IF($F113=AH$1,$U113,0)*SUMIF('KU-LGE Rating'!$R:$R,$D113,'KU-LGE Rating'!$F:$F)</f>
        <v>9639</v>
      </c>
      <c r="AI113" s="256">
        <f>IF($F113=AH$1,$U113,0)*SUMIF('KU-LGE Rating'!$R:$R,$D113,'KU-LGE Rating'!$G:$G)</f>
        <v>5661</v>
      </c>
      <c r="AJ113" s="240">
        <f t="shared" si="15"/>
        <v>15300</v>
      </c>
      <c r="AK113" s="256">
        <f>IF($F113=AK$1,$U113,0)*SUMIF('KU-LGE Rating'!$R:$R,$D113,'KU-LGE Rating'!$F:$F)</f>
        <v>0</v>
      </c>
      <c r="AL113" s="256">
        <f>IF($F113=AK$1,$U113,0)*SUMIF('KU-LGE Rating'!$R:$R,$D113,'KU-LGE Rating'!$G:$G)</f>
        <v>0</v>
      </c>
      <c r="AM113" s="240">
        <f t="shared" si="16"/>
        <v>0</v>
      </c>
      <c r="AN113" s="256">
        <f>IF($F113=AN$1,$U113,0)*SUMIF('KU-LGE Rating'!$R:$R,$D113,'KU-LGE Rating'!$F:$F)</f>
        <v>0</v>
      </c>
      <c r="AO113" s="256">
        <f>IF($F113=AN$1,$U113,0)*SUMIF('KU-LGE Rating'!$R:$R,$D113,'KU-LGE Rating'!$G:$G)</f>
        <v>0</v>
      </c>
      <c r="AP113" s="240">
        <f t="shared" si="17"/>
        <v>0</v>
      </c>
      <c r="AQ113" s="277"/>
      <c r="AR113" s="277"/>
      <c r="AV113" s="278"/>
      <c r="AW113" s="278"/>
      <c r="AX113" s="278"/>
    </row>
    <row r="114" spans="1:50">
      <c r="A114" s="1" t="s">
        <v>2756</v>
      </c>
      <c r="B114" s="1" t="s">
        <v>3</v>
      </c>
      <c r="C114" t="s">
        <v>3723</v>
      </c>
      <c r="D114" t="s">
        <v>3741</v>
      </c>
      <c r="E114" t="s">
        <v>3893</v>
      </c>
      <c r="F114">
        <v>2016</v>
      </c>
      <c r="G114" t="s">
        <v>3908</v>
      </c>
      <c r="H114">
        <v>553100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21848.400000000001</v>
      </c>
      <c r="S114">
        <v>0</v>
      </c>
      <c r="T114">
        <v>0</v>
      </c>
      <c r="U114" s="8">
        <v>21848.400000000001</v>
      </c>
      <c r="V114" s="243" t="str">
        <f t="shared" si="10"/>
        <v>553</v>
      </c>
      <c r="W114" s="240">
        <f t="shared" si="11"/>
        <v>0</v>
      </c>
      <c r="X114" s="243">
        <f t="shared" si="12"/>
        <v>0</v>
      </c>
      <c r="Y114" s="255">
        <f>$W114*SUMIF('KU-LGE Rating'!$R:$R,$D114,'KU-LGE Rating'!F:F)</f>
        <v>0</v>
      </c>
      <c r="Z114" s="256">
        <f>$W114*SUMIF('KU-LGE Rating'!$R:$R,$D114,'KU-LGE Rating'!G:G)</f>
        <v>0</v>
      </c>
      <c r="AA114" s="257">
        <f t="shared" si="18"/>
        <v>0</v>
      </c>
      <c r="AB114" s="255">
        <f>$X114*SUMIF('KU-LGE Rating'!$R:$R,$D114,'KU-LGE Rating'!F:F)</f>
        <v>0</v>
      </c>
      <c r="AC114" s="256">
        <f>$X114*SUMIF('KU-LGE Rating'!$R:$R,$D114,'KU-LGE Rating'!G:G)</f>
        <v>0</v>
      </c>
      <c r="AD114" s="257">
        <f t="shared" si="19"/>
        <v>0</v>
      </c>
      <c r="AE114" s="274">
        <f>IF($F114=AE$1,$U114,0)*SUMIF('KU-LGE Rating'!$R:$R,$D114,'KU-LGE Rating'!$F:$F)</f>
        <v>0</v>
      </c>
      <c r="AF114" s="274">
        <f>IF($F114=AE$1,$U114,0)*SUMIF('KU-LGE Rating'!$R:$R,$D114,'KU-LGE Rating'!$G:$G)</f>
        <v>0</v>
      </c>
      <c r="AG114" s="240">
        <f t="shared" si="14"/>
        <v>0</v>
      </c>
      <c r="AH114" s="256">
        <f>IF($F114=AH$1,$U114,0)*SUMIF('KU-LGE Rating'!$R:$R,$D114,'KU-LGE Rating'!$F:$F)</f>
        <v>0</v>
      </c>
      <c r="AI114" s="256">
        <f>IF($F114=AH$1,$U114,0)*SUMIF('KU-LGE Rating'!$R:$R,$D114,'KU-LGE Rating'!$G:$G)</f>
        <v>0</v>
      </c>
      <c r="AJ114" s="240">
        <f t="shared" si="15"/>
        <v>0</v>
      </c>
      <c r="AK114" s="256">
        <f>IF($F114=AK$1,$U114,0)*SUMIF('KU-LGE Rating'!$R:$R,$D114,'KU-LGE Rating'!$F:$F)</f>
        <v>13764.492</v>
      </c>
      <c r="AL114" s="256">
        <f>IF($F114=AK$1,$U114,0)*SUMIF('KU-LGE Rating'!$R:$R,$D114,'KU-LGE Rating'!$G:$G)</f>
        <v>8083.9080000000004</v>
      </c>
      <c r="AM114" s="240">
        <f t="shared" si="16"/>
        <v>21848.400000000001</v>
      </c>
      <c r="AN114" s="256">
        <f>IF($F114=AN$1,$U114,0)*SUMIF('KU-LGE Rating'!$R:$R,$D114,'KU-LGE Rating'!$F:$F)</f>
        <v>0</v>
      </c>
      <c r="AO114" s="256">
        <f>IF($F114=AN$1,$U114,0)*SUMIF('KU-LGE Rating'!$R:$R,$D114,'KU-LGE Rating'!$G:$G)</f>
        <v>0</v>
      </c>
      <c r="AP114" s="240">
        <f t="shared" si="17"/>
        <v>0</v>
      </c>
      <c r="AQ114" s="277"/>
      <c r="AR114" s="277"/>
      <c r="AV114" s="278"/>
      <c r="AW114" s="278"/>
      <c r="AX114" s="278"/>
    </row>
    <row r="115" spans="1:50">
      <c r="A115" s="1" t="s">
        <v>2756</v>
      </c>
      <c r="B115" s="1" t="s">
        <v>3</v>
      </c>
      <c r="C115" t="s">
        <v>3723</v>
      </c>
      <c r="D115" t="s">
        <v>3741</v>
      </c>
      <c r="E115" t="s">
        <v>3893</v>
      </c>
      <c r="F115">
        <v>2017</v>
      </c>
      <c r="G115" t="s">
        <v>3908</v>
      </c>
      <c r="H115">
        <v>553100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15918.12</v>
      </c>
      <c r="S115">
        <v>0</v>
      </c>
      <c r="T115">
        <v>0</v>
      </c>
      <c r="U115" s="8">
        <v>15918.12</v>
      </c>
      <c r="V115" s="243" t="str">
        <f t="shared" si="10"/>
        <v>553</v>
      </c>
      <c r="W115" s="240">
        <f t="shared" si="11"/>
        <v>0</v>
      </c>
      <c r="X115" s="243">
        <f t="shared" si="12"/>
        <v>0</v>
      </c>
      <c r="Y115" s="255">
        <f>$W115*SUMIF('KU-LGE Rating'!$R:$R,$D115,'KU-LGE Rating'!F:F)</f>
        <v>0</v>
      </c>
      <c r="Z115" s="256">
        <f>$W115*SUMIF('KU-LGE Rating'!$R:$R,$D115,'KU-LGE Rating'!G:G)</f>
        <v>0</v>
      </c>
      <c r="AA115" s="257">
        <f t="shared" si="18"/>
        <v>0</v>
      </c>
      <c r="AB115" s="255">
        <f>$X115*SUMIF('KU-LGE Rating'!$R:$R,$D115,'KU-LGE Rating'!F:F)</f>
        <v>0</v>
      </c>
      <c r="AC115" s="256">
        <f>$X115*SUMIF('KU-LGE Rating'!$R:$R,$D115,'KU-LGE Rating'!G:G)</f>
        <v>0</v>
      </c>
      <c r="AD115" s="257">
        <f t="shared" si="19"/>
        <v>0</v>
      </c>
      <c r="AE115" s="274">
        <f>IF($F115=AE$1,$U115,0)*SUMIF('KU-LGE Rating'!$R:$R,$D115,'KU-LGE Rating'!$F:$F)</f>
        <v>0</v>
      </c>
      <c r="AF115" s="274">
        <f>IF($F115=AE$1,$U115,0)*SUMIF('KU-LGE Rating'!$R:$R,$D115,'KU-LGE Rating'!$G:$G)</f>
        <v>0</v>
      </c>
      <c r="AG115" s="240">
        <f t="shared" si="14"/>
        <v>0</v>
      </c>
      <c r="AH115" s="256">
        <f>IF($F115=AH$1,$U115,0)*SUMIF('KU-LGE Rating'!$R:$R,$D115,'KU-LGE Rating'!$F:$F)</f>
        <v>0</v>
      </c>
      <c r="AI115" s="256">
        <f>IF($F115=AH$1,$U115,0)*SUMIF('KU-LGE Rating'!$R:$R,$D115,'KU-LGE Rating'!$G:$G)</f>
        <v>0</v>
      </c>
      <c r="AJ115" s="240">
        <f t="shared" si="15"/>
        <v>0</v>
      </c>
      <c r="AK115" s="256">
        <f>IF($F115=AK$1,$U115,0)*SUMIF('KU-LGE Rating'!$R:$R,$D115,'KU-LGE Rating'!$F:$F)</f>
        <v>0</v>
      </c>
      <c r="AL115" s="256">
        <f>IF($F115=AK$1,$U115,0)*SUMIF('KU-LGE Rating'!$R:$R,$D115,'KU-LGE Rating'!$G:$G)</f>
        <v>0</v>
      </c>
      <c r="AM115" s="240">
        <f t="shared" si="16"/>
        <v>0</v>
      </c>
      <c r="AN115" s="256">
        <f>IF($F115=AN$1,$U115,0)*SUMIF('KU-LGE Rating'!$R:$R,$D115,'KU-LGE Rating'!$F:$F)</f>
        <v>10028.4156</v>
      </c>
      <c r="AO115" s="256">
        <f>IF($F115=AN$1,$U115,0)*SUMIF('KU-LGE Rating'!$R:$R,$D115,'KU-LGE Rating'!$G:$G)</f>
        <v>5889.7044000000005</v>
      </c>
      <c r="AP115" s="240">
        <f t="shared" si="17"/>
        <v>15918.12</v>
      </c>
      <c r="AQ115" s="277"/>
      <c r="AR115" s="277"/>
      <c r="AV115" s="278"/>
      <c r="AW115" s="278"/>
      <c r="AX115" s="278"/>
    </row>
    <row r="116" spans="1:50">
      <c r="A116" s="1" t="s">
        <v>2769</v>
      </c>
      <c r="B116" s="1" t="s">
        <v>3</v>
      </c>
      <c r="C116" t="s">
        <v>3723</v>
      </c>
      <c r="D116" t="s">
        <v>3742</v>
      </c>
      <c r="E116" t="s">
        <v>3893</v>
      </c>
      <c r="F116">
        <v>2014</v>
      </c>
      <c r="G116" t="s">
        <v>3908</v>
      </c>
      <c r="H116">
        <v>512017</v>
      </c>
      <c r="I116">
        <v>0</v>
      </c>
      <c r="J116">
        <v>0</v>
      </c>
      <c r="K116">
        <v>0</v>
      </c>
      <c r="L116">
        <v>1390.34</v>
      </c>
      <c r="M116">
        <v>1168.79</v>
      </c>
      <c r="N116">
        <v>0</v>
      </c>
      <c r="O116">
        <v>0</v>
      </c>
      <c r="P116">
        <v>0</v>
      </c>
      <c r="Q116">
        <v>-2559.13</v>
      </c>
      <c r="R116">
        <v>0</v>
      </c>
      <c r="S116">
        <v>0</v>
      </c>
      <c r="T116">
        <v>0</v>
      </c>
      <c r="U116" s="8">
        <v>0</v>
      </c>
      <c r="V116" s="243" t="str">
        <f t="shared" si="10"/>
        <v>512</v>
      </c>
      <c r="W116" s="240">
        <f t="shared" si="11"/>
        <v>0</v>
      </c>
      <c r="X116" s="243">
        <f t="shared" si="12"/>
        <v>0</v>
      </c>
      <c r="Y116" s="255">
        <f>$W116*SUMIF('KU-LGE Rating'!$R:$R,$D116,'KU-LGE Rating'!F:F)</f>
        <v>0</v>
      </c>
      <c r="Z116" s="256">
        <f>$W116*SUMIF('KU-LGE Rating'!$R:$R,$D116,'KU-LGE Rating'!G:G)</f>
        <v>0</v>
      </c>
      <c r="AA116" s="257">
        <f t="shared" si="18"/>
        <v>0</v>
      </c>
      <c r="AB116" s="255">
        <f>$X116*SUMIF('KU-LGE Rating'!$R:$R,$D116,'KU-LGE Rating'!F:F)</f>
        <v>0</v>
      </c>
      <c r="AC116" s="256">
        <f>$X116*SUMIF('KU-LGE Rating'!$R:$R,$D116,'KU-LGE Rating'!G:G)</f>
        <v>0</v>
      </c>
      <c r="AD116" s="257">
        <f t="shared" si="19"/>
        <v>0</v>
      </c>
      <c r="AE116" s="274">
        <f>IF($F116=AE$1,$U116,0)*SUMIF('KU-LGE Rating'!$R:$R,$D116,'KU-LGE Rating'!$F:$F)</f>
        <v>0</v>
      </c>
      <c r="AF116" s="274">
        <f>IF($F116=AE$1,$U116,0)*SUMIF('KU-LGE Rating'!$R:$R,$D116,'KU-LGE Rating'!$G:$G)</f>
        <v>0</v>
      </c>
      <c r="AG116" s="240">
        <f t="shared" si="14"/>
        <v>0</v>
      </c>
      <c r="AH116" s="256">
        <f>IF($F116=AH$1,$U116,0)*SUMIF('KU-LGE Rating'!$R:$R,$D116,'KU-LGE Rating'!$F:$F)</f>
        <v>0</v>
      </c>
      <c r="AI116" s="256">
        <f>IF($F116=AH$1,$U116,0)*SUMIF('KU-LGE Rating'!$R:$R,$D116,'KU-LGE Rating'!$G:$G)</f>
        <v>0</v>
      </c>
      <c r="AJ116" s="240">
        <f t="shared" si="15"/>
        <v>0</v>
      </c>
      <c r="AK116" s="256">
        <f>IF($F116=AK$1,$U116,0)*SUMIF('KU-LGE Rating'!$R:$R,$D116,'KU-LGE Rating'!$F:$F)</f>
        <v>0</v>
      </c>
      <c r="AL116" s="256">
        <f>IF($F116=AK$1,$U116,0)*SUMIF('KU-LGE Rating'!$R:$R,$D116,'KU-LGE Rating'!$G:$G)</f>
        <v>0</v>
      </c>
      <c r="AM116" s="240">
        <f t="shared" si="16"/>
        <v>0</v>
      </c>
      <c r="AN116" s="256">
        <f>IF($F116=AN$1,$U116,0)*SUMIF('KU-LGE Rating'!$R:$R,$D116,'KU-LGE Rating'!$F:$F)</f>
        <v>0</v>
      </c>
      <c r="AO116" s="256">
        <f>IF($F116=AN$1,$U116,0)*SUMIF('KU-LGE Rating'!$R:$R,$D116,'KU-LGE Rating'!$G:$G)</f>
        <v>0</v>
      </c>
      <c r="AP116" s="240">
        <f t="shared" si="17"/>
        <v>0</v>
      </c>
      <c r="AQ116" s="277"/>
      <c r="AR116" s="277"/>
      <c r="AV116" s="278"/>
      <c r="AW116" s="278"/>
      <c r="AX116" s="278"/>
    </row>
    <row r="117" spans="1:50">
      <c r="A117" s="1" t="s">
        <v>2769</v>
      </c>
      <c r="B117" s="1" t="s">
        <v>3</v>
      </c>
      <c r="C117" t="s">
        <v>3723</v>
      </c>
      <c r="D117" t="s">
        <v>3742</v>
      </c>
      <c r="E117" t="s">
        <v>3893</v>
      </c>
      <c r="F117">
        <v>2014</v>
      </c>
      <c r="G117" t="s">
        <v>3908</v>
      </c>
      <c r="H117">
        <v>512100</v>
      </c>
      <c r="I117">
        <v>946.22</v>
      </c>
      <c r="J117">
        <v>19808.689999999999</v>
      </c>
      <c r="K117">
        <v>13296.72</v>
      </c>
      <c r="L117">
        <v>294250.06</v>
      </c>
      <c r="M117">
        <v>19346.490000000002</v>
      </c>
      <c r="N117">
        <v>6362.3</v>
      </c>
      <c r="O117">
        <v>-4746</v>
      </c>
      <c r="P117">
        <v>2736</v>
      </c>
      <c r="Q117">
        <v>177999.52</v>
      </c>
      <c r="R117">
        <v>0</v>
      </c>
      <c r="S117">
        <v>0</v>
      </c>
      <c r="T117">
        <v>0</v>
      </c>
      <c r="U117" s="8">
        <v>530000</v>
      </c>
      <c r="V117" s="243" t="str">
        <f t="shared" si="10"/>
        <v>512</v>
      </c>
      <c r="W117" s="240">
        <f t="shared" si="11"/>
        <v>509245.08999999997</v>
      </c>
      <c r="X117" s="243">
        <f t="shared" si="12"/>
        <v>0</v>
      </c>
      <c r="Y117" s="255">
        <f>$W117*SUMIF('KU-LGE Rating'!$R:$R,$D117,'KU-LGE Rating'!F:F)</f>
        <v>509245.08999999997</v>
      </c>
      <c r="Z117" s="256">
        <f>$W117*SUMIF('KU-LGE Rating'!$R:$R,$D117,'KU-LGE Rating'!G:G)</f>
        <v>0</v>
      </c>
      <c r="AA117" s="257">
        <f t="shared" si="18"/>
        <v>509245.08999999997</v>
      </c>
      <c r="AB117" s="255">
        <f>$X117*SUMIF('KU-LGE Rating'!$R:$R,$D117,'KU-LGE Rating'!F:F)</f>
        <v>0</v>
      </c>
      <c r="AC117" s="256">
        <f>$X117*SUMIF('KU-LGE Rating'!$R:$R,$D117,'KU-LGE Rating'!G:G)</f>
        <v>0</v>
      </c>
      <c r="AD117" s="257">
        <f t="shared" si="19"/>
        <v>0</v>
      </c>
      <c r="AE117" s="274">
        <f>IF($F117=AE$1,$U117,0)*SUMIF('KU-LGE Rating'!$R:$R,$D117,'KU-LGE Rating'!$F:$F)</f>
        <v>530000</v>
      </c>
      <c r="AF117" s="274">
        <f>IF($F117=AE$1,$U117,0)*SUMIF('KU-LGE Rating'!$R:$R,$D117,'KU-LGE Rating'!$G:$G)</f>
        <v>0</v>
      </c>
      <c r="AG117" s="240">
        <f t="shared" si="14"/>
        <v>530000</v>
      </c>
      <c r="AH117" s="256">
        <f>IF($F117=AH$1,$U117,0)*SUMIF('KU-LGE Rating'!$R:$R,$D117,'KU-LGE Rating'!$F:$F)</f>
        <v>0</v>
      </c>
      <c r="AI117" s="256">
        <f>IF($F117=AH$1,$U117,0)*SUMIF('KU-LGE Rating'!$R:$R,$D117,'KU-LGE Rating'!$G:$G)</f>
        <v>0</v>
      </c>
      <c r="AJ117" s="240">
        <f t="shared" si="15"/>
        <v>0</v>
      </c>
      <c r="AK117" s="256">
        <f>IF($F117=AK$1,$U117,0)*SUMIF('KU-LGE Rating'!$R:$R,$D117,'KU-LGE Rating'!$F:$F)</f>
        <v>0</v>
      </c>
      <c r="AL117" s="256">
        <f>IF($F117=AK$1,$U117,0)*SUMIF('KU-LGE Rating'!$R:$R,$D117,'KU-LGE Rating'!$G:$G)</f>
        <v>0</v>
      </c>
      <c r="AM117" s="240">
        <f t="shared" si="16"/>
        <v>0</v>
      </c>
      <c r="AN117" s="256">
        <f>IF($F117=AN$1,$U117,0)*SUMIF('KU-LGE Rating'!$R:$R,$D117,'KU-LGE Rating'!$F:$F)</f>
        <v>0</v>
      </c>
      <c r="AO117" s="256">
        <f>IF($F117=AN$1,$U117,0)*SUMIF('KU-LGE Rating'!$R:$R,$D117,'KU-LGE Rating'!$G:$G)</f>
        <v>0</v>
      </c>
      <c r="AP117" s="240">
        <f t="shared" si="17"/>
        <v>0</v>
      </c>
      <c r="AQ117" s="277"/>
      <c r="AR117" s="277"/>
      <c r="AV117" s="278"/>
      <c r="AW117" s="278"/>
      <c r="AX117" s="278"/>
    </row>
    <row r="118" spans="1:50">
      <c r="A118" s="1" t="s">
        <v>2769</v>
      </c>
      <c r="B118" s="1" t="s">
        <v>3</v>
      </c>
      <c r="C118" t="s">
        <v>3723</v>
      </c>
      <c r="D118" t="s">
        <v>3742</v>
      </c>
      <c r="E118" t="s">
        <v>3893</v>
      </c>
      <c r="F118">
        <v>2014</v>
      </c>
      <c r="G118" t="s">
        <v>3908</v>
      </c>
      <c r="H118">
        <v>513100</v>
      </c>
      <c r="I118">
        <v>0</v>
      </c>
      <c r="J118">
        <v>253.52</v>
      </c>
      <c r="K118">
        <v>132.56</v>
      </c>
      <c r="L118">
        <v>12599.05</v>
      </c>
      <c r="M118">
        <v>2913.53</v>
      </c>
      <c r="N118">
        <v>6171</v>
      </c>
      <c r="O118">
        <v>0</v>
      </c>
      <c r="P118">
        <v>0</v>
      </c>
      <c r="Q118">
        <v>-22069.66</v>
      </c>
      <c r="R118">
        <v>0</v>
      </c>
      <c r="S118">
        <v>0</v>
      </c>
      <c r="T118">
        <v>0</v>
      </c>
      <c r="U118" s="8">
        <v>0</v>
      </c>
      <c r="V118" s="243" t="str">
        <f t="shared" si="10"/>
        <v>513</v>
      </c>
      <c r="W118" s="240">
        <f t="shared" si="11"/>
        <v>-253.52000000000044</v>
      </c>
      <c r="X118" s="243">
        <f t="shared" si="12"/>
        <v>0</v>
      </c>
      <c r="Y118" s="255">
        <f>$W118*SUMIF('KU-LGE Rating'!$R:$R,$D118,'KU-LGE Rating'!F:F)</f>
        <v>-253.52000000000044</v>
      </c>
      <c r="Z118" s="256">
        <f>$W118*SUMIF('KU-LGE Rating'!$R:$R,$D118,'KU-LGE Rating'!G:G)</f>
        <v>0</v>
      </c>
      <c r="AA118" s="257">
        <f t="shared" si="18"/>
        <v>-253.52000000000044</v>
      </c>
      <c r="AB118" s="255">
        <f>$X118*SUMIF('KU-LGE Rating'!$R:$R,$D118,'KU-LGE Rating'!F:F)</f>
        <v>0</v>
      </c>
      <c r="AC118" s="256">
        <f>$X118*SUMIF('KU-LGE Rating'!$R:$R,$D118,'KU-LGE Rating'!G:G)</f>
        <v>0</v>
      </c>
      <c r="AD118" s="257">
        <f t="shared" si="19"/>
        <v>0</v>
      </c>
      <c r="AE118" s="274">
        <f>IF($F118=AE$1,$U118,0)*SUMIF('KU-LGE Rating'!$R:$R,$D118,'KU-LGE Rating'!$F:$F)</f>
        <v>0</v>
      </c>
      <c r="AF118" s="274">
        <f>IF($F118=AE$1,$U118,0)*SUMIF('KU-LGE Rating'!$R:$R,$D118,'KU-LGE Rating'!$G:$G)</f>
        <v>0</v>
      </c>
      <c r="AG118" s="240">
        <f t="shared" si="14"/>
        <v>0</v>
      </c>
      <c r="AH118" s="256">
        <f>IF($F118=AH$1,$U118,0)*SUMIF('KU-LGE Rating'!$R:$R,$D118,'KU-LGE Rating'!$F:$F)</f>
        <v>0</v>
      </c>
      <c r="AI118" s="256">
        <f>IF($F118=AH$1,$U118,0)*SUMIF('KU-LGE Rating'!$R:$R,$D118,'KU-LGE Rating'!$G:$G)</f>
        <v>0</v>
      </c>
      <c r="AJ118" s="240">
        <f t="shared" si="15"/>
        <v>0</v>
      </c>
      <c r="AK118" s="256">
        <f>IF($F118=AK$1,$U118,0)*SUMIF('KU-LGE Rating'!$R:$R,$D118,'KU-LGE Rating'!$F:$F)</f>
        <v>0</v>
      </c>
      <c r="AL118" s="256">
        <f>IF($F118=AK$1,$U118,0)*SUMIF('KU-LGE Rating'!$R:$R,$D118,'KU-LGE Rating'!$G:$G)</f>
        <v>0</v>
      </c>
      <c r="AM118" s="240">
        <f t="shared" si="16"/>
        <v>0</v>
      </c>
      <c r="AN118" s="256">
        <f>IF($F118=AN$1,$U118,0)*SUMIF('KU-LGE Rating'!$R:$R,$D118,'KU-LGE Rating'!$F:$F)</f>
        <v>0</v>
      </c>
      <c r="AO118" s="256">
        <f>IF($F118=AN$1,$U118,0)*SUMIF('KU-LGE Rating'!$R:$R,$D118,'KU-LGE Rating'!$G:$G)</f>
        <v>0</v>
      </c>
      <c r="AP118" s="240">
        <f t="shared" si="17"/>
        <v>0</v>
      </c>
      <c r="AQ118" s="277"/>
      <c r="AR118" s="277"/>
      <c r="AV118" s="278"/>
      <c r="AW118" s="278"/>
      <c r="AX118" s="278"/>
    </row>
    <row r="119" spans="1:50">
      <c r="A119" s="1" t="s">
        <v>2769</v>
      </c>
      <c r="B119" s="1" t="s">
        <v>3</v>
      </c>
      <c r="C119" t="s">
        <v>3723</v>
      </c>
      <c r="D119" t="s">
        <v>3742</v>
      </c>
      <c r="E119" t="s">
        <v>3893</v>
      </c>
      <c r="F119">
        <v>2015</v>
      </c>
      <c r="G119" t="s">
        <v>3908</v>
      </c>
      <c r="H119">
        <v>512100</v>
      </c>
      <c r="I119">
        <v>0</v>
      </c>
      <c r="J119">
        <v>0</v>
      </c>
      <c r="K119">
        <v>515000</v>
      </c>
      <c r="L119">
        <v>710800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 s="8">
        <v>1225800</v>
      </c>
      <c r="V119" s="243" t="str">
        <f t="shared" si="10"/>
        <v>512</v>
      </c>
      <c r="W119" s="240">
        <f t="shared" si="11"/>
        <v>0</v>
      </c>
      <c r="X119" s="243">
        <f t="shared" si="12"/>
        <v>0</v>
      </c>
      <c r="Y119" s="255">
        <f>$W119*SUMIF('KU-LGE Rating'!$R:$R,$D119,'KU-LGE Rating'!F:F)</f>
        <v>0</v>
      </c>
      <c r="Z119" s="256">
        <f>$W119*SUMIF('KU-LGE Rating'!$R:$R,$D119,'KU-LGE Rating'!G:G)</f>
        <v>0</v>
      </c>
      <c r="AA119" s="257">
        <f t="shared" si="18"/>
        <v>0</v>
      </c>
      <c r="AB119" s="255">
        <f>$X119*SUMIF('KU-LGE Rating'!$R:$R,$D119,'KU-LGE Rating'!F:F)</f>
        <v>0</v>
      </c>
      <c r="AC119" s="256">
        <f>$X119*SUMIF('KU-LGE Rating'!$R:$R,$D119,'KU-LGE Rating'!G:G)</f>
        <v>0</v>
      </c>
      <c r="AD119" s="257">
        <f t="shared" si="19"/>
        <v>0</v>
      </c>
      <c r="AE119" s="274">
        <f>IF($F119=AE$1,$U119,0)*SUMIF('KU-LGE Rating'!$R:$R,$D119,'KU-LGE Rating'!$F:$F)</f>
        <v>0</v>
      </c>
      <c r="AF119" s="274">
        <f>IF($F119=AE$1,$U119,0)*SUMIF('KU-LGE Rating'!$R:$R,$D119,'KU-LGE Rating'!$G:$G)</f>
        <v>0</v>
      </c>
      <c r="AG119" s="240">
        <f t="shared" si="14"/>
        <v>0</v>
      </c>
      <c r="AH119" s="256">
        <f>IF($F119=AH$1,$U119,0)*SUMIF('KU-LGE Rating'!$R:$R,$D119,'KU-LGE Rating'!$F:$F)</f>
        <v>1225800</v>
      </c>
      <c r="AI119" s="256">
        <f>IF($F119=AH$1,$U119,0)*SUMIF('KU-LGE Rating'!$R:$R,$D119,'KU-LGE Rating'!$G:$G)</f>
        <v>0</v>
      </c>
      <c r="AJ119" s="240">
        <f t="shared" si="15"/>
        <v>1225800</v>
      </c>
      <c r="AK119" s="256">
        <f>IF($F119=AK$1,$U119,0)*SUMIF('KU-LGE Rating'!$R:$R,$D119,'KU-LGE Rating'!$F:$F)</f>
        <v>0</v>
      </c>
      <c r="AL119" s="256">
        <f>IF($F119=AK$1,$U119,0)*SUMIF('KU-LGE Rating'!$R:$R,$D119,'KU-LGE Rating'!$G:$G)</f>
        <v>0</v>
      </c>
      <c r="AM119" s="240">
        <f t="shared" si="16"/>
        <v>0</v>
      </c>
      <c r="AN119" s="256">
        <f>IF($F119=AN$1,$U119,0)*SUMIF('KU-LGE Rating'!$R:$R,$D119,'KU-LGE Rating'!$F:$F)</f>
        <v>0</v>
      </c>
      <c r="AO119" s="256">
        <f>IF($F119=AN$1,$U119,0)*SUMIF('KU-LGE Rating'!$R:$R,$D119,'KU-LGE Rating'!$G:$G)</f>
        <v>0</v>
      </c>
      <c r="AP119" s="240">
        <f t="shared" si="17"/>
        <v>0</v>
      </c>
      <c r="AQ119" s="277"/>
      <c r="AR119" s="277"/>
      <c r="AV119" s="278"/>
      <c r="AW119" s="278"/>
      <c r="AX119" s="278"/>
    </row>
    <row r="120" spans="1:50">
      <c r="A120" s="1" t="s">
        <v>2769</v>
      </c>
      <c r="B120" s="1" t="s">
        <v>3</v>
      </c>
      <c r="C120" t="s">
        <v>3723</v>
      </c>
      <c r="D120" t="s">
        <v>3742</v>
      </c>
      <c r="E120" t="s">
        <v>3893</v>
      </c>
      <c r="F120">
        <v>2015</v>
      </c>
      <c r="G120" t="s">
        <v>3908</v>
      </c>
      <c r="H120">
        <v>513100</v>
      </c>
      <c r="I120">
        <v>0</v>
      </c>
      <c r="J120">
        <v>500000</v>
      </c>
      <c r="K120">
        <v>500000</v>
      </c>
      <c r="L120">
        <v>2000000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 s="8">
        <v>3000000</v>
      </c>
      <c r="V120" s="243" t="str">
        <f t="shared" si="10"/>
        <v>513</v>
      </c>
      <c r="W120" s="240">
        <f t="shared" si="11"/>
        <v>500000</v>
      </c>
      <c r="X120" s="243">
        <f t="shared" si="12"/>
        <v>0</v>
      </c>
      <c r="Y120" s="255">
        <f>$W120*SUMIF('KU-LGE Rating'!$R:$R,$D120,'KU-LGE Rating'!F:F)</f>
        <v>500000</v>
      </c>
      <c r="Z120" s="256">
        <f>$W120*SUMIF('KU-LGE Rating'!$R:$R,$D120,'KU-LGE Rating'!G:G)</f>
        <v>0</v>
      </c>
      <c r="AA120" s="257">
        <f t="shared" si="18"/>
        <v>500000</v>
      </c>
      <c r="AB120" s="255">
        <f>$X120*SUMIF('KU-LGE Rating'!$R:$R,$D120,'KU-LGE Rating'!F:F)</f>
        <v>0</v>
      </c>
      <c r="AC120" s="256">
        <f>$X120*SUMIF('KU-LGE Rating'!$R:$R,$D120,'KU-LGE Rating'!G:G)</f>
        <v>0</v>
      </c>
      <c r="AD120" s="257">
        <f t="shared" si="19"/>
        <v>0</v>
      </c>
      <c r="AE120" s="274">
        <f>IF($F120=AE$1,$U120,0)*SUMIF('KU-LGE Rating'!$R:$R,$D120,'KU-LGE Rating'!$F:$F)</f>
        <v>0</v>
      </c>
      <c r="AF120" s="274">
        <f>IF($F120=AE$1,$U120,0)*SUMIF('KU-LGE Rating'!$R:$R,$D120,'KU-LGE Rating'!$G:$G)</f>
        <v>0</v>
      </c>
      <c r="AG120" s="240">
        <f t="shared" si="14"/>
        <v>0</v>
      </c>
      <c r="AH120" s="256">
        <f>IF($F120=AH$1,$U120,0)*SUMIF('KU-LGE Rating'!$R:$R,$D120,'KU-LGE Rating'!$F:$F)</f>
        <v>3000000</v>
      </c>
      <c r="AI120" s="256">
        <f>IF($F120=AH$1,$U120,0)*SUMIF('KU-LGE Rating'!$R:$R,$D120,'KU-LGE Rating'!$G:$G)</f>
        <v>0</v>
      </c>
      <c r="AJ120" s="240">
        <f t="shared" si="15"/>
        <v>3000000</v>
      </c>
      <c r="AK120" s="256">
        <f>IF($F120=AK$1,$U120,0)*SUMIF('KU-LGE Rating'!$R:$R,$D120,'KU-LGE Rating'!$F:$F)</f>
        <v>0</v>
      </c>
      <c r="AL120" s="256">
        <f>IF($F120=AK$1,$U120,0)*SUMIF('KU-LGE Rating'!$R:$R,$D120,'KU-LGE Rating'!$G:$G)</f>
        <v>0</v>
      </c>
      <c r="AM120" s="240">
        <f t="shared" si="16"/>
        <v>0</v>
      </c>
      <c r="AN120" s="256">
        <f>IF($F120=AN$1,$U120,0)*SUMIF('KU-LGE Rating'!$R:$R,$D120,'KU-LGE Rating'!$F:$F)</f>
        <v>0</v>
      </c>
      <c r="AO120" s="256">
        <f>IF($F120=AN$1,$U120,0)*SUMIF('KU-LGE Rating'!$R:$R,$D120,'KU-LGE Rating'!$G:$G)</f>
        <v>0</v>
      </c>
      <c r="AP120" s="240">
        <f t="shared" si="17"/>
        <v>0</v>
      </c>
      <c r="AQ120" s="277"/>
      <c r="AR120" s="277"/>
      <c r="AV120" s="278"/>
      <c r="AW120" s="278"/>
      <c r="AX120" s="278"/>
    </row>
    <row r="121" spans="1:50">
      <c r="A121" s="1" t="s">
        <v>2769</v>
      </c>
      <c r="B121" s="1" t="s">
        <v>3</v>
      </c>
      <c r="C121" t="s">
        <v>3723</v>
      </c>
      <c r="D121" t="s">
        <v>3742</v>
      </c>
      <c r="E121" t="s">
        <v>3893</v>
      </c>
      <c r="F121">
        <v>2016</v>
      </c>
      <c r="G121" t="s">
        <v>3908</v>
      </c>
      <c r="H121">
        <v>512100</v>
      </c>
      <c r="I121">
        <v>0</v>
      </c>
      <c r="J121">
        <v>0</v>
      </c>
      <c r="K121">
        <v>0</v>
      </c>
      <c r="L121">
        <v>800073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 s="8">
        <v>800073</v>
      </c>
      <c r="V121" s="243" t="str">
        <f t="shared" si="10"/>
        <v>512</v>
      </c>
      <c r="W121" s="240">
        <f t="shared" si="11"/>
        <v>0</v>
      </c>
      <c r="X121" s="243">
        <f t="shared" si="12"/>
        <v>800073</v>
      </c>
      <c r="Y121" s="255">
        <f>$W121*SUMIF('KU-LGE Rating'!$R:$R,$D121,'KU-LGE Rating'!F:F)</f>
        <v>0</v>
      </c>
      <c r="Z121" s="256">
        <f>$W121*SUMIF('KU-LGE Rating'!$R:$R,$D121,'KU-LGE Rating'!G:G)</f>
        <v>0</v>
      </c>
      <c r="AA121" s="257">
        <f t="shared" si="18"/>
        <v>0</v>
      </c>
      <c r="AB121" s="255">
        <f>$X121*SUMIF('KU-LGE Rating'!$R:$R,$D121,'KU-LGE Rating'!F:F)</f>
        <v>800073</v>
      </c>
      <c r="AC121" s="256">
        <f>$X121*SUMIF('KU-LGE Rating'!$R:$R,$D121,'KU-LGE Rating'!G:G)</f>
        <v>0</v>
      </c>
      <c r="AD121" s="257">
        <f t="shared" si="19"/>
        <v>800073</v>
      </c>
      <c r="AE121" s="274">
        <f>IF($F121=AE$1,$U121,0)*SUMIF('KU-LGE Rating'!$R:$R,$D121,'KU-LGE Rating'!$F:$F)</f>
        <v>0</v>
      </c>
      <c r="AF121" s="274">
        <f>IF($F121=AE$1,$U121,0)*SUMIF('KU-LGE Rating'!$R:$R,$D121,'KU-LGE Rating'!$G:$G)</f>
        <v>0</v>
      </c>
      <c r="AG121" s="240">
        <f t="shared" si="14"/>
        <v>0</v>
      </c>
      <c r="AH121" s="256">
        <f>IF($F121=AH$1,$U121,0)*SUMIF('KU-LGE Rating'!$R:$R,$D121,'KU-LGE Rating'!$F:$F)</f>
        <v>0</v>
      </c>
      <c r="AI121" s="256">
        <f>IF($F121=AH$1,$U121,0)*SUMIF('KU-LGE Rating'!$R:$R,$D121,'KU-LGE Rating'!$G:$G)</f>
        <v>0</v>
      </c>
      <c r="AJ121" s="240">
        <f t="shared" si="15"/>
        <v>0</v>
      </c>
      <c r="AK121" s="256">
        <f>IF($F121=AK$1,$U121,0)*SUMIF('KU-LGE Rating'!$R:$R,$D121,'KU-LGE Rating'!$F:$F)</f>
        <v>800073</v>
      </c>
      <c r="AL121" s="256">
        <f>IF($F121=AK$1,$U121,0)*SUMIF('KU-LGE Rating'!$R:$R,$D121,'KU-LGE Rating'!$G:$G)</f>
        <v>0</v>
      </c>
      <c r="AM121" s="240">
        <f t="shared" si="16"/>
        <v>800073</v>
      </c>
      <c r="AN121" s="256">
        <f>IF($F121=AN$1,$U121,0)*SUMIF('KU-LGE Rating'!$R:$R,$D121,'KU-LGE Rating'!$F:$F)</f>
        <v>0</v>
      </c>
      <c r="AO121" s="256">
        <f>IF($F121=AN$1,$U121,0)*SUMIF('KU-LGE Rating'!$R:$R,$D121,'KU-LGE Rating'!$G:$G)</f>
        <v>0</v>
      </c>
      <c r="AP121" s="240">
        <f t="shared" si="17"/>
        <v>0</v>
      </c>
      <c r="AQ121" s="277"/>
      <c r="AR121" s="277"/>
      <c r="AV121" s="278"/>
      <c r="AW121" s="278"/>
      <c r="AX121" s="278"/>
    </row>
    <row r="122" spans="1:50">
      <c r="A122" s="1" t="s">
        <v>2769</v>
      </c>
      <c r="B122" s="1" t="s">
        <v>3</v>
      </c>
      <c r="C122" t="s">
        <v>3723</v>
      </c>
      <c r="D122" t="s">
        <v>3742</v>
      </c>
      <c r="E122" t="s">
        <v>3893</v>
      </c>
      <c r="F122">
        <v>2017</v>
      </c>
      <c r="G122" t="s">
        <v>3908</v>
      </c>
      <c r="H122">
        <v>512100</v>
      </c>
      <c r="I122">
        <v>0</v>
      </c>
      <c r="J122">
        <v>0</v>
      </c>
      <c r="K122">
        <v>485258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 s="8">
        <v>485258</v>
      </c>
      <c r="V122" s="243" t="str">
        <f t="shared" si="10"/>
        <v>512</v>
      </c>
      <c r="W122" s="240">
        <f t="shared" si="11"/>
        <v>0</v>
      </c>
      <c r="X122" s="243">
        <f t="shared" si="12"/>
        <v>0</v>
      </c>
      <c r="Y122" s="255">
        <f>$W122*SUMIF('KU-LGE Rating'!$R:$R,$D122,'KU-LGE Rating'!F:F)</f>
        <v>0</v>
      </c>
      <c r="Z122" s="256">
        <f>$W122*SUMIF('KU-LGE Rating'!$R:$R,$D122,'KU-LGE Rating'!G:G)</f>
        <v>0</v>
      </c>
      <c r="AA122" s="257">
        <f t="shared" si="18"/>
        <v>0</v>
      </c>
      <c r="AB122" s="255">
        <f>$X122*SUMIF('KU-LGE Rating'!$R:$R,$D122,'KU-LGE Rating'!F:F)</f>
        <v>0</v>
      </c>
      <c r="AC122" s="256">
        <f>$X122*SUMIF('KU-LGE Rating'!$R:$R,$D122,'KU-LGE Rating'!G:G)</f>
        <v>0</v>
      </c>
      <c r="AD122" s="257">
        <f t="shared" si="19"/>
        <v>0</v>
      </c>
      <c r="AE122" s="274">
        <f>IF($F122=AE$1,$U122,0)*SUMIF('KU-LGE Rating'!$R:$R,$D122,'KU-LGE Rating'!$F:$F)</f>
        <v>0</v>
      </c>
      <c r="AF122" s="274">
        <f>IF($F122=AE$1,$U122,0)*SUMIF('KU-LGE Rating'!$R:$R,$D122,'KU-LGE Rating'!$G:$G)</f>
        <v>0</v>
      </c>
      <c r="AG122" s="240">
        <f t="shared" si="14"/>
        <v>0</v>
      </c>
      <c r="AH122" s="256">
        <f>IF($F122=AH$1,$U122,0)*SUMIF('KU-LGE Rating'!$R:$R,$D122,'KU-LGE Rating'!$F:$F)</f>
        <v>0</v>
      </c>
      <c r="AI122" s="256">
        <f>IF($F122=AH$1,$U122,0)*SUMIF('KU-LGE Rating'!$R:$R,$D122,'KU-LGE Rating'!$G:$G)</f>
        <v>0</v>
      </c>
      <c r="AJ122" s="240">
        <f t="shared" si="15"/>
        <v>0</v>
      </c>
      <c r="AK122" s="256">
        <f>IF($F122=AK$1,$U122,0)*SUMIF('KU-LGE Rating'!$R:$R,$D122,'KU-LGE Rating'!$F:$F)</f>
        <v>0</v>
      </c>
      <c r="AL122" s="256">
        <f>IF($F122=AK$1,$U122,0)*SUMIF('KU-LGE Rating'!$R:$R,$D122,'KU-LGE Rating'!$G:$G)</f>
        <v>0</v>
      </c>
      <c r="AM122" s="240">
        <f t="shared" si="16"/>
        <v>0</v>
      </c>
      <c r="AN122" s="256">
        <f>IF($F122=AN$1,$U122,0)*SUMIF('KU-LGE Rating'!$R:$R,$D122,'KU-LGE Rating'!$F:$F)</f>
        <v>485258</v>
      </c>
      <c r="AO122" s="256">
        <f>IF($F122=AN$1,$U122,0)*SUMIF('KU-LGE Rating'!$R:$R,$D122,'KU-LGE Rating'!$G:$G)</f>
        <v>0</v>
      </c>
      <c r="AP122" s="240">
        <f t="shared" si="17"/>
        <v>485258</v>
      </c>
      <c r="AQ122" s="277"/>
      <c r="AR122" s="277"/>
      <c r="AV122" s="278"/>
      <c r="AW122" s="278"/>
      <c r="AX122" s="278"/>
    </row>
    <row r="123" spans="1:50">
      <c r="A123" s="1" t="s">
        <v>2769</v>
      </c>
      <c r="B123" s="1" t="s">
        <v>3</v>
      </c>
      <c r="C123" t="s">
        <v>3723</v>
      </c>
      <c r="D123" t="s">
        <v>3743</v>
      </c>
      <c r="E123" t="s">
        <v>3893</v>
      </c>
      <c r="F123">
        <v>2014</v>
      </c>
      <c r="G123" t="s">
        <v>3908</v>
      </c>
      <c r="H123">
        <v>512005</v>
      </c>
      <c r="I123">
        <v>233.35</v>
      </c>
      <c r="J123">
        <v>0</v>
      </c>
      <c r="K123">
        <v>0</v>
      </c>
      <c r="L123">
        <v>125587.07</v>
      </c>
      <c r="M123">
        <v>16491.71</v>
      </c>
      <c r="N123">
        <v>-2050.48</v>
      </c>
      <c r="O123">
        <v>256.33</v>
      </c>
      <c r="P123">
        <v>0</v>
      </c>
      <c r="Q123">
        <v>119482.02</v>
      </c>
      <c r="R123">
        <v>0</v>
      </c>
      <c r="S123">
        <v>0</v>
      </c>
      <c r="T123">
        <v>0</v>
      </c>
      <c r="U123" s="8">
        <v>260000</v>
      </c>
      <c r="V123" s="243" t="str">
        <f t="shared" si="10"/>
        <v>512</v>
      </c>
      <c r="W123" s="240">
        <f t="shared" si="11"/>
        <v>259766.64999999997</v>
      </c>
      <c r="X123" s="243">
        <f t="shared" si="12"/>
        <v>0</v>
      </c>
      <c r="Y123" s="255">
        <f>$W123*SUMIF('KU-LGE Rating'!$R:$R,$D123,'KU-LGE Rating'!F:F)</f>
        <v>259766.64999999997</v>
      </c>
      <c r="Z123" s="256">
        <f>$W123*SUMIF('KU-LGE Rating'!$R:$R,$D123,'KU-LGE Rating'!G:G)</f>
        <v>0</v>
      </c>
      <c r="AA123" s="257">
        <f t="shared" si="18"/>
        <v>259766.64999999997</v>
      </c>
      <c r="AB123" s="255">
        <f>$X123*SUMIF('KU-LGE Rating'!$R:$R,$D123,'KU-LGE Rating'!F:F)</f>
        <v>0</v>
      </c>
      <c r="AC123" s="256">
        <f>$X123*SUMIF('KU-LGE Rating'!$R:$R,$D123,'KU-LGE Rating'!G:G)</f>
        <v>0</v>
      </c>
      <c r="AD123" s="257">
        <f t="shared" si="19"/>
        <v>0</v>
      </c>
      <c r="AE123" s="274">
        <f>IF($F123=AE$1,$U123,0)*SUMIF('KU-LGE Rating'!$R:$R,$D123,'KU-LGE Rating'!$F:$F)</f>
        <v>260000</v>
      </c>
      <c r="AF123" s="274">
        <f>IF($F123=AE$1,$U123,0)*SUMIF('KU-LGE Rating'!$R:$R,$D123,'KU-LGE Rating'!$G:$G)</f>
        <v>0</v>
      </c>
      <c r="AG123" s="240">
        <f t="shared" si="14"/>
        <v>260000</v>
      </c>
      <c r="AH123" s="256">
        <f>IF($F123=AH$1,$U123,0)*SUMIF('KU-LGE Rating'!$R:$R,$D123,'KU-LGE Rating'!$F:$F)</f>
        <v>0</v>
      </c>
      <c r="AI123" s="256">
        <f>IF($F123=AH$1,$U123,0)*SUMIF('KU-LGE Rating'!$R:$R,$D123,'KU-LGE Rating'!$G:$G)</f>
        <v>0</v>
      </c>
      <c r="AJ123" s="240">
        <f t="shared" si="15"/>
        <v>0</v>
      </c>
      <c r="AK123" s="256">
        <f>IF($F123=AK$1,$U123,0)*SUMIF('KU-LGE Rating'!$R:$R,$D123,'KU-LGE Rating'!$F:$F)</f>
        <v>0</v>
      </c>
      <c r="AL123" s="256">
        <f>IF($F123=AK$1,$U123,0)*SUMIF('KU-LGE Rating'!$R:$R,$D123,'KU-LGE Rating'!$G:$G)</f>
        <v>0</v>
      </c>
      <c r="AM123" s="240">
        <f t="shared" si="16"/>
        <v>0</v>
      </c>
      <c r="AN123" s="256">
        <f>IF($F123=AN$1,$U123,0)*SUMIF('KU-LGE Rating'!$R:$R,$D123,'KU-LGE Rating'!$F:$F)</f>
        <v>0</v>
      </c>
      <c r="AO123" s="256">
        <f>IF($F123=AN$1,$U123,0)*SUMIF('KU-LGE Rating'!$R:$R,$D123,'KU-LGE Rating'!$G:$G)</f>
        <v>0</v>
      </c>
      <c r="AP123" s="240">
        <f t="shared" si="17"/>
        <v>0</v>
      </c>
      <c r="AQ123" s="277"/>
      <c r="AR123" s="277"/>
      <c r="AV123" s="278"/>
      <c r="AW123" s="278"/>
      <c r="AX123" s="278"/>
    </row>
    <row r="124" spans="1:50">
      <c r="A124" s="1" t="s">
        <v>2769</v>
      </c>
      <c r="B124" s="1" t="s">
        <v>3</v>
      </c>
      <c r="C124" t="s">
        <v>3723</v>
      </c>
      <c r="D124" t="s">
        <v>3743</v>
      </c>
      <c r="E124" t="s">
        <v>3893</v>
      </c>
      <c r="F124">
        <v>2014</v>
      </c>
      <c r="G124" t="s">
        <v>3908</v>
      </c>
      <c r="H124">
        <v>512100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-14317.59</v>
      </c>
      <c r="R124">
        <v>-8662.61</v>
      </c>
      <c r="S124">
        <v>-39388.47</v>
      </c>
      <c r="T124">
        <v>6306.76</v>
      </c>
      <c r="U124" s="8">
        <v>-56061.91</v>
      </c>
      <c r="V124" s="243" t="str">
        <f t="shared" si="10"/>
        <v>512</v>
      </c>
      <c r="W124" s="240">
        <f t="shared" si="11"/>
        <v>-56061.909999999996</v>
      </c>
      <c r="X124" s="243">
        <f t="shared" si="12"/>
        <v>0</v>
      </c>
      <c r="Y124" s="255">
        <f>$W124*SUMIF('KU-LGE Rating'!$R:$R,$D124,'KU-LGE Rating'!F:F)</f>
        <v>-56061.909999999996</v>
      </c>
      <c r="Z124" s="256">
        <f>$W124*SUMIF('KU-LGE Rating'!$R:$R,$D124,'KU-LGE Rating'!G:G)</f>
        <v>0</v>
      </c>
      <c r="AA124" s="257">
        <f t="shared" si="18"/>
        <v>-56061.909999999996</v>
      </c>
      <c r="AB124" s="255">
        <f>$X124*SUMIF('KU-LGE Rating'!$R:$R,$D124,'KU-LGE Rating'!F:F)</f>
        <v>0</v>
      </c>
      <c r="AC124" s="256">
        <f>$X124*SUMIF('KU-LGE Rating'!$R:$R,$D124,'KU-LGE Rating'!G:G)</f>
        <v>0</v>
      </c>
      <c r="AD124" s="257">
        <f t="shared" si="19"/>
        <v>0</v>
      </c>
      <c r="AE124" s="274">
        <f>IF($F124=AE$1,$U124,0)*SUMIF('KU-LGE Rating'!$R:$R,$D124,'KU-LGE Rating'!$F:$F)</f>
        <v>-56061.91</v>
      </c>
      <c r="AF124" s="274">
        <f>IF($F124=AE$1,$U124,0)*SUMIF('KU-LGE Rating'!$R:$R,$D124,'KU-LGE Rating'!$G:$G)</f>
        <v>0</v>
      </c>
      <c r="AG124" s="240">
        <f t="shared" si="14"/>
        <v>-56061.91</v>
      </c>
      <c r="AH124" s="256">
        <f>IF($F124=AH$1,$U124,0)*SUMIF('KU-LGE Rating'!$R:$R,$D124,'KU-LGE Rating'!$F:$F)</f>
        <v>0</v>
      </c>
      <c r="AI124" s="256">
        <f>IF($F124=AH$1,$U124,0)*SUMIF('KU-LGE Rating'!$R:$R,$D124,'KU-LGE Rating'!$G:$G)</f>
        <v>0</v>
      </c>
      <c r="AJ124" s="240">
        <f t="shared" si="15"/>
        <v>0</v>
      </c>
      <c r="AK124" s="256">
        <f>IF($F124=AK$1,$U124,0)*SUMIF('KU-LGE Rating'!$R:$R,$D124,'KU-LGE Rating'!$F:$F)</f>
        <v>0</v>
      </c>
      <c r="AL124" s="256">
        <f>IF($F124=AK$1,$U124,0)*SUMIF('KU-LGE Rating'!$R:$R,$D124,'KU-LGE Rating'!$G:$G)</f>
        <v>0</v>
      </c>
      <c r="AM124" s="240">
        <f t="shared" si="16"/>
        <v>0</v>
      </c>
      <c r="AN124" s="256">
        <f>IF($F124=AN$1,$U124,0)*SUMIF('KU-LGE Rating'!$R:$R,$D124,'KU-LGE Rating'!$F:$F)</f>
        <v>0</v>
      </c>
      <c r="AO124" s="256">
        <f>IF($F124=AN$1,$U124,0)*SUMIF('KU-LGE Rating'!$R:$R,$D124,'KU-LGE Rating'!$G:$G)</f>
        <v>0</v>
      </c>
      <c r="AP124" s="240">
        <f t="shared" si="17"/>
        <v>0</v>
      </c>
      <c r="AQ124" s="277"/>
      <c r="AR124" s="277"/>
      <c r="AV124" s="278"/>
      <c r="AW124" s="278"/>
      <c r="AX124" s="278"/>
    </row>
    <row r="125" spans="1:50">
      <c r="A125" s="1" t="s">
        <v>2769</v>
      </c>
      <c r="B125" s="1" t="s">
        <v>3</v>
      </c>
      <c r="C125" t="s">
        <v>3723</v>
      </c>
      <c r="D125" t="s">
        <v>3743</v>
      </c>
      <c r="E125" t="s">
        <v>3893</v>
      </c>
      <c r="F125">
        <v>2014</v>
      </c>
      <c r="G125" t="s">
        <v>3908</v>
      </c>
      <c r="H125">
        <v>513100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110870.32</v>
      </c>
      <c r="R125">
        <v>18588.650000000001</v>
      </c>
      <c r="S125">
        <v>46048.46</v>
      </c>
      <c r="T125">
        <v>2799.16</v>
      </c>
      <c r="U125" s="8">
        <v>178306.59</v>
      </c>
      <c r="V125" s="243" t="str">
        <f t="shared" si="10"/>
        <v>513</v>
      </c>
      <c r="W125" s="240">
        <f t="shared" si="11"/>
        <v>178306.59</v>
      </c>
      <c r="X125" s="243">
        <f t="shared" si="12"/>
        <v>0</v>
      </c>
      <c r="Y125" s="255">
        <f>$W125*SUMIF('KU-LGE Rating'!$R:$R,$D125,'KU-LGE Rating'!F:F)</f>
        <v>178306.59</v>
      </c>
      <c r="Z125" s="256">
        <f>$W125*SUMIF('KU-LGE Rating'!$R:$R,$D125,'KU-LGE Rating'!G:G)</f>
        <v>0</v>
      </c>
      <c r="AA125" s="257">
        <f t="shared" si="18"/>
        <v>178306.59</v>
      </c>
      <c r="AB125" s="255">
        <f>$X125*SUMIF('KU-LGE Rating'!$R:$R,$D125,'KU-LGE Rating'!F:F)</f>
        <v>0</v>
      </c>
      <c r="AC125" s="256">
        <f>$X125*SUMIF('KU-LGE Rating'!$R:$R,$D125,'KU-LGE Rating'!G:G)</f>
        <v>0</v>
      </c>
      <c r="AD125" s="257">
        <f t="shared" si="19"/>
        <v>0</v>
      </c>
      <c r="AE125" s="274">
        <f>IF($F125=AE$1,$U125,0)*SUMIF('KU-LGE Rating'!$R:$R,$D125,'KU-LGE Rating'!$F:$F)</f>
        <v>178306.59</v>
      </c>
      <c r="AF125" s="274">
        <f>IF($F125=AE$1,$U125,0)*SUMIF('KU-LGE Rating'!$R:$R,$D125,'KU-LGE Rating'!$G:$G)</f>
        <v>0</v>
      </c>
      <c r="AG125" s="240">
        <f t="shared" si="14"/>
        <v>178306.59</v>
      </c>
      <c r="AH125" s="256">
        <f>IF($F125=AH$1,$U125,0)*SUMIF('KU-LGE Rating'!$R:$R,$D125,'KU-LGE Rating'!$F:$F)</f>
        <v>0</v>
      </c>
      <c r="AI125" s="256">
        <f>IF($F125=AH$1,$U125,0)*SUMIF('KU-LGE Rating'!$R:$R,$D125,'KU-LGE Rating'!$G:$G)</f>
        <v>0</v>
      </c>
      <c r="AJ125" s="240">
        <f t="shared" si="15"/>
        <v>0</v>
      </c>
      <c r="AK125" s="256">
        <f>IF($F125=AK$1,$U125,0)*SUMIF('KU-LGE Rating'!$R:$R,$D125,'KU-LGE Rating'!$F:$F)</f>
        <v>0</v>
      </c>
      <c r="AL125" s="256">
        <f>IF($F125=AK$1,$U125,0)*SUMIF('KU-LGE Rating'!$R:$R,$D125,'KU-LGE Rating'!$G:$G)</f>
        <v>0</v>
      </c>
      <c r="AM125" s="240">
        <f t="shared" si="16"/>
        <v>0</v>
      </c>
      <c r="AN125" s="256">
        <f>IF($F125=AN$1,$U125,0)*SUMIF('KU-LGE Rating'!$R:$R,$D125,'KU-LGE Rating'!$F:$F)</f>
        <v>0</v>
      </c>
      <c r="AO125" s="256">
        <f>IF($F125=AN$1,$U125,0)*SUMIF('KU-LGE Rating'!$R:$R,$D125,'KU-LGE Rating'!$G:$G)</f>
        <v>0</v>
      </c>
      <c r="AP125" s="240">
        <f t="shared" si="17"/>
        <v>0</v>
      </c>
      <c r="AQ125" s="277"/>
      <c r="AR125" s="277"/>
      <c r="AV125" s="278"/>
      <c r="AW125" s="278"/>
      <c r="AX125" s="278"/>
    </row>
    <row r="126" spans="1:50">
      <c r="A126" s="1" t="s">
        <v>2769</v>
      </c>
      <c r="B126" s="1" t="s">
        <v>3</v>
      </c>
      <c r="C126" t="s">
        <v>3723</v>
      </c>
      <c r="D126" t="s">
        <v>3743</v>
      </c>
      <c r="E126" t="s">
        <v>3893</v>
      </c>
      <c r="F126">
        <v>2014</v>
      </c>
      <c r="G126" t="s">
        <v>3908</v>
      </c>
      <c r="H126">
        <v>514100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0.03</v>
      </c>
      <c r="S126">
        <v>0.08</v>
      </c>
      <c r="T126">
        <v>0</v>
      </c>
      <c r="U126" s="8">
        <v>0.11</v>
      </c>
      <c r="V126" s="243" t="str">
        <f t="shared" si="10"/>
        <v>514</v>
      </c>
      <c r="W126" s="240">
        <f t="shared" si="11"/>
        <v>0.11</v>
      </c>
      <c r="X126" s="243">
        <f t="shared" si="12"/>
        <v>0</v>
      </c>
      <c r="Y126" s="255">
        <f>$W126*SUMIF('KU-LGE Rating'!$R:$R,$D126,'KU-LGE Rating'!F:F)</f>
        <v>0.11</v>
      </c>
      <c r="Z126" s="256">
        <f>$W126*SUMIF('KU-LGE Rating'!$R:$R,$D126,'KU-LGE Rating'!G:G)</f>
        <v>0</v>
      </c>
      <c r="AA126" s="257">
        <f t="shared" si="18"/>
        <v>0.11</v>
      </c>
      <c r="AB126" s="255">
        <f>$X126*SUMIF('KU-LGE Rating'!$R:$R,$D126,'KU-LGE Rating'!F:F)</f>
        <v>0</v>
      </c>
      <c r="AC126" s="256">
        <f>$X126*SUMIF('KU-LGE Rating'!$R:$R,$D126,'KU-LGE Rating'!G:G)</f>
        <v>0</v>
      </c>
      <c r="AD126" s="257">
        <f t="shared" si="19"/>
        <v>0</v>
      </c>
      <c r="AE126" s="274">
        <f>IF($F126=AE$1,$U126,0)*SUMIF('KU-LGE Rating'!$R:$R,$D126,'KU-LGE Rating'!$F:$F)</f>
        <v>0.11</v>
      </c>
      <c r="AF126" s="274">
        <f>IF($F126=AE$1,$U126,0)*SUMIF('KU-LGE Rating'!$R:$R,$D126,'KU-LGE Rating'!$G:$G)</f>
        <v>0</v>
      </c>
      <c r="AG126" s="240">
        <f t="shared" si="14"/>
        <v>0.11</v>
      </c>
      <c r="AH126" s="256">
        <f>IF($F126=AH$1,$U126,0)*SUMIF('KU-LGE Rating'!$R:$R,$D126,'KU-LGE Rating'!$F:$F)</f>
        <v>0</v>
      </c>
      <c r="AI126" s="256">
        <f>IF($F126=AH$1,$U126,0)*SUMIF('KU-LGE Rating'!$R:$R,$D126,'KU-LGE Rating'!$G:$G)</f>
        <v>0</v>
      </c>
      <c r="AJ126" s="240">
        <f t="shared" si="15"/>
        <v>0</v>
      </c>
      <c r="AK126" s="256">
        <f>IF($F126=AK$1,$U126,0)*SUMIF('KU-LGE Rating'!$R:$R,$D126,'KU-LGE Rating'!$F:$F)</f>
        <v>0</v>
      </c>
      <c r="AL126" s="256">
        <f>IF($F126=AK$1,$U126,0)*SUMIF('KU-LGE Rating'!$R:$R,$D126,'KU-LGE Rating'!$G:$G)</f>
        <v>0</v>
      </c>
      <c r="AM126" s="240">
        <f t="shared" si="16"/>
        <v>0</v>
      </c>
      <c r="AN126" s="256">
        <f>IF($F126=AN$1,$U126,0)*SUMIF('KU-LGE Rating'!$R:$R,$D126,'KU-LGE Rating'!$F:$F)</f>
        <v>0</v>
      </c>
      <c r="AO126" s="256">
        <f>IF($F126=AN$1,$U126,0)*SUMIF('KU-LGE Rating'!$R:$R,$D126,'KU-LGE Rating'!$G:$G)</f>
        <v>0</v>
      </c>
      <c r="AP126" s="240">
        <f t="shared" si="17"/>
        <v>0</v>
      </c>
      <c r="AQ126" s="277"/>
      <c r="AR126" s="277"/>
      <c r="AV126" s="278"/>
      <c r="AW126" s="278"/>
      <c r="AX126" s="278"/>
    </row>
    <row r="127" spans="1:50">
      <c r="A127" s="1" t="s">
        <v>2769</v>
      </c>
      <c r="B127" s="1" t="s">
        <v>3</v>
      </c>
      <c r="C127" t="s">
        <v>3723</v>
      </c>
      <c r="D127" t="s">
        <v>3743</v>
      </c>
      <c r="E127" t="s">
        <v>3893</v>
      </c>
      <c r="F127">
        <v>2016</v>
      </c>
      <c r="G127" t="s">
        <v>3908</v>
      </c>
      <c r="H127">
        <v>512005</v>
      </c>
      <c r="I127">
        <v>0</v>
      </c>
      <c r="J127">
        <v>0</v>
      </c>
      <c r="K127">
        <v>50000</v>
      </c>
      <c r="L127">
        <v>150000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 s="8">
        <v>200000</v>
      </c>
      <c r="V127" s="243" t="str">
        <f t="shared" si="10"/>
        <v>512</v>
      </c>
      <c r="W127" s="240">
        <f t="shared" si="11"/>
        <v>0</v>
      </c>
      <c r="X127" s="243">
        <f t="shared" si="12"/>
        <v>200000</v>
      </c>
      <c r="Y127" s="255">
        <f>$W127*SUMIF('KU-LGE Rating'!$R:$R,$D127,'KU-LGE Rating'!F:F)</f>
        <v>0</v>
      </c>
      <c r="Z127" s="256">
        <f>$W127*SUMIF('KU-LGE Rating'!$R:$R,$D127,'KU-LGE Rating'!G:G)</f>
        <v>0</v>
      </c>
      <c r="AA127" s="257">
        <f t="shared" si="18"/>
        <v>0</v>
      </c>
      <c r="AB127" s="255">
        <f>$X127*SUMIF('KU-LGE Rating'!$R:$R,$D127,'KU-LGE Rating'!F:F)</f>
        <v>200000</v>
      </c>
      <c r="AC127" s="256">
        <f>$X127*SUMIF('KU-LGE Rating'!$R:$R,$D127,'KU-LGE Rating'!G:G)</f>
        <v>0</v>
      </c>
      <c r="AD127" s="257">
        <f t="shared" si="19"/>
        <v>200000</v>
      </c>
      <c r="AE127" s="274">
        <f>IF($F127=AE$1,$U127,0)*SUMIF('KU-LGE Rating'!$R:$R,$D127,'KU-LGE Rating'!$F:$F)</f>
        <v>0</v>
      </c>
      <c r="AF127" s="274">
        <f>IF($F127=AE$1,$U127,0)*SUMIF('KU-LGE Rating'!$R:$R,$D127,'KU-LGE Rating'!$G:$G)</f>
        <v>0</v>
      </c>
      <c r="AG127" s="240">
        <f t="shared" si="14"/>
        <v>0</v>
      </c>
      <c r="AH127" s="256">
        <f>IF($F127=AH$1,$U127,0)*SUMIF('KU-LGE Rating'!$R:$R,$D127,'KU-LGE Rating'!$F:$F)</f>
        <v>0</v>
      </c>
      <c r="AI127" s="256">
        <f>IF($F127=AH$1,$U127,0)*SUMIF('KU-LGE Rating'!$R:$R,$D127,'KU-LGE Rating'!$G:$G)</f>
        <v>0</v>
      </c>
      <c r="AJ127" s="240">
        <f t="shared" si="15"/>
        <v>0</v>
      </c>
      <c r="AK127" s="256">
        <f>IF($F127=AK$1,$U127,0)*SUMIF('KU-LGE Rating'!$R:$R,$D127,'KU-LGE Rating'!$F:$F)</f>
        <v>200000</v>
      </c>
      <c r="AL127" s="256">
        <f>IF($F127=AK$1,$U127,0)*SUMIF('KU-LGE Rating'!$R:$R,$D127,'KU-LGE Rating'!$G:$G)</f>
        <v>0</v>
      </c>
      <c r="AM127" s="240">
        <f t="shared" si="16"/>
        <v>200000</v>
      </c>
      <c r="AN127" s="256">
        <f>IF($F127=AN$1,$U127,0)*SUMIF('KU-LGE Rating'!$R:$R,$D127,'KU-LGE Rating'!$F:$F)</f>
        <v>0</v>
      </c>
      <c r="AO127" s="256">
        <f>IF($F127=AN$1,$U127,0)*SUMIF('KU-LGE Rating'!$R:$R,$D127,'KU-LGE Rating'!$G:$G)</f>
        <v>0</v>
      </c>
      <c r="AP127" s="240">
        <f t="shared" si="17"/>
        <v>0</v>
      </c>
      <c r="AQ127" s="277"/>
      <c r="AR127" s="277"/>
      <c r="AV127" s="278"/>
      <c r="AW127" s="278"/>
      <c r="AX127" s="278"/>
    </row>
    <row r="128" spans="1:50">
      <c r="A128" s="1" t="s">
        <v>2769</v>
      </c>
      <c r="B128" s="1" t="s">
        <v>3</v>
      </c>
      <c r="C128" t="s">
        <v>3723</v>
      </c>
      <c r="D128" t="s">
        <v>3862</v>
      </c>
      <c r="E128" t="s">
        <v>3893</v>
      </c>
      <c r="F128">
        <v>2015</v>
      </c>
      <c r="G128" t="s">
        <v>3908</v>
      </c>
      <c r="H128">
        <v>553100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596000</v>
      </c>
      <c r="R128">
        <v>0</v>
      </c>
      <c r="S128">
        <v>0</v>
      </c>
      <c r="T128">
        <v>0</v>
      </c>
      <c r="U128" s="8">
        <v>596000</v>
      </c>
      <c r="V128" s="243" t="str">
        <f t="shared" si="10"/>
        <v>553</v>
      </c>
      <c r="W128" s="240">
        <f t="shared" si="11"/>
        <v>0</v>
      </c>
      <c r="X128" s="243">
        <f t="shared" si="12"/>
        <v>596000</v>
      </c>
      <c r="Y128" s="255">
        <f>$W128*SUMIF('KU-LGE Rating'!$R:$R,$D128,'KU-LGE Rating'!F:F)</f>
        <v>0</v>
      </c>
      <c r="Z128" s="256">
        <f>$W128*SUMIF('KU-LGE Rating'!$R:$R,$D128,'KU-LGE Rating'!G:G)</f>
        <v>0</v>
      </c>
      <c r="AA128" s="257">
        <f t="shared" si="18"/>
        <v>0</v>
      </c>
      <c r="AB128" s="255">
        <f>$X128*SUMIF('KU-LGE Rating'!$R:$R,$D128,'KU-LGE Rating'!F:F)</f>
        <v>596000</v>
      </c>
      <c r="AC128" s="256">
        <f>$X128*SUMIF('KU-LGE Rating'!$R:$R,$D128,'KU-LGE Rating'!G:G)</f>
        <v>0</v>
      </c>
      <c r="AD128" s="257">
        <f t="shared" si="19"/>
        <v>596000</v>
      </c>
      <c r="AE128" s="274">
        <f>IF($F128=AE$1,$U128,0)*SUMIF('KU-LGE Rating'!$R:$R,$D128,'KU-LGE Rating'!$F:$F)</f>
        <v>0</v>
      </c>
      <c r="AF128" s="274">
        <f>IF($F128=AE$1,$U128,0)*SUMIF('KU-LGE Rating'!$R:$R,$D128,'KU-LGE Rating'!$G:$G)</f>
        <v>0</v>
      </c>
      <c r="AG128" s="240">
        <f t="shared" si="14"/>
        <v>0</v>
      </c>
      <c r="AH128" s="256">
        <f>IF($F128=AH$1,$U128,0)*SUMIF('KU-LGE Rating'!$R:$R,$D128,'KU-LGE Rating'!$F:$F)</f>
        <v>596000</v>
      </c>
      <c r="AI128" s="256">
        <f>IF($F128=AH$1,$U128,0)*SUMIF('KU-LGE Rating'!$R:$R,$D128,'KU-LGE Rating'!$G:$G)</f>
        <v>0</v>
      </c>
      <c r="AJ128" s="240">
        <f t="shared" si="15"/>
        <v>596000</v>
      </c>
      <c r="AK128" s="256">
        <f>IF($F128=AK$1,$U128,0)*SUMIF('KU-LGE Rating'!$R:$R,$D128,'KU-LGE Rating'!$F:$F)</f>
        <v>0</v>
      </c>
      <c r="AL128" s="256">
        <f>IF($F128=AK$1,$U128,0)*SUMIF('KU-LGE Rating'!$R:$R,$D128,'KU-LGE Rating'!$G:$G)</f>
        <v>0</v>
      </c>
      <c r="AM128" s="240">
        <f t="shared" si="16"/>
        <v>0</v>
      </c>
      <c r="AN128" s="256">
        <f>IF($F128=AN$1,$U128,0)*SUMIF('KU-LGE Rating'!$R:$R,$D128,'KU-LGE Rating'!$F:$F)</f>
        <v>0</v>
      </c>
      <c r="AO128" s="256">
        <f>IF($F128=AN$1,$U128,0)*SUMIF('KU-LGE Rating'!$R:$R,$D128,'KU-LGE Rating'!$G:$G)</f>
        <v>0</v>
      </c>
      <c r="AP128" s="240">
        <f t="shared" si="17"/>
        <v>0</v>
      </c>
      <c r="AQ128" s="277"/>
      <c r="AR128" s="277"/>
      <c r="AV128" s="278"/>
      <c r="AW128" s="278"/>
      <c r="AX128" s="278"/>
    </row>
    <row r="129" spans="1:50">
      <c r="A129" s="1" t="s">
        <v>2769</v>
      </c>
      <c r="B129" s="1" t="s">
        <v>3</v>
      </c>
      <c r="C129" t="s">
        <v>3723</v>
      </c>
      <c r="D129" t="s">
        <v>3725</v>
      </c>
      <c r="E129" t="s">
        <v>3893</v>
      </c>
      <c r="F129">
        <v>2014</v>
      </c>
      <c r="G129" t="s">
        <v>3908</v>
      </c>
      <c r="H129">
        <v>512011</v>
      </c>
      <c r="I129">
        <v>3485.09</v>
      </c>
      <c r="J129">
        <v>-95.08</v>
      </c>
      <c r="K129">
        <v>0</v>
      </c>
      <c r="L129">
        <v>0</v>
      </c>
      <c r="M129">
        <v>0</v>
      </c>
      <c r="N129">
        <v>0</v>
      </c>
      <c r="O129">
        <v>10080.6</v>
      </c>
      <c r="P129">
        <v>-95.1</v>
      </c>
      <c r="Q129">
        <v>-13375.51</v>
      </c>
      <c r="R129">
        <v>0</v>
      </c>
      <c r="S129">
        <v>0</v>
      </c>
      <c r="T129">
        <v>0</v>
      </c>
      <c r="U129" s="8">
        <v>0</v>
      </c>
      <c r="V129" s="243" t="str">
        <f t="shared" si="10"/>
        <v>512</v>
      </c>
      <c r="W129" s="240">
        <f t="shared" si="11"/>
        <v>-3390.01</v>
      </c>
      <c r="X129" s="243">
        <f t="shared" si="12"/>
        <v>0</v>
      </c>
      <c r="Y129" s="255">
        <f>$W129*SUMIF('KU-LGE Rating'!$R:$R,$D129,'KU-LGE Rating'!F:F)</f>
        <v>-3390.01</v>
      </c>
      <c r="Z129" s="256">
        <f>$W129*SUMIF('KU-LGE Rating'!$R:$R,$D129,'KU-LGE Rating'!G:G)</f>
        <v>0</v>
      </c>
      <c r="AA129" s="257">
        <f t="shared" si="18"/>
        <v>-3390.01</v>
      </c>
      <c r="AB129" s="255">
        <f>$X129*SUMIF('KU-LGE Rating'!$R:$R,$D129,'KU-LGE Rating'!F:F)</f>
        <v>0</v>
      </c>
      <c r="AC129" s="256">
        <f>$X129*SUMIF('KU-LGE Rating'!$R:$R,$D129,'KU-LGE Rating'!G:G)</f>
        <v>0</v>
      </c>
      <c r="AD129" s="257">
        <f t="shared" si="19"/>
        <v>0</v>
      </c>
      <c r="AE129" s="274">
        <f>IF($F129=AE$1,$U129,0)*SUMIF('KU-LGE Rating'!$R:$R,$D129,'KU-LGE Rating'!$F:$F)</f>
        <v>0</v>
      </c>
      <c r="AF129" s="274">
        <f>IF($F129=AE$1,$U129,0)*SUMIF('KU-LGE Rating'!$R:$R,$D129,'KU-LGE Rating'!$G:$G)</f>
        <v>0</v>
      </c>
      <c r="AG129" s="240">
        <f t="shared" si="14"/>
        <v>0</v>
      </c>
      <c r="AH129" s="256">
        <f>IF($F129=AH$1,$U129,0)*SUMIF('KU-LGE Rating'!$R:$R,$D129,'KU-LGE Rating'!$F:$F)</f>
        <v>0</v>
      </c>
      <c r="AI129" s="256">
        <f>IF($F129=AH$1,$U129,0)*SUMIF('KU-LGE Rating'!$R:$R,$D129,'KU-LGE Rating'!$G:$G)</f>
        <v>0</v>
      </c>
      <c r="AJ129" s="240">
        <f t="shared" si="15"/>
        <v>0</v>
      </c>
      <c r="AK129" s="256">
        <f>IF($F129=AK$1,$U129,0)*SUMIF('KU-LGE Rating'!$R:$R,$D129,'KU-LGE Rating'!$F:$F)</f>
        <v>0</v>
      </c>
      <c r="AL129" s="256">
        <f>IF($F129=AK$1,$U129,0)*SUMIF('KU-LGE Rating'!$R:$R,$D129,'KU-LGE Rating'!$G:$G)</f>
        <v>0</v>
      </c>
      <c r="AM129" s="240">
        <f t="shared" si="16"/>
        <v>0</v>
      </c>
      <c r="AN129" s="256">
        <f>IF($F129=AN$1,$U129,0)*SUMIF('KU-LGE Rating'!$R:$R,$D129,'KU-LGE Rating'!$F:$F)</f>
        <v>0</v>
      </c>
      <c r="AO129" s="256">
        <f>IF($F129=AN$1,$U129,0)*SUMIF('KU-LGE Rating'!$R:$R,$D129,'KU-LGE Rating'!$G:$G)</f>
        <v>0</v>
      </c>
      <c r="AP129" s="240">
        <f t="shared" si="17"/>
        <v>0</v>
      </c>
      <c r="AQ129" s="277"/>
      <c r="AR129" s="277"/>
      <c r="AV129" s="278"/>
      <c r="AW129" s="278"/>
      <c r="AX129" s="278"/>
    </row>
    <row r="130" spans="1:50">
      <c r="A130" s="1" t="s">
        <v>2769</v>
      </c>
      <c r="B130" s="1" t="s">
        <v>3</v>
      </c>
      <c r="C130" t="s">
        <v>3723</v>
      </c>
      <c r="D130" t="s">
        <v>3725</v>
      </c>
      <c r="E130" t="s">
        <v>3893</v>
      </c>
      <c r="F130">
        <v>2014</v>
      </c>
      <c r="G130" t="s">
        <v>3908</v>
      </c>
      <c r="H130">
        <v>512017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5428.98</v>
      </c>
      <c r="O130">
        <v>124.67</v>
      </c>
      <c r="P130">
        <v>0</v>
      </c>
      <c r="Q130">
        <v>-5553.65</v>
      </c>
      <c r="R130">
        <v>0</v>
      </c>
      <c r="S130">
        <v>0</v>
      </c>
      <c r="T130">
        <v>0</v>
      </c>
      <c r="U130" s="8">
        <v>0</v>
      </c>
      <c r="V130" s="243" t="str">
        <f t="shared" si="10"/>
        <v>512</v>
      </c>
      <c r="W130" s="240">
        <f t="shared" si="11"/>
        <v>0</v>
      </c>
      <c r="X130" s="243">
        <f t="shared" si="12"/>
        <v>0</v>
      </c>
      <c r="Y130" s="255">
        <f>$W130*SUMIF('KU-LGE Rating'!$R:$R,$D130,'KU-LGE Rating'!F:F)</f>
        <v>0</v>
      </c>
      <c r="Z130" s="256">
        <f>$W130*SUMIF('KU-LGE Rating'!$R:$R,$D130,'KU-LGE Rating'!G:G)</f>
        <v>0</v>
      </c>
      <c r="AA130" s="257">
        <f t="shared" si="18"/>
        <v>0</v>
      </c>
      <c r="AB130" s="255">
        <f>$X130*SUMIF('KU-LGE Rating'!$R:$R,$D130,'KU-LGE Rating'!F:F)</f>
        <v>0</v>
      </c>
      <c r="AC130" s="256">
        <f>$X130*SUMIF('KU-LGE Rating'!$R:$R,$D130,'KU-LGE Rating'!G:G)</f>
        <v>0</v>
      </c>
      <c r="AD130" s="257">
        <f t="shared" si="19"/>
        <v>0</v>
      </c>
      <c r="AE130" s="274">
        <f>IF($F130=AE$1,$U130,0)*SUMIF('KU-LGE Rating'!$R:$R,$D130,'KU-LGE Rating'!$F:$F)</f>
        <v>0</v>
      </c>
      <c r="AF130" s="274">
        <f>IF($F130=AE$1,$U130,0)*SUMIF('KU-LGE Rating'!$R:$R,$D130,'KU-LGE Rating'!$G:$G)</f>
        <v>0</v>
      </c>
      <c r="AG130" s="240">
        <f t="shared" si="14"/>
        <v>0</v>
      </c>
      <c r="AH130" s="256">
        <f>IF($F130=AH$1,$U130,0)*SUMIF('KU-LGE Rating'!$R:$R,$D130,'KU-LGE Rating'!$F:$F)</f>
        <v>0</v>
      </c>
      <c r="AI130" s="256">
        <f>IF($F130=AH$1,$U130,0)*SUMIF('KU-LGE Rating'!$R:$R,$D130,'KU-LGE Rating'!$G:$G)</f>
        <v>0</v>
      </c>
      <c r="AJ130" s="240">
        <f t="shared" si="15"/>
        <v>0</v>
      </c>
      <c r="AK130" s="256">
        <f>IF($F130=AK$1,$U130,0)*SUMIF('KU-LGE Rating'!$R:$R,$D130,'KU-LGE Rating'!$F:$F)</f>
        <v>0</v>
      </c>
      <c r="AL130" s="256">
        <f>IF($F130=AK$1,$U130,0)*SUMIF('KU-LGE Rating'!$R:$R,$D130,'KU-LGE Rating'!$G:$G)</f>
        <v>0</v>
      </c>
      <c r="AM130" s="240">
        <f t="shared" si="16"/>
        <v>0</v>
      </c>
      <c r="AN130" s="256">
        <f>IF($F130=AN$1,$U130,0)*SUMIF('KU-LGE Rating'!$R:$R,$D130,'KU-LGE Rating'!$F:$F)</f>
        <v>0</v>
      </c>
      <c r="AO130" s="256">
        <f>IF($F130=AN$1,$U130,0)*SUMIF('KU-LGE Rating'!$R:$R,$D130,'KU-LGE Rating'!$G:$G)</f>
        <v>0</v>
      </c>
      <c r="AP130" s="240">
        <f t="shared" si="17"/>
        <v>0</v>
      </c>
      <c r="AQ130" s="277"/>
      <c r="AR130" s="277"/>
      <c r="AV130" s="278"/>
      <c r="AW130" s="278"/>
      <c r="AX130" s="278"/>
    </row>
    <row r="131" spans="1:50">
      <c r="A131" s="1" t="s">
        <v>2769</v>
      </c>
      <c r="B131" s="1" t="s">
        <v>3</v>
      </c>
      <c r="C131" t="s">
        <v>3723</v>
      </c>
      <c r="D131" t="s">
        <v>3725</v>
      </c>
      <c r="E131" t="s">
        <v>3893</v>
      </c>
      <c r="F131">
        <v>2014</v>
      </c>
      <c r="G131" t="s">
        <v>3908</v>
      </c>
      <c r="H131">
        <v>512100</v>
      </c>
      <c r="I131">
        <v>-4839.91</v>
      </c>
      <c r="J131">
        <v>2999.75</v>
      </c>
      <c r="K131">
        <v>0</v>
      </c>
      <c r="L131">
        <v>0</v>
      </c>
      <c r="M131">
        <v>0</v>
      </c>
      <c r="N131">
        <v>-3890.07</v>
      </c>
      <c r="O131">
        <v>9185.7900000000009</v>
      </c>
      <c r="P131">
        <v>0</v>
      </c>
      <c r="Q131">
        <v>-3455.56</v>
      </c>
      <c r="R131">
        <v>100000</v>
      </c>
      <c r="S131">
        <v>280000</v>
      </c>
      <c r="T131">
        <v>0</v>
      </c>
      <c r="U131" s="8">
        <v>380000</v>
      </c>
      <c r="V131" s="243" t="str">
        <f t="shared" si="10"/>
        <v>512</v>
      </c>
      <c r="W131" s="240">
        <f t="shared" si="11"/>
        <v>381840.16000000003</v>
      </c>
      <c r="X131" s="243">
        <f t="shared" si="12"/>
        <v>0</v>
      </c>
      <c r="Y131" s="255">
        <f>$W131*SUMIF('KU-LGE Rating'!$R:$R,$D131,'KU-LGE Rating'!F:F)</f>
        <v>381840.16000000003</v>
      </c>
      <c r="Z131" s="256">
        <f>$W131*SUMIF('KU-LGE Rating'!$R:$R,$D131,'KU-LGE Rating'!G:G)</f>
        <v>0</v>
      </c>
      <c r="AA131" s="257">
        <f t="shared" si="18"/>
        <v>381840.16000000003</v>
      </c>
      <c r="AB131" s="255">
        <f>$X131*SUMIF('KU-LGE Rating'!$R:$R,$D131,'KU-LGE Rating'!F:F)</f>
        <v>0</v>
      </c>
      <c r="AC131" s="256">
        <f>$X131*SUMIF('KU-LGE Rating'!$R:$R,$D131,'KU-LGE Rating'!G:G)</f>
        <v>0</v>
      </c>
      <c r="AD131" s="257">
        <f t="shared" si="19"/>
        <v>0</v>
      </c>
      <c r="AE131" s="274">
        <f>IF($F131=AE$1,$U131,0)*SUMIF('KU-LGE Rating'!$R:$R,$D131,'KU-LGE Rating'!$F:$F)</f>
        <v>380000</v>
      </c>
      <c r="AF131" s="274">
        <f>IF($F131=AE$1,$U131,0)*SUMIF('KU-LGE Rating'!$R:$R,$D131,'KU-LGE Rating'!$G:$G)</f>
        <v>0</v>
      </c>
      <c r="AG131" s="240">
        <f t="shared" si="14"/>
        <v>380000</v>
      </c>
      <c r="AH131" s="256">
        <f>IF($F131=AH$1,$U131,0)*SUMIF('KU-LGE Rating'!$R:$R,$D131,'KU-LGE Rating'!$F:$F)</f>
        <v>0</v>
      </c>
      <c r="AI131" s="256">
        <f>IF($F131=AH$1,$U131,0)*SUMIF('KU-LGE Rating'!$R:$R,$D131,'KU-LGE Rating'!$G:$G)</f>
        <v>0</v>
      </c>
      <c r="AJ131" s="240">
        <f t="shared" si="15"/>
        <v>0</v>
      </c>
      <c r="AK131" s="256">
        <f>IF($F131=AK$1,$U131,0)*SUMIF('KU-LGE Rating'!$R:$R,$D131,'KU-LGE Rating'!$F:$F)</f>
        <v>0</v>
      </c>
      <c r="AL131" s="256">
        <f>IF($F131=AK$1,$U131,0)*SUMIF('KU-LGE Rating'!$R:$R,$D131,'KU-LGE Rating'!$G:$G)</f>
        <v>0</v>
      </c>
      <c r="AM131" s="240">
        <f t="shared" si="16"/>
        <v>0</v>
      </c>
      <c r="AN131" s="256">
        <f>IF($F131=AN$1,$U131,0)*SUMIF('KU-LGE Rating'!$R:$R,$D131,'KU-LGE Rating'!$F:$F)</f>
        <v>0</v>
      </c>
      <c r="AO131" s="256">
        <f>IF($F131=AN$1,$U131,0)*SUMIF('KU-LGE Rating'!$R:$R,$D131,'KU-LGE Rating'!$G:$G)</f>
        <v>0</v>
      </c>
      <c r="AP131" s="240">
        <f t="shared" si="17"/>
        <v>0</v>
      </c>
      <c r="AQ131" s="277"/>
      <c r="AR131" s="277"/>
      <c r="AV131" s="278"/>
      <c r="AW131" s="278"/>
      <c r="AX131" s="278"/>
    </row>
    <row r="132" spans="1:50">
      <c r="A132" s="1" t="s">
        <v>2769</v>
      </c>
      <c r="B132" s="1" t="s">
        <v>3</v>
      </c>
      <c r="C132" t="s">
        <v>3723</v>
      </c>
      <c r="D132" t="s">
        <v>3725</v>
      </c>
      <c r="E132" t="s">
        <v>3893</v>
      </c>
      <c r="F132">
        <v>2014</v>
      </c>
      <c r="G132" t="s">
        <v>3908</v>
      </c>
      <c r="H132">
        <v>513100</v>
      </c>
      <c r="I132">
        <v>9330.31</v>
      </c>
      <c r="J132">
        <v>0</v>
      </c>
      <c r="K132">
        <v>0</v>
      </c>
      <c r="L132">
        <v>0</v>
      </c>
      <c r="M132">
        <v>0</v>
      </c>
      <c r="N132">
        <v>648.17999999999995</v>
      </c>
      <c r="O132">
        <v>0</v>
      </c>
      <c r="P132">
        <v>0</v>
      </c>
      <c r="Q132">
        <v>-9978.49</v>
      </c>
      <c r="R132">
        <v>0</v>
      </c>
      <c r="S132">
        <v>0</v>
      </c>
      <c r="T132">
        <v>0</v>
      </c>
      <c r="U132" s="8">
        <v>0</v>
      </c>
      <c r="V132" s="243" t="str">
        <f t="shared" ref="V132:V195" si="20">LEFT(H132,3)</f>
        <v>513</v>
      </c>
      <c r="W132" s="240">
        <f t="shared" ref="W132:W195" si="21">IF(F132=2014,SUM(K132:T132),IF(F132=2015,SUM(I132:J132),0))</f>
        <v>-9330.31</v>
      </c>
      <c r="X132" s="243">
        <f t="shared" ref="X132:X195" si="22">IF(F132=2015,SUM(O132:T132),IF(F132=2016,SUM(I132:N132),0))</f>
        <v>0</v>
      </c>
      <c r="Y132" s="255">
        <f>$W132*SUMIF('KU-LGE Rating'!$R:$R,$D132,'KU-LGE Rating'!F:F)</f>
        <v>-9330.31</v>
      </c>
      <c r="Z132" s="256">
        <f>$W132*SUMIF('KU-LGE Rating'!$R:$R,$D132,'KU-LGE Rating'!G:G)</f>
        <v>0</v>
      </c>
      <c r="AA132" s="257">
        <f t="shared" si="18"/>
        <v>-9330.31</v>
      </c>
      <c r="AB132" s="255">
        <f>$X132*SUMIF('KU-LGE Rating'!$R:$R,$D132,'KU-LGE Rating'!F:F)</f>
        <v>0</v>
      </c>
      <c r="AC132" s="256">
        <f>$X132*SUMIF('KU-LGE Rating'!$R:$R,$D132,'KU-LGE Rating'!G:G)</f>
        <v>0</v>
      </c>
      <c r="AD132" s="257">
        <f t="shared" si="19"/>
        <v>0</v>
      </c>
      <c r="AE132" s="274">
        <f>IF($F132=AE$1,$U132,0)*SUMIF('KU-LGE Rating'!$R:$R,$D132,'KU-LGE Rating'!$F:$F)</f>
        <v>0</v>
      </c>
      <c r="AF132" s="274">
        <f>IF($F132=AE$1,$U132,0)*SUMIF('KU-LGE Rating'!$R:$R,$D132,'KU-LGE Rating'!$G:$G)</f>
        <v>0</v>
      </c>
      <c r="AG132" s="240">
        <f t="shared" ref="AG132:AG195" si="23">IF($F132=AE$1,$U132,0)</f>
        <v>0</v>
      </c>
      <c r="AH132" s="256">
        <f>IF($F132=AH$1,$U132,0)*SUMIF('KU-LGE Rating'!$R:$R,$D132,'KU-LGE Rating'!$F:$F)</f>
        <v>0</v>
      </c>
      <c r="AI132" s="256">
        <f>IF($F132=AH$1,$U132,0)*SUMIF('KU-LGE Rating'!$R:$R,$D132,'KU-LGE Rating'!$G:$G)</f>
        <v>0</v>
      </c>
      <c r="AJ132" s="240">
        <f t="shared" ref="AJ132:AJ195" si="24">IF($F132=AH$1,$U132,0)</f>
        <v>0</v>
      </c>
      <c r="AK132" s="256">
        <f>IF($F132=AK$1,$U132,0)*SUMIF('KU-LGE Rating'!$R:$R,$D132,'KU-LGE Rating'!$F:$F)</f>
        <v>0</v>
      </c>
      <c r="AL132" s="256">
        <f>IF($F132=AK$1,$U132,0)*SUMIF('KU-LGE Rating'!$R:$R,$D132,'KU-LGE Rating'!$G:$G)</f>
        <v>0</v>
      </c>
      <c r="AM132" s="240">
        <f t="shared" ref="AM132:AM195" si="25">IF($F132=AK$1,$U132,0)</f>
        <v>0</v>
      </c>
      <c r="AN132" s="256">
        <f>IF($F132=AN$1,$U132,0)*SUMIF('KU-LGE Rating'!$R:$R,$D132,'KU-LGE Rating'!$F:$F)</f>
        <v>0</v>
      </c>
      <c r="AO132" s="256">
        <f>IF($F132=AN$1,$U132,0)*SUMIF('KU-LGE Rating'!$R:$R,$D132,'KU-LGE Rating'!$G:$G)</f>
        <v>0</v>
      </c>
      <c r="AP132" s="240">
        <f t="shared" ref="AP132:AP195" si="26">IF($F132=AN$1,$U132,0)</f>
        <v>0</v>
      </c>
      <c r="AQ132" s="277"/>
      <c r="AR132" s="277"/>
      <c r="AV132" s="278"/>
      <c r="AW132" s="278"/>
      <c r="AX132" s="278"/>
    </row>
    <row r="133" spans="1:50">
      <c r="A133" s="1" t="s">
        <v>2769</v>
      </c>
      <c r="B133" s="1" t="s">
        <v>3</v>
      </c>
      <c r="C133" t="s">
        <v>3723</v>
      </c>
      <c r="D133" t="s">
        <v>3725</v>
      </c>
      <c r="E133" t="s">
        <v>3893</v>
      </c>
      <c r="F133">
        <v>2015</v>
      </c>
      <c r="G133" t="s">
        <v>3908</v>
      </c>
      <c r="H133">
        <v>512100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594680</v>
      </c>
      <c r="S133">
        <v>0</v>
      </c>
      <c r="T133">
        <v>0</v>
      </c>
      <c r="U133" s="8">
        <v>594680</v>
      </c>
      <c r="V133" s="243" t="str">
        <f t="shared" si="20"/>
        <v>512</v>
      </c>
      <c r="W133" s="240">
        <f t="shared" si="21"/>
        <v>0</v>
      </c>
      <c r="X133" s="243">
        <f t="shared" si="22"/>
        <v>594680</v>
      </c>
      <c r="Y133" s="255">
        <f>$W133*SUMIF('KU-LGE Rating'!$R:$R,$D133,'KU-LGE Rating'!F:F)</f>
        <v>0</v>
      </c>
      <c r="Z133" s="256">
        <f>$W133*SUMIF('KU-LGE Rating'!$R:$R,$D133,'KU-LGE Rating'!G:G)</f>
        <v>0</v>
      </c>
      <c r="AA133" s="257">
        <f t="shared" si="18"/>
        <v>0</v>
      </c>
      <c r="AB133" s="255">
        <f>$X133*SUMIF('KU-LGE Rating'!$R:$R,$D133,'KU-LGE Rating'!F:F)</f>
        <v>594680</v>
      </c>
      <c r="AC133" s="256">
        <f>$X133*SUMIF('KU-LGE Rating'!$R:$R,$D133,'KU-LGE Rating'!G:G)</f>
        <v>0</v>
      </c>
      <c r="AD133" s="257">
        <f t="shared" si="19"/>
        <v>594680</v>
      </c>
      <c r="AE133" s="274">
        <f>IF($F133=AE$1,$U133,0)*SUMIF('KU-LGE Rating'!$R:$R,$D133,'KU-LGE Rating'!$F:$F)</f>
        <v>0</v>
      </c>
      <c r="AF133" s="274">
        <f>IF($F133=AE$1,$U133,0)*SUMIF('KU-LGE Rating'!$R:$R,$D133,'KU-LGE Rating'!$G:$G)</f>
        <v>0</v>
      </c>
      <c r="AG133" s="240">
        <f t="shared" si="23"/>
        <v>0</v>
      </c>
      <c r="AH133" s="256">
        <f>IF($F133=AH$1,$U133,0)*SUMIF('KU-LGE Rating'!$R:$R,$D133,'KU-LGE Rating'!$F:$F)</f>
        <v>594680</v>
      </c>
      <c r="AI133" s="256">
        <f>IF($F133=AH$1,$U133,0)*SUMIF('KU-LGE Rating'!$R:$R,$D133,'KU-LGE Rating'!$G:$G)</f>
        <v>0</v>
      </c>
      <c r="AJ133" s="240">
        <f t="shared" si="24"/>
        <v>594680</v>
      </c>
      <c r="AK133" s="256">
        <f>IF($F133=AK$1,$U133,0)*SUMIF('KU-LGE Rating'!$R:$R,$D133,'KU-LGE Rating'!$F:$F)</f>
        <v>0</v>
      </c>
      <c r="AL133" s="256">
        <f>IF($F133=AK$1,$U133,0)*SUMIF('KU-LGE Rating'!$R:$R,$D133,'KU-LGE Rating'!$G:$G)</f>
        <v>0</v>
      </c>
      <c r="AM133" s="240">
        <f t="shared" si="25"/>
        <v>0</v>
      </c>
      <c r="AN133" s="256">
        <f>IF($F133=AN$1,$U133,0)*SUMIF('KU-LGE Rating'!$R:$R,$D133,'KU-LGE Rating'!$F:$F)</f>
        <v>0</v>
      </c>
      <c r="AO133" s="256">
        <f>IF($F133=AN$1,$U133,0)*SUMIF('KU-LGE Rating'!$R:$R,$D133,'KU-LGE Rating'!$G:$G)</f>
        <v>0</v>
      </c>
      <c r="AP133" s="240">
        <f t="shared" si="26"/>
        <v>0</v>
      </c>
      <c r="AQ133" s="277"/>
      <c r="AR133" s="277"/>
      <c r="AV133" s="278"/>
      <c r="AW133" s="278"/>
      <c r="AX133" s="278"/>
    </row>
    <row r="134" spans="1:50">
      <c r="A134" s="1" t="s">
        <v>2769</v>
      </c>
      <c r="B134" s="1" t="s">
        <v>3</v>
      </c>
      <c r="C134" t="s">
        <v>3723</v>
      </c>
      <c r="D134" t="s">
        <v>3725</v>
      </c>
      <c r="E134" t="s">
        <v>3893</v>
      </c>
      <c r="F134">
        <v>2016</v>
      </c>
      <c r="G134" t="s">
        <v>3908</v>
      </c>
      <c r="H134">
        <v>512100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30000</v>
      </c>
      <c r="S134">
        <v>0</v>
      </c>
      <c r="T134">
        <v>0</v>
      </c>
      <c r="U134" s="8">
        <v>30000</v>
      </c>
      <c r="V134" s="243" t="str">
        <f t="shared" si="20"/>
        <v>512</v>
      </c>
      <c r="W134" s="240">
        <f t="shared" si="21"/>
        <v>0</v>
      </c>
      <c r="X134" s="243">
        <f t="shared" si="22"/>
        <v>0</v>
      </c>
      <c r="Y134" s="255">
        <f>$W134*SUMIF('KU-LGE Rating'!$R:$R,$D134,'KU-LGE Rating'!F:F)</f>
        <v>0</v>
      </c>
      <c r="Z134" s="256">
        <f>$W134*SUMIF('KU-LGE Rating'!$R:$R,$D134,'KU-LGE Rating'!G:G)</f>
        <v>0</v>
      </c>
      <c r="AA134" s="257">
        <f t="shared" si="18"/>
        <v>0</v>
      </c>
      <c r="AB134" s="255">
        <f>$X134*SUMIF('KU-LGE Rating'!$R:$R,$D134,'KU-LGE Rating'!F:F)</f>
        <v>0</v>
      </c>
      <c r="AC134" s="256">
        <f>$X134*SUMIF('KU-LGE Rating'!$R:$R,$D134,'KU-LGE Rating'!G:G)</f>
        <v>0</v>
      </c>
      <c r="AD134" s="257">
        <f t="shared" si="19"/>
        <v>0</v>
      </c>
      <c r="AE134" s="274">
        <f>IF($F134=AE$1,$U134,0)*SUMIF('KU-LGE Rating'!$R:$R,$D134,'KU-LGE Rating'!$F:$F)</f>
        <v>0</v>
      </c>
      <c r="AF134" s="274">
        <f>IF($F134=AE$1,$U134,0)*SUMIF('KU-LGE Rating'!$R:$R,$D134,'KU-LGE Rating'!$G:$G)</f>
        <v>0</v>
      </c>
      <c r="AG134" s="240">
        <f t="shared" si="23"/>
        <v>0</v>
      </c>
      <c r="AH134" s="256">
        <f>IF($F134=AH$1,$U134,0)*SUMIF('KU-LGE Rating'!$R:$R,$D134,'KU-LGE Rating'!$F:$F)</f>
        <v>0</v>
      </c>
      <c r="AI134" s="256">
        <f>IF($F134=AH$1,$U134,0)*SUMIF('KU-LGE Rating'!$R:$R,$D134,'KU-LGE Rating'!$G:$G)</f>
        <v>0</v>
      </c>
      <c r="AJ134" s="240">
        <f t="shared" si="24"/>
        <v>0</v>
      </c>
      <c r="AK134" s="256">
        <f>IF($F134=AK$1,$U134,0)*SUMIF('KU-LGE Rating'!$R:$R,$D134,'KU-LGE Rating'!$F:$F)</f>
        <v>30000</v>
      </c>
      <c r="AL134" s="256">
        <f>IF($F134=AK$1,$U134,0)*SUMIF('KU-LGE Rating'!$R:$R,$D134,'KU-LGE Rating'!$G:$G)</f>
        <v>0</v>
      </c>
      <c r="AM134" s="240">
        <f t="shared" si="25"/>
        <v>30000</v>
      </c>
      <c r="AN134" s="256">
        <f>IF($F134=AN$1,$U134,0)*SUMIF('KU-LGE Rating'!$R:$R,$D134,'KU-LGE Rating'!$F:$F)</f>
        <v>0</v>
      </c>
      <c r="AO134" s="256">
        <f>IF($F134=AN$1,$U134,0)*SUMIF('KU-LGE Rating'!$R:$R,$D134,'KU-LGE Rating'!$G:$G)</f>
        <v>0</v>
      </c>
      <c r="AP134" s="240">
        <f t="shared" si="26"/>
        <v>0</v>
      </c>
      <c r="AQ134" s="277"/>
      <c r="AR134" s="277"/>
      <c r="AV134" s="278"/>
      <c r="AW134" s="278"/>
      <c r="AX134" s="278"/>
    </row>
    <row r="135" spans="1:50">
      <c r="A135" s="1" t="s">
        <v>2769</v>
      </c>
      <c r="B135" s="1" t="s">
        <v>3</v>
      </c>
      <c r="C135" t="s">
        <v>3723</v>
      </c>
      <c r="D135" t="s">
        <v>3725</v>
      </c>
      <c r="E135" t="s">
        <v>3893</v>
      </c>
      <c r="F135">
        <v>2017</v>
      </c>
      <c r="G135" t="s">
        <v>3908</v>
      </c>
      <c r="H135">
        <v>512100</v>
      </c>
      <c r="I135">
        <v>0</v>
      </c>
      <c r="J135">
        <v>0</v>
      </c>
      <c r="K135">
        <v>793216</v>
      </c>
      <c r="L135">
        <v>813216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 s="8">
        <v>1606432</v>
      </c>
      <c r="V135" s="243" t="str">
        <f t="shared" si="20"/>
        <v>512</v>
      </c>
      <c r="W135" s="240">
        <f t="shared" si="21"/>
        <v>0</v>
      </c>
      <c r="X135" s="243">
        <f t="shared" si="22"/>
        <v>0</v>
      </c>
      <c r="Y135" s="255">
        <f>$W135*SUMIF('KU-LGE Rating'!$R:$R,$D135,'KU-LGE Rating'!F:F)</f>
        <v>0</v>
      </c>
      <c r="Z135" s="256">
        <f>$W135*SUMIF('KU-LGE Rating'!$R:$R,$D135,'KU-LGE Rating'!G:G)</f>
        <v>0</v>
      </c>
      <c r="AA135" s="257">
        <f t="shared" si="18"/>
        <v>0</v>
      </c>
      <c r="AB135" s="255">
        <f>$X135*SUMIF('KU-LGE Rating'!$R:$R,$D135,'KU-LGE Rating'!F:F)</f>
        <v>0</v>
      </c>
      <c r="AC135" s="256">
        <f>$X135*SUMIF('KU-LGE Rating'!$R:$R,$D135,'KU-LGE Rating'!G:G)</f>
        <v>0</v>
      </c>
      <c r="AD135" s="257">
        <f t="shared" si="19"/>
        <v>0</v>
      </c>
      <c r="AE135" s="274">
        <f>IF($F135=AE$1,$U135,0)*SUMIF('KU-LGE Rating'!$R:$R,$D135,'KU-LGE Rating'!$F:$F)</f>
        <v>0</v>
      </c>
      <c r="AF135" s="274">
        <f>IF($F135=AE$1,$U135,0)*SUMIF('KU-LGE Rating'!$R:$R,$D135,'KU-LGE Rating'!$G:$G)</f>
        <v>0</v>
      </c>
      <c r="AG135" s="240">
        <f t="shared" si="23"/>
        <v>0</v>
      </c>
      <c r="AH135" s="256">
        <f>IF($F135=AH$1,$U135,0)*SUMIF('KU-LGE Rating'!$R:$R,$D135,'KU-LGE Rating'!$F:$F)</f>
        <v>0</v>
      </c>
      <c r="AI135" s="256">
        <f>IF($F135=AH$1,$U135,0)*SUMIF('KU-LGE Rating'!$R:$R,$D135,'KU-LGE Rating'!$G:$G)</f>
        <v>0</v>
      </c>
      <c r="AJ135" s="240">
        <f t="shared" si="24"/>
        <v>0</v>
      </c>
      <c r="AK135" s="256">
        <f>IF($F135=AK$1,$U135,0)*SUMIF('KU-LGE Rating'!$R:$R,$D135,'KU-LGE Rating'!$F:$F)</f>
        <v>0</v>
      </c>
      <c r="AL135" s="256">
        <f>IF($F135=AK$1,$U135,0)*SUMIF('KU-LGE Rating'!$R:$R,$D135,'KU-LGE Rating'!$G:$G)</f>
        <v>0</v>
      </c>
      <c r="AM135" s="240">
        <f t="shared" si="25"/>
        <v>0</v>
      </c>
      <c r="AN135" s="256">
        <f>IF($F135=AN$1,$U135,0)*SUMIF('KU-LGE Rating'!$R:$R,$D135,'KU-LGE Rating'!$F:$F)</f>
        <v>1606432</v>
      </c>
      <c r="AO135" s="256">
        <f>IF($F135=AN$1,$U135,0)*SUMIF('KU-LGE Rating'!$R:$R,$D135,'KU-LGE Rating'!$G:$G)</f>
        <v>0</v>
      </c>
      <c r="AP135" s="240">
        <f t="shared" si="26"/>
        <v>1606432</v>
      </c>
      <c r="AQ135" s="277"/>
      <c r="AR135" s="277"/>
      <c r="AV135" s="278"/>
      <c r="AW135" s="278"/>
      <c r="AX135" s="278"/>
    </row>
    <row r="136" spans="1:50">
      <c r="A136" s="1" t="s">
        <v>2769</v>
      </c>
      <c r="B136" s="1" t="s">
        <v>3</v>
      </c>
      <c r="C136" t="s">
        <v>3723</v>
      </c>
      <c r="D136" t="s">
        <v>3725</v>
      </c>
      <c r="E136" t="s">
        <v>3893</v>
      </c>
      <c r="F136">
        <v>2017</v>
      </c>
      <c r="G136" t="s">
        <v>3908</v>
      </c>
      <c r="H136">
        <v>513100</v>
      </c>
      <c r="I136">
        <v>0</v>
      </c>
      <c r="J136">
        <v>0</v>
      </c>
      <c r="K136">
        <v>1572500</v>
      </c>
      <c r="L136">
        <v>1572500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 s="8">
        <v>3145000</v>
      </c>
      <c r="V136" s="243" t="str">
        <f t="shared" si="20"/>
        <v>513</v>
      </c>
      <c r="W136" s="240">
        <f t="shared" si="21"/>
        <v>0</v>
      </c>
      <c r="X136" s="243">
        <f t="shared" si="22"/>
        <v>0</v>
      </c>
      <c r="Y136" s="255">
        <f>$W136*SUMIF('KU-LGE Rating'!$R:$R,$D136,'KU-LGE Rating'!F:F)</f>
        <v>0</v>
      </c>
      <c r="Z136" s="256">
        <f>$W136*SUMIF('KU-LGE Rating'!$R:$R,$D136,'KU-LGE Rating'!G:G)</f>
        <v>0</v>
      </c>
      <c r="AA136" s="257">
        <f t="shared" si="18"/>
        <v>0</v>
      </c>
      <c r="AB136" s="255">
        <f>$X136*SUMIF('KU-LGE Rating'!$R:$R,$D136,'KU-LGE Rating'!F:F)</f>
        <v>0</v>
      </c>
      <c r="AC136" s="256">
        <f>$X136*SUMIF('KU-LGE Rating'!$R:$R,$D136,'KU-LGE Rating'!G:G)</f>
        <v>0</v>
      </c>
      <c r="AD136" s="257">
        <f t="shared" si="19"/>
        <v>0</v>
      </c>
      <c r="AE136" s="274">
        <f>IF($F136=AE$1,$U136,0)*SUMIF('KU-LGE Rating'!$R:$R,$D136,'KU-LGE Rating'!$F:$F)</f>
        <v>0</v>
      </c>
      <c r="AF136" s="274">
        <f>IF($F136=AE$1,$U136,0)*SUMIF('KU-LGE Rating'!$R:$R,$D136,'KU-LGE Rating'!$G:$G)</f>
        <v>0</v>
      </c>
      <c r="AG136" s="240">
        <f t="shared" si="23"/>
        <v>0</v>
      </c>
      <c r="AH136" s="256">
        <f>IF($F136=AH$1,$U136,0)*SUMIF('KU-LGE Rating'!$R:$R,$D136,'KU-LGE Rating'!$F:$F)</f>
        <v>0</v>
      </c>
      <c r="AI136" s="256">
        <f>IF($F136=AH$1,$U136,0)*SUMIF('KU-LGE Rating'!$R:$R,$D136,'KU-LGE Rating'!$G:$G)</f>
        <v>0</v>
      </c>
      <c r="AJ136" s="240">
        <f t="shared" si="24"/>
        <v>0</v>
      </c>
      <c r="AK136" s="256">
        <f>IF($F136=AK$1,$U136,0)*SUMIF('KU-LGE Rating'!$R:$R,$D136,'KU-LGE Rating'!$F:$F)</f>
        <v>0</v>
      </c>
      <c r="AL136" s="256">
        <f>IF($F136=AK$1,$U136,0)*SUMIF('KU-LGE Rating'!$R:$R,$D136,'KU-LGE Rating'!$G:$G)</f>
        <v>0</v>
      </c>
      <c r="AM136" s="240">
        <f t="shared" si="25"/>
        <v>0</v>
      </c>
      <c r="AN136" s="256">
        <f>IF($F136=AN$1,$U136,0)*SUMIF('KU-LGE Rating'!$R:$R,$D136,'KU-LGE Rating'!$F:$F)</f>
        <v>3145000</v>
      </c>
      <c r="AO136" s="256">
        <f>IF($F136=AN$1,$U136,0)*SUMIF('KU-LGE Rating'!$R:$R,$D136,'KU-LGE Rating'!$G:$G)</f>
        <v>0</v>
      </c>
      <c r="AP136" s="240">
        <f t="shared" si="26"/>
        <v>3145000</v>
      </c>
      <c r="AQ136" s="277"/>
      <c r="AR136" s="277"/>
      <c r="AV136" s="278"/>
      <c r="AW136" s="278"/>
      <c r="AX136" s="278"/>
    </row>
    <row r="137" spans="1:50">
      <c r="A137" s="1" t="s">
        <v>2769</v>
      </c>
      <c r="B137" s="1" t="s">
        <v>3</v>
      </c>
      <c r="C137" t="s">
        <v>3723</v>
      </c>
      <c r="D137" t="s">
        <v>3726</v>
      </c>
      <c r="E137" t="s">
        <v>3911</v>
      </c>
      <c r="F137">
        <v>2014</v>
      </c>
      <c r="G137" t="s">
        <v>3908</v>
      </c>
      <c r="H137">
        <v>512151</v>
      </c>
      <c r="I137">
        <v>191.4</v>
      </c>
      <c r="J137">
        <v>1867.62</v>
      </c>
      <c r="K137">
        <v>81.47</v>
      </c>
      <c r="L137">
        <v>57869.69</v>
      </c>
      <c r="M137">
        <v>77445.14</v>
      </c>
      <c r="N137">
        <v>15615.85</v>
      </c>
      <c r="O137">
        <v>0</v>
      </c>
      <c r="P137">
        <v>0</v>
      </c>
      <c r="Q137">
        <v>-153071.17000000001</v>
      </c>
      <c r="R137">
        <v>0</v>
      </c>
      <c r="S137">
        <v>0</v>
      </c>
      <c r="T137">
        <v>0</v>
      </c>
      <c r="U137" s="8">
        <v>0</v>
      </c>
      <c r="V137" s="243" t="str">
        <f t="shared" si="20"/>
        <v>512</v>
      </c>
      <c r="W137" s="240">
        <f t="shared" si="21"/>
        <v>-2059.0200000000186</v>
      </c>
      <c r="X137" s="243">
        <f t="shared" si="22"/>
        <v>0</v>
      </c>
      <c r="Y137" s="255">
        <f>$W137*SUMIF('KU-LGE Rating'!$R:$R,$D137,'KU-LGE Rating'!F:F)</f>
        <v>-2059.0200000000186</v>
      </c>
      <c r="Z137" s="256">
        <f>$W137*SUMIF('KU-LGE Rating'!$R:$R,$D137,'KU-LGE Rating'!G:G)</f>
        <v>0</v>
      </c>
      <c r="AA137" s="257">
        <f t="shared" si="18"/>
        <v>-2059.0200000000186</v>
      </c>
      <c r="AB137" s="255">
        <f>$X137*SUMIF('KU-LGE Rating'!$R:$R,$D137,'KU-LGE Rating'!F:F)</f>
        <v>0</v>
      </c>
      <c r="AC137" s="256">
        <f>$X137*SUMIF('KU-LGE Rating'!$R:$R,$D137,'KU-LGE Rating'!G:G)</f>
        <v>0</v>
      </c>
      <c r="AD137" s="257">
        <f t="shared" si="19"/>
        <v>0</v>
      </c>
      <c r="AE137" s="274">
        <f>IF($F137=AE$1,$U137,0)*SUMIF('KU-LGE Rating'!$R:$R,$D137,'KU-LGE Rating'!$F:$F)</f>
        <v>0</v>
      </c>
      <c r="AF137" s="274">
        <f>IF($F137=AE$1,$U137,0)*SUMIF('KU-LGE Rating'!$R:$R,$D137,'KU-LGE Rating'!$G:$G)</f>
        <v>0</v>
      </c>
      <c r="AG137" s="240">
        <f t="shared" si="23"/>
        <v>0</v>
      </c>
      <c r="AH137" s="256">
        <f>IF($F137=AH$1,$U137,0)*SUMIF('KU-LGE Rating'!$R:$R,$D137,'KU-LGE Rating'!$F:$F)</f>
        <v>0</v>
      </c>
      <c r="AI137" s="256">
        <f>IF($F137=AH$1,$U137,0)*SUMIF('KU-LGE Rating'!$R:$R,$D137,'KU-LGE Rating'!$G:$G)</f>
        <v>0</v>
      </c>
      <c r="AJ137" s="240">
        <f t="shared" si="24"/>
        <v>0</v>
      </c>
      <c r="AK137" s="256">
        <f>IF($F137=AK$1,$U137,0)*SUMIF('KU-LGE Rating'!$R:$R,$D137,'KU-LGE Rating'!$F:$F)</f>
        <v>0</v>
      </c>
      <c r="AL137" s="256">
        <f>IF($F137=AK$1,$U137,0)*SUMIF('KU-LGE Rating'!$R:$R,$D137,'KU-LGE Rating'!$G:$G)</f>
        <v>0</v>
      </c>
      <c r="AM137" s="240">
        <f t="shared" si="25"/>
        <v>0</v>
      </c>
      <c r="AN137" s="256">
        <f>IF($F137=AN$1,$U137,0)*SUMIF('KU-LGE Rating'!$R:$R,$D137,'KU-LGE Rating'!$F:$F)</f>
        <v>0</v>
      </c>
      <c r="AO137" s="256">
        <f>IF($F137=AN$1,$U137,0)*SUMIF('KU-LGE Rating'!$R:$R,$D137,'KU-LGE Rating'!$G:$G)</f>
        <v>0</v>
      </c>
      <c r="AP137" s="240">
        <f t="shared" si="26"/>
        <v>0</v>
      </c>
      <c r="AQ137" s="277"/>
      <c r="AR137" s="277"/>
      <c r="AV137" s="278"/>
      <c r="AW137" s="278"/>
      <c r="AX137" s="278"/>
    </row>
    <row r="138" spans="1:50">
      <c r="A138" s="1" t="s">
        <v>2769</v>
      </c>
      <c r="B138" s="1" t="s">
        <v>3</v>
      </c>
      <c r="C138" t="s">
        <v>3723</v>
      </c>
      <c r="D138" t="s">
        <v>3726</v>
      </c>
      <c r="E138" t="s">
        <v>3893</v>
      </c>
      <c r="F138">
        <v>2014</v>
      </c>
      <c r="G138" t="s">
        <v>3908</v>
      </c>
      <c r="H138">
        <v>512011</v>
      </c>
      <c r="I138">
        <v>0</v>
      </c>
      <c r="J138">
        <v>0</v>
      </c>
      <c r="K138">
        <v>0</v>
      </c>
      <c r="L138">
        <v>19305.46</v>
      </c>
      <c r="M138">
        <v>0</v>
      </c>
      <c r="N138">
        <v>0</v>
      </c>
      <c r="O138">
        <v>0</v>
      </c>
      <c r="P138">
        <v>0</v>
      </c>
      <c r="Q138">
        <v>-19305.46</v>
      </c>
      <c r="R138">
        <v>0</v>
      </c>
      <c r="S138">
        <v>0</v>
      </c>
      <c r="T138">
        <v>0</v>
      </c>
      <c r="U138" s="8">
        <v>0</v>
      </c>
      <c r="V138" s="243" t="str">
        <f t="shared" si="20"/>
        <v>512</v>
      </c>
      <c r="W138" s="240">
        <f t="shared" si="21"/>
        <v>0</v>
      </c>
      <c r="X138" s="243">
        <f t="shared" si="22"/>
        <v>0</v>
      </c>
      <c r="Y138" s="255">
        <f>$W138*SUMIF('KU-LGE Rating'!$R:$R,$D138,'KU-LGE Rating'!F:F)</f>
        <v>0</v>
      </c>
      <c r="Z138" s="256">
        <f>$W138*SUMIF('KU-LGE Rating'!$R:$R,$D138,'KU-LGE Rating'!G:G)</f>
        <v>0</v>
      </c>
      <c r="AA138" s="257">
        <f t="shared" si="18"/>
        <v>0</v>
      </c>
      <c r="AB138" s="255">
        <f>$X138*SUMIF('KU-LGE Rating'!$R:$R,$D138,'KU-LGE Rating'!F:F)</f>
        <v>0</v>
      </c>
      <c r="AC138" s="256">
        <f>$X138*SUMIF('KU-LGE Rating'!$R:$R,$D138,'KU-LGE Rating'!G:G)</f>
        <v>0</v>
      </c>
      <c r="AD138" s="257">
        <f t="shared" si="19"/>
        <v>0</v>
      </c>
      <c r="AE138" s="274">
        <f>IF($F138=AE$1,$U138,0)*SUMIF('KU-LGE Rating'!$R:$R,$D138,'KU-LGE Rating'!$F:$F)</f>
        <v>0</v>
      </c>
      <c r="AF138" s="274">
        <f>IF($F138=AE$1,$U138,0)*SUMIF('KU-LGE Rating'!$R:$R,$D138,'KU-LGE Rating'!$G:$G)</f>
        <v>0</v>
      </c>
      <c r="AG138" s="240">
        <f t="shared" si="23"/>
        <v>0</v>
      </c>
      <c r="AH138" s="256">
        <f>IF($F138=AH$1,$U138,0)*SUMIF('KU-LGE Rating'!$R:$R,$D138,'KU-LGE Rating'!$F:$F)</f>
        <v>0</v>
      </c>
      <c r="AI138" s="256">
        <f>IF($F138=AH$1,$U138,0)*SUMIF('KU-LGE Rating'!$R:$R,$D138,'KU-LGE Rating'!$G:$G)</f>
        <v>0</v>
      </c>
      <c r="AJ138" s="240">
        <f t="shared" si="24"/>
        <v>0</v>
      </c>
      <c r="AK138" s="256">
        <f>IF($F138=AK$1,$U138,0)*SUMIF('KU-LGE Rating'!$R:$R,$D138,'KU-LGE Rating'!$F:$F)</f>
        <v>0</v>
      </c>
      <c r="AL138" s="256">
        <f>IF($F138=AK$1,$U138,0)*SUMIF('KU-LGE Rating'!$R:$R,$D138,'KU-LGE Rating'!$G:$G)</f>
        <v>0</v>
      </c>
      <c r="AM138" s="240">
        <f t="shared" si="25"/>
        <v>0</v>
      </c>
      <c r="AN138" s="256">
        <f>IF($F138=AN$1,$U138,0)*SUMIF('KU-LGE Rating'!$R:$R,$D138,'KU-LGE Rating'!$F:$F)</f>
        <v>0</v>
      </c>
      <c r="AO138" s="256">
        <f>IF($F138=AN$1,$U138,0)*SUMIF('KU-LGE Rating'!$R:$R,$D138,'KU-LGE Rating'!$G:$G)</f>
        <v>0</v>
      </c>
      <c r="AP138" s="240">
        <f t="shared" si="26"/>
        <v>0</v>
      </c>
      <c r="AQ138" s="277"/>
      <c r="AR138" s="277"/>
      <c r="AV138" s="278"/>
      <c r="AW138" s="278"/>
      <c r="AX138" s="278"/>
    </row>
    <row r="139" spans="1:50">
      <c r="A139" s="1" t="s">
        <v>2769</v>
      </c>
      <c r="B139" s="1" t="s">
        <v>3</v>
      </c>
      <c r="C139" t="s">
        <v>3723</v>
      </c>
      <c r="D139" t="s">
        <v>3726</v>
      </c>
      <c r="E139" t="s">
        <v>3893</v>
      </c>
      <c r="F139">
        <v>2014</v>
      </c>
      <c r="G139" t="s">
        <v>3908</v>
      </c>
      <c r="H139">
        <v>512017</v>
      </c>
      <c r="I139">
        <v>274.87</v>
      </c>
      <c r="J139">
        <v>0</v>
      </c>
      <c r="K139">
        <v>12998.11</v>
      </c>
      <c r="L139">
        <v>19824.77</v>
      </c>
      <c r="M139">
        <v>-3737.51</v>
      </c>
      <c r="N139">
        <v>0</v>
      </c>
      <c r="O139">
        <v>0</v>
      </c>
      <c r="P139">
        <v>0</v>
      </c>
      <c r="Q139">
        <v>-29360.240000000002</v>
      </c>
      <c r="R139">
        <v>0</v>
      </c>
      <c r="S139">
        <v>0</v>
      </c>
      <c r="T139">
        <v>0</v>
      </c>
      <c r="U139" s="8">
        <v>0</v>
      </c>
      <c r="V139" s="243" t="str">
        <f t="shared" si="20"/>
        <v>512</v>
      </c>
      <c r="W139" s="240">
        <f t="shared" si="21"/>
        <v>-274.86999999999898</v>
      </c>
      <c r="X139" s="243">
        <f t="shared" si="22"/>
        <v>0</v>
      </c>
      <c r="Y139" s="255">
        <f>$W139*SUMIF('KU-LGE Rating'!$R:$R,$D139,'KU-LGE Rating'!F:F)</f>
        <v>-274.86999999999898</v>
      </c>
      <c r="Z139" s="256">
        <f>$W139*SUMIF('KU-LGE Rating'!$R:$R,$D139,'KU-LGE Rating'!G:G)</f>
        <v>0</v>
      </c>
      <c r="AA139" s="257">
        <f t="shared" si="18"/>
        <v>-274.86999999999898</v>
      </c>
      <c r="AB139" s="255">
        <f>$X139*SUMIF('KU-LGE Rating'!$R:$R,$D139,'KU-LGE Rating'!F:F)</f>
        <v>0</v>
      </c>
      <c r="AC139" s="256">
        <f>$X139*SUMIF('KU-LGE Rating'!$R:$R,$D139,'KU-LGE Rating'!G:G)</f>
        <v>0</v>
      </c>
      <c r="AD139" s="257">
        <f t="shared" si="19"/>
        <v>0</v>
      </c>
      <c r="AE139" s="274">
        <f>IF($F139=AE$1,$U139,0)*SUMIF('KU-LGE Rating'!$R:$R,$D139,'KU-LGE Rating'!$F:$F)</f>
        <v>0</v>
      </c>
      <c r="AF139" s="274">
        <f>IF($F139=AE$1,$U139,0)*SUMIF('KU-LGE Rating'!$R:$R,$D139,'KU-LGE Rating'!$G:$G)</f>
        <v>0</v>
      </c>
      <c r="AG139" s="240">
        <f t="shared" si="23"/>
        <v>0</v>
      </c>
      <c r="AH139" s="256">
        <f>IF($F139=AH$1,$U139,0)*SUMIF('KU-LGE Rating'!$R:$R,$D139,'KU-LGE Rating'!$F:$F)</f>
        <v>0</v>
      </c>
      <c r="AI139" s="256">
        <f>IF($F139=AH$1,$U139,0)*SUMIF('KU-LGE Rating'!$R:$R,$D139,'KU-LGE Rating'!$G:$G)</f>
        <v>0</v>
      </c>
      <c r="AJ139" s="240">
        <f t="shared" si="24"/>
        <v>0</v>
      </c>
      <c r="AK139" s="256">
        <f>IF($F139=AK$1,$U139,0)*SUMIF('KU-LGE Rating'!$R:$R,$D139,'KU-LGE Rating'!$F:$F)</f>
        <v>0</v>
      </c>
      <c r="AL139" s="256">
        <f>IF($F139=AK$1,$U139,0)*SUMIF('KU-LGE Rating'!$R:$R,$D139,'KU-LGE Rating'!$G:$G)</f>
        <v>0</v>
      </c>
      <c r="AM139" s="240">
        <f t="shared" si="25"/>
        <v>0</v>
      </c>
      <c r="AN139" s="256">
        <f>IF($F139=AN$1,$U139,0)*SUMIF('KU-LGE Rating'!$R:$R,$D139,'KU-LGE Rating'!$F:$F)</f>
        <v>0</v>
      </c>
      <c r="AO139" s="256">
        <f>IF($F139=AN$1,$U139,0)*SUMIF('KU-LGE Rating'!$R:$R,$D139,'KU-LGE Rating'!$G:$G)</f>
        <v>0</v>
      </c>
      <c r="AP139" s="240">
        <f t="shared" si="26"/>
        <v>0</v>
      </c>
      <c r="AQ139" s="277"/>
      <c r="AR139" s="277"/>
      <c r="AV139" s="278"/>
      <c r="AW139" s="278"/>
      <c r="AX139" s="278"/>
    </row>
    <row r="140" spans="1:50">
      <c r="A140" s="1" t="s">
        <v>2769</v>
      </c>
      <c r="B140" s="1" t="s">
        <v>3</v>
      </c>
      <c r="C140" t="s">
        <v>3723</v>
      </c>
      <c r="D140" t="s">
        <v>3726</v>
      </c>
      <c r="E140" t="s">
        <v>3893</v>
      </c>
      <c r="F140">
        <v>2014</v>
      </c>
      <c r="G140" t="s">
        <v>3908</v>
      </c>
      <c r="H140">
        <v>512100</v>
      </c>
      <c r="I140">
        <v>425.57</v>
      </c>
      <c r="J140">
        <v>687.14</v>
      </c>
      <c r="K140">
        <v>63985.38</v>
      </c>
      <c r="L140">
        <v>819722.53</v>
      </c>
      <c r="M140">
        <v>180087.49</v>
      </c>
      <c r="N140">
        <v>5534.44</v>
      </c>
      <c r="O140">
        <v>1198.25</v>
      </c>
      <c r="P140">
        <v>-56422</v>
      </c>
      <c r="Q140">
        <v>-55218.8</v>
      </c>
      <c r="R140">
        <v>0</v>
      </c>
      <c r="S140">
        <v>0</v>
      </c>
      <c r="T140">
        <v>0</v>
      </c>
      <c r="U140" s="8">
        <v>960000</v>
      </c>
      <c r="V140" s="243" t="str">
        <f t="shared" si="20"/>
        <v>512</v>
      </c>
      <c r="W140" s="240">
        <f t="shared" si="21"/>
        <v>958887.2899999998</v>
      </c>
      <c r="X140" s="243">
        <f t="shared" si="22"/>
        <v>0</v>
      </c>
      <c r="Y140" s="255">
        <f>$W140*SUMIF('KU-LGE Rating'!$R:$R,$D140,'KU-LGE Rating'!F:F)</f>
        <v>958887.2899999998</v>
      </c>
      <c r="Z140" s="256">
        <f>$W140*SUMIF('KU-LGE Rating'!$R:$R,$D140,'KU-LGE Rating'!G:G)</f>
        <v>0</v>
      </c>
      <c r="AA140" s="257">
        <f t="shared" si="18"/>
        <v>958887.2899999998</v>
      </c>
      <c r="AB140" s="255">
        <f>$X140*SUMIF('KU-LGE Rating'!$R:$R,$D140,'KU-LGE Rating'!F:F)</f>
        <v>0</v>
      </c>
      <c r="AC140" s="256">
        <f>$X140*SUMIF('KU-LGE Rating'!$R:$R,$D140,'KU-LGE Rating'!G:G)</f>
        <v>0</v>
      </c>
      <c r="AD140" s="257">
        <f t="shared" si="19"/>
        <v>0</v>
      </c>
      <c r="AE140" s="274">
        <f>IF($F140=AE$1,$U140,0)*SUMIF('KU-LGE Rating'!$R:$R,$D140,'KU-LGE Rating'!$F:$F)</f>
        <v>960000</v>
      </c>
      <c r="AF140" s="274">
        <f>IF($F140=AE$1,$U140,0)*SUMIF('KU-LGE Rating'!$R:$R,$D140,'KU-LGE Rating'!$G:$G)</f>
        <v>0</v>
      </c>
      <c r="AG140" s="240">
        <f t="shared" si="23"/>
        <v>960000</v>
      </c>
      <c r="AH140" s="256">
        <f>IF($F140=AH$1,$U140,0)*SUMIF('KU-LGE Rating'!$R:$R,$D140,'KU-LGE Rating'!$F:$F)</f>
        <v>0</v>
      </c>
      <c r="AI140" s="256">
        <f>IF($F140=AH$1,$U140,0)*SUMIF('KU-LGE Rating'!$R:$R,$D140,'KU-LGE Rating'!$G:$G)</f>
        <v>0</v>
      </c>
      <c r="AJ140" s="240">
        <f t="shared" si="24"/>
        <v>0</v>
      </c>
      <c r="AK140" s="256">
        <f>IF($F140=AK$1,$U140,0)*SUMIF('KU-LGE Rating'!$R:$R,$D140,'KU-LGE Rating'!$F:$F)</f>
        <v>0</v>
      </c>
      <c r="AL140" s="256">
        <f>IF($F140=AK$1,$U140,0)*SUMIF('KU-LGE Rating'!$R:$R,$D140,'KU-LGE Rating'!$G:$G)</f>
        <v>0</v>
      </c>
      <c r="AM140" s="240">
        <f t="shared" si="25"/>
        <v>0</v>
      </c>
      <c r="AN140" s="256">
        <f>IF($F140=AN$1,$U140,0)*SUMIF('KU-LGE Rating'!$R:$R,$D140,'KU-LGE Rating'!$F:$F)</f>
        <v>0</v>
      </c>
      <c r="AO140" s="256">
        <f>IF($F140=AN$1,$U140,0)*SUMIF('KU-LGE Rating'!$R:$R,$D140,'KU-LGE Rating'!$G:$G)</f>
        <v>0</v>
      </c>
      <c r="AP140" s="240">
        <f t="shared" si="26"/>
        <v>0</v>
      </c>
      <c r="AQ140" s="277"/>
      <c r="AR140" s="277"/>
      <c r="AV140" s="278"/>
      <c r="AW140" s="278"/>
      <c r="AX140" s="278"/>
    </row>
    <row r="141" spans="1:50">
      <c r="A141" s="1" t="s">
        <v>2769</v>
      </c>
      <c r="B141" s="1" t="s">
        <v>3</v>
      </c>
      <c r="C141" t="s">
        <v>3723</v>
      </c>
      <c r="D141" t="s">
        <v>3726</v>
      </c>
      <c r="E141" t="s">
        <v>3893</v>
      </c>
      <c r="F141">
        <v>2014</v>
      </c>
      <c r="G141" t="s">
        <v>3908</v>
      </c>
      <c r="H141">
        <v>512102</v>
      </c>
      <c r="I141">
        <v>0</v>
      </c>
      <c r="J141">
        <v>0</v>
      </c>
      <c r="K141">
        <v>0</v>
      </c>
      <c r="L141">
        <v>0</v>
      </c>
      <c r="M141">
        <v>1264.5999999999999</v>
      </c>
      <c r="N141">
        <v>0</v>
      </c>
      <c r="O141">
        <v>0</v>
      </c>
      <c r="P141">
        <v>0</v>
      </c>
      <c r="Q141">
        <v>-1264.5999999999999</v>
      </c>
      <c r="R141">
        <v>0</v>
      </c>
      <c r="S141">
        <v>0</v>
      </c>
      <c r="T141">
        <v>0</v>
      </c>
      <c r="U141" s="8">
        <v>0</v>
      </c>
      <c r="V141" s="243" t="str">
        <f t="shared" si="20"/>
        <v>512</v>
      </c>
      <c r="W141" s="240">
        <f t="shared" si="21"/>
        <v>0</v>
      </c>
      <c r="X141" s="243">
        <f t="shared" si="22"/>
        <v>0</v>
      </c>
      <c r="Y141" s="255">
        <f>$W141*SUMIF('KU-LGE Rating'!$R:$R,$D141,'KU-LGE Rating'!F:F)</f>
        <v>0</v>
      </c>
      <c r="Z141" s="256">
        <f>$W141*SUMIF('KU-LGE Rating'!$R:$R,$D141,'KU-LGE Rating'!G:G)</f>
        <v>0</v>
      </c>
      <c r="AA141" s="257">
        <f t="shared" si="18"/>
        <v>0</v>
      </c>
      <c r="AB141" s="255">
        <f>$X141*SUMIF('KU-LGE Rating'!$R:$R,$D141,'KU-LGE Rating'!F:F)</f>
        <v>0</v>
      </c>
      <c r="AC141" s="256">
        <f>$X141*SUMIF('KU-LGE Rating'!$R:$R,$D141,'KU-LGE Rating'!G:G)</f>
        <v>0</v>
      </c>
      <c r="AD141" s="257">
        <f t="shared" si="19"/>
        <v>0</v>
      </c>
      <c r="AE141" s="274">
        <f>IF($F141=AE$1,$U141,0)*SUMIF('KU-LGE Rating'!$R:$R,$D141,'KU-LGE Rating'!$F:$F)</f>
        <v>0</v>
      </c>
      <c r="AF141" s="274">
        <f>IF($F141=AE$1,$U141,0)*SUMIF('KU-LGE Rating'!$R:$R,$D141,'KU-LGE Rating'!$G:$G)</f>
        <v>0</v>
      </c>
      <c r="AG141" s="240">
        <f t="shared" si="23"/>
        <v>0</v>
      </c>
      <c r="AH141" s="256">
        <f>IF($F141=AH$1,$U141,0)*SUMIF('KU-LGE Rating'!$R:$R,$D141,'KU-LGE Rating'!$F:$F)</f>
        <v>0</v>
      </c>
      <c r="AI141" s="256">
        <f>IF($F141=AH$1,$U141,0)*SUMIF('KU-LGE Rating'!$R:$R,$D141,'KU-LGE Rating'!$G:$G)</f>
        <v>0</v>
      </c>
      <c r="AJ141" s="240">
        <f t="shared" si="24"/>
        <v>0</v>
      </c>
      <c r="AK141" s="256">
        <f>IF($F141=AK$1,$U141,0)*SUMIF('KU-LGE Rating'!$R:$R,$D141,'KU-LGE Rating'!$F:$F)</f>
        <v>0</v>
      </c>
      <c r="AL141" s="256">
        <f>IF($F141=AK$1,$U141,0)*SUMIF('KU-LGE Rating'!$R:$R,$D141,'KU-LGE Rating'!$G:$G)</f>
        <v>0</v>
      </c>
      <c r="AM141" s="240">
        <f t="shared" si="25"/>
        <v>0</v>
      </c>
      <c r="AN141" s="256">
        <f>IF($F141=AN$1,$U141,0)*SUMIF('KU-LGE Rating'!$R:$R,$D141,'KU-LGE Rating'!$F:$F)</f>
        <v>0</v>
      </c>
      <c r="AO141" s="256">
        <f>IF($F141=AN$1,$U141,0)*SUMIF('KU-LGE Rating'!$R:$R,$D141,'KU-LGE Rating'!$G:$G)</f>
        <v>0</v>
      </c>
      <c r="AP141" s="240">
        <f t="shared" si="26"/>
        <v>0</v>
      </c>
      <c r="AQ141" s="277"/>
      <c r="AR141" s="277"/>
      <c r="AV141" s="278"/>
      <c r="AW141" s="278"/>
      <c r="AX141" s="278"/>
    </row>
    <row r="142" spans="1:50">
      <c r="A142" s="1" t="s">
        <v>2769</v>
      </c>
      <c r="B142" s="1" t="s">
        <v>3</v>
      </c>
      <c r="C142" t="s">
        <v>3723</v>
      </c>
      <c r="D142" t="s">
        <v>3726</v>
      </c>
      <c r="E142" t="s">
        <v>3893</v>
      </c>
      <c r="F142">
        <v>2014</v>
      </c>
      <c r="G142" t="s">
        <v>3908</v>
      </c>
      <c r="H142">
        <v>513100</v>
      </c>
      <c r="I142">
        <v>972.52</v>
      </c>
      <c r="J142">
        <v>0</v>
      </c>
      <c r="K142">
        <v>6161.1</v>
      </c>
      <c r="L142">
        <v>50997.7</v>
      </c>
      <c r="M142">
        <v>20690.64</v>
      </c>
      <c r="N142">
        <v>0</v>
      </c>
      <c r="O142">
        <v>0</v>
      </c>
      <c r="P142">
        <v>0</v>
      </c>
      <c r="Q142">
        <v>-78821.960000000006</v>
      </c>
      <c r="R142">
        <v>0</v>
      </c>
      <c r="S142">
        <v>0</v>
      </c>
      <c r="T142">
        <v>0</v>
      </c>
      <c r="U142" s="8">
        <v>0</v>
      </c>
      <c r="V142" s="243" t="str">
        <f t="shared" si="20"/>
        <v>513</v>
      </c>
      <c r="W142" s="240">
        <f t="shared" si="21"/>
        <v>-972.52000000000407</v>
      </c>
      <c r="X142" s="243">
        <f t="shared" si="22"/>
        <v>0</v>
      </c>
      <c r="Y142" s="255">
        <f>$W142*SUMIF('KU-LGE Rating'!$R:$R,$D142,'KU-LGE Rating'!F:F)</f>
        <v>-972.52000000000407</v>
      </c>
      <c r="Z142" s="256">
        <f>$W142*SUMIF('KU-LGE Rating'!$R:$R,$D142,'KU-LGE Rating'!G:G)</f>
        <v>0</v>
      </c>
      <c r="AA142" s="257">
        <f t="shared" si="18"/>
        <v>-972.52000000000407</v>
      </c>
      <c r="AB142" s="255">
        <f>$X142*SUMIF('KU-LGE Rating'!$R:$R,$D142,'KU-LGE Rating'!F:F)</f>
        <v>0</v>
      </c>
      <c r="AC142" s="256">
        <f>$X142*SUMIF('KU-LGE Rating'!$R:$R,$D142,'KU-LGE Rating'!G:G)</f>
        <v>0</v>
      </c>
      <c r="AD142" s="257">
        <f t="shared" si="19"/>
        <v>0</v>
      </c>
      <c r="AE142" s="274">
        <f>IF($F142=AE$1,$U142,0)*SUMIF('KU-LGE Rating'!$R:$R,$D142,'KU-LGE Rating'!$F:$F)</f>
        <v>0</v>
      </c>
      <c r="AF142" s="274">
        <f>IF($F142=AE$1,$U142,0)*SUMIF('KU-LGE Rating'!$R:$R,$D142,'KU-LGE Rating'!$G:$G)</f>
        <v>0</v>
      </c>
      <c r="AG142" s="240">
        <f t="shared" si="23"/>
        <v>0</v>
      </c>
      <c r="AH142" s="256">
        <f>IF($F142=AH$1,$U142,0)*SUMIF('KU-LGE Rating'!$R:$R,$D142,'KU-LGE Rating'!$F:$F)</f>
        <v>0</v>
      </c>
      <c r="AI142" s="256">
        <f>IF($F142=AH$1,$U142,0)*SUMIF('KU-LGE Rating'!$R:$R,$D142,'KU-LGE Rating'!$G:$G)</f>
        <v>0</v>
      </c>
      <c r="AJ142" s="240">
        <f t="shared" si="24"/>
        <v>0</v>
      </c>
      <c r="AK142" s="256">
        <f>IF($F142=AK$1,$U142,0)*SUMIF('KU-LGE Rating'!$R:$R,$D142,'KU-LGE Rating'!$F:$F)</f>
        <v>0</v>
      </c>
      <c r="AL142" s="256">
        <f>IF($F142=AK$1,$U142,0)*SUMIF('KU-LGE Rating'!$R:$R,$D142,'KU-LGE Rating'!$G:$G)</f>
        <v>0</v>
      </c>
      <c r="AM142" s="240">
        <f t="shared" si="25"/>
        <v>0</v>
      </c>
      <c r="AN142" s="256">
        <f>IF($F142=AN$1,$U142,0)*SUMIF('KU-LGE Rating'!$R:$R,$D142,'KU-LGE Rating'!$F:$F)</f>
        <v>0</v>
      </c>
      <c r="AO142" s="256">
        <f>IF($F142=AN$1,$U142,0)*SUMIF('KU-LGE Rating'!$R:$R,$D142,'KU-LGE Rating'!$G:$G)</f>
        <v>0</v>
      </c>
      <c r="AP142" s="240">
        <f t="shared" si="26"/>
        <v>0</v>
      </c>
      <c r="AQ142" s="277"/>
      <c r="AR142" s="277"/>
      <c r="AV142" s="278"/>
      <c r="AW142" s="278"/>
      <c r="AX142" s="278"/>
    </row>
    <row r="143" spans="1:50">
      <c r="A143" s="1" t="s">
        <v>2769</v>
      </c>
      <c r="B143" s="1" t="s">
        <v>3</v>
      </c>
      <c r="C143" t="s">
        <v>3723</v>
      </c>
      <c r="D143" t="s">
        <v>3726</v>
      </c>
      <c r="E143" t="s">
        <v>3893</v>
      </c>
      <c r="F143">
        <v>2015</v>
      </c>
      <c r="G143" t="s">
        <v>3908</v>
      </c>
      <c r="H143">
        <v>512100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562500</v>
      </c>
      <c r="S143">
        <v>562500</v>
      </c>
      <c r="T143">
        <v>0</v>
      </c>
      <c r="U143" s="8">
        <v>1125000</v>
      </c>
      <c r="V143" s="243" t="str">
        <f t="shared" si="20"/>
        <v>512</v>
      </c>
      <c r="W143" s="240">
        <f t="shared" si="21"/>
        <v>0</v>
      </c>
      <c r="X143" s="243">
        <f t="shared" si="22"/>
        <v>1125000</v>
      </c>
      <c r="Y143" s="255">
        <f>$W143*SUMIF('KU-LGE Rating'!$R:$R,$D143,'KU-LGE Rating'!F:F)</f>
        <v>0</v>
      </c>
      <c r="Z143" s="256">
        <f>$W143*SUMIF('KU-LGE Rating'!$R:$R,$D143,'KU-LGE Rating'!G:G)</f>
        <v>0</v>
      </c>
      <c r="AA143" s="257">
        <f t="shared" si="18"/>
        <v>0</v>
      </c>
      <c r="AB143" s="255">
        <f>$X143*SUMIF('KU-LGE Rating'!$R:$R,$D143,'KU-LGE Rating'!F:F)</f>
        <v>1125000</v>
      </c>
      <c r="AC143" s="256">
        <f>$X143*SUMIF('KU-LGE Rating'!$R:$R,$D143,'KU-LGE Rating'!G:G)</f>
        <v>0</v>
      </c>
      <c r="AD143" s="257">
        <f t="shared" si="19"/>
        <v>1125000</v>
      </c>
      <c r="AE143" s="274">
        <f>IF($F143=AE$1,$U143,0)*SUMIF('KU-LGE Rating'!$R:$R,$D143,'KU-LGE Rating'!$F:$F)</f>
        <v>0</v>
      </c>
      <c r="AF143" s="274">
        <f>IF($F143=AE$1,$U143,0)*SUMIF('KU-LGE Rating'!$R:$R,$D143,'KU-LGE Rating'!$G:$G)</f>
        <v>0</v>
      </c>
      <c r="AG143" s="240">
        <f t="shared" si="23"/>
        <v>0</v>
      </c>
      <c r="AH143" s="256">
        <f>IF($F143=AH$1,$U143,0)*SUMIF('KU-LGE Rating'!$R:$R,$D143,'KU-LGE Rating'!$F:$F)</f>
        <v>1125000</v>
      </c>
      <c r="AI143" s="256">
        <f>IF($F143=AH$1,$U143,0)*SUMIF('KU-LGE Rating'!$R:$R,$D143,'KU-LGE Rating'!$G:$G)</f>
        <v>0</v>
      </c>
      <c r="AJ143" s="240">
        <f t="shared" si="24"/>
        <v>1125000</v>
      </c>
      <c r="AK143" s="256">
        <f>IF($F143=AK$1,$U143,0)*SUMIF('KU-LGE Rating'!$R:$R,$D143,'KU-LGE Rating'!$F:$F)</f>
        <v>0</v>
      </c>
      <c r="AL143" s="256">
        <f>IF($F143=AK$1,$U143,0)*SUMIF('KU-LGE Rating'!$R:$R,$D143,'KU-LGE Rating'!$G:$G)</f>
        <v>0</v>
      </c>
      <c r="AM143" s="240">
        <f t="shared" si="25"/>
        <v>0</v>
      </c>
      <c r="AN143" s="256">
        <f>IF($F143=AN$1,$U143,0)*SUMIF('KU-LGE Rating'!$R:$R,$D143,'KU-LGE Rating'!$F:$F)</f>
        <v>0</v>
      </c>
      <c r="AO143" s="256">
        <f>IF($F143=AN$1,$U143,0)*SUMIF('KU-LGE Rating'!$R:$R,$D143,'KU-LGE Rating'!$G:$G)</f>
        <v>0</v>
      </c>
      <c r="AP143" s="240">
        <f t="shared" si="26"/>
        <v>0</v>
      </c>
      <c r="AQ143" s="277"/>
      <c r="AR143" s="277"/>
      <c r="AV143" s="278"/>
      <c r="AW143" s="278"/>
      <c r="AX143" s="278"/>
    </row>
    <row r="144" spans="1:50">
      <c r="A144" s="1" t="s">
        <v>2769</v>
      </c>
      <c r="B144" s="1" t="s">
        <v>3</v>
      </c>
      <c r="C144" t="s">
        <v>3723</v>
      </c>
      <c r="D144" t="s">
        <v>3726</v>
      </c>
      <c r="E144" t="s">
        <v>3893</v>
      </c>
      <c r="F144">
        <v>2016</v>
      </c>
      <c r="G144" t="s">
        <v>3908</v>
      </c>
      <c r="H144">
        <v>512100</v>
      </c>
      <c r="I144">
        <v>0</v>
      </c>
      <c r="J144">
        <v>0</v>
      </c>
      <c r="K144">
        <v>0</v>
      </c>
      <c r="L144">
        <v>296095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 s="8">
        <v>296095</v>
      </c>
      <c r="V144" s="243" t="str">
        <f t="shared" si="20"/>
        <v>512</v>
      </c>
      <c r="W144" s="240">
        <f t="shared" si="21"/>
        <v>0</v>
      </c>
      <c r="X144" s="243">
        <f t="shared" si="22"/>
        <v>296095</v>
      </c>
      <c r="Y144" s="255">
        <f>$W144*SUMIF('KU-LGE Rating'!$R:$R,$D144,'KU-LGE Rating'!F:F)</f>
        <v>0</v>
      </c>
      <c r="Z144" s="256">
        <f>$W144*SUMIF('KU-LGE Rating'!$R:$R,$D144,'KU-LGE Rating'!G:G)</f>
        <v>0</v>
      </c>
      <c r="AA144" s="257">
        <f t="shared" si="18"/>
        <v>0</v>
      </c>
      <c r="AB144" s="255">
        <f>$X144*SUMIF('KU-LGE Rating'!$R:$R,$D144,'KU-LGE Rating'!F:F)</f>
        <v>296095</v>
      </c>
      <c r="AC144" s="256">
        <f>$X144*SUMIF('KU-LGE Rating'!$R:$R,$D144,'KU-LGE Rating'!G:G)</f>
        <v>0</v>
      </c>
      <c r="AD144" s="257">
        <f t="shared" si="19"/>
        <v>296095</v>
      </c>
      <c r="AE144" s="274">
        <f>IF($F144=AE$1,$U144,0)*SUMIF('KU-LGE Rating'!$R:$R,$D144,'KU-LGE Rating'!$F:$F)</f>
        <v>0</v>
      </c>
      <c r="AF144" s="274">
        <f>IF($F144=AE$1,$U144,0)*SUMIF('KU-LGE Rating'!$R:$R,$D144,'KU-LGE Rating'!$G:$G)</f>
        <v>0</v>
      </c>
      <c r="AG144" s="240">
        <f t="shared" si="23"/>
        <v>0</v>
      </c>
      <c r="AH144" s="256">
        <f>IF($F144=AH$1,$U144,0)*SUMIF('KU-LGE Rating'!$R:$R,$D144,'KU-LGE Rating'!$F:$F)</f>
        <v>0</v>
      </c>
      <c r="AI144" s="256">
        <f>IF($F144=AH$1,$U144,0)*SUMIF('KU-LGE Rating'!$R:$R,$D144,'KU-LGE Rating'!$G:$G)</f>
        <v>0</v>
      </c>
      <c r="AJ144" s="240">
        <f t="shared" si="24"/>
        <v>0</v>
      </c>
      <c r="AK144" s="256">
        <f>IF($F144=AK$1,$U144,0)*SUMIF('KU-LGE Rating'!$R:$R,$D144,'KU-LGE Rating'!$F:$F)</f>
        <v>296095</v>
      </c>
      <c r="AL144" s="256">
        <f>IF($F144=AK$1,$U144,0)*SUMIF('KU-LGE Rating'!$R:$R,$D144,'KU-LGE Rating'!$G:$G)</f>
        <v>0</v>
      </c>
      <c r="AM144" s="240">
        <f t="shared" si="25"/>
        <v>296095</v>
      </c>
      <c r="AN144" s="256">
        <f>IF($F144=AN$1,$U144,0)*SUMIF('KU-LGE Rating'!$R:$R,$D144,'KU-LGE Rating'!$F:$F)</f>
        <v>0</v>
      </c>
      <c r="AO144" s="256">
        <f>IF($F144=AN$1,$U144,0)*SUMIF('KU-LGE Rating'!$R:$R,$D144,'KU-LGE Rating'!$G:$G)</f>
        <v>0</v>
      </c>
      <c r="AP144" s="240">
        <f t="shared" si="26"/>
        <v>0</v>
      </c>
      <c r="AQ144" s="277"/>
      <c r="AR144" s="277"/>
      <c r="AV144" s="278"/>
      <c r="AW144" s="278"/>
      <c r="AX144" s="278"/>
    </row>
    <row r="145" spans="1:50">
      <c r="A145" s="1" t="s">
        <v>2769</v>
      </c>
      <c r="B145" s="1" t="s">
        <v>3</v>
      </c>
      <c r="C145" t="s">
        <v>3723</v>
      </c>
      <c r="D145" t="s">
        <v>3726</v>
      </c>
      <c r="E145" t="s">
        <v>3893</v>
      </c>
      <c r="F145">
        <v>2016</v>
      </c>
      <c r="G145" t="s">
        <v>3908</v>
      </c>
      <c r="H145">
        <v>513100</v>
      </c>
      <c r="I145">
        <v>0</v>
      </c>
      <c r="J145">
        <v>0</v>
      </c>
      <c r="K145">
        <v>0</v>
      </c>
      <c r="L145">
        <v>300000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8">
        <v>300000</v>
      </c>
      <c r="V145" s="243" t="str">
        <f t="shared" si="20"/>
        <v>513</v>
      </c>
      <c r="W145" s="240">
        <f t="shared" si="21"/>
        <v>0</v>
      </c>
      <c r="X145" s="243">
        <f t="shared" si="22"/>
        <v>300000</v>
      </c>
      <c r="Y145" s="255">
        <f>$W145*SUMIF('KU-LGE Rating'!$R:$R,$D145,'KU-LGE Rating'!F:F)</f>
        <v>0</v>
      </c>
      <c r="Z145" s="256">
        <f>$W145*SUMIF('KU-LGE Rating'!$R:$R,$D145,'KU-LGE Rating'!G:G)</f>
        <v>0</v>
      </c>
      <c r="AA145" s="257">
        <f t="shared" si="18"/>
        <v>0</v>
      </c>
      <c r="AB145" s="255">
        <f>$X145*SUMIF('KU-LGE Rating'!$R:$R,$D145,'KU-LGE Rating'!F:F)</f>
        <v>300000</v>
      </c>
      <c r="AC145" s="256">
        <f>$X145*SUMIF('KU-LGE Rating'!$R:$R,$D145,'KU-LGE Rating'!G:G)</f>
        <v>0</v>
      </c>
      <c r="AD145" s="257">
        <f t="shared" si="19"/>
        <v>300000</v>
      </c>
      <c r="AE145" s="274">
        <f>IF($F145=AE$1,$U145,0)*SUMIF('KU-LGE Rating'!$R:$R,$D145,'KU-LGE Rating'!$F:$F)</f>
        <v>0</v>
      </c>
      <c r="AF145" s="274">
        <f>IF($F145=AE$1,$U145,0)*SUMIF('KU-LGE Rating'!$R:$R,$D145,'KU-LGE Rating'!$G:$G)</f>
        <v>0</v>
      </c>
      <c r="AG145" s="240">
        <f t="shared" si="23"/>
        <v>0</v>
      </c>
      <c r="AH145" s="256">
        <f>IF($F145=AH$1,$U145,0)*SUMIF('KU-LGE Rating'!$R:$R,$D145,'KU-LGE Rating'!$F:$F)</f>
        <v>0</v>
      </c>
      <c r="AI145" s="256">
        <f>IF($F145=AH$1,$U145,0)*SUMIF('KU-LGE Rating'!$R:$R,$D145,'KU-LGE Rating'!$G:$G)</f>
        <v>0</v>
      </c>
      <c r="AJ145" s="240">
        <f t="shared" si="24"/>
        <v>0</v>
      </c>
      <c r="AK145" s="256">
        <f>IF($F145=AK$1,$U145,0)*SUMIF('KU-LGE Rating'!$R:$R,$D145,'KU-LGE Rating'!$F:$F)</f>
        <v>300000</v>
      </c>
      <c r="AL145" s="256">
        <f>IF($F145=AK$1,$U145,0)*SUMIF('KU-LGE Rating'!$R:$R,$D145,'KU-LGE Rating'!$G:$G)</f>
        <v>0</v>
      </c>
      <c r="AM145" s="240">
        <f t="shared" si="25"/>
        <v>300000</v>
      </c>
      <c r="AN145" s="256">
        <f>IF($F145=AN$1,$U145,0)*SUMIF('KU-LGE Rating'!$R:$R,$D145,'KU-LGE Rating'!$F:$F)</f>
        <v>0</v>
      </c>
      <c r="AO145" s="256">
        <f>IF($F145=AN$1,$U145,0)*SUMIF('KU-LGE Rating'!$R:$R,$D145,'KU-LGE Rating'!$G:$G)</f>
        <v>0</v>
      </c>
      <c r="AP145" s="240">
        <f t="shared" si="26"/>
        <v>0</v>
      </c>
      <c r="AQ145" s="277"/>
      <c r="AR145" s="277"/>
      <c r="AV145" s="278"/>
      <c r="AW145" s="278"/>
      <c r="AX145" s="278"/>
    </row>
    <row r="146" spans="1:50">
      <c r="A146" s="1" t="s">
        <v>2769</v>
      </c>
      <c r="B146" s="1" t="s">
        <v>3</v>
      </c>
      <c r="C146" t="s">
        <v>3723</v>
      </c>
      <c r="D146" t="s">
        <v>3726</v>
      </c>
      <c r="E146" t="s">
        <v>3893</v>
      </c>
      <c r="F146">
        <v>2017</v>
      </c>
      <c r="G146" t="s">
        <v>3908</v>
      </c>
      <c r="H146">
        <v>512100</v>
      </c>
      <c r="I146">
        <v>0</v>
      </c>
      <c r="J146">
        <v>0</v>
      </c>
      <c r="K146">
        <v>0</v>
      </c>
      <c r="L146">
        <v>810837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 s="8">
        <v>810837</v>
      </c>
      <c r="V146" s="243" t="str">
        <f t="shared" si="20"/>
        <v>512</v>
      </c>
      <c r="W146" s="240">
        <f t="shared" si="21"/>
        <v>0</v>
      </c>
      <c r="X146" s="243">
        <f t="shared" si="22"/>
        <v>0</v>
      </c>
      <c r="Y146" s="255">
        <f>$W146*SUMIF('KU-LGE Rating'!$R:$R,$D146,'KU-LGE Rating'!F:F)</f>
        <v>0</v>
      </c>
      <c r="Z146" s="256">
        <f>$W146*SUMIF('KU-LGE Rating'!$R:$R,$D146,'KU-LGE Rating'!G:G)</f>
        <v>0</v>
      </c>
      <c r="AA146" s="257">
        <f t="shared" si="18"/>
        <v>0</v>
      </c>
      <c r="AB146" s="255">
        <f>$X146*SUMIF('KU-LGE Rating'!$R:$R,$D146,'KU-LGE Rating'!F:F)</f>
        <v>0</v>
      </c>
      <c r="AC146" s="256">
        <f>$X146*SUMIF('KU-LGE Rating'!$R:$R,$D146,'KU-LGE Rating'!G:G)</f>
        <v>0</v>
      </c>
      <c r="AD146" s="257">
        <f t="shared" si="19"/>
        <v>0</v>
      </c>
      <c r="AE146" s="274">
        <f>IF($F146=AE$1,$U146,0)*SUMIF('KU-LGE Rating'!$R:$R,$D146,'KU-LGE Rating'!$F:$F)</f>
        <v>0</v>
      </c>
      <c r="AF146" s="274">
        <f>IF($F146=AE$1,$U146,0)*SUMIF('KU-LGE Rating'!$R:$R,$D146,'KU-LGE Rating'!$G:$G)</f>
        <v>0</v>
      </c>
      <c r="AG146" s="240">
        <f t="shared" si="23"/>
        <v>0</v>
      </c>
      <c r="AH146" s="256">
        <f>IF($F146=AH$1,$U146,0)*SUMIF('KU-LGE Rating'!$R:$R,$D146,'KU-LGE Rating'!$F:$F)</f>
        <v>0</v>
      </c>
      <c r="AI146" s="256">
        <f>IF($F146=AH$1,$U146,0)*SUMIF('KU-LGE Rating'!$R:$R,$D146,'KU-LGE Rating'!$G:$G)</f>
        <v>0</v>
      </c>
      <c r="AJ146" s="240">
        <f t="shared" si="24"/>
        <v>0</v>
      </c>
      <c r="AK146" s="256">
        <f>IF($F146=AK$1,$U146,0)*SUMIF('KU-LGE Rating'!$R:$R,$D146,'KU-LGE Rating'!$F:$F)</f>
        <v>0</v>
      </c>
      <c r="AL146" s="256">
        <f>IF($F146=AK$1,$U146,0)*SUMIF('KU-LGE Rating'!$R:$R,$D146,'KU-LGE Rating'!$G:$G)</f>
        <v>0</v>
      </c>
      <c r="AM146" s="240">
        <f t="shared" si="25"/>
        <v>0</v>
      </c>
      <c r="AN146" s="256">
        <f>IF($F146=AN$1,$U146,0)*SUMIF('KU-LGE Rating'!$R:$R,$D146,'KU-LGE Rating'!$F:$F)</f>
        <v>810837</v>
      </c>
      <c r="AO146" s="256">
        <f>IF($F146=AN$1,$U146,0)*SUMIF('KU-LGE Rating'!$R:$R,$D146,'KU-LGE Rating'!$G:$G)</f>
        <v>0</v>
      </c>
      <c r="AP146" s="240">
        <f t="shared" si="26"/>
        <v>810837</v>
      </c>
      <c r="AQ146" s="277"/>
      <c r="AR146" s="277"/>
      <c r="AV146" s="278"/>
      <c r="AW146" s="278"/>
      <c r="AX146" s="278"/>
    </row>
    <row r="147" spans="1:50">
      <c r="A147" s="1" t="s">
        <v>2769</v>
      </c>
      <c r="B147" s="1" t="s">
        <v>3</v>
      </c>
      <c r="C147" t="s">
        <v>3723</v>
      </c>
      <c r="D147" t="s">
        <v>3744</v>
      </c>
      <c r="E147" t="s">
        <v>3893</v>
      </c>
      <c r="F147">
        <v>2016</v>
      </c>
      <c r="G147" t="s">
        <v>3908</v>
      </c>
      <c r="H147">
        <v>554100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250000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 s="8">
        <v>250000</v>
      </c>
      <c r="V147" s="243" t="str">
        <f t="shared" si="20"/>
        <v>554</v>
      </c>
      <c r="W147" s="240">
        <f t="shared" si="21"/>
        <v>0</v>
      </c>
      <c r="X147" s="243">
        <f t="shared" si="22"/>
        <v>250000</v>
      </c>
      <c r="Y147" s="255">
        <f>$W147*SUMIF('KU-LGE Rating'!$R:$R,$D147,'KU-LGE Rating'!F:F)</f>
        <v>0</v>
      </c>
      <c r="Z147" s="256">
        <f>$W147*SUMIF('KU-LGE Rating'!$R:$R,$D147,'KU-LGE Rating'!G:G)</f>
        <v>0</v>
      </c>
      <c r="AA147" s="257">
        <f t="shared" si="18"/>
        <v>0</v>
      </c>
      <c r="AB147" s="255">
        <f>$X147*SUMIF('KU-LGE Rating'!$R:$R,$D147,'KU-LGE Rating'!F:F)</f>
        <v>117500</v>
      </c>
      <c r="AC147" s="256">
        <f>$X147*SUMIF('KU-LGE Rating'!$R:$R,$D147,'KU-LGE Rating'!G:G)</f>
        <v>132500</v>
      </c>
      <c r="AD147" s="257">
        <f t="shared" si="19"/>
        <v>250000</v>
      </c>
      <c r="AE147" s="274">
        <f>IF($F147=AE$1,$U147,0)*SUMIF('KU-LGE Rating'!$R:$R,$D147,'KU-LGE Rating'!$F:$F)</f>
        <v>0</v>
      </c>
      <c r="AF147" s="274">
        <f>IF($F147=AE$1,$U147,0)*SUMIF('KU-LGE Rating'!$R:$R,$D147,'KU-LGE Rating'!$G:$G)</f>
        <v>0</v>
      </c>
      <c r="AG147" s="240">
        <f t="shared" si="23"/>
        <v>0</v>
      </c>
      <c r="AH147" s="256">
        <f>IF($F147=AH$1,$U147,0)*SUMIF('KU-LGE Rating'!$R:$R,$D147,'KU-LGE Rating'!$F:$F)</f>
        <v>0</v>
      </c>
      <c r="AI147" s="256">
        <f>IF($F147=AH$1,$U147,0)*SUMIF('KU-LGE Rating'!$R:$R,$D147,'KU-LGE Rating'!$G:$G)</f>
        <v>0</v>
      </c>
      <c r="AJ147" s="240">
        <f t="shared" si="24"/>
        <v>0</v>
      </c>
      <c r="AK147" s="256">
        <f>IF($F147=AK$1,$U147,0)*SUMIF('KU-LGE Rating'!$R:$R,$D147,'KU-LGE Rating'!$F:$F)</f>
        <v>117500</v>
      </c>
      <c r="AL147" s="256">
        <f>IF($F147=AK$1,$U147,0)*SUMIF('KU-LGE Rating'!$R:$R,$D147,'KU-LGE Rating'!$G:$G)</f>
        <v>132500</v>
      </c>
      <c r="AM147" s="240">
        <f t="shared" si="25"/>
        <v>250000</v>
      </c>
      <c r="AN147" s="256">
        <f>IF($F147=AN$1,$U147,0)*SUMIF('KU-LGE Rating'!$R:$R,$D147,'KU-LGE Rating'!$F:$F)</f>
        <v>0</v>
      </c>
      <c r="AO147" s="256">
        <f>IF($F147=AN$1,$U147,0)*SUMIF('KU-LGE Rating'!$R:$R,$D147,'KU-LGE Rating'!$G:$G)</f>
        <v>0</v>
      </c>
      <c r="AP147" s="240">
        <f t="shared" si="26"/>
        <v>0</v>
      </c>
      <c r="AQ147" s="277"/>
      <c r="AR147" s="277"/>
      <c r="AV147" s="278"/>
      <c r="AW147" s="278"/>
      <c r="AX147" s="278"/>
    </row>
    <row r="148" spans="1:50">
      <c r="A148" s="1" t="s">
        <v>2769</v>
      </c>
      <c r="B148" s="1" t="s">
        <v>3</v>
      </c>
      <c r="C148" t="s">
        <v>3723</v>
      </c>
      <c r="D148" t="s">
        <v>3724</v>
      </c>
      <c r="E148" t="s">
        <v>3893</v>
      </c>
      <c r="F148">
        <v>2014</v>
      </c>
      <c r="G148" t="s">
        <v>3908</v>
      </c>
      <c r="H148">
        <v>553100</v>
      </c>
      <c r="I148">
        <v>0</v>
      </c>
      <c r="J148">
        <v>0</v>
      </c>
      <c r="K148">
        <v>89435.49</v>
      </c>
      <c r="L148">
        <v>6455.04</v>
      </c>
      <c r="M148">
        <v>635.27</v>
      </c>
      <c r="N148">
        <v>0</v>
      </c>
      <c r="O148">
        <v>0</v>
      </c>
      <c r="P148">
        <v>38259.32</v>
      </c>
      <c r="Q148">
        <v>28154.880000000001</v>
      </c>
      <c r="R148">
        <v>0</v>
      </c>
      <c r="S148">
        <v>0</v>
      </c>
      <c r="T148">
        <v>0</v>
      </c>
      <c r="U148" s="8">
        <v>162940</v>
      </c>
      <c r="V148" s="243" t="str">
        <f t="shared" si="20"/>
        <v>553</v>
      </c>
      <c r="W148" s="240">
        <f t="shared" si="21"/>
        <v>162940</v>
      </c>
      <c r="X148" s="243">
        <f t="shared" si="22"/>
        <v>0</v>
      </c>
      <c r="Y148" s="255">
        <f>$W148*SUMIF('KU-LGE Rating'!$R:$R,$D148,'KU-LGE Rating'!F:F)</f>
        <v>101022.8</v>
      </c>
      <c r="Z148" s="256">
        <f>$W148*SUMIF('KU-LGE Rating'!$R:$R,$D148,'KU-LGE Rating'!G:G)</f>
        <v>61917.2</v>
      </c>
      <c r="AA148" s="257">
        <f t="shared" si="18"/>
        <v>162940</v>
      </c>
      <c r="AB148" s="255">
        <f>$X148*SUMIF('KU-LGE Rating'!$R:$R,$D148,'KU-LGE Rating'!F:F)</f>
        <v>0</v>
      </c>
      <c r="AC148" s="256">
        <f>$X148*SUMIF('KU-LGE Rating'!$R:$R,$D148,'KU-LGE Rating'!G:G)</f>
        <v>0</v>
      </c>
      <c r="AD148" s="257">
        <f t="shared" si="19"/>
        <v>0</v>
      </c>
      <c r="AE148" s="274">
        <f>IF($F148=AE$1,$U148,0)*SUMIF('KU-LGE Rating'!$R:$R,$D148,'KU-LGE Rating'!$F:$F)</f>
        <v>101022.8</v>
      </c>
      <c r="AF148" s="274">
        <f>IF($F148=AE$1,$U148,0)*SUMIF('KU-LGE Rating'!$R:$R,$D148,'KU-LGE Rating'!$G:$G)</f>
        <v>61917.2</v>
      </c>
      <c r="AG148" s="240">
        <f t="shared" si="23"/>
        <v>162940</v>
      </c>
      <c r="AH148" s="256">
        <f>IF($F148=AH$1,$U148,0)*SUMIF('KU-LGE Rating'!$R:$R,$D148,'KU-LGE Rating'!$F:$F)</f>
        <v>0</v>
      </c>
      <c r="AI148" s="256">
        <f>IF($F148=AH$1,$U148,0)*SUMIF('KU-LGE Rating'!$R:$R,$D148,'KU-LGE Rating'!$G:$G)</f>
        <v>0</v>
      </c>
      <c r="AJ148" s="240">
        <f t="shared" si="24"/>
        <v>0</v>
      </c>
      <c r="AK148" s="256">
        <f>IF($F148=AK$1,$U148,0)*SUMIF('KU-LGE Rating'!$R:$R,$D148,'KU-LGE Rating'!$F:$F)</f>
        <v>0</v>
      </c>
      <c r="AL148" s="256">
        <f>IF($F148=AK$1,$U148,0)*SUMIF('KU-LGE Rating'!$R:$R,$D148,'KU-LGE Rating'!$G:$G)</f>
        <v>0</v>
      </c>
      <c r="AM148" s="240">
        <f t="shared" si="25"/>
        <v>0</v>
      </c>
      <c r="AN148" s="256">
        <f>IF($F148=AN$1,$U148,0)*SUMIF('KU-LGE Rating'!$R:$R,$D148,'KU-LGE Rating'!$F:$F)</f>
        <v>0</v>
      </c>
      <c r="AO148" s="256">
        <f>IF($F148=AN$1,$U148,0)*SUMIF('KU-LGE Rating'!$R:$R,$D148,'KU-LGE Rating'!$G:$G)</f>
        <v>0</v>
      </c>
      <c r="AP148" s="240">
        <f t="shared" si="26"/>
        <v>0</v>
      </c>
      <c r="AQ148" s="277"/>
      <c r="AR148" s="277"/>
      <c r="AV148" s="278"/>
      <c r="AW148" s="278"/>
      <c r="AX148" s="278"/>
    </row>
    <row r="149" spans="1:50">
      <c r="A149" s="1" t="s">
        <v>2769</v>
      </c>
      <c r="B149" s="1" t="s">
        <v>3</v>
      </c>
      <c r="C149" t="s">
        <v>3723</v>
      </c>
      <c r="D149" t="s">
        <v>3724</v>
      </c>
      <c r="E149" t="s">
        <v>3893</v>
      </c>
      <c r="F149">
        <v>2014</v>
      </c>
      <c r="G149" t="s">
        <v>3908</v>
      </c>
      <c r="H149">
        <v>554100</v>
      </c>
      <c r="I149">
        <v>0</v>
      </c>
      <c r="J149">
        <v>17500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-17500</v>
      </c>
      <c r="R149">
        <v>0</v>
      </c>
      <c r="S149">
        <v>0</v>
      </c>
      <c r="T149">
        <v>0</v>
      </c>
      <c r="U149" s="8">
        <v>0</v>
      </c>
      <c r="V149" s="243" t="str">
        <f t="shared" si="20"/>
        <v>554</v>
      </c>
      <c r="W149" s="240">
        <f t="shared" si="21"/>
        <v>-17500</v>
      </c>
      <c r="X149" s="243">
        <f t="shared" si="22"/>
        <v>0</v>
      </c>
      <c r="Y149" s="255">
        <f>$W149*SUMIF('KU-LGE Rating'!$R:$R,$D149,'KU-LGE Rating'!F:F)</f>
        <v>-10850</v>
      </c>
      <c r="Z149" s="256">
        <f>$W149*SUMIF('KU-LGE Rating'!$R:$R,$D149,'KU-LGE Rating'!G:G)</f>
        <v>-6650</v>
      </c>
      <c r="AA149" s="257">
        <f t="shared" si="18"/>
        <v>-17500</v>
      </c>
      <c r="AB149" s="255">
        <f>$X149*SUMIF('KU-LGE Rating'!$R:$R,$D149,'KU-LGE Rating'!F:F)</f>
        <v>0</v>
      </c>
      <c r="AC149" s="256">
        <f>$X149*SUMIF('KU-LGE Rating'!$R:$R,$D149,'KU-LGE Rating'!G:G)</f>
        <v>0</v>
      </c>
      <c r="AD149" s="257">
        <f t="shared" si="19"/>
        <v>0</v>
      </c>
      <c r="AE149" s="274">
        <f>IF($F149=AE$1,$U149,0)*SUMIF('KU-LGE Rating'!$R:$R,$D149,'KU-LGE Rating'!$F:$F)</f>
        <v>0</v>
      </c>
      <c r="AF149" s="274">
        <f>IF($F149=AE$1,$U149,0)*SUMIF('KU-LGE Rating'!$R:$R,$D149,'KU-LGE Rating'!$G:$G)</f>
        <v>0</v>
      </c>
      <c r="AG149" s="240">
        <f t="shared" si="23"/>
        <v>0</v>
      </c>
      <c r="AH149" s="256">
        <f>IF($F149=AH$1,$U149,0)*SUMIF('KU-LGE Rating'!$R:$R,$D149,'KU-LGE Rating'!$F:$F)</f>
        <v>0</v>
      </c>
      <c r="AI149" s="256">
        <f>IF($F149=AH$1,$U149,0)*SUMIF('KU-LGE Rating'!$R:$R,$D149,'KU-LGE Rating'!$G:$G)</f>
        <v>0</v>
      </c>
      <c r="AJ149" s="240">
        <f t="shared" si="24"/>
        <v>0</v>
      </c>
      <c r="AK149" s="256">
        <f>IF($F149=AK$1,$U149,0)*SUMIF('KU-LGE Rating'!$R:$R,$D149,'KU-LGE Rating'!$F:$F)</f>
        <v>0</v>
      </c>
      <c r="AL149" s="256">
        <f>IF($F149=AK$1,$U149,0)*SUMIF('KU-LGE Rating'!$R:$R,$D149,'KU-LGE Rating'!$G:$G)</f>
        <v>0</v>
      </c>
      <c r="AM149" s="240">
        <f t="shared" si="25"/>
        <v>0</v>
      </c>
      <c r="AN149" s="256">
        <f>IF($F149=AN$1,$U149,0)*SUMIF('KU-LGE Rating'!$R:$R,$D149,'KU-LGE Rating'!$F:$F)</f>
        <v>0</v>
      </c>
      <c r="AO149" s="256">
        <f>IF($F149=AN$1,$U149,0)*SUMIF('KU-LGE Rating'!$R:$R,$D149,'KU-LGE Rating'!$G:$G)</f>
        <v>0</v>
      </c>
      <c r="AP149" s="240">
        <f t="shared" si="26"/>
        <v>0</v>
      </c>
      <c r="AQ149" s="277"/>
      <c r="AR149" s="277"/>
      <c r="AV149" s="278"/>
      <c r="AW149" s="278"/>
      <c r="AX149" s="278"/>
    </row>
    <row r="150" spans="1:50">
      <c r="A150" s="1" t="s">
        <v>2769</v>
      </c>
      <c r="B150" s="1" t="s">
        <v>3</v>
      </c>
      <c r="C150" t="s">
        <v>3723</v>
      </c>
      <c r="D150" t="s">
        <v>3724</v>
      </c>
      <c r="E150" t="s">
        <v>3893</v>
      </c>
      <c r="F150">
        <v>2015</v>
      </c>
      <c r="G150" t="s">
        <v>3908</v>
      </c>
      <c r="H150">
        <v>553100</v>
      </c>
      <c r="I150">
        <v>0</v>
      </c>
      <c r="J150">
        <v>25000</v>
      </c>
      <c r="K150">
        <v>0</v>
      </c>
      <c r="L150">
        <v>48899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 s="8">
        <v>73899</v>
      </c>
      <c r="V150" s="243" t="str">
        <f t="shared" si="20"/>
        <v>553</v>
      </c>
      <c r="W150" s="240">
        <f t="shared" si="21"/>
        <v>25000</v>
      </c>
      <c r="X150" s="243">
        <f t="shared" si="22"/>
        <v>0</v>
      </c>
      <c r="Y150" s="255">
        <f>$W150*SUMIF('KU-LGE Rating'!$R:$R,$D150,'KU-LGE Rating'!F:F)</f>
        <v>15500</v>
      </c>
      <c r="Z150" s="256">
        <f>$W150*SUMIF('KU-LGE Rating'!$R:$R,$D150,'KU-LGE Rating'!G:G)</f>
        <v>9500</v>
      </c>
      <c r="AA150" s="257">
        <f t="shared" si="18"/>
        <v>25000</v>
      </c>
      <c r="AB150" s="255">
        <f>$X150*SUMIF('KU-LGE Rating'!$R:$R,$D150,'KU-LGE Rating'!F:F)</f>
        <v>0</v>
      </c>
      <c r="AC150" s="256">
        <f>$X150*SUMIF('KU-LGE Rating'!$R:$R,$D150,'KU-LGE Rating'!G:G)</f>
        <v>0</v>
      </c>
      <c r="AD150" s="257">
        <f t="shared" si="19"/>
        <v>0</v>
      </c>
      <c r="AE150" s="274">
        <f>IF($F150=AE$1,$U150,0)*SUMIF('KU-LGE Rating'!$R:$R,$D150,'KU-LGE Rating'!$F:$F)</f>
        <v>0</v>
      </c>
      <c r="AF150" s="274">
        <f>IF($F150=AE$1,$U150,0)*SUMIF('KU-LGE Rating'!$R:$R,$D150,'KU-LGE Rating'!$G:$G)</f>
        <v>0</v>
      </c>
      <c r="AG150" s="240">
        <f t="shared" si="23"/>
        <v>0</v>
      </c>
      <c r="AH150" s="256">
        <f>IF($F150=AH$1,$U150,0)*SUMIF('KU-LGE Rating'!$R:$R,$D150,'KU-LGE Rating'!$F:$F)</f>
        <v>45817.38</v>
      </c>
      <c r="AI150" s="256">
        <f>IF($F150=AH$1,$U150,0)*SUMIF('KU-LGE Rating'!$R:$R,$D150,'KU-LGE Rating'!$G:$G)</f>
        <v>28081.62</v>
      </c>
      <c r="AJ150" s="240">
        <f t="shared" si="24"/>
        <v>73899</v>
      </c>
      <c r="AK150" s="256">
        <f>IF($F150=AK$1,$U150,0)*SUMIF('KU-LGE Rating'!$R:$R,$D150,'KU-LGE Rating'!$F:$F)</f>
        <v>0</v>
      </c>
      <c r="AL150" s="256">
        <f>IF($F150=AK$1,$U150,0)*SUMIF('KU-LGE Rating'!$R:$R,$D150,'KU-LGE Rating'!$G:$G)</f>
        <v>0</v>
      </c>
      <c r="AM150" s="240">
        <f t="shared" si="25"/>
        <v>0</v>
      </c>
      <c r="AN150" s="256">
        <f>IF($F150=AN$1,$U150,0)*SUMIF('KU-LGE Rating'!$R:$R,$D150,'KU-LGE Rating'!$F:$F)</f>
        <v>0</v>
      </c>
      <c r="AO150" s="256">
        <f>IF($F150=AN$1,$U150,0)*SUMIF('KU-LGE Rating'!$R:$R,$D150,'KU-LGE Rating'!$G:$G)</f>
        <v>0</v>
      </c>
      <c r="AP150" s="240">
        <f t="shared" si="26"/>
        <v>0</v>
      </c>
      <c r="AQ150" s="277"/>
      <c r="AR150" s="277"/>
      <c r="AV150" s="278"/>
      <c r="AW150" s="278"/>
      <c r="AX150" s="278"/>
    </row>
    <row r="151" spans="1:50">
      <c r="A151" s="1" t="s">
        <v>2769</v>
      </c>
      <c r="B151" s="1" t="s">
        <v>3</v>
      </c>
      <c r="C151" t="s">
        <v>3723</v>
      </c>
      <c r="D151" t="s">
        <v>3724</v>
      </c>
      <c r="E151" t="s">
        <v>3893</v>
      </c>
      <c r="F151">
        <v>2016</v>
      </c>
      <c r="G151" t="s">
        <v>3908</v>
      </c>
      <c r="H151">
        <v>553100</v>
      </c>
      <c r="I151">
        <v>0</v>
      </c>
      <c r="J151">
        <v>0</v>
      </c>
      <c r="K151">
        <v>0</v>
      </c>
      <c r="L151">
        <v>24377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 s="8">
        <v>24377</v>
      </c>
      <c r="V151" s="243" t="str">
        <f t="shared" si="20"/>
        <v>553</v>
      </c>
      <c r="W151" s="240">
        <f t="shared" si="21"/>
        <v>0</v>
      </c>
      <c r="X151" s="243">
        <f t="shared" si="22"/>
        <v>24377</v>
      </c>
      <c r="Y151" s="255">
        <f>$W151*SUMIF('KU-LGE Rating'!$R:$R,$D151,'KU-LGE Rating'!F:F)</f>
        <v>0</v>
      </c>
      <c r="Z151" s="256">
        <f>$W151*SUMIF('KU-LGE Rating'!$R:$R,$D151,'KU-LGE Rating'!G:G)</f>
        <v>0</v>
      </c>
      <c r="AA151" s="257">
        <f t="shared" si="18"/>
        <v>0</v>
      </c>
      <c r="AB151" s="255">
        <f>$X151*SUMIF('KU-LGE Rating'!$R:$R,$D151,'KU-LGE Rating'!F:F)</f>
        <v>15113.74</v>
      </c>
      <c r="AC151" s="256">
        <f>$X151*SUMIF('KU-LGE Rating'!$R:$R,$D151,'KU-LGE Rating'!G:G)</f>
        <v>9263.26</v>
      </c>
      <c r="AD151" s="257">
        <f t="shared" si="19"/>
        <v>24377</v>
      </c>
      <c r="AE151" s="274">
        <f>IF($F151=AE$1,$U151,0)*SUMIF('KU-LGE Rating'!$R:$R,$D151,'KU-LGE Rating'!$F:$F)</f>
        <v>0</v>
      </c>
      <c r="AF151" s="274">
        <f>IF($F151=AE$1,$U151,0)*SUMIF('KU-LGE Rating'!$R:$R,$D151,'KU-LGE Rating'!$G:$G)</f>
        <v>0</v>
      </c>
      <c r="AG151" s="240">
        <f t="shared" si="23"/>
        <v>0</v>
      </c>
      <c r="AH151" s="256">
        <f>IF($F151=AH$1,$U151,0)*SUMIF('KU-LGE Rating'!$R:$R,$D151,'KU-LGE Rating'!$F:$F)</f>
        <v>0</v>
      </c>
      <c r="AI151" s="256">
        <f>IF($F151=AH$1,$U151,0)*SUMIF('KU-LGE Rating'!$R:$R,$D151,'KU-LGE Rating'!$G:$G)</f>
        <v>0</v>
      </c>
      <c r="AJ151" s="240">
        <f t="shared" si="24"/>
        <v>0</v>
      </c>
      <c r="AK151" s="256">
        <f>IF($F151=AK$1,$U151,0)*SUMIF('KU-LGE Rating'!$R:$R,$D151,'KU-LGE Rating'!$F:$F)</f>
        <v>15113.74</v>
      </c>
      <c r="AL151" s="256">
        <f>IF($F151=AK$1,$U151,0)*SUMIF('KU-LGE Rating'!$R:$R,$D151,'KU-LGE Rating'!$G:$G)</f>
        <v>9263.26</v>
      </c>
      <c r="AM151" s="240">
        <f t="shared" si="25"/>
        <v>24377</v>
      </c>
      <c r="AN151" s="256">
        <f>IF($F151=AN$1,$U151,0)*SUMIF('KU-LGE Rating'!$R:$R,$D151,'KU-LGE Rating'!$F:$F)</f>
        <v>0</v>
      </c>
      <c r="AO151" s="256">
        <f>IF($F151=AN$1,$U151,0)*SUMIF('KU-LGE Rating'!$R:$R,$D151,'KU-LGE Rating'!$G:$G)</f>
        <v>0</v>
      </c>
      <c r="AP151" s="240">
        <f t="shared" si="26"/>
        <v>0</v>
      </c>
      <c r="AQ151" s="277"/>
      <c r="AR151" s="277"/>
      <c r="AV151" s="278"/>
      <c r="AW151" s="278"/>
      <c r="AX151" s="278"/>
    </row>
    <row r="152" spans="1:50">
      <c r="A152" s="1" t="s">
        <v>2769</v>
      </c>
      <c r="B152" s="1" t="s">
        <v>3</v>
      </c>
      <c r="C152" t="s">
        <v>3723</v>
      </c>
      <c r="D152" t="s">
        <v>3724</v>
      </c>
      <c r="E152" t="s">
        <v>3893</v>
      </c>
      <c r="F152">
        <v>2017</v>
      </c>
      <c r="G152" t="s">
        <v>3908</v>
      </c>
      <c r="H152">
        <v>551100</v>
      </c>
      <c r="I152">
        <v>0</v>
      </c>
      <c r="J152">
        <v>0</v>
      </c>
      <c r="K152">
        <v>0</v>
      </c>
      <c r="L152">
        <v>750000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 s="8">
        <v>750000</v>
      </c>
      <c r="V152" s="243" t="str">
        <f t="shared" si="20"/>
        <v>551</v>
      </c>
      <c r="W152" s="240">
        <f t="shared" si="21"/>
        <v>0</v>
      </c>
      <c r="X152" s="243">
        <f t="shared" si="22"/>
        <v>0</v>
      </c>
      <c r="Y152" s="255">
        <f>$W152*SUMIF('KU-LGE Rating'!$R:$R,$D152,'KU-LGE Rating'!F:F)</f>
        <v>0</v>
      </c>
      <c r="Z152" s="256">
        <f>$W152*SUMIF('KU-LGE Rating'!$R:$R,$D152,'KU-LGE Rating'!G:G)</f>
        <v>0</v>
      </c>
      <c r="AA152" s="257">
        <f t="shared" si="18"/>
        <v>0</v>
      </c>
      <c r="AB152" s="255">
        <f>$X152*SUMIF('KU-LGE Rating'!$R:$R,$D152,'KU-LGE Rating'!F:F)</f>
        <v>0</v>
      </c>
      <c r="AC152" s="256">
        <f>$X152*SUMIF('KU-LGE Rating'!$R:$R,$D152,'KU-LGE Rating'!G:G)</f>
        <v>0</v>
      </c>
      <c r="AD152" s="257">
        <f t="shared" si="19"/>
        <v>0</v>
      </c>
      <c r="AE152" s="274">
        <f>IF($F152=AE$1,$U152,0)*SUMIF('KU-LGE Rating'!$R:$R,$D152,'KU-LGE Rating'!$F:$F)</f>
        <v>0</v>
      </c>
      <c r="AF152" s="274">
        <f>IF($F152=AE$1,$U152,0)*SUMIF('KU-LGE Rating'!$R:$R,$D152,'KU-LGE Rating'!$G:$G)</f>
        <v>0</v>
      </c>
      <c r="AG152" s="240">
        <f t="shared" si="23"/>
        <v>0</v>
      </c>
      <c r="AH152" s="256">
        <f>IF($F152=AH$1,$U152,0)*SUMIF('KU-LGE Rating'!$R:$R,$D152,'KU-LGE Rating'!$F:$F)</f>
        <v>0</v>
      </c>
      <c r="AI152" s="256">
        <f>IF($F152=AH$1,$U152,0)*SUMIF('KU-LGE Rating'!$R:$R,$D152,'KU-LGE Rating'!$G:$G)</f>
        <v>0</v>
      </c>
      <c r="AJ152" s="240">
        <f t="shared" si="24"/>
        <v>0</v>
      </c>
      <c r="AK152" s="256">
        <f>IF($F152=AK$1,$U152,0)*SUMIF('KU-LGE Rating'!$R:$R,$D152,'KU-LGE Rating'!$F:$F)</f>
        <v>0</v>
      </c>
      <c r="AL152" s="256">
        <f>IF($F152=AK$1,$U152,0)*SUMIF('KU-LGE Rating'!$R:$R,$D152,'KU-LGE Rating'!$G:$G)</f>
        <v>0</v>
      </c>
      <c r="AM152" s="240">
        <f t="shared" si="25"/>
        <v>0</v>
      </c>
      <c r="AN152" s="256">
        <f>IF($F152=AN$1,$U152,0)*SUMIF('KU-LGE Rating'!$R:$R,$D152,'KU-LGE Rating'!$F:$F)</f>
        <v>465000</v>
      </c>
      <c r="AO152" s="256">
        <f>IF($F152=AN$1,$U152,0)*SUMIF('KU-LGE Rating'!$R:$R,$D152,'KU-LGE Rating'!$G:$G)</f>
        <v>285000</v>
      </c>
      <c r="AP152" s="240">
        <f t="shared" si="26"/>
        <v>750000</v>
      </c>
      <c r="AQ152" s="277"/>
      <c r="AR152" s="277"/>
      <c r="AV152" s="278"/>
      <c r="AW152" s="278"/>
      <c r="AX152" s="278"/>
    </row>
    <row r="153" spans="1:50">
      <c r="A153" s="1" t="s">
        <v>2769</v>
      </c>
      <c r="B153" s="1" t="s">
        <v>3</v>
      </c>
      <c r="C153" t="s">
        <v>3723</v>
      </c>
      <c r="D153" t="s">
        <v>3724</v>
      </c>
      <c r="E153" t="s">
        <v>3893</v>
      </c>
      <c r="F153">
        <v>2017</v>
      </c>
      <c r="G153" t="s">
        <v>3908</v>
      </c>
      <c r="H153">
        <v>553100</v>
      </c>
      <c r="I153">
        <v>0</v>
      </c>
      <c r="J153">
        <v>0</v>
      </c>
      <c r="K153">
        <v>0</v>
      </c>
      <c r="L153">
        <v>50364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 s="8">
        <v>50364</v>
      </c>
      <c r="V153" s="243" t="str">
        <f t="shared" si="20"/>
        <v>553</v>
      </c>
      <c r="W153" s="240">
        <f t="shared" si="21"/>
        <v>0</v>
      </c>
      <c r="X153" s="243">
        <f t="shared" si="22"/>
        <v>0</v>
      </c>
      <c r="Y153" s="255">
        <f>$W153*SUMIF('KU-LGE Rating'!$R:$R,$D153,'KU-LGE Rating'!F:F)</f>
        <v>0</v>
      </c>
      <c r="Z153" s="256">
        <f>$W153*SUMIF('KU-LGE Rating'!$R:$R,$D153,'KU-LGE Rating'!G:G)</f>
        <v>0</v>
      </c>
      <c r="AA153" s="257">
        <f t="shared" si="18"/>
        <v>0</v>
      </c>
      <c r="AB153" s="255">
        <f>$X153*SUMIF('KU-LGE Rating'!$R:$R,$D153,'KU-LGE Rating'!F:F)</f>
        <v>0</v>
      </c>
      <c r="AC153" s="256">
        <f>$X153*SUMIF('KU-LGE Rating'!$R:$R,$D153,'KU-LGE Rating'!G:G)</f>
        <v>0</v>
      </c>
      <c r="AD153" s="257">
        <f t="shared" si="19"/>
        <v>0</v>
      </c>
      <c r="AE153" s="274">
        <f>IF($F153=AE$1,$U153,0)*SUMIF('KU-LGE Rating'!$R:$R,$D153,'KU-LGE Rating'!$F:$F)</f>
        <v>0</v>
      </c>
      <c r="AF153" s="274">
        <f>IF($F153=AE$1,$U153,0)*SUMIF('KU-LGE Rating'!$R:$R,$D153,'KU-LGE Rating'!$G:$G)</f>
        <v>0</v>
      </c>
      <c r="AG153" s="240">
        <f t="shared" si="23"/>
        <v>0</v>
      </c>
      <c r="AH153" s="256">
        <f>IF($F153=AH$1,$U153,0)*SUMIF('KU-LGE Rating'!$R:$R,$D153,'KU-LGE Rating'!$F:$F)</f>
        <v>0</v>
      </c>
      <c r="AI153" s="256">
        <f>IF($F153=AH$1,$U153,0)*SUMIF('KU-LGE Rating'!$R:$R,$D153,'KU-LGE Rating'!$G:$G)</f>
        <v>0</v>
      </c>
      <c r="AJ153" s="240">
        <f t="shared" si="24"/>
        <v>0</v>
      </c>
      <c r="AK153" s="256">
        <f>IF($F153=AK$1,$U153,0)*SUMIF('KU-LGE Rating'!$R:$R,$D153,'KU-LGE Rating'!$F:$F)</f>
        <v>0</v>
      </c>
      <c r="AL153" s="256">
        <f>IF($F153=AK$1,$U153,0)*SUMIF('KU-LGE Rating'!$R:$R,$D153,'KU-LGE Rating'!$G:$G)</f>
        <v>0</v>
      </c>
      <c r="AM153" s="240">
        <f t="shared" si="25"/>
        <v>0</v>
      </c>
      <c r="AN153" s="256">
        <f>IF($F153=AN$1,$U153,0)*SUMIF('KU-LGE Rating'!$R:$R,$D153,'KU-LGE Rating'!$F:$F)</f>
        <v>31225.68</v>
      </c>
      <c r="AO153" s="256">
        <f>IF($F153=AN$1,$U153,0)*SUMIF('KU-LGE Rating'!$R:$R,$D153,'KU-LGE Rating'!$G:$G)</f>
        <v>19138.32</v>
      </c>
      <c r="AP153" s="240">
        <f t="shared" si="26"/>
        <v>50364</v>
      </c>
      <c r="AQ153" s="277"/>
      <c r="AR153" s="277"/>
      <c r="AV153" s="278"/>
      <c r="AW153" s="278"/>
      <c r="AX153" s="278"/>
    </row>
    <row r="154" spans="1:50">
      <c r="A154" s="1" t="s">
        <v>2769</v>
      </c>
      <c r="B154" s="1" t="s">
        <v>3</v>
      </c>
      <c r="C154" t="s">
        <v>3723</v>
      </c>
      <c r="D154" t="s">
        <v>3745</v>
      </c>
      <c r="E154" t="s">
        <v>3893</v>
      </c>
      <c r="F154">
        <v>2014</v>
      </c>
      <c r="G154" t="s">
        <v>3908</v>
      </c>
      <c r="H154">
        <v>553100</v>
      </c>
      <c r="I154">
        <v>0</v>
      </c>
      <c r="J154">
        <v>0</v>
      </c>
      <c r="K154">
        <v>15882.7</v>
      </c>
      <c r="L154">
        <v>62511.46</v>
      </c>
      <c r="M154">
        <v>3431.09</v>
      </c>
      <c r="N154">
        <v>115521.60000000001</v>
      </c>
      <c r="O154">
        <v>0</v>
      </c>
      <c r="P154">
        <v>38259.32</v>
      </c>
      <c r="Q154">
        <v>-235606.17</v>
      </c>
      <c r="R154">
        <v>118000</v>
      </c>
      <c r="S154">
        <v>0</v>
      </c>
      <c r="T154">
        <v>0</v>
      </c>
      <c r="U154" s="8">
        <v>118000</v>
      </c>
      <c r="V154" s="243" t="str">
        <f t="shared" si="20"/>
        <v>553</v>
      </c>
      <c r="W154" s="240">
        <f t="shared" si="21"/>
        <v>118000</v>
      </c>
      <c r="X154" s="243">
        <f t="shared" si="22"/>
        <v>0</v>
      </c>
      <c r="Y154" s="255">
        <f>$W154*SUMIF('KU-LGE Rating'!$R:$R,$D154,'KU-LGE Rating'!F:F)</f>
        <v>73160</v>
      </c>
      <c r="Z154" s="256">
        <f>$W154*SUMIF('KU-LGE Rating'!$R:$R,$D154,'KU-LGE Rating'!G:G)</f>
        <v>44840</v>
      </c>
      <c r="AA154" s="257">
        <f t="shared" si="18"/>
        <v>118000</v>
      </c>
      <c r="AB154" s="255">
        <f>$X154*SUMIF('KU-LGE Rating'!$R:$R,$D154,'KU-LGE Rating'!F:F)</f>
        <v>0</v>
      </c>
      <c r="AC154" s="256">
        <f>$X154*SUMIF('KU-LGE Rating'!$R:$R,$D154,'KU-LGE Rating'!G:G)</f>
        <v>0</v>
      </c>
      <c r="AD154" s="257">
        <f t="shared" si="19"/>
        <v>0</v>
      </c>
      <c r="AE154" s="274">
        <f>IF($F154=AE$1,$U154,0)*SUMIF('KU-LGE Rating'!$R:$R,$D154,'KU-LGE Rating'!$F:$F)</f>
        <v>73160</v>
      </c>
      <c r="AF154" s="274">
        <f>IF($F154=AE$1,$U154,0)*SUMIF('KU-LGE Rating'!$R:$R,$D154,'KU-LGE Rating'!$G:$G)</f>
        <v>44840</v>
      </c>
      <c r="AG154" s="240">
        <f t="shared" si="23"/>
        <v>118000</v>
      </c>
      <c r="AH154" s="256">
        <f>IF($F154=AH$1,$U154,0)*SUMIF('KU-LGE Rating'!$R:$R,$D154,'KU-LGE Rating'!$F:$F)</f>
        <v>0</v>
      </c>
      <c r="AI154" s="256">
        <f>IF($F154=AH$1,$U154,0)*SUMIF('KU-LGE Rating'!$R:$R,$D154,'KU-LGE Rating'!$G:$G)</f>
        <v>0</v>
      </c>
      <c r="AJ154" s="240">
        <f t="shared" si="24"/>
        <v>0</v>
      </c>
      <c r="AK154" s="256">
        <f>IF($F154=AK$1,$U154,0)*SUMIF('KU-LGE Rating'!$R:$R,$D154,'KU-LGE Rating'!$F:$F)</f>
        <v>0</v>
      </c>
      <c r="AL154" s="256">
        <f>IF($F154=AK$1,$U154,0)*SUMIF('KU-LGE Rating'!$R:$R,$D154,'KU-LGE Rating'!$G:$G)</f>
        <v>0</v>
      </c>
      <c r="AM154" s="240">
        <f t="shared" si="25"/>
        <v>0</v>
      </c>
      <c r="AN154" s="256">
        <f>IF($F154=AN$1,$U154,0)*SUMIF('KU-LGE Rating'!$R:$R,$D154,'KU-LGE Rating'!$F:$F)</f>
        <v>0</v>
      </c>
      <c r="AO154" s="256">
        <f>IF($F154=AN$1,$U154,0)*SUMIF('KU-LGE Rating'!$R:$R,$D154,'KU-LGE Rating'!$G:$G)</f>
        <v>0</v>
      </c>
      <c r="AP154" s="240">
        <f t="shared" si="26"/>
        <v>0</v>
      </c>
      <c r="AQ154" s="277"/>
      <c r="AR154" s="277"/>
      <c r="AV154" s="278"/>
      <c r="AW154" s="278"/>
      <c r="AX154" s="278"/>
    </row>
    <row r="155" spans="1:50">
      <c r="A155" s="1" t="s">
        <v>2769</v>
      </c>
      <c r="B155" s="1" t="s">
        <v>3</v>
      </c>
      <c r="C155" t="s">
        <v>3723</v>
      </c>
      <c r="D155" t="s">
        <v>3745</v>
      </c>
      <c r="E155" t="s">
        <v>3893</v>
      </c>
      <c r="F155">
        <v>2015</v>
      </c>
      <c r="G155" t="s">
        <v>3908</v>
      </c>
      <c r="H155">
        <v>553100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48960</v>
      </c>
      <c r="S155">
        <v>0</v>
      </c>
      <c r="T155">
        <v>0</v>
      </c>
      <c r="U155" s="8">
        <v>48960</v>
      </c>
      <c r="V155" s="243" t="str">
        <f t="shared" si="20"/>
        <v>553</v>
      </c>
      <c r="W155" s="240">
        <f t="shared" si="21"/>
        <v>0</v>
      </c>
      <c r="X155" s="243">
        <f t="shared" si="22"/>
        <v>48960</v>
      </c>
      <c r="Y155" s="255">
        <f>$W155*SUMIF('KU-LGE Rating'!$R:$R,$D155,'KU-LGE Rating'!F:F)</f>
        <v>0</v>
      </c>
      <c r="Z155" s="256">
        <f>$W155*SUMIF('KU-LGE Rating'!$R:$R,$D155,'KU-LGE Rating'!G:G)</f>
        <v>0</v>
      </c>
      <c r="AA155" s="257">
        <f t="shared" si="18"/>
        <v>0</v>
      </c>
      <c r="AB155" s="255">
        <f>$X155*SUMIF('KU-LGE Rating'!$R:$R,$D155,'KU-LGE Rating'!F:F)</f>
        <v>30355.200000000001</v>
      </c>
      <c r="AC155" s="256">
        <f>$X155*SUMIF('KU-LGE Rating'!$R:$R,$D155,'KU-LGE Rating'!G:G)</f>
        <v>18604.8</v>
      </c>
      <c r="AD155" s="257">
        <f t="shared" si="19"/>
        <v>48960</v>
      </c>
      <c r="AE155" s="274">
        <f>IF($F155=AE$1,$U155,0)*SUMIF('KU-LGE Rating'!$R:$R,$D155,'KU-LGE Rating'!$F:$F)</f>
        <v>0</v>
      </c>
      <c r="AF155" s="274">
        <f>IF($F155=AE$1,$U155,0)*SUMIF('KU-LGE Rating'!$R:$R,$D155,'KU-LGE Rating'!$G:$G)</f>
        <v>0</v>
      </c>
      <c r="AG155" s="240">
        <f t="shared" si="23"/>
        <v>0</v>
      </c>
      <c r="AH155" s="256">
        <f>IF($F155=AH$1,$U155,0)*SUMIF('KU-LGE Rating'!$R:$R,$D155,'KU-LGE Rating'!$F:$F)</f>
        <v>30355.200000000001</v>
      </c>
      <c r="AI155" s="256">
        <f>IF($F155=AH$1,$U155,0)*SUMIF('KU-LGE Rating'!$R:$R,$D155,'KU-LGE Rating'!$G:$G)</f>
        <v>18604.8</v>
      </c>
      <c r="AJ155" s="240">
        <f t="shared" si="24"/>
        <v>48960</v>
      </c>
      <c r="AK155" s="256">
        <f>IF($F155=AK$1,$U155,0)*SUMIF('KU-LGE Rating'!$R:$R,$D155,'KU-LGE Rating'!$F:$F)</f>
        <v>0</v>
      </c>
      <c r="AL155" s="256">
        <f>IF($F155=AK$1,$U155,0)*SUMIF('KU-LGE Rating'!$R:$R,$D155,'KU-LGE Rating'!$G:$G)</f>
        <v>0</v>
      </c>
      <c r="AM155" s="240">
        <f t="shared" si="25"/>
        <v>0</v>
      </c>
      <c r="AN155" s="256">
        <f>IF($F155=AN$1,$U155,0)*SUMIF('KU-LGE Rating'!$R:$R,$D155,'KU-LGE Rating'!$F:$F)</f>
        <v>0</v>
      </c>
      <c r="AO155" s="256">
        <f>IF($F155=AN$1,$U155,0)*SUMIF('KU-LGE Rating'!$R:$R,$D155,'KU-LGE Rating'!$G:$G)</f>
        <v>0</v>
      </c>
      <c r="AP155" s="240">
        <f t="shared" si="26"/>
        <v>0</v>
      </c>
      <c r="AQ155" s="277"/>
      <c r="AR155" s="277"/>
      <c r="AV155" s="278"/>
      <c r="AW155" s="278"/>
      <c r="AX155" s="278"/>
    </row>
    <row r="156" spans="1:50">
      <c r="A156" s="1" t="s">
        <v>2769</v>
      </c>
      <c r="B156" s="1" t="s">
        <v>3</v>
      </c>
      <c r="C156" t="s">
        <v>3723</v>
      </c>
      <c r="D156" t="s">
        <v>3745</v>
      </c>
      <c r="E156" t="s">
        <v>3893</v>
      </c>
      <c r="F156">
        <v>2016</v>
      </c>
      <c r="G156" t="s">
        <v>3908</v>
      </c>
      <c r="H156">
        <v>553100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24939</v>
      </c>
      <c r="S156">
        <v>0</v>
      </c>
      <c r="T156">
        <v>0</v>
      </c>
      <c r="U156" s="8">
        <v>24939</v>
      </c>
      <c r="V156" s="243" t="str">
        <f t="shared" si="20"/>
        <v>553</v>
      </c>
      <c r="W156" s="240">
        <f t="shared" si="21"/>
        <v>0</v>
      </c>
      <c r="X156" s="243">
        <f t="shared" si="22"/>
        <v>0</v>
      </c>
      <c r="Y156" s="255">
        <f>$W156*SUMIF('KU-LGE Rating'!$R:$R,$D156,'KU-LGE Rating'!F:F)</f>
        <v>0</v>
      </c>
      <c r="Z156" s="256">
        <f>$W156*SUMIF('KU-LGE Rating'!$R:$R,$D156,'KU-LGE Rating'!G:G)</f>
        <v>0</v>
      </c>
      <c r="AA156" s="257">
        <f t="shared" si="18"/>
        <v>0</v>
      </c>
      <c r="AB156" s="255">
        <f>$X156*SUMIF('KU-LGE Rating'!$R:$R,$D156,'KU-LGE Rating'!F:F)</f>
        <v>0</v>
      </c>
      <c r="AC156" s="256">
        <f>$X156*SUMIF('KU-LGE Rating'!$R:$R,$D156,'KU-LGE Rating'!G:G)</f>
        <v>0</v>
      </c>
      <c r="AD156" s="257">
        <f t="shared" si="19"/>
        <v>0</v>
      </c>
      <c r="AE156" s="274">
        <f>IF($F156=AE$1,$U156,0)*SUMIF('KU-LGE Rating'!$R:$R,$D156,'KU-LGE Rating'!$F:$F)</f>
        <v>0</v>
      </c>
      <c r="AF156" s="274">
        <f>IF($F156=AE$1,$U156,0)*SUMIF('KU-LGE Rating'!$R:$R,$D156,'KU-LGE Rating'!$G:$G)</f>
        <v>0</v>
      </c>
      <c r="AG156" s="240">
        <f t="shared" si="23"/>
        <v>0</v>
      </c>
      <c r="AH156" s="256">
        <f>IF($F156=AH$1,$U156,0)*SUMIF('KU-LGE Rating'!$R:$R,$D156,'KU-LGE Rating'!$F:$F)</f>
        <v>0</v>
      </c>
      <c r="AI156" s="256">
        <f>IF($F156=AH$1,$U156,0)*SUMIF('KU-LGE Rating'!$R:$R,$D156,'KU-LGE Rating'!$G:$G)</f>
        <v>0</v>
      </c>
      <c r="AJ156" s="240">
        <f t="shared" si="24"/>
        <v>0</v>
      </c>
      <c r="AK156" s="256">
        <f>IF($F156=AK$1,$U156,0)*SUMIF('KU-LGE Rating'!$R:$R,$D156,'KU-LGE Rating'!$F:$F)</f>
        <v>15462.18</v>
      </c>
      <c r="AL156" s="256">
        <f>IF($F156=AK$1,$U156,0)*SUMIF('KU-LGE Rating'!$R:$R,$D156,'KU-LGE Rating'!$G:$G)</f>
        <v>9476.82</v>
      </c>
      <c r="AM156" s="240">
        <f t="shared" si="25"/>
        <v>24939</v>
      </c>
      <c r="AN156" s="256">
        <f>IF($F156=AN$1,$U156,0)*SUMIF('KU-LGE Rating'!$R:$R,$D156,'KU-LGE Rating'!$F:$F)</f>
        <v>0</v>
      </c>
      <c r="AO156" s="256">
        <f>IF($F156=AN$1,$U156,0)*SUMIF('KU-LGE Rating'!$R:$R,$D156,'KU-LGE Rating'!$G:$G)</f>
        <v>0</v>
      </c>
      <c r="AP156" s="240">
        <f t="shared" si="26"/>
        <v>0</v>
      </c>
      <c r="AQ156" s="277"/>
      <c r="AR156" s="277"/>
      <c r="AV156" s="278"/>
      <c r="AW156" s="278"/>
      <c r="AX156" s="278"/>
    </row>
    <row r="157" spans="1:50">
      <c r="A157" s="1" t="s">
        <v>2769</v>
      </c>
      <c r="B157" s="1" t="s">
        <v>3</v>
      </c>
      <c r="C157" t="s">
        <v>3723</v>
      </c>
      <c r="D157" t="s">
        <v>3745</v>
      </c>
      <c r="E157" t="s">
        <v>3893</v>
      </c>
      <c r="F157">
        <v>2017</v>
      </c>
      <c r="G157" t="s">
        <v>3908</v>
      </c>
      <c r="H157">
        <v>553100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50938</v>
      </c>
      <c r="S157">
        <v>0</v>
      </c>
      <c r="T157">
        <v>0</v>
      </c>
      <c r="U157" s="8">
        <v>50938</v>
      </c>
      <c r="V157" s="243" t="str">
        <f t="shared" si="20"/>
        <v>553</v>
      </c>
      <c r="W157" s="240">
        <f t="shared" si="21"/>
        <v>0</v>
      </c>
      <c r="X157" s="243">
        <f t="shared" si="22"/>
        <v>0</v>
      </c>
      <c r="Y157" s="255">
        <f>$W157*SUMIF('KU-LGE Rating'!$R:$R,$D157,'KU-LGE Rating'!F:F)</f>
        <v>0</v>
      </c>
      <c r="Z157" s="256">
        <f>$W157*SUMIF('KU-LGE Rating'!$R:$R,$D157,'KU-LGE Rating'!G:G)</f>
        <v>0</v>
      </c>
      <c r="AA157" s="257">
        <f t="shared" si="18"/>
        <v>0</v>
      </c>
      <c r="AB157" s="255">
        <f>$X157*SUMIF('KU-LGE Rating'!$R:$R,$D157,'KU-LGE Rating'!F:F)</f>
        <v>0</v>
      </c>
      <c r="AC157" s="256">
        <f>$X157*SUMIF('KU-LGE Rating'!$R:$R,$D157,'KU-LGE Rating'!G:G)</f>
        <v>0</v>
      </c>
      <c r="AD157" s="257">
        <f t="shared" si="19"/>
        <v>0</v>
      </c>
      <c r="AE157" s="274">
        <f>IF($F157=AE$1,$U157,0)*SUMIF('KU-LGE Rating'!$R:$R,$D157,'KU-LGE Rating'!$F:$F)</f>
        <v>0</v>
      </c>
      <c r="AF157" s="274">
        <f>IF($F157=AE$1,$U157,0)*SUMIF('KU-LGE Rating'!$R:$R,$D157,'KU-LGE Rating'!$G:$G)</f>
        <v>0</v>
      </c>
      <c r="AG157" s="240">
        <f t="shared" si="23"/>
        <v>0</v>
      </c>
      <c r="AH157" s="256">
        <f>IF($F157=AH$1,$U157,0)*SUMIF('KU-LGE Rating'!$R:$R,$D157,'KU-LGE Rating'!$F:$F)</f>
        <v>0</v>
      </c>
      <c r="AI157" s="256">
        <f>IF($F157=AH$1,$U157,0)*SUMIF('KU-LGE Rating'!$R:$R,$D157,'KU-LGE Rating'!$G:$G)</f>
        <v>0</v>
      </c>
      <c r="AJ157" s="240">
        <f t="shared" si="24"/>
        <v>0</v>
      </c>
      <c r="AK157" s="256">
        <f>IF($F157=AK$1,$U157,0)*SUMIF('KU-LGE Rating'!$R:$R,$D157,'KU-LGE Rating'!$F:$F)</f>
        <v>0</v>
      </c>
      <c r="AL157" s="256">
        <f>IF($F157=AK$1,$U157,0)*SUMIF('KU-LGE Rating'!$R:$R,$D157,'KU-LGE Rating'!$G:$G)</f>
        <v>0</v>
      </c>
      <c r="AM157" s="240">
        <f t="shared" si="25"/>
        <v>0</v>
      </c>
      <c r="AN157" s="256">
        <f>IF($F157=AN$1,$U157,0)*SUMIF('KU-LGE Rating'!$R:$R,$D157,'KU-LGE Rating'!$F:$F)</f>
        <v>31581.56</v>
      </c>
      <c r="AO157" s="256">
        <f>IF($F157=AN$1,$U157,0)*SUMIF('KU-LGE Rating'!$R:$R,$D157,'KU-LGE Rating'!$G:$G)</f>
        <v>19356.439999999999</v>
      </c>
      <c r="AP157" s="240">
        <f t="shared" si="26"/>
        <v>50938</v>
      </c>
      <c r="AQ157" s="277"/>
      <c r="AR157" s="277"/>
      <c r="AV157" s="278"/>
      <c r="AW157" s="278"/>
      <c r="AX157" s="278"/>
    </row>
    <row r="158" spans="1:50">
      <c r="A158" s="1" t="s">
        <v>2769</v>
      </c>
      <c r="B158" s="1" t="s">
        <v>3</v>
      </c>
      <c r="C158" t="s">
        <v>3723</v>
      </c>
      <c r="D158" t="s">
        <v>3746</v>
      </c>
      <c r="E158" t="s">
        <v>3893</v>
      </c>
      <c r="F158">
        <v>2015</v>
      </c>
      <c r="G158" t="s">
        <v>3908</v>
      </c>
      <c r="H158">
        <v>554100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65000</v>
      </c>
      <c r="R158">
        <v>0</v>
      </c>
      <c r="S158">
        <v>0</v>
      </c>
      <c r="T158">
        <v>0</v>
      </c>
      <c r="U158" s="8">
        <v>65000</v>
      </c>
      <c r="V158" s="243" t="str">
        <f t="shared" si="20"/>
        <v>554</v>
      </c>
      <c r="W158" s="240">
        <f t="shared" si="21"/>
        <v>0</v>
      </c>
      <c r="X158" s="243">
        <f t="shared" si="22"/>
        <v>65000</v>
      </c>
      <c r="Y158" s="255">
        <f>$W158*SUMIF('KU-LGE Rating'!$R:$R,$D158,'KU-LGE Rating'!F:F)</f>
        <v>0</v>
      </c>
      <c r="Z158" s="256">
        <f>$W158*SUMIF('KU-LGE Rating'!$R:$R,$D158,'KU-LGE Rating'!G:G)</f>
        <v>0</v>
      </c>
      <c r="AA158" s="257">
        <f t="shared" si="18"/>
        <v>0</v>
      </c>
      <c r="AB158" s="255">
        <f>$X158*SUMIF('KU-LGE Rating'!$R:$R,$D158,'KU-LGE Rating'!F:F)</f>
        <v>65000</v>
      </c>
      <c r="AC158" s="256">
        <f>$X158*SUMIF('KU-LGE Rating'!$R:$R,$D158,'KU-LGE Rating'!G:G)</f>
        <v>0</v>
      </c>
      <c r="AD158" s="257">
        <f t="shared" si="19"/>
        <v>65000</v>
      </c>
      <c r="AE158" s="274">
        <f>IF($F158=AE$1,$U158,0)*SUMIF('KU-LGE Rating'!$R:$R,$D158,'KU-LGE Rating'!$F:$F)</f>
        <v>0</v>
      </c>
      <c r="AF158" s="274">
        <f>IF($F158=AE$1,$U158,0)*SUMIF('KU-LGE Rating'!$R:$R,$D158,'KU-LGE Rating'!$G:$G)</f>
        <v>0</v>
      </c>
      <c r="AG158" s="240">
        <f t="shared" si="23"/>
        <v>0</v>
      </c>
      <c r="AH158" s="256">
        <f>IF($F158=AH$1,$U158,0)*SUMIF('KU-LGE Rating'!$R:$R,$D158,'KU-LGE Rating'!$F:$F)</f>
        <v>65000</v>
      </c>
      <c r="AI158" s="256">
        <f>IF($F158=AH$1,$U158,0)*SUMIF('KU-LGE Rating'!$R:$R,$D158,'KU-LGE Rating'!$G:$G)</f>
        <v>0</v>
      </c>
      <c r="AJ158" s="240">
        <f t="shared" si="24"/>
        <v>65000</v>
      </c>
      <c r="AK158" s="256">
        <f>IF($F158=AK$1,$U158,0)*SUMIF('KU-LGE Rating'!$R:$R,$D158,'KU-LGE Rating'!$F:$F)</f>
        <v>0</v>
      </c>
      <c r="AL158" s="256">
        <f>IF($F158=AK$1,$U158,0)*SUMIF('KU-LGE Rating'!$R:$R,$D158,'KU-LGE Rating'!$G:$G)</f>
        <v>0</v>
      </c>
      <c r="AM158" s="240">
        <f t="shared" si="25"/>
        <v>0</v>
      </c>
      <c r="AN158" s="256">
        <f>IF($F158=AN$1,$U158,0)*SUMIF('KU-LGE Rating'!$R:$R,$D158,'KU-LGE Rating'!$F:$F)</f>
        <v>0</v>
      </c>
      <c r="AO158" s="256">
        <f>IF($F158=AN$1,$U158,0)*SUMIF('KU-LGE Rating'!$R:$R,$D158,'KU-LGE Rating'!$G:$G)</f>
        <v>0</v>
      </c>
      <c r="AP158" s="240">
        <f t="shared" si="26"/>
        <v>0</v>
      </c>
      <c r="AQ158" s="277"/>
      <c r="AR158" s="277"/>
      <c r="AV158" s="278"/>
      <c r="AW158" s="278"/>
      <c r="AX158" s="278"/>
    </row>
    <row r="159" spans="1:50">
      <c r="A159" s="1" t="s">
        <v>2769</v>
      </c>
      <c r="B159" s="1" t="s">
        <v>3</v>
      </c>
      <c r="C159" t="s">
        <v>3723</v>
      </c>
      <c r="D159" t="s">
        <v>3746</v>
      </c>
      <c r="E159" t="s">
        <v>3893</v>
      </c>
      <c r="F159">
        <v>2016</v>
      </c>
      <c r="G159" t="s">
        <v>3908</v>
      </c>
      <c r="H159">
        <v>554100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65000</v>
      </c>
      <c r="R159">
        <v>0</v>
      </c>
      <c r="S159">
        <v>0</v>
      </c>
      <c r="T159">
        <v>0</v>
      </c>
      <c r="U159" s="8">
        <v>65000</v>
      </c>
      <c r="V159" s="243" t="str">
        <f t="shared" si="20"/>
        <v>554</v>
      </c>
      <c r="W159" s="240">
        <f t="shared" si="21"/>
        <v>0</v>
      </c>
      <c r="X159" s="243">
        <f t="shared" si="22"/>
        <v>0</v>
      </c>
      <c r="Y159" s="255">
        <f>$W159*SUMIF('KU-LGE Rating'!$R:$R,$D159,'KU-LGE Rating'!F:F)</f>
        <v>0</v>
      </c>
      <c r="Z159" s="256">
        <f>$W159*SUMIF('KU-LGE Rating'!$R:$R,$D159,'KU-LGE Rating'!G:G)</f>
        <v>0</v>
      </c>
      <c r="AA159" s="257">
        <f t="shared" si="18"/>
        <v>0</v>
      </c>
      <c r="AB159" s="255">
        <f>$X159*SUMIF('KU-LGE Rating'!$R:$R,$D159,'KU-LGE Rating'!F:F)</f>
        <v>0</v>
      </c>
      <c r="AC159" s="256">
        <f>$X159*SUMIF('KU-LGE Rating'!$R:$R,$D159,'KU-LGE Rating'!G:G)</f>
        <v>0</v>
      </c>
      <c r="AD159" s="257">
        <f t="shared" si="19"/>
        <v>0</v>
      </c>
      <c r="AE159" s="274">
        <f>IF($F159=AE$1,$U159,0)*SUMIF('KU-LGE Rating'!$R:$R,$D159,'KU-LGE Rating'!$F:$F)</f>
        <v>0</v>
      </c>
      <c r="AF159" s="274">
        <f>IF($F159=AE$1,$U159,0)*SUMIF('KU-LGE Rating'!$R:$R,$D159,'KU-LGE Rating'!$G:$G)</f>
        <v>0</v>
      </c>
      <c r="AG159" s="240">
        <f t="shared" si="23"/>
        <v>0</v>
      </c>
      <c r="AH159" s="256">
        <f>IF($F159=AH$1,$U159,0)*SUMIF('KU-LGE Rating'!$R:$R,$D159,'KU-LGE Rating'!$F:$F)</f>
        <v>0</v>
      </c>
      <c r="AI159" s="256">
        <f>IF($F159=AH$1,$U159,0)*SUMIF('KU-LGE Rating'!$R:$R,$D159,'KU-LGE Rating'!$G:$G)</f>
        <v>0</v>
      </c>
      <c r="AJ159" s="240">
        <f t="shared" si="24"/>
        <v>0</v>
      </c>
      <c r="AK159" s="256">
        <f>IF($F159=AK$1,$U159,0)*SUMIF('KU-LGE Rating'!$R:$R,$D159,'KU-LGE Rating'!$F:$F)</f>
        <v>65000</v>
      </c>
      <c r="AL159" s="256">
        <f>IF($F159=AK$1,$U159,0)*SUMIF('KU-LGE Rating'!$R:$R,$D159,'KU-LGE Rating'!$G:$G)</f>
        <v>0</v>
      </c>
      <c r="AM159" s="240">
        <f t="shared" si="25"/>
        <v>65000</v>
      </c>
      <c r="AN159" s="256">
        <f>IF($F159=AN$1,$U159,0)*SUMIF('KU-LGE Rating'!$R:$R,$D159,'KU-LGE Rating'!$F:$F)</f>
        <v>0</v>
      </c>
      <c r="AO159" s="256">
        <f>IF($F159=AN$1,$U159,0)*SUMIF('KU-LGE Rating'!$R:$R,$D159,'KU-LGE Rating'!$G:$G)</f>
        <v>0</v>
      </c>
      <c r="AP159" s="240">
        <f t="shared" si="26"/>
        <v>0</v>
      </c>
      <c r="AQ159" s="277"/>
      <c r="AR159" s="277"/>
      <c r="AV159" s="278"/>
      <c r="AW159" s="278"/>
      <c r="AX159" s="278"/>
    </row>
    <row r="160" spans="1:50">
      <c r="A160" s="1" t="s">
        <v>2769</v>
      </c>
      <c r="B160" s="1" t="s">
        <v>3</v>
      </c>
      <c r="C160" t="s">
        <v>3723</v>
      </c>
      <c r="D160" t="s">
        <v>3746</v>
      </c>
      <c r="E160" t="s">
        <v>3893</v>
      </c>
      <c r="F160">
        <v>2017</v>
      </c>
      <c r="G160" t="s">
        <v>3908</v>
      </c>
      <c r="H160">
        <v>554100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65000</v>
      </c>
      <c r="R160">
        <v>0</v>
      </c>
      <c r="S160">
        <v>0</v>
      </c>
      <c r="T160">
        <v>0</v>
      </c>
      <c r="U160" s="8">
        <v>65000</v>
      </c>
      <c r="V160" s="243" t="str">
        <f t="shared" si="20"/>
        <v>554</v>
      </c>
      <c r="W160" s="240">
        <f t="shared" si="21"/>
        <v>0</v>
      </c>
      <c r="X160" s="243">
        <f t="shared" si="22"/>
        <v>0</v>
      </c>
      <c r="Y160" s="255">
        <f>$W160*SUMIF('KU-LGE Rating'!$R:$R,$D160,'KU-LGE Rating'!F:F)</f>
        <v>0</v>
      </c>
      <c r="Z160" s="256">
        <f>$W160*SUMIF('KU-LGE Rating'!$R:$R,$D160,'KU-LGE Rating'!G:G)</f>
        <v>0</v>
      </c>
      <c r="AA160" s="257">
        <f t="shared" si="18"/>
        <v>0</v>
      </c>
      <c r="AB160" s="255">
        <f>$X160*SUMIF('KU-LGE Rating'!$R:$R,$D160,'KU-LGE Rating'!F:F)</f>
        <v>0</v>
      </c>
      <c r="AC160" s="256">
        <f>$X160*SUMIF('KU-LGE Rating'!$R:$R,$D160,'KU-LGE Rating'!G:G)</f>
        <v>0</v>
      </c>
      <c r="AD160" s="257">
        <f t="shared" si="19"/>
        <v>0</v>
      </c>
      <c r="AE160" s="274">
        <f>IF($F160=AE$1,$U160,0)*SUMIF('KU-LGE Rating'!$R:$R,$D160,'KU-LGE Rating'!$F:$F)</f>
        <v>0</v>
      </c>
      <c r="AF160" s="274">
        <f>IF($F160=AE$1,$U160,0)*SUMIF('KU-LGE Rating'!$R:$R,$D160,'KU-LGE Rating'!$G:$G)</f>
        <v>0</v>
      </c>
      <c r="AG160" s="240">
        <f t="shared" si="23"/>
        <v>0</v>
      </c>
      <c r="AH160" s="256">
        <f>IF($F160=AH$1,$U160,0)*SUMIF('KU-LGE Rating'!$R:$R,$D160,'KU-LGE Rating'!$F:$F)</f>
        <v>0</v>
      </c>
      <c r="AI160" s="256">
        <f>IF($F160=AH$1,$U160,0)*SUMIF('KU-LGE Rating'!$R:$R,$D160,'KU-LGE Rating'!$G:$G)</f>
        <v>0</v>
      </c>
      <c r="AJ160" s="240">
        <f t="shared" si="24"/>
        <v>0</v>
      </c>
      <c r="AK160" s="256">
        <f>IF($F160=AK$1,$U160,0)*SUMIF('KU-LGE Rating'!$R:$R,$D160,'KU-LGE Rating'!$F:$F)</f>
        <v>0</v>
      </c>
      <c r="AL160" s="256">
        <f>IF($F160=AK$1,$U160,0)*SUMIF('KU-LGE Rating'!$R:$R,$D160,'KU-LGE Rating'!$G:$G)</f>
        <v>0</v>
      </c>
      <c r="AM160" s="240">
        <f t="shared" si="25"/>
        <v>0</v>
      </c>
      <c r="AN160" s="256">
        <f>IF($F160=AN$1,$U160,0)*SUMIF('KU-LGE Rating'!$R:$R,$D160,'KU-LGE Rating'!$F:$F)</f>
        <v>65000</v>
      </c>
      <c r="AO160" s="256">
        <f>IF($F160=AN$1,$U160,0)*SUMIF('KU-LGE Rating'!$R:$R,$D160,'KU-LGE Rating'!$G:$G)</f>
        <v>0</v>
      </c>
      <c r="AP160" s="240">
        <f t="shared" si="26"/>
        <v>65000</v>
      </c>
      <c r="AQ160" s="277"/>
      <c r="AR160" s="277"/>
      <c r="AV160" s="278"/>
      <c r="AW160" s="278"/>
      <c r="AX160" s="278"/>
    </row>
    <row r="161" spans="1:50">
      <c r="A161" s="1" t="s">
        <v>2769</v>
      </c>
      <c r="B161" s="1" t="s">
        <v>3</v>
      </c>
      <c r="C161" t="s">
        <v>3723</v>
      </c>
      <c r="D161" t="s">
        <v>3747</v>
      </c>
      <c r="E161" t="s">
        <v>3893</v>
      </c>
      <c r="F161">
        <v>2014</v>
      </c>
      <c r="G161" t="s">
        <v>3908</v>
      </c>
      <c r="H161">
        <v>553100</v>
      </c>
      <c r="I161">
        <v>0</v>
      </c>
      <c r="J161">
        <v>1048.8399999999999</v>
      </c>
      <c r="K161">
        <v>-1000</v>
      </c>
      <c r="L161">
        <v>939.99</v>
      </c>
      <c r="M161">
        <v>0</v>
      </c>
      <c r="N161">
        <v>0</v>
      </c>
      <c r="O161">
        <v>0</v>
      </c>
      <c r="P161">
        <v>0</v>
      </c>
      <c r="Q161">
        <v>207601.17</v>
      </c>
      <c r="R161">
        <v>-110232.63</v>
      </c>
      <c r="S161">
        <v>-17988.669999999998</v>
      </c>
      <c r="T161">
        <v>0</v>
      </c>
      <c r="U161" s="8">
        <v>80368.7</v>
      </c>
      <c r="V161" s="243" t="str">
        <f t="shared" si="20"/>
        <v>553</v>
      </c>
      <c r="W161" s="240">
        <f t="shared" si="21"/>
        <v>79319.86</v>
      </c>
      <c r="X161" s="243">
        <f t="shared" si="22"/>
        <v>0</v>
      </c>
      <c r="Y161" s="255">
        <f>$W161*SUMIF('KU-LGE Rating'!$R:$R,$D161,'KU-LGE Rating'!F:F)</f>
        <v>79319.86</v>
      </c>
      <c r="Z161" s="256">
        <f>$W161*SUMIF('KU-LGE Rating'!$R:$R,$D161,'KU-LGE Rating'!G:G)</f>
        <v>0</v>
      </c>
      <c r="AA161" s="257">
        <f t="shared" si="18"/>
        <v>79319.86</v>
      </c>
      <c r="AB161" s="255">
        <f>$X161*SUMIF('KU-LGE Rating'!$R:$R,$D161,'KU-LGE Rating'!F:F)</f>
        <v>0</v>
      </c>
      <c r="AC161" s="256">
        <f>$X161*SUMIF('KU-LGE Rating'!$R:$R,$D161,'KU-LGE Rating'!G:G)</f>
        <v>0</v>
      </c>
      <c r="AD161" s="257">
        <f t="shared" si="19"/>
        <v>0</v>
      </c>
      <c r="AE161" s="274">
        <f>IF($F161=AE$1,$U161,0)*SUMIF('KU-LGE Rating'!$R:$R,$D161,'KU-LGE Rating'!$F:$F)</f>
        <v>80368.7</v>
      </c>
      <c r="AF161" s="274">
        <f>IF($F161=AE$1,$U161,0)*SUMIF('KU-LGE Rating'!$R:$R,$D161,'KU-LGE Rating'!$G:$G)</f>
        <v>0</v>
      </c>
      <c r="AG161" s="240">
        <f t="shared" si="23"/>
        <v>80368.7</v>
      </c>
      <c r="AH161" s="256">
        <f>IF($F161=AH$1,$U161,0)*SUMIF('KU-LGE Rating'!$R:$R,$D161,'KU-LGE Rating'!$F:$F)</f>
        <v>0</v>
      </c>
      <c r="AI161" s="256">
        <f>IF($F161=AH$1,$U161,0)*SUMIF('KU-LGE Rating'!$R:$R,$D161,'KU-LGE Rating'!$G:$G)</f>
        <v>0</v>
      </c>
      <c r="AJ161" s="240">
        <f t="shared" si="24"/>
        <v>0</v>
      </c>
      <c r="AK161" s="256">
        <f>IF($F161=AK$1,$U161,0)*SUMIF('KU-LGE Rating'!$R:$R,$D161,'KU-LGE Rating'!$F:$F)</f>
        <v>0</v>
      </c>
      <c r="AL161" s="256">
        <f>IF($F161=AK$1,$U161,0)*SUMIF('KU-LGE Rating'!$R:$R,$D161,'KU-LGE Rating'!$G:$G)</f>
        <v>0</v>
      </c>
      <c r="AM161" s="240">
        <f t="shared" si="25"/>
        <v>0</v>
      </c>
      <c r="AN161" s="256">
        <f>IF($F161=AN$1,$U161,0)*SUMIF('KU-LGE Rating'!$R:$R,$D161,'KU-LGE Rating'!$F:$F)</f>
        <v>0</v>
      </c>
      <c r="AO161" s="256">
        <f>IF($F161=AN$1,$U161,0)*SUMIF('KU-LGE Rating'!$R:$R,$D161,'KU-LGE Rating'!$G:$G)</f>
        <v>0</v>
      </c>
      <c r="AP161" s="240">
        <f t="shared" si="26"/>
        <v>0</v>
      </c>
      <c r="AQ161" s="277"/>
      <c r="AR161" s="277"/>
      <c r="AV161" s="278"/>
      <c r="AW161" s="278"/>
      <c r="AX161" s="278"/>
    </row>
    <row r="162" spans="1:50">
      <c r="A162" s="1" t="s">
        <v>2769</v>
      </c>
      <c r="B162" s="1" t="s">
        <v>3</v>
      </c>
      <c r="C162" t="s">
        <v>3723</v>
      </c>
      <c r="D162" t="s">
        <v>3747</v>
      </c>
      <c r="E162" t="s">
        <v>3893</v>
      </c>
      <c r="F162">
        <v>2014</v>
      </c>
      <c r="G162" t="s">
        <v>3908</v>
      </c>
      <c r="H162">
        <v>554100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17500</v>
      </c>
      <c r="R162">
        <v>232.63</v>
      </c>
      <c r="S162">
        <v>988.67</v>
      </c>
      <c r="T162">
        <v>0</v>
      </c>
      <c r="U162" s="8">
        <v>18721.3</v>
      </c>
      <c r="V162" s="243" t="str">
        <f t="shared" si="20"/>
        <v>554</v>
      </c>
      <c r="W162" s="240">
        <f t="shared" si="21"/>
        <v>18721.3</v>
      </c>
      <c r="X162" s="243">
        <f t="shared" si="22"/>
        <v>0</v>
      </c>
      <c r="Y162" s="255">
        <f>$W162*SUMIF('KU-LGE Rating'!$R:$R,$D162,'KU-LGE Rating'!F:F)</f>
        <v>18721.3</v>
      </c>
      <c r="Z162" s="256">
        <f>$W162*SUMIF('KU-LGE Rating'!$R:$R,$D162,'KU-LGE Rating'!G:G)</f>
        <v>0</v>
      </c>
      <c r="AA162" s="257">
        <f t="shared" si="18"/>
        <v>18721.3</v>
      </c>
      <c r="AB162" s="255">
        <f>$X162*SUMIF('KU-LGE Rating'!$R:$R,$D162,'KU-LGE Rating'!F:F)</f>
        <v>0</v>
      </c>
      <c r="AC162" s="256">
        <f>$X162*SUMIF('KU-LGE Rating'!$R:$R,$D162,'KU-LGE Rating'!G:G)</f>
        <v>0</v>
      </c>
      <c r="AD162" s="257">
        <f t="shared" si="19"/>
        <v>0</v>
      </c>
      <c r="AE162" s="274">
        <f>IF($F162=AE$1,$U162,0)*SUMIF('KU-LGE Rating'!$R:$R,$D162,'KU-LGE Rating'!$F:$F)</f>
        <v>18721.3</v>
      </c>
      <c r="AF162" s="274">
        <f>IF($F162=AE$1,$U162,0)*SUMIF('KU-LGE Rating'!$R:$R,$D162,'KU-LGE Rating'!$G:$G)</f>
        <v>0</v>
      </c>
      <c r="AG162" s="240">
        <f t="shared" si="23"/>
        <v>18721.3</v>
      </c>
      <c r="AH162" s="256">
        <f>IF($F162=AH$1,$U162,0)*SUMIF('KU-LGE Rating'!$R:$R,$D162,'KU-LGE Rating'!$F:$F)</f>
        <v>0</v>
      </c>
      <c r="AI162" s="256">
        <f>IF($F162=AH$1,$U162,0)*SUMIF('KU-LGE Rating'!$R:$R,$D162,'KU-LGE Rating'!$G:$G)</f>
        <v>0</v>
      </c>
      <c r="AJ162" s="240">
        <f t="shared" si="24"/>
        <v>0</v>
      </c>
      <c r="AK162" s="256">
        <f>IF($F162=AK$1,$U162,0)*SUMIF('KU-LGE Rating'!$R:$R,$D162,'KU-LGE Rating'!$F:$F)</f>
        <v>0</v>
      </c>
      <c r="AL162" s="256">
        <f>IF($F162=AK$1,$U162,0)*SUMIF('KU-LGE Rating'!$R:$R,$D162,'KU-LGE Rating'!$G:$G)</f>
        <v>0</v>
      </c>
      <c r="AM162" s="240">
        <f t="shared" si="25"/>
        <v>0</v>
      </c>
      <c r="AN162" s="256">
        <f>IF($F162=AN$1,$U162,0)*SUMIF('KU-LGE Rating'!$R:$R,$D162,'KU-LGE Rating'!$F:$F)</f>
        <v>0</v>
      </c>
      <c r="AO162" s="256">
        <f>IF($F162=AN$1,$U162,0)*SUMIF('KU-LGE Rating'!$R:$R,$D162,'KU-LGE Rating'!$G:$G)</f>
        <v>0</v>
      </c>
      <c r="AP162" s="240">
        <f t="shared" si="26"/>
        <v>0</v>
      </c>
      <c r="AQ162" s="277"/>
      <c r="AR162" s="277"/>
      <c r="AV162" s="278"/>
      <c r="AW162" s="278"/>
      <c r="AX162" s="278"/>
    </row>
    <row r="163" spans="1:50">
      <c r="A163" s="1" t="s">
        <v>2769</v>
      </c>
      <c r="B163" s="1" t="s">
        <v>3</v>
      </c>
      <c r="C163" t="s">
        <v>3723</v>
      </c>
      <c r="D163" t="s">
        <v>3747</v>
      </c>
      <c r="E163" t="s">
        <v>3893</v>
      </c>
      <c r="F163">
        <v>2015</v>
      </c>
      <c r="G163" t="s">
        <v>3908</v>
      </c>
      <c r="H163">
        <v>551100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57000</v>
      </c>
      <c r="S163">
        <v>0</v>
      </c>
      <c r="T163">
        <v>0</v>
      </c>
      <c r="U163" s="8">
        <v>57000</v>
      </c>
      <c r="V163" s="243" t="str">
        <f t="shared" si="20"/>
        <v>551</v>
      </c>
      <c r="W163" s="240">
        <f t="shared" si="21"/>
        <v>0</v>
      </c>
      <c r="X163" s="243">
        <f t="shared" si="22"/>
        <v>57000</v>
      </c>
      <c r="Y163" s="255">
        <f>$W163*SUMIF('KU-LGE Rating'!$R:$R,$D163,'KU-LGE Rating'!F:F)</f>
        <v>0</v>
      </c>
      <c r="Z163" s="256">
        <f>$W163*SUMIF('KU-LGE Rating'!$R:$R,$D163,'KU-LGE Rating'!G:G)</f>
        <v>0</v>
      </c>
      <c r="AA163" s="257">
        <f t="shared" si="18"/>
        <v>0</v>
      </c>
      <c r="AB163" s="255">
        <f>$X163*SUMIF('KU-LGE Rating'!$R:$R,$D163,'KU-LGE Rating'!F:F)</f>
        <v>57000</v>
      </c>
      <c r="AC163" s="256">
        <f>$X163*SUMIF('KU-LGE Rating'!$R:$R,$D163,'KU-LGE Rating'!G:G)</f>
        <v>0</v>
      </c>
      <c r="AD163" s="257">
        <f t="shared" si="19"/>
        <v>57000</v>
      </c>
      <c r="AE163" s="274">
        <f>IF($F163=AE$1,$U163,0)*SUMIF('KU-LGE Rating'!$R:$R,$D163,'KU-LGE Rating'!$F:$F)</f>
        <v>0</v>
      </c>
      <c r="AF163" s="274">
        <f>IF($F163=AE$1,$U163,0)*SUMIF('KU-LGE Rating'!$R:$R,$D163,'KU-LGE Rating'!$G:$G)</f>
        <v>0</v>
      </c>
      <c r="AG163" s="240">
        <f t="shared" si="23"/>
        <v>0</v>
      </c>
      <c r="AH163" s="256">
        <f>IF($F163=AH$1,$U163,0)*SUMIF('KU-LGE Rating'!$R:$R,$D163,'KU-LGE Rating'!$F:$F)</f>
        <v>57000</v>
      </c>
      <c r="AI163" s="256">
        <f>IF($F163=AH$1,$U163,0)*SUMIF('KU-LGE Rating'!$R:$R,$D163,'KU-LGE Rating'!$G:$G)</f>
        <v>0</v>
      </c>
      <c r="AJ163" s="240">
        <f t="shared" si="24"/>
        <v>57000</v>
      </c>
      <c r="AK163" s="256">
        <f>IF($F163=AK$1,$U163,0)*SUMIF('KU-LGE Rating'!$R:$R,$D163,'KU-LGE Rating'!$F:$F)</f>
        <v>0</v>
      </c>
      <c r="AL163" s="256">
        <f>IF($F163=AK$1,$U163,0)*SUMIF('KU-LGE Rating'!$R:$R,$D163,'KU-LGE Rating'!$G:$G)</f>
        <v>0</v>
      </c>
      <c r="AM163" s="240">
        <f t="shared" si="25"/>
        <v>0</v>
      </c>
      <c r="AN163" s="256">
        <f>IF($F163=AN$1,$U163,0)*SUMIF('KU-LGE Rating'!$R:$R,$D163,'KU-LGE Rating'!$F:$F)</f>
        <v>0</v>
      </c>
      <c r="AO163" s="256">
        <f>IF($F163=AN$1,$U163,0)*SUMIF('KU-LGE Rating'!$R:$R,$D163,'KU-LGE Rating'!$G:$G)</f>
        <v>0</v>
      </c>
      <c r="AP163" s="240">
        <f t="shared" si="26"/>
        <v>0</v>
      </c>
      <c r="AQ163" s="277"/>
      <c r="AR163" s="277"/>
      <c r="AV163" s="278"/>
      <c r="AW163" s="278"/>
      <c r="AX163" s="278"/>
    </row>
    <row r="164" spans="1:50">
      <c r="A164" s="1" t="s">
        <v>2769</v>
      </c>
      <c r="B164" s="1" t="s">
        <v>3</v>
      </c>
      <c r="C164" t="s">
        <v>3723</v>
      </c>
      <c r="D164" t="s">
        <v>3727</v>
      </c>
      <c r="E164" t="s">
        <v>3893</v>
      </c>
      <c r="F164">
        <v>2014</v>
      </c>
      <c r="G164" t="s">
        <v>3908</v>
      </c>
      <c r="H164">
        <v>511100</v>
      </c>
      <c r="I164">
        <v>0</v>
      </c>
      <c r="J164">
        <v>0</v>
      </c>
      <c r="K164">
        <v>317.49</v>
      </c>
      <c r="L164">
        <v>11250.62</v>
      </c>
      <c r="M164">
        <v>1996.49</v>
      </c>
      <c r="N164">
        <v>1816.24</v>
      </c>
      <c r="O164">
        <v>0</v>
      </c>
      <c r="P164">
        <v>0</v>
      </c>
      <c r="Q164">
        <v>-15380.84</v>
      </c>
      <c r="R164">
        <v>0</v>
      </c>
      <c r="S164">
        <v>0</v>
      </c>
      <c r="T164">
        <v>0</v>
      </c>
      <c r="U164" s="8">
        <v>0</v>
      </c>
      <c r="V164" s="243" t="str">
        <f t="shared" si="20"/>
        <v>511</v>
      </c>
      <c r="W164" s="240">
        <f t="shared" si="21"/>
        <v>0</v>
      </c>
      <c r="X164" s="243">
        <f t="shared" si="22"/>
        <v>0</v>
      </c>
      <c r="Y164" s="255">
        <f>$W164*SUMIF('KU-LGE Rating'!$R:$R,$D164,'KU-LGE Rating'!F:F)</f>
        <v>0</v>
      </c>
      <c r="Z164" s="256">
        <f>$W164*SUMIF('KU-LGE Rating'!$R:$R,$D164,'KU-LGE Rating'!G:G)</f>
        <v>0</v>
      </c>
      <c r="AA164" s="257">
        <f t="shared" si="18"/>
        <v>0</v>
      </c>
      <c r="AB164" s="255">
        <f>$X164*SUMIF('KU-LGE Rating'!$R:$R,$D164,'KU-LGE Rating'!F:F)</f>
        <v>0</v>
      </c>
      <c r="AC164" s="256">
        <f>$X164*SUMIF('KU-LGE Rating'!$R:$R,$D164,'KU-LGE Rating'!G:G)</f>
        <v>0</v>
      </c>
      <c r="AD164" s="257">
        <f t="shared" si="19"/>
        <v>0</v>
      </c>
      <c r="AE164" s="274">
        <f>IF($F164=AE$1,$U164,0)*SUMIF('KU-LGE Rating'!$R:$R,$D164,'KU-LGE Rating'!$F:$F)</f>
        <v>0</v>
      </c>
      <c r="AF164" s="274">
        <f>IF($F164=AE$1,$U164,0)*SUMIF('KU-LGE Rating'!$R:$R,$D164,'KU-LGE Rating'!$G:$G)</f>
        <v>0</v>
      </c>
      <c r="AG164" s="240">
        <f t="shared" si="23"/>
        <v>0</v>
      </c>
      <c r="AH164" s="256">
        <f>IF($F164=AH$1,$U164,0)*SUMIF('KU-LGE Rating'!$R:$R,$D164,'KU-LGE Rating'!$F:$F)</f>
        <v>0</v>
      </c>
      <c r="AI164" s="256">
        <f>IF($F164=AH$1,$U164,0)*SUMIF('KU-LGE Rating'!$R:$R,$D164,'KU-LGE Rating'!$G:$G)</f>
        <v>0</v>
      </c>
      <c r="AJ164" s="240">
        <f t="shared" si="24"/>
        <v>0</v>
      </c>
      <c r="AK164" s="256">
        <f>IF($F164=AK$1,$U164,0)*SUMIF('KU-LGE Rating'!$R:$R,$D164,'KU-LGE Rating'!$F:$F)</f>
        <v>0</v>
      </c>
      <c r="AL164" s="256">
        <f>IF($F164=AK$1,$U164,0)*SUMIF('KU-LGE Rating'!$R:$R,$D164,'KU-LGE Rating'!$G:$G)</f>
        <v>0</v>
      </c>
      <c r="AM164" s="240">
        <f t="shared" si="25"/>
        <v>0</v>
      </c>
      <c r="AN164" s="256">
        <f>IF($F164=AN$1,$U164,0)*SUMIF('KU-LGE Rating'!$R:$R,$D164,'KU-LGE Rating'!$F:$F)</f>
        <v>0</v>
      </c>
      <c r="AO164" s="256">
        <f>IF($F164=AN$1,$U164,0)*SUMIF('KU-LGE Rating'!$R:$R,$D164,'KU-LGE Rating'!$G:$G)</f>
        <v>0</v>
      </c>
      <c r="AP164" s="240">
        <f t="shared" si="26"/>
        <v>0</v>
      </c>
      <c r="AQ164" s="277"/>
      <c r="AR164" s="277"/>
      <c r="AV164" s="278"/>
      <c r="AW164" s="278"/>
      <c r="AX164" s="278"/>
    </row>
    <row r="165" spans="1:50">
      <c r="A165" s="1" t="s">
        <v>2769</v>
      </c>
      <c r="B165" s="1" t="s">
        <v>3</v>
      </c>
      <c r="C165" t="s">
        <v>3723</v>
      </c>
      <c r="D165" t="s">
        <v>3727</v>
      </c>
      <c r="E165" t="s">
        <v>3893</v>
      </c>
      <c r="F165">
        <v>2014</v>
      </c>
      <c r="G165" t="s">
        <v>3908</v>
      </c>
      <c r="H165">
        <v>512011</v>
      </c>
      <c r="I165">
        <v>0</v>
      </c>
      <c r="J165">
        <v>0</v>
      </c>
      <c r="K165">
        <v>22394</v>
      </c>
      <c r="L165">
        <v>-224.05</v>
      </c>
      <c r="M165">
        <v>15104.39</v>
      </c>
      <c r="N165">
        <v>0</v>
      </c>
      <c r="O165">
        <v>2100</v>
      </c>
      <c r="P165">
        <v>0</v>
      </c>
      <c r="Q165">
        <v>-39374.339999999997</v>
      </c>
      <c r="R165">
        <v>0</v>
      </c>
      <c r="S165">
        <v>0</v>
      </c>
      <c r="T165">
        <v>0</v>
      </c>
      <c r="U165" s="8">
        <v>0</v>
      </c>
      <c r="V165" s="243" t="str">
        <f t="shared" si="20"/>
        <v>512</v>
      </c>
      <c r="W165" s="240">
        <f t="shared" si="21"/>
        <v>0</v>
      </c>
      <c r="X165" s="243">
        <f t="shared" si="22"/>
        <v>0</v>
      </c>
      <c r="Y165" s="255">
        <f>$W165*SUMIF('KU-LGE Rating'!$R:$R,$D165,'KU-LGE Rating'!F:F)</f>
        <v>0</v>
      </c>
      <c r="Z165" s="256">
        <f>$W165*SUMIF('KU-LGE Rating'!$R:$R,$D165,'KU-LGE Rating'!G:G)</f>
        <v>0</v>
      </c>
      <c r="AA165" s="257">
        <f t="shared" si="18"/>
        <v>0</v>
      </c>
      <c r="AB165" s="255">
        <f>$X165*SUMIF('KU-LGE Rating'!$R:$R,$D165,'KU-LGE Rating'!F:F)</f>
        <v>0</v>
      </c>
      <c r="AC165" s="256">
        <f>$X165*SUMIF('KU-LGE Rating'!$R:$R,$D165,'KU-LGE Rating'!G:G)</f>
        <v>0</v>
      </c>
      <c r="AD165" s="257">
        <f t="shared" si="19"/>
        <v>0</v>
      </c>
      <c r="AE165" s="274">
        <f>IF($F165=AE$1,$U165,0)*SUMIF('KU-LGE Rating'!$R:$R,$D165,'KU-LGE Rating'!$F:$F)</f>
        <v>0</v>
      </c>
      <c r="AF165" s="274">
        <f>IF($F165=AE$1,$U165,0)*SUMIF('KU-LGE Rating'!$R:$R,$D165,'KU-LGE Rating'!$G:$G)</f>
        <v>0</v>
      </c>
      <c r="AG165" s="240">
        <f t="shared" si="23"/>
        <v>0</v>
      </c>
      <c r="AH165" s="256">
        <f>IF($F165=AH$1,$U165,0)*SUMIF('KU-LGE Rating'!$R:$R,$D165,'KU-LGE Rating'!$F:$F)</f>
        <v>0</v>
      </c>
      <c r="AI165" s="256">
        <f>IF($F165=AH$1,$U165,0)*SUMIF('KU-LGE Rating'!$R:$R,$D165,'KU-LGE Rating'!$G:$G)</f>
        <v>0</v>
      </c>
      <c r="AJ165" s="240">
        <f t="shared" si="24"/>
        <v>0</v>
      </c>
      <c r="AK165" s="256">
        <f>IF($F165=AK$1,$U165,0)*SUMIF('KU-LGE Rating'!$R:$R,$D165,'KU-LGE Rating'!$F:$F)</f>
        <v>0</v>
      </c>
      <c r="AL165" s="256">
        <f>IF($F165=AK$1,$U165,0)*SUMIF('KU-LGE Rating'!$R:$R,$D165,'KU-LGE Rating'!$G:$G)</f>
        <v>0</v>
      </c>
      <c r="AM165" s="240">
        <f t="shared" si="25"/>
        <v>0</v>
      </c>
      <c r="AN165" s="256">
        <f>IF($F165=AN$1,$U165,0)*SUMIF('KU-LGE Rating'!$R:$R,$D165,'KU-LGE Rating'!$F:$F)</f>
        <v>0</v>
      </c>
      <c r="AO165" s="256">
        <f>IF($F165=AN$1,$U165,0)*SUMIF('KU-LGE Rating'!$R:$R,$D165,'KU-LGE Rating'!$G:$G)</f>
        <v>0</v>
      </c>
      <c r="AP165" s="240">
        <f t="shared" si="26"/>
        <v>0</v>
      </c>
      <c r="AQ165" s="277"/>
      <c r="AR165" s="277"/>
      <c r="AV165" s="278"/>
      <c r="AW165" s="278"/>
      <c r="AX165" s="278"/>
    </row>
    <row r="166" spans="1:50">
      <c r="A166" s="1" t="s">
        <v>2769</v>
      </c>
      <c r="B166" s="1" t="s">
        <v>3</v>
      </c>
      <c r="C166" t="s">
        <v>3723</v>
      </c>
      <c r="D166" t="s">
        <v>3727</v>
      </c>
      <c r="E166" t="s">
        <v>3893</v>
      </c>
      <c r="F166">
        <v>2014</v>
      </c>
      <c r="G166" t="s">
        <v>3908</v>
      </c>
      <c r="H166">
        <v>512017</v>
      </c>
      <c r="I166">
        <v>0</v>
      </c>
      <c r="J166">
        <v>32133.8</v>
      </c>
      <c r="K166">
        <v>41681.03</v>
      </c>
      <c r="L166">
        <v>93761.84</v>
      </c>
      <c r="M166">
        <v>-7.87</v>
      </c>
      <c r="N166">
        <v>0</v>
      </c>
      <c r="O166">
        <v>0</v>
      </c>
      <c r="P166">
        <v>0</v>
      </c>
      <c r="Q166">
        <v>-167568.79999999999</v>
      </c>
      <c r="R166">
        <v>0</v>
      </c>
      <c r="S166">
        <v>0</v>
      </c>
      <c r="T166">
        <v>0</v>
      </c>
      <c r="U166" s="8">
        <v>0</v>
      </c>
      <c r="V166" s="243" t="str">
        <f t="shared" si="20"/>
        <v>512</v>
      </c>
      <c r="W166" s="240">
        <f t="shared" si="21"/>
        <v>-32133.799999999988</v>
      </c>
      <c r="X166" s="243">
        <f t="shared" si="22"/>
        <v>0</v>
      </c>
      <c r="Y166" s="255">
        <f>$W166*SUMIF('KU-LGE Rating'!$R:$R,$D166,'KU-LGE Rating'!F:F)</f>
        <v>-32133.799999999988</v>
      </c>
      <c r="Z166" s="256">
        <f>$W166*SUMIF('KU-LGE Rating'!$R:$R,$D166,'KU-LGE Rating'!G:G)</f>
        <v>0</v>
      </c>
      <c r="AA166" s="257">
        <f t="shared" si="18"/>
        <v>-32133.799999999988</v>
      </c>
      <c r="AB166" s="255">
        <f>$X166*SUMIF('KU-LGE Rating'!$R:$R,$D166,'KU-LGE Rating'!F:F)</f>
        <v>0</v>
      </c>
      <c r="AC166" s="256">
        <f>$X166*SUMIF('KU-LGE Rating'!$R:$R,$D166,'KU-LGE Rating'!G:G)</f>
        <v>0</v>
      </c>
      <c r="AD166" s="257">
        <f t="shared" si="19"/>
        <v>0</v>
      </c>
      <c r="AE166" s="274">
        <f>IF($F166=AE$1,$U166,0)*SUMIF('KU-LGE Rating'!$R:$R,$D166,'KU-LGE Rating'!$F:$F)</f>
        <v>0</v>
      </c>
      <c r="AF166" s="274">
        <f>IF($F166=AE$1,$U166,0)*SUMIF('KU-LGE Rating'!$R:$R,$D166,'KU-LGE Rating'!$G:$G)</f>
        <v>0</v>
      </c>
      <c r="AG166" s="240">
        <f t="shared" si="23"/>
        <v>0</v>
      </c>
      <c r="AH166" s="256">
        <f>IF($F166=AH$1,$U166,0)*SUMIF('KU-LGE Rating'!$R:$R,$D166,'KU-LGE Rating'!$F:$F)</f>
        <v>0</v>
      </c>
      <c r="AI166" s="256">
        <f>IF($F166=AH$1,$U166,0)*SUMIF('KU-LGE Rating'!$R:$R,$D166,'KU-LGE Rating'!$G:$G)</f>
        <v>0</v>
      </c>
      <c r="AJ166" s="240">
        <f t="shared" si="24"/>
        <v>0</v>
      </c>
      <c r="AK166" s="256">
        <f>IF($F166=AK$1,$U166,0)*SUMIF('KU-LGE Rating'!$R:$R,$D166,'KU-LGE Rating'!$F:$F)</f>
        <v>0</v>
      </c>
      <c r="AL166" s="256">
        <f>IF($F166=AK$1,$U166,0)*SUMIF('KU-LGE Rating'!$R:$R,$D166,'KU-LGE Rating'!$G:$G)</f>
        <v>0</v>
      </c>
      <c r="AM166" s="240">
        <f t="shared" si="25"/>
        <v>0</v>
      </c>
      <c r="AN166" s="256">
        <f>IF($F166=AN$1,$U166,0)*SUMIF('KU-LGE Rating'!$R:$R,$D166,'KU-LGE Rating'!$F:$F)</f>
        <v>0</v>
      </c>
      <c r="AO166" s="256">
        <f>IF($F166=AN$1,$U166,0)*SUMIF('KU-LGE Rating'!$R:$R,$D166,'KU-LGE Rating'!$G:$G)</f>
        <v>0</v>
      </c>
      <c r="AP166" s="240">
        <f t="shared" si="26"/>
        <v>0</v>
      </c>
      <c r="AQ166" s="277"/>
      <c r="AR166" s="277"/>
      <c r="AV166" s="278"/>
      <c r="AW166" s="278"/>
      <c r="AX166" s="278"/>
    </row>
    <row r="167" spans="1:50">
      <c r="A167" s="1" t="s">
        <v>2769</v>
      </c>
      <c r="B167" s="1" t="s">
        <v>3</v>
      </c>
      <c r="C167" t="s">
        <v>3723</v>
      </c>
      <c r="D167" t="s">
        <v>3727</v>
      </c>
      <c r="E167" t="s">
        <v>3893</v>
      </c>
      <c r="F167">
        <v>2014</v>
      </c>
      <c r="G167" t="s">
        <v>3908</v>
      </c>
      <c r="H167">
        <v>512100</v>
      </c>
      <c r="I167">
        <v>8749.36</v>
      </c>
      <c r="J167">
        <v>119083.83</v>
      </c>
      <c r="K167">
        <v>837726.45</v>
      </c>
      <c r="L167">
        <v>1203474.75</v>
      </c>
      <c r="M167">
        <v>-112144.49</v>
      </c>
      <c r="N167">
        <v>-35869.29</v>
      </c>
      <c r="O167">
        <v>0</v>
      </c>
      <c r="P167">
        <v>673.1</v>
      </c>
      <c r="Q167">
        <v>1589880.85</v>
      </c>
      <c r="R167">
        <v>0</v>
      </c>
      <c r="S167">
        <v>0</v>
      </c>
      <c r="T167">
        <v>0</v>
      </c>
      <c r="U167" s="8">
        <v>3611574.56</v>
      </c>
      <c r="V167" s="243" t="str">
        <f t="shared" si="20"/>
        <v>512</v>
      </c>
      <c r="W167" s="240">
        <f t="shared" si="21"/>
        <v>3483741.37</v>
      </c>
      <c r="X167" s="243">
        <f t="shared" si="22"/>
        <v>0</v>
      </c>
      <c r="Y167" s="255">
        <f>$W167*SUMIF('KU-LGE Rating'!$R:$R,$D167,'KU-LGE Rating'!F:F)</f>
        <v>3483741.37</v>
      </c>
      <c r="Z167" s="256">
        <f>$W167*SUMIF('KU-LGE Rating'!$R:$R,$D167,'KU-LGE Rating'!G:G)</f>
        <v>0</v>
      </c>
      <c r="AA167" s="257">
        <f t="shared" si="18"/>
        <v>3483741.37</v>
      </c>
      <c r="AB167" s="255">
        <f>$X167*SUMIF('KU-LGE Rating'!$R:$R,$D167,'KU-LGE Rating'!F:F)</f>
        <v>0</v>
      </c>
      <c r="AC167" s="256">
        <f>$X167*SUMIF('KU-LGE Rating'!$R:$R,$D167,'KU-LGE Rating'!G:G)</f>
        <v>0</v>
      </c>
      <c r="AD167" s="257">
        <f t="shared" si="19"/>
        <v>0</v>
      </c>
      <c r="AE167" s="274">
        <f>IF($F167=AE$1,$U167,0)*SUMIF('KU-LGE Rating'!$R:$R,$D167,'KU-LGE Rating'!$F:$F)</f>
        <v>3611574.56</v>
      </c>
      <c r="AF167" s="274">
        <f>IF($F167=AE$1,$U167,0)*SUMIF('KU-LGE Rating'!$R:$R,$D167,'KU-LGE Rating'!$G:$G)</f>
        <v>0</v>
      </c>
      <c r="AG167" s="240">
        <f t="shared" si="23"/>
        <v>3611574.56</v>
      </c>
      <c r="AH167" s="256">
        <f>IF($F167=AH$1,$U167,0)*SUMIF('KU-LGE Rating'!$R:$R,$D167,'KU-LGE Rating'!$F:$F)</f>
        <v>0</v>
      </c>
      <c r="AI167" s="256">
        <f>IF($F167=AH$1,$U167,0)*SUMIF('KU-LGE Rating'!$R:$R,$D167,'KU-LGE Rating'!$G:$G)</f>
        <v>0</v>
      </c>
      <c r="AJ167" s="240">
        <f t="shared" si="24"/>
        <v>0</v>
      </c>
      <c r="AK167" s="256">
        <f>IF($F167=AK$1,$U167,0)*SUMIF('KU-LGE Rating'!$R:$R,$D167,'KU-LGE Rating'!$F:$F)</f>
        <v>0</v>
      </c>
      <c r="AL167" s="256">
        <f>IF($F167=AK$1,$U167,0)*SUMIF('KU-LGE Rating'!$R:$R,$D167,'KU-LGE Rating'!$G:$G)</f>
        <v>0</v>
      </c>
      <c r="AM167" s="240">
        <f t="shared" si="25"/>
        <v>0</v>
      </c>
      <c r="AN167" s="256">
        <f>IF($F167=AN$1,$U167,0)*SUMIF('KU-LGE Rating'!$R:$R,$D167,'KU-LGE Rating'!$F:$F)</f>
        <v>0</v>
      </c>
      <c r="AO167" s="256">
        <f>IF($F167=AN$1,$U167,0)*SUMIF('KU-LGE Rating'!$R:$R,$D167,'KU-LGE Rating'!$G:$G)</f>
        <v>0</v>
      </c>
      <c r="AP167" s="240">
        <f t="shared" si="26"/>
        <v>0</v>
      </c>
      <c r="AQ167" s="277"/>
      <c r="AR167" s="277"/>
      <c r="AV167" s="278"/>
      <c r="AW167" s="278"/>
      <c r="AX167" s="278"/>
    </row>
    <row r="168" spans="1:50">
      <c r="A168" s="1" t="s">
        <v>2769</v>
      </c>
      <c r="B168" s="1" t="s">
        <v>3</v>
      </c>
      <c r="C168" t="s">
        <v>3723</v>
      </c>
      <c r="D168" t="s">
        <v>3727</v>
      </c>
      <c r="E168" t="s">
        <v>3893</v>
      </c>
      <c r="F168">
        <v>2014</v>
      </c>
      <c r="G168" t="s">
        <v>3908</v>
      </c>
      <c r="H168">
        <v>513100</v>
      </c>
      <c r="I168">
        <v>0</v>
      </c>
      <c r="J168">
        <v>988.44</v>
      </c>
      <c r="K168">
        <v>38439.21</v>
      </c>
      <c r="L168">
        <v>96083.3</v>
      </c>
      <c r="M168">
        <v>11004.76</v>
      </c>
      <c r="N168">
        <v>-71.040000000000006</v>
      </c>
      <c r="O168">
        <v>0</v>
      </c>
      <c r="P168">
        <v>0</v>
      </c>
      <c r="Q168">
        <v>-146444.67000000001</v>
      </c>
      <c r="R168">
        <v>0</v>
      </c>
      <c r="S168">
        <v>0</v>
      </c>
      <c r="T168">
        <v>0</v>
      </c>
      <c r="U168" s="8">
        <v>0</v>
      </c>
      <c r="V168" s="243" t="str">
        <f t="shared" si="20"/>
        <v>513</v>
      </c>
      <c r="W168" s="240">
        <f t="shared" si="21"/>
        <v>-988.44000000000233</v>
      </c>
      <c r="X168" s="243">
        <f t="shared" si="22"/>
        <v>0</v>
      </c>
      <c r="Y168" s="255">
        <f>$W168*SUMIF('KU-LGE Rating'!$R:$R,$D168,'KU-LGE Rating'!F:F)</f>
        <v>-988.44000000000233</v>
      </c>
      <c r="Z168" s="256">
        <f>$W168*SUMIF('KU-LGE Rating'!$R:$R,$D168,'KU-LGE Rating'!G:G)</f>
        <v>0</v>
      </c>
      <c r="AA168" s="257">
        <f t="shared" si="18"/>
        <v>-988.44000000000233</v>
      </c>
      <c r="AB168" s="255">
        <f>$X168*SUMIF('KU-LGE Rating'!$R:$R,$D168,'KU-LGE Rating'!F:F)</f>
        <v>0</v>
      </c>
      <c r="AC168" s="256">
        <f>$X168*SUMIF('KU-LGE Rating'!$R:$R,$D168,'KU-LGE Rating'!G:G)</f>
        <v>0</v>
      </c>
      <c r="AD168" s="257">
        <f t="shared" si="19"/>
        <v>0</v>
      </c>
      <c r="AE168" s="274">
        <f>IF($F168=AE$1,$U168,0)*SUMIF('KU-LGE Rating'!$R:$R,$D168,'KU-LGE Rating'!$F:$F)</f>
        <v>0</v>
      </c>
      <c r="AF168" s="274">
        <f>IF($F168=AE$1,$U168,0)*SUMIF('KU-LGE Rating'!$R:$R,$D168,'KU-LGE Rating'!$G:$G)</f>
        <v>0</v>
      </c>
      <c r="AG168" s="240">
        <f t="shared" si="23"/>
        <v>0</v>
      </c>
      <c r="AH168" s="256">
        <f>IF($F168=AH$1,$U168,0)*SUMIF('KU-LGE Rating'!$R:$R,$D168,'KU-LGE Rating'!$F:$F)</f>
        <v>0</v>
      </c>
      <c r="AI168" s="256">
        <f>IF($F168=AH$1,$U168,0)*SUMIF('KU-LGE Rating'!$R:$R,$D168,'KU-LGE Rating'!$G:$G)</f>
        <v>0</v>
      </c>
      <c r="AJ168" s="240">
        <f t="shared" si="24"/>
        <v>0</v>
      </c>
      <c r="AK168" s="256">
        <f>IF($F168=AK$1,$U168,0)*SUMIF('KU-LGE Rating'!$R:$R,$D168,'KU-LGE Rating'!$F:$F)</f>
        <v>0</v>
      </c>
      <c r="AL168" s="256">
        <f>IF($F168=AK$1,$U168,0)*SUMIF('KU-LGE Rating'!$R:$R,$D168,'KU-LGE Rating'!$G:$G)</f>
        <v>0</v>
      </c>
      <c r="AM168" s="240">
        <f t="shared" si="25"/>
        <v>0</v>
      </c>
      <c r="AN168" s="256">
        <f>IF($F168=AN$1,$U168,0)*SUMIF('KU-LGE Rating'!$R:$R,$D168,'KU-LGE Rating'!$F:$F)</f>
        <v>0</v>
      </c>
      <c r="AO168" s="256">
        <f>IF($F168=AN$1,$U168,0)*SUMIF('KU-LGE Rating'!$R:$R,$D168,'KU-LGE Rating'!$G:$G)</f>
        <v>0</v>
      </c>
      <c r="AP168" s="240">
        <f t="shared" si="26"/>
        <v>0</v>
      </c>
      <c r="AQ168" s="277"/>
      <c r="AR168" s="277"/>
      <c r="AV168" s="278"/>
      <c r="AW168" s="278"/>
      <c r="AX168" s="278"/>
    </row>
    <row r="169" spans="1:50">
      <c r="A169" s="1" t="s">
        <v>2769</v>
      </c>
      <c r="B169" s="1" t="s">
        <v>3</v>
      </c>
      <c r="C169" t="s">
        <v>3723</v>
      </c>
      <c r="D169" t="s">
        <v>3727</v>
      </c>
      <c r="E169" t="s">
        <v>3893</v>
      </c>
      <c r="F169">
        <v>2015</v>
      </c>
      <c r="G169" t="s">
        <v>3908</v>
      </c>
      <c r="H169">
        <v>512100</v>
      </c>
      <c r="I169">
        <v>0</v>
      </c>
      <c r="J169">
        <v>0</v>
      </c>
      <c r="K169">
        <v>1890011</v>
      </c>
      <c r="L169">
        <v>1819998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8">
        <v>3710009</v>
      </c>
      <c r="V169" s="243" t="str">
        <f t="shared" si="20"/>
        <v>512</v>
      </c>
      <c r="W169" s="240">
        <f t="shared" si="21"/>
        <v>0</v>
      </c>
      <c r="X169" s="243">
        <f t="shared" si="22"/>
        <v>0</v>
      </c>
      <c r="Y169" s="255">
        <f>$W169*SUMIF('KU-LGE Rating'!$R:$R,$D169,'KU-LGE Rating'!F:F)</f>
        <v>0</v>
      </c>
      <c r="Z169" s="256">
        <f>$W169*SUMIF('KU-LGE Rating'!$R:$R,$D169,'KU-LGE Rating'!G:G)</f>
        <v>0</v>
      </c>
      <c r="AA169" s="257">
        <f t="shared" si="18"/>
        <v>0</v>
      </c>
      <c r="AB169" s="255">
        <f>$X169*SUMIF('KU-LGE Rating'!$R:$R,$D169,'KU-LGE Rating'!F:F)</f>
        <v>0</v>
      </c>
      <c r="AC169" s="256">
        <f>$X169*SUMIF('KU-LGE Rating'!$R:$R,$D169,'KU-LGE Rating'!G:G)</f>
        <v>0</v>
      </c>
      <c r="AD169" s="257">
        <f t="shared" si="19"/>
        <v>0</v>
      </c>
      <c r="AE169" s="274">
        <f>IF($F169=AE$1,$U169,0)*SUMIF('KU-LGE Rating'!$R:$R,$D169,'KU-LGE Rating'!$F:$F)</f>
        <v>0</v>
      </c>
      <c r="AF169" s="274">
        <f>IF($F169=AE$1,$U169,0)*SUMIF('KU-LGE Rating'!$R:$R,$D169,'KU-LGE Rating'!$G:$G)</f>
        <v>0</v>
      </c>
      <c r="AG169" s="240">
        <f t="shared" si="23"/>
        <v>0</v>
      </c>
      <c r="AH169" s="256">
        <f>IF($F169=AH$1,$U169,0)*SUMIF('KU-LGE Rating'!$R:$R,$D169,'KU-LGE Rating'!$F:$F)</f>
        <v>3710009</v>
      </c>
      <c r="AI169" s="256">
        <f>IF($F169=AH$1,$U169,0)*SUMIF('KU-LGE Rating'!$R:$R,$D169,'KU-LGE Rating'!$G:$G)</f>
        <v>0</v>
      </c>
      <c r="AJ169" s="240">
        <f t="shared" si="24"/>
        <v>3710009</v>
      </c>
      <c r="AK169" s="256">
        <f>IF($F169=AK$1,$U169,0)*SUMIF('KU-LGE Rating'!$R:$R,$D169,'KU-LGE Rating'!$F:$F)</f>
        <v>0</v>
      </c>
      <c r="AL169" s="256">
        <f>IF($F169=AK$1,$U169,0)*SUMIF('KU-LGE Rating'!$R:$R,$D169,'KU-LGE Rating'!$G:$G)</f>
        <v>0</v>
      </c>
      <c r="AM169" s="240">
        <f t="shared" si="25"/>
        <v>0</v>
      </c>
      <c r="AN169" s="256">
        <f>IF($F169=AN$1,$U169,0)*SUMIF('KU-LGE Rating'!$R:$R,$D169,'KU-LGE Rating'!$F:$F)</f>
        <v>0</v>
      </c>
      <c r="AO169" s="256">
        <f>IF($F169=AN$1,$U169,0)*SUMIF('KU-LGE Rating'!$R:$R,$D169,'KU-LGE Rating'!$G:$G)</f>
        <v>0</v>
      </c>
      <c r="AP169" s="240">
        <f t="shared" si="26"/>
        <v>0</v>
      </c>
      <c r="AQ169" s="277"/>
      <c r="AR169" s="277"/>
      <c r="AV169" s="278"/>
      <c r="AW169" s="278"/>
      <c r="AX169" s="278"/>
    </row>
    <row r="170" spans="1:50">
      <c r="A170" s="1" t="s">
        <v>2769</v>
      </c>
      <c r="B170" s="1" t="s">
        <v>3</v>
      </c>
      <c r="C170" t="s">
        <v>3723</v>
      </c>
      <c r="D170" t="s">
        <v>3727</v>
      </c>
      <c r="E170" t="s">
        <v>3893</v>
      </c>
      <c r="F170">
        <v>2015</v>
      </c>
      <c r="G170" t="s">
        <v>3908</v>
      </c>
      <c r="H170">
        <v>513100</v>
      </c>
      <c r="I170">
        <v>0</v>
      </c>
      <c r="J170">
        <v>0</v>
      </c>
      <c r="K170">
        <v>2774995</v>
      </c>
      <c r="L170">
        <v>2425006</v>
      </c>
      <c r="M170">
        <v>340000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8">
        <v>5540001</v>
      </c>
      <c r="V170" s="243" t="str">
        <f t="shared" si="20"/>
        <v>513</v>
      </c>
      <c r="W170" s="240">
        <f t="shared" si="21"/>
        <v>0</v>
      </c>
      <c r="X170" s="243">
        <f t="shared" si="22"/>
        <v>0</v>
      </c>
      <c r="Y170" s="255">
        <f>$W170*SUMIF('KU-LGE Rating'!$R:$R,$D170,'KU-LGE Rating'!F:F)</f>
        <v>0</v>
      </c>
      <c r="Z170" s="256">
        <f>$W170*SUMIF('KU-LGE Rating'!$R:$R,$D170,'KU-LGE Rating'!G:G)</f>
        <v>0</v>
      </c>
      <c r="AA170" s="257">
        <f t="shared" si="18"/>
        <v>0</v>
      </c>
      <c r="AB170" s="255">
        <f>$X170*SUMIF('KU-LGE Rating'!$R:$R,$D170,'KU-LGE Rating'!F:F)</f>
        <v>0</v>
      </c>
      <c r="AC170" s="256">
        <f>$X170*SUMIF('KU-LGE Rating'!$R:$R,$D170,'KU-LGE Rating'!G:G)</f>
        <v>0</v>
      </c>
      <c r="AD170" s="257">
        <f t="shared" si="19"/>
        <v>0</v>
      </c>
      <c r="AE170" s="274">
        <f>IF($F170=AE$1,$U170,0)*SUMIF('KU-LGE Rating'!$R:$R,$D170,'KU-LGE Rating'!$F:$F)</f>
        <v>0</v>
      </c>
      <c r="AF170" s="274">
        <f>IF($F170=AE$1,$U170,0)*SUMIF('KU-LGE Rating'!$R:$R,$D170,'KU-LGE Rating'!$G:$G)</f>
        <v>0</v>
      </c>
      <c r="AG170" s="240">
        <f t="shared" si="23"/>
        <v>0</v>
      </c>
      <c r="AH170" s="256">
        <f>IF($F170=AH$1,$U170,0)*SUMIF('KU-LGE Rating'!$R:$R,$D170,'KU-LGE Rating'!$F:$F)</f>
        <v>5540001</v>
      </c>
      <c r="AI170" s="256">
        <f>IF($F170=AH$1,$U170,0)*SUMIF('KU-LGE Rating'!$R:$R,$D170,'KU-LGE Rating'!$G:$G)</f>
        <v>0</v>
      </c>
      <c r="AJ170" s="240">
        <f t="shared" si="24"/>
        <v>5540001</v>
      </c>
      <c r="AK170" s="256">
        <f>IF($F170=AK$1,$U170,0)*SUMIF('KU-LGE Rating'!$R:$R,$D170,'KU-LGE Rating'!$F:$F)</f>
        <v>0</v>
      </c>
      <c r="AL170" s="256">
        <f>IF($F170=AK$1,$U170,0)*SUMIF('KU-LGE Rating'!$R:$R,$D170,'KU-LGE Rating'!$G:$G)</f>
        <v>0</v>
      </c>
      <c r="AM170" s="240">
        <f t="shared" si="25"/>
        <v>0</v>
      </c>
      <c r="AN170" s="256">
        <f>IF($F170=AN$1,$U170,0)*SUMIF('KU-LGE Rating'!$R:$R,$D170,'KU-LGE Rating'!$F:$F)</f>
        <v>0</v>
      </c>
      <c r="AO170" s="256">
        <f>IF($F170=AN$1,$U170,0)*SUMIF('KU-LGE Rating'!$R:$R,$D170,'KU-LGE Rating'!$G:$G)</f>
        <v>0</v>
      </c>
      <c r="AP170" s="240">
        <f t="shared" si="26"/>
        <v>0</v>
      </c>
      <c r="AQ170" s="277"/>
      <c r="AR170" s="277"/>
      <c r="AV170" s="278"/>
      <c r="AW170" s="278"/>
      <c r="AX170" s="278"/>
    </row>
    <row r="171" spans="1:50">
      <c r="A171" s="1" t="s">
        <v>2769</v>
      </c>
      <c r="B171" s="1" t="s">
        <v>3</v>
      </c>
      <c r="C171" t="s">
        <v>3723</v>
      </c>
      <c r="D171" t="s">
        <v>3727</v>
      </c>
      <c r="E171" t="s">
        <v>3893</v>
      </c>
      <c r="F171">
        <v>2016</v>
      </c>
      <c r="G171" t="s">
        <v>3908</v>
      </c>
      <c r="H171">
        <v>512100</v>
      </c>
      <c r="I171">
        <v>0</v>
      </c>
      <c r="J171">
        <v>0</v>
      </c>
      <c r="K171">
        <v>0</v>
      </c>
      <c r="L171">
        <v>1900000</v>
      </c>
      <c r="M171">
        <v>454996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8">
        <v>2354996</v>
      </c>
      <c r="V171" s="243" t="str">
        <f t="shared" si="20"/>
        <v>512</v>
      </c>
      <c r="W171" s="240">
        <f t="shared" si="21"/>
        <v>0</v>
      </c>
      <c r="X171" s="243">
        <f t="shared" si="22"/>
        <v>2354996</v>
      </c>
      <c r="Y171" s="255">
        <f>$W171*SUMIF('KU-LGE Rating'!$R:$R,$D171,'KU-LGE Rating'!F:F)</f>
        <v>0</v>
      </c>
      <c r="Z171" s="256">
        <f>$W171*SUMIF('KU-LGE Rating'!$R:$R,$D171,'KU-LGE Rating'!G:G)</f>
        <v>0</v>
      </c>
      <c r="AA171" s="257">
        <f t="shared" si="18"/>
        <v>0</v>
      </c>
      <c r="AB171" s="255">
        <f>$X171*SUMIF('KU-LGE Rating'!$R:$R,$D171,'KU-LGE Rating'!F:F)</f>
        <v>2354996</v>
      </c>
      <c r="AC171" s="256">
        <f>$X171*SUMIF('KU-LGE Rating'!$R:$R,$D171,'KU-LGE Rating'!G:G)</f>
        <v>0</v>
      </c>
      <c r="AD171" s="257">
        <f t="shared" si="19"/>
        <v>2354996</v>
      </c>
      <c r="AE171" s="274">
        <f>IF($F171=AE$1,$U171,0)*SUMIF('KU-LGE Rating'!$R:$R,$D171,'KU-LGE Rating'!$F:$F)</f>
        <v>0</v>
      </c>
      <c r="AF171" s="274">
        <f>IF($F171=AE$1,$U171,0)*SUMIF('KU-LGE Rating'!$R:$R,$D171,'KU-LGE Rating'!$G:$G)</f>
        <v>0</v>
      </c>
      <c r="AG171" s="240">
        <f t="shared" si="23"/>
        <v>0</v>
      </c>
      <c r="AH171" s="256">
        <f>IF($F171=AH$1,$U171,0)*SUMIF('KU-LGE Rating'!$R:$R,$D171,'KU-LGE Rating'!$F:$F)</f>
        <v>0</v>
      </c>
      <c r="AI171" s="256">
        <f>IF($F171=AH$1,$U171,0)*SUMIF('KU-LGE Rating'!$R:$R,$D171,'KU-LGE Rating'!$G:$G)</f>
        <v>0</v>
      </c>
      <c r="AJ171" s="240">
        <f t="shared" si="24"/>
        <v>0</v>
      </c>
      <c r="AK171" s="256">
        <f>IF($F171=AK$1,$U171,0)*SUMIF('KU-LGE Rating'!$R:$R,$D171,'KU-LGE Rating'!$F:$F)</f>
        <v>2354996</v>
      </c>
      <c r="AL171" s="256">
        <f>IF($F171=AK$1,$U171,0)*SUMIF('KU-LGE Rating'!$R:$R,$D171,'KU-LGE Rating'!$G:$G)</f>
        <v>0</v>
      </c>
      <c r="AM171" s="240">
        <f t="shared" si="25"/>
        <v>2354996</v>
      </c>
      <c r="AN171" s="256">
        <f>IF($F171=AN$1,$U171,0)*SUMIF('KU-LGE Rating'!$R:$R,$D171,'KU-LGE Rating'!$F:$F)</f>
        <v>0</v>
      </c>
      <c r="AO171" s="256">
        <f>IF($F171=AN$1,$U171,0)*SUMIF('KU-LGE Rating'!$R:$R,$D171,'KU-LGE Rating'!$G:$G)</f>
        <v>0</v>
      </c>
      <c r="AP171" s="240">
        <f t="shared" si="26"/>
        <v>0</v>
      </c>
      <c r="AQ171" s="277"/>
      <c r="AR171" s="277"/>
      <c r="AV171" s="278"/>
      <c r="AW171" s="278"/>
      <c r="AX171" s="278"/>
    </row>
    <row r="172" spans="1:50">
      <c r="A172" s="1" t="s">
        <v>2769</v>
      </c>
      <c r="B172" s="1" t="s">
        <v>3</v>
      </c>
      <c r="C172" t="s">
        <v>3723</v>
      </c>
      <c r="D172" t="s">
        <v>3727</v>
      </c>
      <c r="E172" t="s">
        <v>3893</v>
      </c>
      <c r="F172">
        <v>2016</v>
      </c>
      <c r="G172" t="s">
        <v>3908</v>
      </c>
      <c r="H172">
        <v>513100</v>
      </c>
      <c r="I172">
        <v>0</v>
      </c>
      <c r="J172">
        <v>0</v>
      </c>
      <c r="K172">
        <v>0</v>
      </c>
      <c r="L172">
        <v>230000</v>
      </c>
      <c r="M172">
        <v>15005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8">
        <v>245005</v>
      </c>
      <c r="V172" s="243" t="str">
        <f t="shared" si="20"/>
        <v>513</v>
      </c>
      <c r="W172" s="240">
        <f t="shared" si="21"/>
        <v>0</v>
      </c>
      <c r="X172" s="243">
        <f t="shared" si="22"/>
        <v>245005</v>
      </c>
      <c r="Y172" s="255">
        <f>$W172*SUMIF('KU-LGE Rating'!$R:$R,$D172,'KU-LGE Rating'!F:F)</f>
        <v>0</v>
      </c>
      <c r="Z172" s="256">
        <f>$W172*SUMIF('KU-LGE Rating'!$R:$R,$D172,'KU-LGE Rating'!G:G)</f>
        <v>0</v>
      </c>
      <c r="AA172" s="257">
        <f t="shared" si="18"/>
        <v>0</v>
      </c>
      <c r="AB172" s="255">
        <f>$X172*SUMIF('KU-LGE Rating'!$R:$R,$D172,'KU-LGE Rating'!F:F)</f>
        <v>245005</v>
      </c>
      <c r="AC172" s="256">
        <f>$X172*SUMIF('KU-LGE Rating'!$R:$R,$D172,'KU-LGE Rating'!G:G)</f>
        <v>0</v>
      </c>
      <c r="AD172" s="257">
        <f t="shared" si="19"/>
        <v>245005</v>
      </c>
      <c r="AE172" s="274">
        <f>IF($F172=AE$1,$U172,0)*SUMIF('KU-LGE Rating'!$R:$R,$D172,'KU-LGE Rating'!$F:$F)</f>
        <v>0</v>
      </c>
      <c r="AF172" s="274">
        <f>IF($F172=AE$1,$U172,0)*SUMIF('KU-LGE Rating'!$R:$R,$D172,'KU-LGE Rating'!$G:$G)</f>
        <v>0</v>
      </c>
      <c r="AG172" s="240">
        <f t="shared" si="23"/>
        <v>0</v>
      </c>
      <c r="AH172" s="256">
        <f>IF($F172=AH$1,$U172,0)*SUMIF('KU-LGE Rating'!$R:$R,$D172,'KU-LGE Rating'!$F:$F)</f>
        <v>0</v>
      </c>
      <c r="AI172" s="256">
        <f>IF($F172=AH$1,$U172,0)*SUMIF('KU-LGE Rating'!$R:$R,$D172,'KU-LGE Rating'!$G:$G)</f>
        <v>0</v>
      </c>
      <c r="AJ172" s="240">
        <f t="shared" si="24"/>
        <v>0</v>
      </c>
      <c r="AK172" s="256">
        <f>IF($F172=AK$1,$U172,0)*SUMIF('KU-LGE Rating'!$R:$R,$D172,'KU-LGE Rating'!$F:$F)</f>
        <v>245005</v>
      </c>
      <c r="AL172" s="256">
        <f>IF($F172=AK$1,$U172,0)*SUMIF('KU-LGE Rating'!$R:$R,$D172,'KU-LGE Rating'!$G:$G)</f>
        <v>0</v>
      </c>
      <c r="AM172" s="240">
        <f t="shared" si="25"/>
        <v>245005</v>
      </c>
      <c r="AN172" s="256">
        <f>IF($F172=AN$1,$U172,0)*SUMIF('KU-LGE Rating'!$R:$R,$D172,'KU-LGE Rating'!$F:$F)</f>
        <v>0</v>
      </c>
      <c r="AO172" s="256">
        <f>IF($F172=AN$1,$U172,0)*SUMIF('KU-LGE Rating'!$R:$R,$D172,'KU-LGE Rating'!$G:$G)</f>
        <v>0</v>
      </c>
      <c r="AP172" s="240">
        <f t="shared" si="26"/>
        <v>0</v>
      </c>
      <c r="AQ172" s="277"/>
      <c r="AR172" s="277"/>
      <c r="AV172" s="278"/>
      <c r="AW172" s="278"/>
      <c r="AX172" s="278"/>
    </row>
    <row r="173" spans="1:50">
      <c r="A173" s="1" t="s">
        <v>2769</v>
      </c>
      <c r="B173" s="1" t="s">
        <v>3</v>
      </c>
      <c r="C173" t="s">
        <v>3723</v>
      </c>
      <c r="D173" t="s">
        <v>3727</v>
      </c>
      <c r="E173" t="s">
        <v>3893</v>
      </c>
      <c r="F173">
        <v>2017</v>
      </c>
      <c r="G173" t="s">
        <v>3908</v>
      </c>
      <c r="H173">
        <v>512100</v>
      </c>
      <c r="I173">
        <v>0</v>
      </c>
      <c r="J173">
        <v>1531993</v>
      </c>
      <c r="K173">
        <v>155007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8">
        <v>1687000</v>
      </c>
      <c r="V173" s="243" t="str">
        <f t="shared" si="20"/>
        <v>512</v>
      </c>
      <c r="W173" s="240">
        <f t="shared" si="21"/>
        <v>0</v>
      </c>
      <c r="X173" s="243">
        <f t="shared" si="22"/>
        <v>0</v>
      </c>
      <c r="Y173" s="255">
        <f>$W173*SUMIF('KU-LGE Rating'!$R:$R,$D173,'KU-LGE Rating'!F:F)</f>
        <v>0</v>
      </c>
      <c r="Z173" s="256">
        <f>$W173*SUMIF('KU-LGE Rating'!$R:$R,$D173,'KU-LGE Rating'!G:G)</f>
        <v>0</v>
      </c>
      <c r="AA173" s="257">
        <f t="shared" si="18"/>
        <v>0</v>
      </c>
      <c r="AB173" s="255">
        <f>$X173*SUMIF('KU-LGE Rating'!$R:$R,$D173,'KU-LGE Rating'!F:F)</f>
        <v>0</v>
      </c>
      <c r="AC173" s="256">
        <f>$X173*SUMIF('KU-LGE Rating'!$R:$R,$D173,'KU-LGE Rating'!G:G)</f>
        <v>0</v>
      </c>
      <c r="AD173" s="257">
        <f t="shared" si="19"/>
        <v>0</v>
      </c>
      <c r="AE173" s="274">
        <f>IF($F173=AE$1,$U173,0)*SUMIF('KU-LGE Rating'!$R:$R,$D173,'KU-LGE Rating'!$F:$F)</f>
        <v>0</v>
      </c>
      <c r="AF173" s="274">
        <f>IF($F173=AE$1,$U173,0)*SUMIF('KU-LGE Rating'!$R:$R,$D173,'KU-LGE Rating'!$G:$G)</f>
        <v>0</v>
      </c>
      <c r="AG173" s="240">
        <f t="shared" si="23"/>
        <v>0</v>
      </c>
      <c r="AH173" s="256">
        <f>IF($F173=AH$1,$U173,0)*SUMIF('KU-LGE Rating'!$R:$R,$D173,'KU-LGE Rating'!$F:$F)</f>
        <v>0</v>
      </c>
      <c r="AI173" s="256">
        <f>IF($F173=AH$1,$U173,0)*SUMIF('KU-LGE Rating'!$R:$R,$D173,'KU-LGE Rating'!$G:$G)</f>
        <v>0</v>
      </c>
      <c r="AJ173" s="240">
        <f t="shared" si="24"/>
        <v>0</v>
      </c>
      <c r="AK173" s="256">
        <f>IF($F173=AK$1,$U173,0)*SUMIF('KU-LGE Rating'!$R:$R,$D173,'KU-LGE Rating'!$F:$F)</f>
        <v>0</v>
      </c>
      <c r="AL173" s="256">
        <f>IF($F173=AK$1,$U173,0)*SUMIF('KU-LGE Rating'!$R:$R,$D173,'KU-LGE Rating'!$G:$G)</f>
        <v>0</v>
      </c>
      <c r="AM173" s="240">
        <f t="shared" si="25"/>
        <v>0</v>
      </c>
      <c r="AN173" s="256">
        <f>IF($F173=AN$1,$U173,0)*SUMIF('KU-LGE Rating'!$R:$R,$D173,'KU-LGE Rating'!$F:$F)</f>
        <v>1687000</v>
      </c>
      <c r="AO173" s="256">
        <f>IF($F173=AN$1,$U173,0)*SUMIF('KU-LGE Rating'!$R:$R,$D173,'KU-LGE Rating'!$G:$G)</f>
        <v>0</v>
      </c>
      <c r="AP173" s="240">
        <f t="shared" si="26"/>
        <v>1687000</v>
      </c>
      <c r="AQ173" s="277"/>
      <c r="AR173" s="277"/>
      <c r="AV173" s="278"/>
      <c r="AW173" s="278"/>
      <c r="AX173" s="278"/>
    </row>
    <row r="174" spans="1:50">
      <c r="A174" s="1" t="s">
        <v>2769</v>
      </c>
      <c r="B174" s="1" t="s">
        <v>3</v>
      </c>
      <c r="C174" t="s">
        <v>3723</v>
      </c>
      <c r="D174" t="s">
        <v>3727</v>
      </c>
      <c r="E174" t="s">
        <v>3893</v>
      </c>
      <c r="F174">
        <v>2017</v>
      </c>
      <c r="G174" t="s">
        <v>3908</v>
      </c>
      <c r="H174">
        <v>513100</v>
      </c>
      <c r="I174">
        <v>0</v>
      </c>
      <c r="J174">
        <v>65002</v>
      </c>
      <c r="K174">
        <v>94994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8">
        <v>159996</v>
      </c>
      <c r="V174" s="243" t="str">
        <f t="shared" si="20"/>
        <v>513</v>
      </c>
      <c r="W174" s="240">
        <f t="shared" si="21"/>
        <v>0</v>
      </c>
      <c r="X174" s="243">
        <f t="shared" si="22"/>
        <v>0</v>
      </c>
      <c r="Y174" s="255">
        <f>$W174*SUMIF('KU-LGE Rating'!$R:$R,$D174,'KU-LGE Rating'!F:F)</f>
        <v>0</v>
      </c>
      <c r="Z174" s="256">
        <f>$W174*SUMIF('KU-LGE Rating'!$R:$R,$D174,'KU-LGE Rating'!G:G)</f>
        <v>0</v>
      </c>
      <c r="AA174" s="257">
        <f t="shared" si="18"/>
        <v>0</v>
      </c>
      <c r="AB174" s="255">
        <f>$X174*SUMIF('KU-LGE Rating'!$R:$R,$D174,'KU-LGE Rating'!F:F)</f>
        <v>0</v>
      </c>
      <c r="AC174" s="256">
        <f>$X174*SUMIF('KU-LGE Rating'!$R:$R,$D174,'KU-LGE Rating'!G:G)</f>
        <v>0</v>
      </c>
      <c r="AD174" s="257">
        <f t="shared" si="19"/>
        <v>0</v>
      </c>
      <c r="AE174" s="274">
        <f>IF($F174=AE$1,$U174,0)*SUMIF('KU-LGE Rating'!$R:$R,$D174,'KU-LGE Rating'!$F:$F)</f>
        <v>0</v>
      </c>
      <c r="AF174" s="274">
        <f>IF($F174=AE$1,$U174,0)*SUMIF('KU-LGE Rating'!$R:$R,$D174,'KU-LGE Rating'!$G:$G)</f>
        <v>0</v>
      </c>
      <c r="AG174" s="240">
        <f t="shared" si="23"/>
        <v>0</v>
      </c>
      <c r="AH174" s="256">
        <f>IF($F174=AH$1,$U174,0)*SUMIF('KU-LGE Rating'!$R:$R,$D174,'KU-LGE Rating'!$F:$F)</f>
        <v>0</v>
      </c>
      <c r="AI174" s="256">
        <f>IF($F174=AH$1,$U174,0)*SUMIF('KU-LGE Rating'!$R:$R,$D174,'KU-LGE Rating'!$G:$G)</f>
        <v>0</v>
      </c>
      <c r="AJ174" s="240">
        <f t="shared" si="24"/>
        <v>0</v>
      </c>
      <c r="AK174" s="256">
        <f>IF($F174=AK$1,$U174,0)*SUMIF('KU-LGE Rating'!$R:$R,$D174,'KU-LGE Rating'!$F:$F)</f>
        <v>0</v>
      </c>
      <c r="AL174" s="256">
        <f>IF($F174=AK$1,$U174,0)*SUMIF('KU-LGE Rating'!$R:$R,$D174,'KU-LGE Rating'!$G:$G)</f>
        <v>0</v>
      </c>
      <c r="AM174" s="240">
        <f t="shared" si="25"/>
        <v>0</v>
      </c>
      <c r="AN174" s="256">
        <f>IF($F174=AN$1,$U174,0)*SUMIF('KU-LGE Rating'!$R:$R,$D174,'KU-LGE Rating'!$F:$F)</f>
        <v>159996</v>
      </c>
      <c r="AO174" s="256">
        <f>IF($F174=AN$1,$U174,0)*SUMIF('KU-LGE Rating'!$R:$R,$D174,'KU-LGE Rating'!$G:$G)</f>
        <v>0</v>
      </c>
      <c r="AP174" s="240">
        <f t="shared" si="26"/>
        <v>159996</v>
      </c>
      <c r="AQ174" s="277"/>
      <c r="AR174" s="277"/>
      <c r="AV174" s="278"/>
      <c r="AW174" s="278"/>
      <c r="AX174" s="278"/>
    </row>
    <row r="175" spans="1:50">
      <c r="A175" s="1" t="s">
        <v>2769</v>
      </c>
      <c r="B175" s="1" t="s">
        <v>3</v>
      </c>
      <c r="C175" t="s">
        <v>3723</v>
      </c>
      <c r="D175" t="s">
        <v>3728</v>
      </c>
      <c r="E175" t="s">
        <v>3893</v>
      </c>
      <c r="F175">
        <v>2014</v>
      </c>
      <c r="G175" t="s">
        <v>3908</v>
      </c>
      <c r="H175">
        <v>511100</v>
      </c>
      <c r="I175">
        <v>0</v>
      </c>
      <c r="J175">
        <v>13.92</v>
      </c>
      <c r="K175">
        <v>17130.62</v>
      </c>
      <c r="L175">
        <v>1165.92</v>
      </c>
      <c r="M175">
        <v>0</v>
      </c>
      <c r="N175">
        <v>0</v>
      </c>
      <c r="O175">
        <v>0</v>
      </c>
      <c r="P175">
        <v>0</v>
      </c>
      <c r="Q175">
        <v>-18310.46</v>
      </c>
      <c r="R175">
        <v>0</v>
      </c>
      <c r="S175">
        <v>0</v>
      </c>
      <c r="T175">
        <v>0</v>
      </c>
      <c r="U175" s="8">
        <v>0</v>
      </c>
      <c r="V175" s="243" t="str">
        <f t="shared" si="20"/>
        <v>511</v>
      </c>
      <c r="W175" s="240">
        <f t="shared" si="21"/>
        <v>-13.919999999998254</v>
      </c>
      <c r="X175" s="243">
        <f t="shared" si="22"/>
        <v>0</v>
      </c>
      <c r="Y175" s="255">
        <f>$W175*SUMIF('KU-LGE Rating'!$R:$R,$D175,'KU-LGE Rating'!F:F)</f>
        <v>-13.919999999998254</v>
      </c>
      <c r="Z175" s="256">
        <f>$W175*SUMIF('KU-LGE Rating'!$R:$R,$D175,'KU-LGE Rating'!G:G)</f>
        <v>0</v>
      </c>
      <c r="AA175" s="257">
        <f t="shared" si="18"/>
        <v>-13.919999999998254</v>
      </c>
      <c r="AB175" s="255">
        <f>$X175*SUMIF('KU-LGE Rating'!$R:$R,$D175,'KU-LGE Rating'!F:F)</f>
        <v>0</v>
      </c>
      <c r="AC175" s="256">
        <f>$X175*SUMIF('KU-LGE Rating'!$R:$R,$D175,'KU-LGE Rating'!G:G)</f>
        <v>0</v>
      </c>
      <c r="AD175" s="257">
        <f t="shared" si="19"/>
        <v>0</v>
      </c>
      <c r="AE175" s="274">
        <f>IF($F175=AE$1,$U175,0)*SUMIF('KU-LGE Rating'!$R:$R,$D175,'KU-LGE Rating'!$F:$F)</f>
        <v>0</v>
      </c>
      <c r="AF175" s="274">
        <f>IF($F175=AE$1,$U175,0)*SUMIF('KU-LGE Rating'!$R:$R,$D175,'KU-LGE Rating'!$G:$G)</f>
        <v>0</v>
      </c>
      <c r="AG175" s="240">
        <f t="shared" si="23"/>
        <v>0</v>
      </c>
      <c r="AH175" s="256">
        <f>IF($F175=AH$1,$U175,0)*SUMIF('KU-LGE Rating'!$R:$R,$D175,'KU-LGE Rating'!$F:$F)</f>
        <v>0</v>
      </c>
      <c r="AI175" s="256">
        <f>IF($F175=AH$1,$U175,0)*SUMIF('KU-LGE Rating'!$R:$R,$D175,'KU-LGE Rating'!$G:$G)</f>
        <v>0</v>
      </c>
      <c r="AJ175" s="240">
        <f t="shared" si="24"/>
        <v>0</v>
      </c>
      <c r="AK175" s="256">
        <f>IF($F175=AK$1,$U175,0)*SUMIF('KU-LGE Rating'!$R:$R,$D175,'KU-LGE Rating'!$F:$F)</f>
        <v>0</v>
      </c>
      <c r="AL175" s="256">
        <f>IF($F175=AK$1,$U175,0)*SUMIF('KU-LGE Rating'!$R:$R,$D175,'KU-LGE Rating'!$G:$G)</f>
        <v>0</v>
      </c>
      <c r="AM175" s="240">
        <f t="shared" si="25"/>
        <v>0</v>
      </c>
      <c r="AN175" s="256">
        <f>IF($F175=AN$1,$U175,0)*SUMIF('KU-LGE Rating'!$R:$R,$D175,'KU-LGE Rating'!$F:$F)</f>
        <v>0</v>
      </c>
      <c r="AO175" s="256">
        <f>IF($F175=AN$1,$U175,0)*SUMIF('KU-LGE Rating'!$R:$R,$D175,'KU-LGE Rating'!$G:$G)</f>
        <v>0</v>
      </c>
      <c r="AP175" s="240">
        <f t="shared" si="26"/>
        <v>0</v>
      </c>
      <c r="AQ175" s="277"/>
      <c r="AR175" s="277"/>
      <c r="AV175" s="278"/>
      <c r="AW175" s="278"/>
      <c r="AX175" s="278"/>
    </row>
    <row r="176" spans="1:50">
      <c r="A176" s="1" t="s">
        <v>2769</v>
      </c>
      <c r="B176" s="1" t="s">
        <v>3</v>
      </c>
      <c r="C176" t="s">
        <v>3723</v>
      </c>
      <c r="D176" t="s">
        <v>3728</v>
      </c>
      <c r="E176" t="s">
        <v>3893</v>
      </c>
      <c r="F176">
        <v>2014</v>
      </c>
      <c r="G176" t="s">
        <v>3908</v>
      </c>
      <c r="H176">
        <v>512005</v>
      </c>
      <c r="I176">
        <v>0</v>
      </c>
      <c r="J176">
        <v>1811</v>
      </c>
      <c r="K176">
        <v>30374.86</v>
      </c>
      <c r="L176">
        <v>5643.44</v>
      </c>
      <c r="M176">
        <v>0</v>
      </c>
      <c r="N176">
        <v>0</v>
      </c>
      <c r="O176">
        <v>0</v>
      </c>
      <c r="P176">
        <v>0</v>
      </c>
      <c r="Q176">
        <v>-37829.300000000003</v>
      </c>
      <c r="R176">
        <v>0</v>
      </c>
      <c r="S176">
        <v>0</v>
      </c>
      <c r="T176">
        <v>0</v>
      </c>
      <c r="U176" s="8">
        <v>0</v>
      </c>
      <c r="V176" s="243" t="str">
        <f t="shared" si="20"/>
        <v>512</v>
      </c>
      <c r="W176" s="240">
        <f t="shared" si="21"/>
        <v>-1811</v>
      </c>
      <c r="X176" s="243">
        <f t="shared" si="22"/>
        <v>0</v>
      </c>
      <c r="Y176" s="255">
        <f>$W176*SUMIF('KU-LGE Rating'!$R:$R,$D176,'KU-LGE Rating'!F:F)</f>
        <v>-1811</v>
      </c>
      <c r="Z176" s="256">
        <f>$W176*SUMIF('KU-LGE Rating'!$R:$R,$D176,'KU-LGE Rating'!G:G)</f>
        <v>0</v>
      </c>
      <c r="AA176" s="257">
        <f t="shared" ref="AA176:AA230" si="27">Y176+Z176</f>
        <v>-1811</v>
      </c>
      <c r="AB176" s="255">
        <f>$X176*SUMIF('KU-LGE Rating'!$R:$R,$D176,'KU-LGE Rating'!F:F)</f>
        <v>0</v>
      </c>
      <c r="AC176" s="256">
        <f>$X176*SUMIF('KU-LGE Rating'!$R:$R,$D176,'KU-LGE Rating'!G:G)</f>
        <v>0</v>
      </c>
      <c r="AD176" s="257">
        <f t="shared" ref="AD176:AD230" si="28">AB176+AC176</f>
        <v>0</v>
      </c>
      <c r="AE176" s="274">
        <f>IF($F176=AE$1,$U176,0)*SUMIF('KU-LGE Rating'!$R:$R,$D176,'KU-LGE Rating'!$F:$F)</f>
        <v>0</v>
      </c>
      <c r="AF176" s="274">
        <f>IF($F176=AE$1,$U176,0)*SUMIF('KU-LGE Rating'!$R:$R,$D176,'KU-LGE Rating'!$G:$G)</f>
        <v>0</v>
      </c>
      <c r="AG176" s="240">
        <f t="shared" si="23"/>
        <v>0</v>
      </c>
      <c r="AH176" s="256">
        <f>IF($F176=AH$1,$U176,0)*SUMIF('KU-LGE Rating'!$R:$R,$D176,'KU-LGE Rating'!$F:$F)</f>
        <v>0</v>
      </c>
      <c r="AI176" s="256">
        <f>IF($F176=AH$1,$U176,0)*SUMIF('KU-LGE Rating'!$R:$R,$D176,'KU-LGE Rating'!$G:$G)</f>
        <v>0</v>
      </c>
      <c r="AJ176" s="240">
        <f t="shared" si="24"/>
        <v>0</v>
      </c>
      <c r="AK176" s="256">
        <f>IF($F176=AK$1,$U176,0)*SUMIF('KU-LGE Rating'!$R:$R,$D176,'KU-LGE Rating'!$F:$F)</f>
        <v>0</v>
      </c>
      <c r="AL176" s="256">
        <f>IF($F176=AK$1,$U176,0)*SUMIF('KU-LGE Rating'!$R:$R,$D176,'KU-LGE Rating'!$G:$G)</f>
        <v>0</v>
      </c>
      <c r="AM176" s="240">
        <f t="shared" si="25"/>
        <v>0</v>
      </c>
      <c r="AN176" s="256">
        <f>IF($F176=AN$1,$U176,0)*SUMIF('KU-LGE Rating'!$R:$R,$D176,'KU-LGE Rating'!$F:$F)</f>
        <v>0</v>
      </c>
      <c r="AO176" s="256">
        <f>IF($F176=AN$1,$U176,0)*SUMIF('KU-LGE Rating'!$R:$R,$D176,'KU-LGE Rating'!$G:$G)</f>
        <v>0</v>
      </c>
      <c r="AP176" s="240">
        <f t="shared" si="26"/>
        <v>0</v>
      </c>
      <c r="AQ176" s="277"/>
      <c r="AR176" s="277"/>
      <c r="AV176" s="278"/>
      <c r="AW176" s="278"/>
      <c r="AX176" s="278"/>
    </row>
    <row r="177" spans="1:50">
      <c r="A177" s="1" t="s">
        <v>2769</v>
      </c>
      <c r="B177" s="1" t="s">
        <v>3</v>
      </c>
      <c r="C177" t="s">
        <v>3723</v>
      </c>
      <c r="D177" t="s">
        <v>3728</v>
      </c>
      <c r="E177" t="s">
        <v>3893</v>
      </c>
      <c r="F177">
        <v>2014</v>
      </c>
      <c r="G177" t="s">
        <v>3908</v>
      </c>
      <c r="H177">
        <v>512011</v>
      </c>
      <c r="I177">
        <v>0</v>
      </c>
      <c r="J177">
        <v>0</v>
      </c>
      <c r="K177">
        <v>63464.6</v>
      </c>
      <c r="L177">
        <v>-332.89</v>
      </c>
      <c r="M177">
        <v>0</v>
      </c>
      <c r="N177">
        <v>0</v>
      </c>
      <c r="O177">
        <v>0</v>
      </c>
      <c r="P177">
        <v>0</v>
      </c>
      <c r="Q177">
        <v>-63131.71</v>
      </c>
      <c r="R177">
        <v>0</v>
      </c>
      <c r="S177">
        <v>0</v>
      </c>
      <c r="T177">
        <v>0</v>
      </c>
      <c r="U177" s="8">
        <v>0</v>
      </c>
      <c r="V177" s="243" t="str">
        <f t="shared" si="20"/>
        <v>512</v>
      </c>
      <c r="W177" s="240">
        <f t="shared" si="21"/>
        <v>0</v>
      </c>
      <c r="X177" s="243">
        <f t="shared" si="22"/>
        <v>0</v>
      </c>
      <c r="Y177" s="255">
        <f>$W177*SUMIF('KU-LGE Rating'!$R:$R,$D177,'KU-LGE Rating'!F:F)</f>
        <v>0</v>
      </c>
      <c r="Z177" s="256">
        <f>$W177*SUMIF('KU-LGE Rating'!$R:$R,$D177,'KU-LGE Rating'!G:G)</f>
        <v>0</v>
      </c>
      <c r="AA177" s="257">
        <f t="shared" si="27"/>
        <v>0</v>
      </c>
      <c r="AB177" s="255">
        <f>$X177*SUMIF('KU-LGE Rating'!$R:$R,$D177,'KU-LGE Rating'!F:F)</f>
        <v>0</v>
      </c>
      <c r="AC177" s="256">
        <f>$X177*SUMIF('KU-LGE Rating'!$R:$R,$D177,'KU-LGE Rating'!G:G)</f>
        <v>0</v>
      </c>
      <c r="AD177" s="257">
        <f t="shared" si="28"/>
        <v>0</v>
      </c>
      <c r="AE177" s="274">
        <f>IF($F177=AE$1,$U177,0)*SUMIF('KU-LGE Rating'!$R:$R,$D177,'KU-LGE Rating'!$F:$F)</f>
        <v>0</v>
      </c>
      <c r="AF177" s="274">
        <f>IF($F177=AE$1,$U177,0)*SUMIF('KU-LGE Rating'!$R:$R,$D177,'KU-LGE Rating'!$G:$G)</f>
        <v>0</v>
      </c>
      <c r="AG177" s="240">
        <f t="shared" si="23"/>
        <v>0</v>
      </c>
      <c r="AH177" s="256">
        <f>IF($F177=AH$1,$U177,0)*SUMIF('KU-LGE Rating'!$R:$R,$D177,'KU-LGE Rating'!$F:$F)</f>
        <v>0</v>
      </c>
      <c r="AI177" s="256">
        <f>IF($F177=AH$1,$U177,0)*SUMIF('KU-LGE Rating'!$R:$R,$D177,'KU-LGE Rating'!$G:$G)</f>
        <v>0</v>
      </c>
      <c r="AJ177" s="240">
        <f t="shared" si="24"/>
        <v>0</v>
      </c>
      <c r="AK177" s="256">
        <f>IF($F177=AK$1,$U177,0)*SUMIF('KU-LGE Rating'!$R:$R,$D177,'KU-LGE Rating'!$F:$F)</f>
        <v>0</v>
      </c>
      <c r="AL177" s="256">
        <f>IF($F177=AK$1,$U177,0)*SUMIF('KU-LGE Rating'!$R:$R,$D177,'KU-LGE Rating'!$G:$G)</f>
        <v>0</v>
      </c>
      <c r="AM177" s="240">
        <f t="shared" si="25"/>
        <v>0</v>
      </c>
      <c r="AN177" s="256">
        <f>IF($F177=AN$1,$U177,0)*SUMIF('KU-LGE Rating'!$R:$R,$D177,'KU-LGE Rating'!$F:$F)</f>
        <v>0</v>
      </c>
      <c r="AO177" s="256">
        <f>IF($F177=AN$1,$U177,0)*SUMIF('KU-LGE Rating'!$R:$R,$D177,'KU-LGE Rating'!$G:$G)</f>
        <v>0</v>
      </c>
      <c r="AP177" s="240">
        <f t="shared" si="26"/>
        <v>0</v>
      </c>
      <c r="AQ177" s="277"/>
      <c r="AR177" s="277"/>
      <c r="AV177" s="278"/>
      <c r="AW177" s="278"/>
      <c r="AX177" s="278"/>
    </row>
    <row r="178" spans="1:50">
      <c r="A178" s="1" t="s">
        <v>2769</v>
      </c>
      <c r="B178" s="1" t="s">
        <v>3</v>
      </c>
      <c r="C178" t="s">
        <v>3723</v>
      </c>
      <c r="D178" t="s">
        <v>3728</v>
      </c>
      <c r="E178" t="s">
        <v>3893</v>
      </c>
      <c r="F178">
        <v>2014</v>
      </c>
      <c r="G178" t="s">
        <v>3908</v>
      </c>
      <c r="H178">
        <v>512017</v>
      </c>
      <c r="I178">
        <v>0</v>
      </c>
      <c r="J178">
        <v>1701.13</v>
      </c>
      <c r="K178">
        <v>55828.85</v>
      </c>
      <c r="L178">
        <v>1859.69</v>
      </c>
      <c r="M178">
        <v>269.64999999999998</v>
      </c>
      <c r="N178">
        <v>0</v>
      </c>
      <c r="O178">
        <v>0</v>
      </c>
      <c r="P178">
        <v>0</v>
      </c>
      <c r="Q178">
        <v>-59659.32</v>
      </c>
      <c r="R178">
        <v>0</v>
      </c>
      <c r="S178">
        <v>0</v>
      </c>
      <c r="T178">
        <v>0</v>
      </c>
      <c r="U178" s="8">
        <v>0</v>
      </c>
      <c r="V178" s="243" t="str">
        <f t="shared" si="20"/>
        <v>512</v>
      </c>
      <c r="W178" s="240">
        <f t="shared" si="21"/>
        <v>-1701.1299999999974</v>
      </c>
      <c r="X178" s="243">
        <f t="shared" si="22"/>
        <v>0</v>
      </c>
      <c r="Y178" s="255">
        <f>$W178*SUMIF('KU-LGE Rating'!$R:$R,$D178,'KU-LGE Rating'!F:F)</f>
        <v>-1701.1299999999974</v>
      </c>
      <c r="Z178" s="256">
        <f>$W178*SUMIF('KU-LGE Rating'!$R:$R,$D178,'KU-LGE Rating'!G:G)</f>
        <v>0</v>
      </c>
      <c r="AA178" s="257">
        <f t="shared" si="27"/>
        <v>-1701.1299999999974</v>
      </c>
      <c r="AB178" s="255">
        <f>$X178*SUMIF('KU-LGE Rating'!$R:$R,$D178,'KU-LGE Rating'!F:F)</f>
        <v>0</v>
      </c>
      <c r="AC178" s="256">
        <f>$X178*SUMIF('KU-LGE Rating'!$R:$R,$D178,'KU-LGE Rating'!G:G)</f>
        <v>0</v>
      </c>
      <c r="AD178" s="257">
        <f t="shared" si="28"/>
        <v>0</v>
      </c>
      <c r="AE178" s="274">
        <f>IF($F178=AE$1,$U178,0)*SUMIF('KU-LGE Rating'!$R:$R,$D178,'KU-LGE Rating'!$F:$F)</f>
        <v>0</v>
      </c>
      <c r="AF178" s="274">
        <f>IF($F178=AE$1,$U178,0)*SUMIF('KU-LGE Rating'!$R:$R,$D178,'KU-LGE Rating'!$G:$G)</f>
        <v>0</v>
      </c>
      <c r="AG178" s="240">
        <f t="shared" si="23"/>
        <v>0</v>
      </c>
      <c r="AH178" s="256">
        <f>IF($F178=AH$1,$U178,0)*SUMIF('KU-LGE Rating'!$R:$R,$D178,'KU-LGE Rating'!$F:$F)</f>
        <v>0</v>
      </c>
      <c r="AI178" s="256">
        <f>IF($F178=AH$1,$U178,0)*SUMIF('KU-LGE Rating'!$R:$R,$D178,'KU-LGE Rating'!$G:$G)</f>
        <v>0</v>
      </c>
      <c r="AJ178" s="240">
        <f t="shared" si="24"/>
        <v>0</v>
      </c>
      <c r="AK178" s="256">
        <f>IF($F178=AK$1,$U178,0)*SUMIF('KU-LGE Rating'!$R:$R,$D178,'KU-LGE Rating'!$F:$F)</f>
        <v>0</v>
      </c>
      <c r="AL178" s="256">
        <f>IF($F178=AK$1,$U178,0)*SUMIF('KU-LGE Rating'!$R:$R,$D178,'KU-LGE Rating'!$G:$G)</f>
        <v>0</v>
      </c>
      <c r="AM178" s="240">
        <f t="shared" si="25"/>
        <v>0</v>
      </c>
      <c r="AN178" s="256">
        <f>IF($F178=AN$1,$U178,0)*SUMIF('KU-LGE Rating'!$R:$R,$D178,'KU-LGE Rating'!$F:$F)</f>
        <v>0</v>
      </c>
      <c r="AO178" s="256">
        <f>IF($F178=AN$1,$U178,0)*SUMIF('KU-LGE Rating'!$R:$R,$D178,'KU-LGE Rating'!$G:$G)</f>
        <v>0</v>
      </c>
      <c r="AP178" s="240">
        <f t="shared" si="26"/>
        <v>0</v>
      </c>
      <c r="AQ178" s="277"/>
      <c r="AR178" s="277"/>
      <c r="AV178" s="278"/>
      <c r="AW178" s="278"/>
      <c r="AX178" s="278"/>
    </row>
    <row r="179" spans="1:50">
      <c r="A179" s="1" t="s">
        <v>2769</v>
      </c>
      <c r="B179" s="1" t="s">
        <v>3</v>
      </c>
      <c r="C179" t="s">
        <v>3723</v>
      </c>
      <c r="D179" t="s">
        <v>3728</v>
      </c>
      <c r="E179" t="s">
        <v>3893</v>
      </c>
      <c r="F179">
        <v>2014</v>
      </c>
      <c r="G179" t="s">
        <v>3908</v>
      </c>
      <c r="H179">
        <v>512100</v>
      </c>
      <c r="I179">
        <v>92925.27</v>
      </c>
      <c r="J179">
        <v>40106.629999999997</v>
      </c>
      <c r="K179">
        <v>1024815.63</v>
      </c>
      <c r="L179">
        <v>-27188.48</v>
      </c>
      <c r="M179">
        <v>-29000</v>
      </c>
      <c r="N179">
        <v>-1979.45</v>
      </c>
      <c r="O179">
        <v>0</v>
      </c>
      <c r="P179">
        <v>0</v>
      </c>
      <c r="Q179">
        <v>562979.36</v>
      </c>
      <c r="R179">
        <v>0</v>
      </c>
      <c r="S179">
        <v>0</v>
      </c>
      <c r="T179">
        <v>0</v>
      </c>
      <c r="U179" s="8">
        <v>1662658.96</v>
      </c>
      <c r="V179" s="243" t="str">
        <f t="shared" si="20"/>
        <v>512</v>
      </c>
      <c r="W179" s="240">
        <f t="shared" si="21"/>
        <v>1529627.06</v>
      </c>
      <c r="X179" s="243">
        <f t="shared" si="22"/>
        <v>0</v>
      </c>
      <c r="Y179" s="255">
        <f>$W179*SUMIF('KU-LGE Rating'!$R:$R,$D179,'KU-LGE Rating'!F:F)</f>
        <v>1529627.06</v>
      </c>
      <c r="Z179" s="256">
        <f>$W179*SUMIF('KU-LGE Rating'!$R:$R,$D179,'KU-LGE Rating'!G:G)</f>
        <v>0</v>
      </c>
      <c r="AA179" s="257">
        <f t="shared" si="27"/>
        <v>1529627.06</v>
      </c>
      <c r="AB179" s="255">
        <f>$X179*SUMIF('KU-LGE Rating'!$R:$R,$D179,'KU-LGE Rating'!F:F)</f>
        <v>0</v>
      </c>
      <c r="AC179" s="256">
        <f>$X179*SUMIF('KU-LGE Rating'!$R:$R,$D179,'KU-LGE Rating'!G:G)</f>
        <v>0</v>
      </c>
      <c r="AD179" s="257">
        <f t="shared" si="28"/>
        <v>0</v>
      </c>
      <c r="AE179" s="274">
        <f>IF($F179=AE$1,$U179,0)*SUMIF('KU-LGE Rating'!$R:$R,$D179,'KU-LGE Rating'!$F:$F)</f>
        <v>1662658.96</v>
      </c>
      <c r="AF179" s="274">
        <f>IF($F179=AE$1,$U179,0)*SUMIF('KU-LGE Rating'!$R:$R,$D179,'KU-LGE Rating'!$G:$G)</f>
        <v>0</v>
      </c>
      <c r="AG179" s="240">
        <f t="shared" si="23"/>
        <v>1662658.96</v>
      </c>
      <c r="AH179" s="256">
        <f>IF($F179=AH$1,$U179,0)*SUMIF('KU-LGE Rating'!$R:$R,$D179,'KU-LGE Rating'!$F:$F)</f>
        <v>0</v>
      </c>
      <c r="AI179" s="256">
        <f>IF($F179=AH$1,$U179,0)*SUMIF('KU-LGE Rating'!$R:$R,$D179,'KU-LGE Rating'!$G:$G)</f>
        <v>0</v>
      </c>
      <c r="AJ179" s="240">
        <f t="shared" si="24"/>
        <v>0</v>
      </c>
      <c r="AK179" s="256">
        <f>IF($F179=AK$1,$U179,0)*SUMIF('KU-LGE Rating'!$R:$R,$D179,'KU-LGE Rating'!$F:$F)</f>
        <v>0</v>
      </c>
      <c r="AL179" s="256">
        <f>IF($F179=AK$1,$U179,0)*SUMIF('KU-LGE Rating'!$R:$R,$D179,'KU-LGE Rating'!$G:$G)</f>
        <v>0</v>
      </c>
      <c r="AM179" s="240">
        <f t="shared" si="25"/>
        <v>0</v>
      </c>
      <c r="AN179" s="256">
        <f>IF($F179=AN$1,$U179,0)*SUMIF('KU-LGE Rating'!$R:$R,$D179,'KU-LGE Rating'!$F:$F)</f>
        <v>0</v>
      </c>
      <c r="AO179" s="256">
        <f>IF($F179=AN$1,$U179,0)*SUMIF('KU-LGE Rating'!$R:$R,$D179,'KU-LGE Rating'!$G:$G)</f>
        <v>0</v>
      </c>
      <c r="AP179" s="240">
        <f t="shared" si="26"/>
        <v>0</v>
      </c>
      <c r="AQ179" s="277"/>
      <c r="AR179" s="277"/>
      <c r="AV179" s="278"/>
      <c r="AW179" s="278"/>
      <c r="AX179" s="278"/>
    </row>
    <row r="180" spans="1:50">
      <c r="A180" s="1" t="s">
        <v>2769</v>
      </c>
      <c r="B180" s="1" t="s">
        <v>3</v>
      </c>
      <c r="C180" t="s">
        <v>3723</v>
      </c>
      <c r="D180" t="s">
        <v>3728</v>
      </c>
      <c r="E180" t="s">
        <v>3893</v>
      </c>
      <c r="F180">
        <v>2014</v>
      </c>
      <c r="G180" t="s">
        <v>3908</v>
      </c>
      <c r="H180">
        <v>512102</v>
      </c>
      <c r="I180">
        <v>0</v>
      </c>
      <c r="J180">
        <v>0</v>
      </c>
      <c r="K180">
        <v>403.98</v>
      </c>
      <c r="L180">
        <v>-3.99</v>
      </c>
      <c r="M180">
        <v>0</v>
      </c>
      <c r="N180">
        <v>0</v>
      </c>
      <c r="O180">
        <v>0</v>
      </c>
      <c r="P180">
        <v>0</v>
      </c>
      <c r="Q180">
        <v>-399.99</v>
      </c>
      <c r="R180">
        <v>0</v>
      </c>
      <c r="S180">
        <v>0</v>
      </c>
      <c r="T180">
        <v>0</v>
      </c>
      <c r="U180" s="8">
        <v>0</v>
      </c>
      <c r="V180" s="243" t="str">
        <f t="shared" si="20"/>
        <v>512</v>
      </c>
      <c r="W180" s="240">
        <f t="shared" si="21"/>
        <v>0</v>
      </c>
      <c r="X180" s="243">
        <f t="shared" si="22"/>
        <v>0</v>
      </c>
      <c r="Y180" s="255">
        <f>$W180*SUMIF('KU-LGE Rating'!$R:$R,$D180,'KU-LGE Rating'!F:F)</f>
        <v>0</v>
      </c>
      <c r="Z180" s="256">
        <f>$W180*SUMIF('KU-LGE Rating'!$R:$R,$D180,'KU-LGE Rating'!G:G)</f>
        <v>0</v>
      </c>
      <c r="AA180" s="257">
        <f t="shared" si="27"/>
        <v>0</v>
      </c>
      <c r="AB180" s="255">
        <f>$X180*SUMIF('KU-LGE Rating'!$R:$R,$D180,'KU-LGE Rating'!F:F)</f>
        <v>0</v>
      </c>
      <c r="AC180" s="256">
        <f>$X180*SUMIF('KU-LGE Rating'!$R:$R,$D180,'KU-LGE Rating'!G:G)</f>
        <v>0</v>
      </c>
      <c r="AD180" s="257">
        <f t="shared" si="28"/>
        <v>0</v>
      </c>
      <c r="AE180" s="274">
        <f>IF($F180=AE$1,$U180,0)*SUMIF('KU-LGE Rating'!$R:$R,$D180,'KU-LGE Rating'!$F:$F)</f>
        <v>0</v>
      </c>
      <c r="AF180" s="274">
        <f>IF($F180=AE$1,$U180,0)*SUMIF('KU-LGE Rating'!$R:$R,$D180,'KU-LGE Rating'!$G:$G)</f>
        <v>0</v>
      </c>
      <c r="AG180" s="240">
        <f t="shared" si="23"/>
        <v>0</v>
      </c>
      <c r="AH180" s="256">
        <f>IF($F180=AH$1,$U180,0)*SUMIF('KU-LGE Rating'!$R:$R,$D180,'KU-LGE Rating'!$F:$F)</f>
        <v>0</v>
      </c>
      <c r="AI180" s="256">
        <f>IF($F180=AH$1,$U180,0)*SUMIF('KU-LGE Rating'!$R:$R,$D180,'KU-LGE Rating'!$G:$G)</f>
        <v>0</v>
      </c>
      <c r="AJ180" s="240">
        <f t="shared" si="24"/>
        <v>0</v>
      </c>
      <c r="AK180" s="256">
        <f>IF($F180=AK$1,$U180,0)*SUMIF('KU-LGE Rating'!$R:$R,$D180,'KU-LGE Rating'!$F:$F)</f>
        <v>0</v>
      </c>
      <c r="AL180" s="256">
        <f>IF($F180=AK$1,$U180,0)*SUMIF('KU-LGE Rating'!$R:$R,$D180,'KU-LGE Rating'!$G:$G)</f>
        <v>0</v>
      </c>
      <c r="AM180" s="240">
        <f t="shared" si="25"/>
        <v>0</v>
      </c>
      <c r="AN180" s="256">
        <f>IF($F180=AN$1,$U180,0)*SUMIF('KU-LGE Rating'!$R:$R,$D180,'KU-LGE Rating'!$F:$F)</f>
        <v>0</v>
      </c>
      <c r="AO180" s="256">
        <f>IF($F180=AN$1,$U180,0)*SUMIF('KU-LGE Rating'!$R:$R,$D180,'KU-LGE Rating'!$G:$G)</f>
        <v>0</v>
      </c>
      <c r="AP180" s="240">
        <f t="shared" si="26"/>
        <v>0</v>
      </c>
      <c r="AQ180" s="277"/>
      <c r="AR180" s="277"/>
      <c r="AV180" s="278"/>
      <c r="AW180" s="278"/>
      <c r="AX180" s="278"/>
    </row>
    <row r="181" spans="1:50">
      <c r="A181" s="1" t="s">
        <v>2769</v>
      </c>
      <c r="B181" s="1" t="s">
        <v>3</v>
      </c>
      <c r="C181" t="s">
        <v>3723</v>
      </c>
      <c r="D181" t="s">
        <v>3728</v>
      </c>
      <c r="E181" t="s">
        <v>3893</v>
      </c>
      <c r="F181">
        <v>2014</v>
      </c>
      <c r="G181" t="s">
        <v>3908</v>
      </c>
      <c r="H181">
        <v>513100</v>
      </c>
      <c r="I181">
        <v>9502.66</v>
      </c>
      <c r="J181">
        <v>34018.21</v>
      </c>
      <c r="K181">
        <v>263430.63</v>
      </c>
      <c r="L181">
        <v>-2404.31</v>
      </c>
      <c r="M181">
        <v>36615.519999999997</v>
      </c>
      <c r="N181">
        <v>7460.34</v>
      </c>
      <c r="O181">
        <v>0</v>
      </c>
      <c r="P181">
        <v>0</v>
      </c>
      <c r="Q181">
        <v>-348596.44</v>
      </c>
      <c r="R181">
        <v>0</v>
      </c>
      <c r="S181">
        <v>0</v>
      </c>
      <c r="T181">
        <v>0</v>
      </c>
      <c r="U181" s="8">
        <v>26.61</v>
      </c>
      <c r="V181" s="243" t="str">
        <f t="shared" si="20"/>
        <v>513</v>
      </c>
      <c r="W181" s="240">
        <f t="shared" si="21"/>
        <v>-43494.259999999951</v>
      </c>
      <c r="X181" s="243">
        <f t="shared" si="22"/>
        <v>0</v>
      </c>
      <c r="Y181" s="255">
        <f>$W181*SUMIF('KU-LGE Rating'!$R:$R,$D181,'KU-LGE Rating'!F:F)</f>
        <v>-43494.259999999951</v>
      </c>
      <c r="Z181" s="256">
        <f>$W181*SUMIF('KU-LGE Rating'!$R:$R,$D181,'KU-LGE Rating'!G:G)</f>
        <v>0</v>
      </c>
      <c r="AA181" s="257">
        <f t="shared" si="27"/>
        <v>-43494.259999999951</v>
      </c>
      <c r="AB181" s="255">
        <f>$X181*SUMIF('KU-LGE Rating'!$R:$R,$D181,'KU-LGE Rating'!F:F)</f>
        <v>0</v>
      </c>
      <c r="AC181" s="256">
        <f>$X181*SUMIF('KU-LGE Rating'!$R:$R,$D181,'KU-LGE Rating'!G:G)</f>
        <v>0</v>
      </c>
      <c r="AD181" s="257">
        <f t="shared" si="28"/>
        <v>0</v>
      </c>
      <c r="AE181" s="274">
        <f>IF($F181=AE$1,$U181,0)*SUMIF('KU-LGE Rating'!$R:$R,$D181,'KU-LGE Rating'!$F:$F)</f>
        <v>26.61</v>
      </c>
      <c r="AF181" s="274">
        <f>IF($F181=AE$1,$U181,0)*SUMIF('KU-LGE Rating'!$R:$R,$D181,'KU-LGE Rating'!$G:$G)</f>
        <v>0</v>
      </c>
      <c r="AG181" s="240">
        <f t="shared" si="23"/>
        <v>26.61</v>
      </c>
      <c r="AH181" s="256">
        <f>IF($F181=AH$1,$U181,0)*SUMIF('KU-LGE Rating'!$R:$R,$D181,'KU-LGE Rating'!$F:$F)</f>
        <v>0</v>
      </c>
      <c r="AI181" s="256">
        <f>IF($F181=AH$1,$U181,0)*SUMIF('KU-LGE Rating'!$R:$R,$D181,'KU-LGE Rating'!$G:$G)</f>
        <v>0</v>
      </c>
      <c r="AJ181" s="240">
        <f t="shared" si="24"/>
        <v>0</v>
      </c>
      <c r="AK181" s="256">
        <f>IF($F181=AK$1,$U181,0)*SUMIF('KU-LGE Rating'!$R:$R,$D181,'KU-LGE Rating'!$F:$F)</f>
        <v>0</v>
      </c>
      <c r="AL181" s="256">
        <f>IF($F181=AK$1,$U181,0)*SUMIF('KU-LGE Rating'!$R:$R,$D181,'KU-LGE Rating'!$G:$G)</f>
        <v>0</v>
      </c>
      <c r="AM181" s="240">
        <f t="shared" si="25"/>
        <v>0</v>
      </c>
      <c r="AN181" s="256">
        <f>IF($F181=AN$1,$U181,0)*SUMIF('KU-LGE Rating'!$R:$R,$D181,'KU-LGE Rating'!$F:$F)</f>
        <v>0</v>
      </c>
      <c r="AO181" s="256">
        <f>IF($F181=AN$1,$U181,0)*SUMIF('KU-LGE Rating'!$R:$R,$D181,'KU-LGE Rating'!$G:$G)</f>
        <v>0</v>
      </c>
      <c r="AP181" s="240">
        <f t="shared" si="26"/>
        <v>0</v>
      </c>
      <c r="AQ181" s="277"/>
      <c r="AR181" s="277"/>
      <c r="AV181" s="278"/>
      <c r="AW181" s="278"/>
      <c r="AX181" s="278"/>
    </row>
    <row r="182" spans="1:50">
      <c r="A182" s="1" t="s">
        <v>2769</v>
      </c>
      <c r="B182" s="1" t="s">
        <v>3</v>
      </c>
      <c r="C182" t="s">
        <v>3723</v>
      </c>
      <c r="D182" t="s">
        <v>3728</v>
      </c>
      <c r="E182" t="s">
        <v>3893</v>
      </c>
      <c r="F182">
        <v>2015</v>
      </c>
      <c r="G182" t="s">
        <v>3908</v>
      </c>
      <c r="H182">
        <v>512100</v>
      </c>
      <c r="I182">
        <v>0</v>
      </c>
      <c r="J182">
        <v>0</v>
      </c>
      <c r="K182">
        <v>0</v>
      </c>
      <c r="L182">
        <v>0</v>
      </c>
      <c r="M182">
        <v>699994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1725009</v>
      </c>
      <c r="T182">
        <v>0</v>
      </c>
      <c r="U182" s="8">
        <v>2425003</v>
      </c>
      <c r="V182" s="243" t="str">
        <f t="shared" si="20"/>
        <v>512</v>
      </c>
      <c r="W182" s="240">
        <f t="shared" si="21"/>
        <v>0</v>
      </c>
      <c r="X182" s="243">
        <f t="shared" si="22"/>
        <v>1725009</v>
      </c>
      <c r="Y182" s="255">
        <f>$W182*SUMIF('KU-LGE Rating'!$R:$R,$D182,'KU-LGE Rating'!F:F)</f>
        <v>0</v>
      </c>
      <c r="Z182" s="256">
        <f>$W182*SUMIF('KU-LGE Rating'!$R:$R,$D182,'KU-LGE Rating'!G:G)</f>
        <v>0</v>
      </c>
      <c r="AA182" s="257">
        <f t="shared" si="27"/>
        <v>0</v>
      </c>
      <c r="AB182" s="255">
        <f>$X182*SUMIF('KU-LGE Rating'!$R:$R,$D182,'KU-LGE Rating'!F:F)</f>
        <v>1725009</v>
      </c>
      <c r="AC182" s="256">
        <f>$X182*SUMIF('KU-LGE Rating'!$R:$R,$D182,'KU-LGE Rating'!G:G)</f>
        <v>0</v>
      </c>
      <c r="AD182" s="257">
        <f t="shared" si="28"/>
        <v>1725009</v>
      </c>
      <c r="AE182" s="274">
        <f>IF($F182=AE$1,$U182,0)*SUMIF('KU-LGE Rating'!$R:$R,$D182,'KU-LGE Rating'!$F:$F)</f>
        <v>0</v>
      </c>
      <c r="AF182" s="274">
        <f>IF($F182=AE$1,$U182,0)*SUMIF('KU-LGE Rating'!$R:$R,$D182,'KU-LGE Rating'!$G:$G)</f>
        <v>0</v>
      </c>
      <c r="AG182" s="240">
        <f t="shared" si="23"/>
        <v>0</v>
      </c>
      <c r="AH182" s="256">
        <f>IF($F182=AH$1,$U182,0)*SUMIF('KU-LGE Rating'!$R:$R,$D182,'KU-LGE Rating'!$F:$F)</f>
        <v>2425003</v>
      </c>
      <c r="AI182" s="256">
        <f>IF($F182=AH$1,$U182,0)*SUMIF('KU-LGE Rating'!$R:$R,$D182,'KU-LGE Rating'!$G:$G)</f>
        <v>0</v>
      </c>
      <c r="AJ182" s="240">
        <f t="shared" si="24"/>
        <v>2425003</v>
      </c>
      <c r="AK182" s="256">
        <f>IF($F182=AK$1,$U182,0)*SUMIF('KU-LGE Rating'!$R:$R,$D182,'KU-LGE Rating'!$F:$F)</f>
        <v>0</v>
      </c>
      <c r="AL182" s="256">
        <f>IF($F182=AK$1,$U182,0)*SUMIF('KU-LGE Rating'!$R:$R,$D182,'KU-LGE Rating'!$G:$G)</f>
        <v>0</v>
      </c>
      <c r="AM182" s="240">
        <f t="shared" si="25"/>
        <v>0</v>
      </c>
      <c r="AN182" s="256">
        <f>IF($F182=AN$1,$U182,0)*SUMIF('KU-LGE Rating'!$R:$R,$D182,'KU-LGE Rating'!$F:$F)</f>
        <v>0</v>
      </c>
      <c r="AO182" s="256">
        <f>IF($F182=AN$1,$U182,0)*SUMIF('KU-LGE Rating'!$R:$R,$D182,'KU-LGE Rating'!$G:$G)</f>
        <v>0</v>
      </c>
      <c r="AP182" s="240">
        <f t="shared" si="26"/>
        <v>0</v>
      </c>
      <c r="AQ182" s="277"/>
      <c r="AR182" s="277"/>
      <c r="AV182" s="278"/>
      <c r="AW182" s="278"/>
      <c r="AX182" s="278"/>
    </row>
    <row r="183" spans="1:50">
      <c r="A183" s="1" t="s">
        <v>2769</v>
      </c>
      <c r="B183" s="1" t="s">
        <v>3</v>
      </c>
      <c r="C183" t="s">
        <v>3723</v>
      </c>
      <c r="D183" t="s">
        <v>3728</v>
      </c>
      <c r="E183" t="s">
        <v>3893</v>
      </c>
      <c r="F183">
        <v>2015</v>
      </c>
      <c r="G183" t="s">
        <v>3908</v>
      </c>
      <c r="H183">
        <v>513100</v>
      </c>
      <c r="I183">
        <v>0</v>
      </c>
      <c r="J183">
        <v>0</v>
      </c>
      <c r="K183">
        <v>0</v>
      </c>
      <c r="L183">
        <v>0</v>
      </c>
      <c r="M183">
        <v>30005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44997</v>
      </c>
      <c r="T183">
        <v>0</v>
      </c>
      <c r="U183" s="8">
        <v>75002</v>
      </c>
      <c r="V183" s="243" t="str">
        <f t="shared" si="20"/>
        <v>513</v>
      </c>
      <c r="W183" s="240">
        <f t="shared" si="21"/>
        <v>0</v>
      </c>
      <c r="X183" s="243">
        <f t="shared" si="22"/>
        <v>44997</v>
      </c>
      <c r="Y183" s="255">
        <f>$W183*SUMIF('KU-LGE Rating'!$R:$R,$D183,'KU-LGE Rating'!F:F)</f>
        <v>0</v>
      </c>
      <c r="Z183" s="256">
        <f>$W183*SUMIF('KU-LGE Rating'!$R:$R,$D183,'KU-LGE Rating'!G:G)</f>
        <v>0</v>
      </c>
      <c r="AA183" s="257">
        <f t="shared" si="27"/>
        <v>0</v>
      </c>
      <c r="AB183" s="255">
        <f>$X183*SUMIF('KU-LGE Rating'!$R:$R,$D183,'KU-LGE Rating'!F:F)</f>
        <v>44997</v>
      </c>
      <c r="AC183" s="256">
        <f>$X183*SUMIF('KU-LGE Rating'!$R:$R,$D183,'KU-LGE Rating'!G:G)</f>
        <v>0</v>
      </c>
      <c r="AD183" s="257">
        <f t="shared" si="28"/>
        <v>44997</v>
      </c>
      <c r="AE183" s="274">
        <f>IF($F183=AE$1,$U183,0)*SUMIF('KU-LGE Rating'!$R:$R,$D183,'KU-LGE Rating'!$F:$F)</f>
        <v>0</v>
      </c>
      <c r="AF183" s="274">
        <f>IF($F183=AE$1,$U183,0)*SUMIF('KU-LGE Rating'!$R:$R,$D183,'KU-LGE Rating'!$G:$G)</f>
        <v>0</v>
      </c>
      <c r="AG183" s="240">
        <f t="shared" si="23"/>
        <v>0</v>
      </c>
      <c r="AH183" s="256">
        <f>IF($F183=AH$1,$U183,0)*SUMIF('KU-LGE Rating'!$R:$R,$D183,'KU-LGE Rating'!$F:$F)</f>
        <v>75002</v>
      </c>
      <c r="AI183" s="256">
        <f>IF($F183=AH$1,$U183,0)*SUMIF('KU-LGE Rating'!$R:$R,$D183,'KU-LGE Rating'!$G:$G)</f>
        <v>0</v>
      </c>
      <c r="AJ183" s="240">
        <f t="shared" si="24"/>
        <v>75002</v>
      </c>
      <c r="AK183" s="256">
        <f>IF($F183=AK$1,$U183,0)*SUMIF('KU-LGE Rating'!$R:$R,$D183,'KU-LGE Rating'!$F:$F)</f>
        <v>0</v>
      </c>
      <c r="AL183" s="256">
        <f>IF($F183=AK$1,$U183,0)*SUMIF('KU-LGE Rating'!$R:$R,$D183,'KU-LGE Rating'!$G:$G)</f>
        <v>0</v>
      </c>
      <c r="AM183" s="240">
        <f t="shared" si="25"/>
        <v>0</v>
      </c>
      <c r="AN183" s="256">
        <f>IF($F183=AN$1,$U183,0)*SUMIF('KU-LGE Rating'!$R:$R,$D183,'KU-LGE Rating'!$F:$F)</f>
        <v>0</v>
      </c>
      <c r="AO183" s="256">
        <f>IF($F183=AN$1,$U183,0)*SUMIF('KU-LGE Rating'!$R:$R,$D183,'KU-LGE Rating'!$G:$G)</f>
        <v>0</v>
      </c>
      <c r="AP183" s="240">
        <f t="shared" si="26"/>
        <v>0</v>
      </c>
      <c r="AQ183" s="277"/>
      <c r="AR183" s="277"/>
      <c r="AV183" s="278"/>
      <c r="AW183" s="278"/>
      <c r="AX183" s="278"/>
    </row>
    <row r="184" spans="1:50">
      <c r="A184" s="1" t="s">
        <v>2769</v>
      </c>
      <c r="B184" s="1" t="s">
        <v>3</v>
      </c>
      <c r="C184" t="s">
        <v>3723</v>
      </c>
      <c r="D184" t="s">
        <v>3728</v>
      </c>
      <c r="E184" t="s">
        <v>3893</v>
      </c>
      <c r="F184">
        <v>2016</v>
      </c>
      <c r="G184" t="s">
        <v>3908</v>
      </c>
      <c r="H184">
        <v>512100</v>
      </c>
      <c r="I184">
        <v>0</v>
      </c>
      <c r="J184">
        <v>0</v>
      </c>
      <c r="K184">
        <v>0</v>
      </c>
      <c r="L184">
        <v>2076998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8">
        <v>2076998</v>
      </c>
      <c r="V184" s="243" t="str">
        <f t="shared" si="20"/>
        <v>512</v>
      </c>
      <c r="W184" s="240">
        <f t="shared" si="21"/>
        <v>0</v>
      </c>
      <c r="X184" s="243">
        <f t="shared" si="22"/>
        <v>2076998</v>
      </c>
      <c r="Y184" s="255">
        <f>$W184*SUMIF('KU-LGE Rating'!$R:$R,$D184,'KU-LGE Rating'!F:F)</f>
        <v>0</v>
      </c>
      <c r="Z184" s="256">
        <f>$W184*SUMIF('KU-LGE Rating'!$R:$R,$D184,'KU-LGE Rating'!G:G)</f>
        <v>0</v>
      </c>
      <c r="AA184" s="257">
        <f t="shared" si="27"/>
        <v>0</v>
      </c>
      <c r="AB184" s="255">
        <f>$X184*SUMIF('KU-LGE Rating'!$R:$R,$D184,'KU-LGE Rating'!F:F)</f>
        <v>2076998</v>
      </c>
      <c r="AC184" s="256">
        <f>$X184*SUMIF('KU-LGE Rating'!$R:$R,$D184,'KU-LGE Rating'!G:G)</f>
        <v>0</v>
      </c>
      <c r="AD184" s="257">
        <f t="shared" si="28"/>
        <v>2076998</v>
      </c>
      <c r="AE184" s="274">
        <f>IF($F184=AE$1,$U184,0)*SUMIF('KU-LGE Rating'!$R:$R,$D184,'KU-LGE Rating'!$F:$F)</f>
        <v>0</v>
      </c>
      <c r="AF184" s="274">
        <f>IF($F184=AE$1,$U184,0)*SUMIF('KU-LGE Rating'!$R:$R,$D184,'KU-LGE Rating'!$G:$G)</f>
        <v>0</v>
      </c>
      <c r="AG184" s="240">
        <f t="shared" si="23"/>
        <v>0</v>
      </c>
      <c r="AH184" s="256">
        <f>IF($F184=AH$1,$U184,0)*SUMIF('KU-LGE Rating'!$R:$R,$D184,'KU-LGE Rating'!$F:$F)</f>
        <v>0</v>
      </c>
      <c r="AI184" s="256">
        <f>IF($F184=AH$1,$U184,0)*SUMIF('KU-LGE Rating'!$R:$R,$D184,'KU-LGE Rating'!$G:$G)</f>
        <v>0</v>
      </c>
      <c r="AJ184" s="240">
        <f t="shared" si="24"/>
        <v>0</v>
      </c>
      <c r="AK184" s="256">
        <f>IF($F184=AK$1,$U184,0)*SUMIF('KU-LGE Rating'!$R:$R,$D184,'KU-LGE Rating'!$F:$F)</f>
        <v>2076998</v>
      </c>
      <c r="AL184" s="256">
        <f>IF($F184=AK$1,$U184,0)*SUMIF('KU-LGE Rating'!$R:$R,$D184,'KU-LGE Rating'!$G:$G)</f>
        <v>0</v>
      </c>
      <c r="AM184" s="240">
        <f t="shared" si="25"/>
        <v>2076998</v>
      </c>
      <c r="AN184" s="256">
        <f>IF($F184=AN$1,$U184,0)*SUMIF('KU-LGE Rating'!$R:$R,$D184,'KU-LGE Rating'!$F:$F)</f>
        <v>0</v>
      </c>
      <c r="AO184" s="256">
        <f>IF($F184=AN$1,$U184,0)*SUMIF('KU-LGE Rating'!$R:$R,$D184,'KU-LGE Rating'!$G:$G)</f>
        <v>0</v>
      </c>
      <c r="AP184" s="240">
        <f t="shared" si="26"/>
        <v>0</v>
      </c>
      <c r="AQ184" s="277"/>
      <c r="AR184" s="277"/>
      <c r="AV184" s="278"/>
      <c r="AW184" s="278"/>
      <c r="AX184" s="278"/>
    </row>
    <row r="185" spans="1:50">
      <c r="A185" s="1" t="s">
        <v>2769</v>
      </c>
      <c r="B185" s="1" t="s">
        <v>3</v>
      </c>
      <c r="C185" t="s">
        <v>3723</v>
      </c>
      <c r="D185" t="s">
        <v>3728</v>
      </c>
      <c r="E185" t="s">
        <v>3893</v>
      </c>
      <c r="F185">
        <v>2016</v>
      </c>
      <c r="G185" t="s">
        <v>3908</v>
      </c>
      <c r="H185">
        <v>513100</v>
      </c>
      <c r="I185">
        <v>0</v>
      </c>
      <c r="J185">
        <v>0</v>
      </c>
      <c r="K185">
        <v>0</v>
      </c>
      <c r="L185">
        <v>920000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8">
        <v>920000</v>
      </c>
      <c r="V185" s="243" t="str">
        <f t="shared" si="20"/>
        <v>513</v>
      </c>
      <c r="W185" s="240">
        <f t="shared" si="21"/>
        <v>0</v>
      </c>
      <c r="X185" s="243">
        <f t="shared" si="22"/>
        <v>920000</v>
      </c>
      <c r="Y185" s="255">
        <f>$W185*SUMIF('KU-LGE Rating'!$R:$R,$D185,'KU-LGE Rating'!F:F)</f>
        <v>0</v>
      </c>
      <c r="Z185" s="256">
        <f>$W185*SUMIF('KU-LGE Rating'!$R:$R,$D185,'KU-LGE Rating'!G:G)</f>
        <v>0</v>
      </c>
      <c r="AA185" s="257">
        <f t="shared" si="27"/>
        <v>0</v>
      </c>
      <c r="AB185" s="255">
        <f>$X185*SUMIF('KU-LGE Rating'!$R:$R,$D185,'KU-LGE Rating'!F:F)</f>
        <v>920000</v>
      </c>
      <c r="AC185" s="256">
        <f>$X185*SUMIF('KU-LGE Rating'!$R:$R,$D185,'KU-LGE Rating'!G:G)</f>
        <v>0</v>
      </c>
      <c r="AD185" s="257">
        <f t="shared" si="28"/>
        <v>920000</v>
      </c>
      <c r="AE185" s="274">
        <f>IF($F185=AE$1,$U185,0)*SUMIF('KU-LGE Rating'!$R:$R,$D185,'KU-LGE Rating'!$F:$F)</f>
        <v>0</v>
      </c>
      <c r="AF185" s="274">
        <f>IF($F185=AE$1,$U185,0)*SUMIF('KU-LGE Rating'!$R:$R,$D185,'KU-LGE Rating'!$G:$G)</f>
        <v>0</v>
      </c>
      <c r="AG185" s="240">
        <f t="shared" si="23"/>
        <v>0</v>
      </c>
      <c r="AH185" s="256">
        <f>IF($F185=AH$1,$U185,0)*SUMIF('KU-LGE Rating'!$R:$R,$D185,'KU-LGE Rating'!$F:$F)</f>
        <v>0</v>
      </c>
      <c r="AI185" s="256">
        <f>IF($F185=AH$1,$U185,0)*SUMIF('KU-LGE Rating'!$R:$R,$D185,'KU-LGE Rating'!$G:$G)</f>
        <v>0</v>
      </c>
      <c r="AJ185" s="240">
        <f t="shared" si="24"/>
        <v>0</v>
      </c>
      <c r="AK185" s="256">
        <f>IF($F185=AK$1,$U185,0)*SUMIF('KU-LGE Rating'!$R:$R,$D185,'KU-LGE Rating'!$F:$F)</f>
        <v>920000</v>
      </c>
      <c r="AL185" s="256">
        <f>IF($F185=AK$1,$U185,0)*SUMIF('KU-LGE Rating'!$R:$R,$D185,'KU-LGE Rating'!$G:$G)</f>
        <v>0</v>
      </c>
      <c r="AM185" s="240">
        <f t="shared" si="25"/>
        <v>920000</v>
      </c>
      <c r="AN185" s="256">
        <f>IF($F185=AN$1,$U185,0)*SUMIF('KU-LGE Rating'!$R:$R,$D185,'KU-LGE Rating'!$F:$F)</f>
        <v>0</v>
      </c>
      <c r="AO185" s="256">
        <f>IF($F185=AN$1,$U185,0)*SUMIF('KU-LGE Rating'!$R:$R,$D185,'KU-LGE Rating'!$G:$G)</f>
        <v>0</v>
      </c>
      <c r="AP185" s="240">
        <f t="shared" si="26"/>
        <v>0</v>
      </c>
      <c r="AQ185" s="277"/>
      <c r="AR185" s="277"/>
      <c r="AV185" s="278"/>
      <c r="AW185" s="278"/>
      <c r="AX185" s="278"/>
    </row>
    <row r="186" spans="1:50">
      <c r="A186" s="1" t="s">
        <v>2769</v>
      </c>
      <c r="B186" s="1" t="s">
        <v>3</v>
      </c>
      <c r="C186" t="s">
        <v>3723</v>
      </c>
      <c r="D186" t="s">
        <v>3728</v>
      </c>
      <c r="E186" t="s">
        <v>3893</v>
      </c>
      <c r="F186">
        <v>2017</v>
      </c>
      <c r="G186" t="s">
        <v>3908</v>
      </c>
      <c r="H186">
        <v>512100</v>
      </c>
      <c r="I186">
        <v>0</v>
      </c>
      <c r="J186">
        <v>0</v>
      </c>
      <c r="K186">
        <v>1227001</v>
      </c>
      <c r="L186">
        <v>144994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8">
        <v>1371995</v>
      </c>
      <c r="V186" s="243" t="str">
        <f t="shared" si="20"/>
        <v>512</v>
      </c>
      <c r="W186" s="240">
        <f t="shared" si="21"/>
        <v>0</v>
      </c>
      <c r="X186" s="243">
        <f t="shared" si="22"/>
        <v>0</v>
      </c>
      <c r="Y186" s="255">
        <f>$W186*SUMIF('KU-LGE Rating'!$R:$R,$D186,'KU-LGE Rating'!F:F)</f>
        <v>0</v>
      </c>
      <c r="Z186" s="256">
        <f>$W186*SUMIF('KU-LGE Rating'!$R:$R,$D186,'KU-LGE Rating'!G:G)</f>
        <v>0</v>
      </c>
      <c r="AA186" s="257">
        <f t="shared" si="27"/>
        <v>0</v>
      </c>
      <c r="AB186" s="255">
        <f>$X186*SUMIF('KU-LGE Rating'!$R:$R,$D186,'KU-LGE Rating'!F:F)</f>
        <v>0</v>
      </c>
      <c r="AC186" s="256">
        <f>$X186*SUMIF('KU-LGE Rating'!$R:$R,$D186,'KU-LGE Rating'!G:G)</f>
        <v>0</v>
      </c>
      <c r="AD186" s="257">
        <f t="shared" si="28"/>
        <v>0</v>
      </c>
      <c r="AE186" s="274">
        <f>IF($F186=AE$1,$U186,0)*SUMIF('KU-LGE Rating'!$R:$R,$D186,'KU-LGE Rating'!$F:$F)</f>
        <v>0</v>
      </c>
      <c r="AF186" s="274">
        <f>IF($F186=AE$1,$U186,0)*SUMIF('KU-LGE Rating'!$R:$R,$D186,'KU-LGE Rating'!$G:$G)</f>
        <v>0</v>
      </c>
      <c r="AG186" s="240">
        <f t="shared" si="23"/>
        <v>0</v>
      </c>
      <c r="AH186" s="256">
        <f>IF($F186=AH$1,$U186,0)*SUMIF('KU-LGE Rating'!$R:$R,$D186,'KU-LGE Rating'!$F:$F)</f>
        <v>0</v>
      </c>
      <c r="AI186" s="256">
        <f>IF($F186=AH$1,$U186,0)*SUMIF('KU-LGE Rating'!$R:$R,$D186,'KU-LGE Rating'!$G:$G)</f>
        <v>0</v>
      </c>
      <c r="AJ186" s="240">
        <f t="shared" si="24"/>
        <v>0</v>
      </c>
      <c r="AK186" s="256">
        <f>IF($F186=AK$1,$U186,0)*SUMIF('KU-LGE Rating'!$R:$R,$D186,'KU-LGE Rating'!$F:$F)</f>
        <v>0</v>
      </c>
      <c r="AL186" s="256">
        <f>IF($F186=AK$1,$U186,0)*SUMIF('KU-LGE Rating'!$R:$R,$D186,'KU-LGE Rating'!$G:$G)</f>
        <v>0</v>
      </c>
      <c r="AM186" s="240">
        <f t="shared" si="25"/>
        <v>0</v>
      </c>
      <c r="AN186" s="256">
        <f>IF($F186=AN$1,$U186,0)*SUMIF('KU-LGE Rating'!$R:$R,$D186,'KU-LGE Rating'!$F:$F)</f>
        <v>1371995</v>
      </c>
      <c r="AO186" s="256">
        <f>IF($F186=AN$1,$U186,0)*SUMIF('KU-LGE Rating'!$R:$R,$D186,'KU-LGE Rating'!$G:$G)</f>
        <v>0</v>
      </c>
      <c r="AP186" s="240">
        <f t="shared" si="26"/>
        <v>1371995</v>
      </c>
      <c r="AQ186" s="277"/>
      <c r="AR186" s="277"/>
      <c r="AV186" s="278"/>
      <c r="AW186" s="278"/>
      <c r="AX186" s="278"/>
    </row>
    <row r="187" spans="1:50">
      <c r="A187" s="1" t="s">
        <v>2769</v>
      </c>
      <c r="B187" s="1" t="s">
        <v>3</v>
      </c>
      <c r="C187" t="s">
        <v>3723</v>
      </c>
      <c r="D187" t="s">
        <v>3728</v>
      </c>
      <c r="E187" t="s">
        <v>3893</v>
      </c>
      <c r="F187">
        <v>2017</v>
      </c>
      <c r="G187" t="s">
        <v>3908</v>
      </c>
      <c r="H187">
        <v>513100</v>
      </c>
      <c r="I187">
        <v>0</v>
      </c>
      <c r="J187">
        <v>0</v>
      </c>
      <c r="K187">
        <v>125002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 s="8">
        <v>125002</v>
      </c>
      <c r="V187" s="243" t="str">
        <f t="shared" si="20"/>
        <v>513</v>
      </c>
      <c r="W187" s="240">
        <f t="shared" si="21"/>
        <v>0</v>
      </c>
      <c r="X187" s="243">
        <f t="shared" si="22"/>
        <v>0</v>
      </c>
      <c r="Y187" s="255">
        <f>$W187*SUMIF('KU-LGE Rating'!$R:$R,$D187,'KU-LGE Rating'!F:F)</f>
        <v>0</v>
      </c>
      <c r="Z187" s="256">
        <f>$W187*SUMIF('KU-LGE Rating'!$R:$R,$D187,'KU-LGE Rating'!G:G)</f>
        <v>0</v>
      </c>
      <c r="AA187" s="257">
        <f t="shared" si="27"/>
        <v>0</v>
      </c>
      <c r="AB187" s="255">
        <f>$X187*SUMIF('KU-LGE Rating'!$R:$R,$D187,'KU-LGE Rating'!F:F)</f>
        <v>0</v>
      </c>
      <c r="AC187" s="256">
        <f>$X187*SUMIF('KU-LGE Rating'!$R:$R,$D187,'KU-LGE Rating'!G:G)</f>
        <v>0</v>
      </c>
      <c r="AD187" s="257">
        <f t="shared" si="28"/>
        <v>0</v>
      </c>
      <c r="AE187" s="274">
        <f>IF($F187=AE$1,$U187,0)*SUMIF('KU-LGE Rating'!$R:$R,$D187,'KU-LGE Rating'!$F:$F)</f>
        <v>0</v>
      </c>
      <c r="AF187" s="274">
        <f>IF($F187=AE$1,$U187,0)*SUMIF('KU-LGE Rating'!$R:$R,$D187,'KU-LGE Rating'!$G:$G)</f>
        <v>0</v>
      </c>
      <c r="AG187" s="240">
        <f t="shared" si="23"/>
        <v>0</v>
      </c>
      <c r="AH187" s="256">
        <f>IF($F187=AH$1,$U187,0)*SUMIF('KU-LGE Rating'!$R:$R,$D187,'KU-LGE Rating'!$F:$F)</f>
        <v>0</v>
      </c>
      <c r="AI187" s="256">
        <f>IF($F187=AH$1,$U187,0)*SUMIF('KU-LGE Rating'!$R:$R,$D187,'KU-LGE Rating'!$G:$G)</f>
        <v>0</v>
      </c>
      <c r="AJ187" s="240">
        <f t="shared" si="24"/>
        <v>0</v>
      </c>
      <c r="AK187" s="256">
        <f>IF($F187=AK$1,$U187,0)*SUMIF('KU-LGE Rating'!$R:$R,$D187,'KU-LGE Rating'!$F:$F)</f>
        <v>0</v>
      </c>
      <c r="AL187" s="256">
        <f>IF($F187=AK$1,$U187,0)*SUMIF('KU-LGE Rating'!$R:$R,$D187,'KU-LGE Rating'!$G:$G)</f>
        <v>0</v>
      </c>
      <c r="AM187" s="240">
        <f t="shared" si="25"/>
        <v>0</v>
      </c>
      <c r="AN187" s="256">
        <f>IF($F187=AN$1,$U187,0)*SUMIF('KU-LGE Rating'!$R:$R,$D187,'KU-LGE Rating'!$F:$F)</f>
        <v>125002</v>
      </c>
      <c r="AO187" s="256">
        <f>IF($F187=AN$1,$U187,0)*SUMIF('KU-LGE Rating'!$R:$R,$D187,'KU-LGE Rating'!$G:$G)</f>
        <v>0</v>
      </c>
      <c r="AP187" s="240">
        <f t="shared" si="26"/>
        <v>125002</v>
      </c>
      <c r="AQ187" s="277"/>
      <c r="AR187" s="277"/>
      <c r="AV187" s="278"/>
      <c r="AW187" s="278"/>
      <c r="AX187" s="278"/>
    </row>
    <row r="188" spans="1:50">
      <c r="A188" s="1" t="s">
        <v>2769</v>
      </c>
      <c r="B188" s="1" t="s">
        <v>3</v>
      </c>
      <c r="C188" t="s">
        <v>3723</v>
      </c>
      <c r="D188" t="s">
        <v>3729</v>
      </c>
      <c r="E188" t="s">
        <v>3893</v>
      </c>
      <c r="F188">
        <v>2014</v>
      </c>
      <c r="G188" t="s">
        <v>3908</v>
      </c>
      <c r="H188">
        <v>511100</v>
      </c>
      <c r="I188">
        <v>0</v>
      </c>
      <c r="J188">
        <v>0</v>
      </c>
      <c r="K188">
        <v>0</v>
      </c>
      <c r="L188">
        <v>2485.5</v>
      </c>
      <c r="M188">
        <v>2483.37</v>
      </c>
      <c r="N188">
        <v>216.08</v>
      </c>
      <c r="O188">
        <v>0</v>
      </c>
      <c r="P188">
        <v>0</v>
      </c>
      <c r="Q188">
        <v>-5184.95</v>
      </c>
      <c r="R188">
        <v>0</v>
      </c>
      <c r="S188">
        <v>0</v>
      </c>
      <c r="T188">
        <v>0</v>
      </c>
      <c r="U188" s="8">
        <v>0</v>
      </c>
      <c r="V188" s="243" t="str">
        <f t="shared" si="20"/>
        <v>511</v>
      </c>
      <c r="W188" s="240">
        <f t="shared" si="21"/>
        <v>0</v>
      </c>
      <c r="X188" s="243">
        <f t="shared" si="22"/>
        <v>0</v>
      </c>
      <c r="Y188" s="255">
        <f>$W188*SUMIF('KU-LGE Rating'!$R:$R,$D188,'KU-LGE Rating'!F:F)</f>
        <v>0</v>
      </c>
      <c r="Z188" s="256">
        <f>$W188*SUMIF('KU-LGE Rating'!$R:$R,$D188,'KU-LGE Rating'!G:G)</f>
        <v>0</v>
      </c>
      <c r="AA188" s="257">
        <f t="shared" si="27"/>
        <v>0</v>
      </c>
      <c r="AB188" s="255">
        <f>$X188*SUMIF('KU-LGE Rating'!$R:$R,$D188,'KU-LGE Rating'!F:F)</f>
        <v>0</v>
      </c>
      <c r="AC188" s="256">
        <f>$X188*SUMIF('KU-LGE Rating'!$R:$R,$D188,'KU-LGE Rating'!G:G)</f>
        <v>0</v>
      </c>
      <c r="AD188" s="257">
        <f t="shared" si="28"/>
        <v>0</v>
      </c>
      <c r="AE188" s="274">
        <f>IF($F188=AE$1,$U188,0)*SUMIF('KU-LGE Rating'!$R:$R,$D188,'KU-LGE Rating'!$F:$F)</f>
        <v>0</v>
      </c>
      <c r="AF188" s="274">
        <f>IF($F188=AE$1,$U188,0)*SUMIF('KU-LGE Rating'!$R:$R,$D188,'KU-LGE Rating'!$G:$G)</f>
        <v>0</v>
      </c>
      <c r="AG188" s="240">
        <f t="shared" si="23"/>
        <v>0</v>
      </c>
      <c r="AH188" s="256">
        <f>IF($F188=AH$1,$U188,0)*SUMIF('KU-LGE Rating'!$R:$R,$D188,'KU-LGE Rating'!$F:$F)</f>
        <v>0</v>
      </c>
      <c r="AI188" s="256">
        <f>IF($F188=AH$1,$U188,0)*SUMIF('KU-LGE Rating'!$R:$R,$D188,'KU-LGE Rating'!$G:$G)</f>
        <v>0</v>
      </c>
      <c r="AJ188" s="240">
        <f t="shared" si="24"/>
        <v>0</v>
      </c>
      <c r="AK188" s="256">
        <f>IF($F188=AK$1,$U188,0)*SUMIF('KU-LGE Rating'!$R:$R,$D188,'KU-LGE Rating'!$F:$F)</f>
        <v>0</v>
      </c>
      <c r="AL188" s="256">
        <f>IF($F188=AK$1,$U188,0)*SUMIF('KU-LGE Rating'!$R:$R,$D188,'KU-LGE Rating'!$G:$G)</f>
        <v>0</v>
      </c>
      <c r="AM188" s="240">
        <f t="shared" si="25"/>
        <v>0</v>
      </c>
      <c r="AN188" s="256">
        <f>IF($F188=AN$1,$U188,0)*SUMIF('KU-LGE Rating'!$R:$R,$D188,'KU-LGE Rating'!$F:$F)</f>
        <v>0</v>
      </c>
      <c r="AO188" s="256">
        <f>IF($F188=AN$1,$U188,0)*SUMIF('KU-LGE Rating'!$R:$R,$D188,'KU-LGE Rating'!$G:$G)</f>
        <v>0</v>
      </c>
      <c r="AP188" s="240">
        <f t="shared" si="26"/>
        <v>0</v>
      </c>
      <c r="AQ188" s="277"/>
      <c r="AR188" s="277"/>
      <c r="AV188" s="278"/>
      <c r="AW188" s="278"/>
      <c r="AX188" s="278"/>
    </row>
    <row r="189" spans="1:50">
      <c r="A189" s="1" t="s">
        <v>2769</v>
      </c>
      <c r="B189" s="1" t="s">
        <v>3</v>
      </c>
      <c r="C189" t="s">
        <v>3723</v>
      </c>
      <c r="D189" t="s">
        <v>3729</v>
      </c>
      <c r="E189" t="s">
        <v>3893</v>
      </c>
      <c r="F189">
        <v>2014</v>
      </c>
      <c r="G189" t="s">
        <v>3908</v>
      </c>
      <c r="H189">
        <v>512005</v>
      </c>
      <c r="I189">
        <v>0</v>
      </c>
      <c r="J189">
        <v>0</v>
      </c>
      <c r="K189">
        <v>3106.9</v>
      </c>
      <c r="L189">
        <v>258982.63</v>
      </c>
      <c r="M189">
        <v>190954.84</v>
      </c>
      <c r="N189">
        <v>21931.95</v>
      </c>
      <c r="O189">
        <v>2084.64</v>
      </c>
      <c r="P189">
        <v>0</v>
      </c>
      <c r="Q189">
        <v>-477060.96</v>
      </c>
      <c r="R189">
        <v>0</v>
      </c>
      <c r="S189">
        <v>0</v>
      </c>
      <c r="T189">
        <v>0</v>
      </c>
      <c r="U189" s="8">
        <v>0</v>
      </c>
      <c r="V189" s="243" t="str">
        <f t="shared" si="20"/>
        <v>512</v>
      </c>
      <c r="W189" s="240">
        <f t="shared" si="21"/>
        <v>0</v>
      </c>
      <c r="X189" s="243">
        <f t="shared" si="22"/>
        <v>0</v>
      </c>
      <c r="Y189" s="255">
        <f>$W189*SUMIF('KU-LGE Rating'!$R:$R,$D189,'KU-LGE Rating'!F:F)</f>
        <v>0</v>
      </c>
      <c r="Z189" s="256">
        <f>$W189*SUMIF('KU-LGE Rating'!$R:$R,$D189,'KU-LGE Rating'!G:G)</f>
        <v>0</v>
      </c>
      <c r="AA189" s="257">
        <f t="shared" si="27"/>
        <v>0</v>
      </c>
      <c r="AB189" s="255">
        <f>$X189*SUMIF('KU-LGE Rating'!$R:$R,$D189,'KU-LGE Rating'!F:F)</f>
        <v>0</v>
      </c>
      <c r="AC189" s="256">
        <f>$X189*SUMIF('KU-LGE Rating'!$R:$R,$D189,'KU-LGE Rating'!G:G)</f>
        <v>0</v>
      </c>
      <c r="AD189" s="257">
        <f t="shared" si="28"/>
        <v>0</v>
      </c>
      <c r="AE189" s="274">
        <f>IF($F189=AE$1,$U189,0)*SUMIF('KU-LGE Rating'!$R:$R,$D189,'KU-LGE Rating'!$F:$F)</f>
        <v>0</v>
      </c>
      <c r="AF189" s="274">
        <f>IF($F189=AE$1,$U189,0)*SUMIF('KU-LGE Rating'!$R:$R,$D189,'KU-LGE Rating'!$G:$G)</f>
        <v>0</v>
      </c>
      <c r="AG189" s="240">
        <f t="shared" si="23"/>
        <v>0</v>
      </c>
      <c r="AH189" s="256">
        <f>IF($F189=AH$1,$U189,0)*SUMIF('KU-LGE Rating'!$R:$R,$D189,'KU-LGE Rating'!$F:$F)</f>
        <v>0</v>
      </c>
      <c r="AI189" s="256">
        <f>IF($F189=AH$1,$U189,0)*SUMIF('KU-LGE Rating'!$R:$R,$D189,'KU-LGE Rating'!$G:$G)</f>
        <v>0</v>
      </c>
      <c r="AJ189" s="240">
        <f t="shared" si="24"/>
        <v>0</v>
      </c>
      <c r="AK189" s="256">
        <f>IF($F189=AK$1,$U189,0)*SUMIF('KU-LGE Rating'!$R:$R,$D189,'KU-LGE Rating'!$F:$F)</f>
        <v>0</v>
      </c>
      <c r="AL189" s="256">
        <f>IF($F189=AK$1,$U189,0)*SUMIF('KU-LGE Rating'!$R:$R,$D189,'KU-LGE Rating'!$G:$G)</f>
        <v>0</v>
      </c>
      <c r="AM189" s="240">
        <f t="shared" si="25"/>
        <v>0</v>
      </c>
      <c r="AN189" s="256">
        <f>IF($F189=AN$1,$U189,0)*SUMIF('KU-LGE Rating'!$R:$R,$D189,'KU-LGE Rating'!$F:$F)</f>
        <v>0</v>
      </c>
      <c r="AO189" s="256">
        <f>IF($F189=AN$1,$U189,0)*SUMIF('KU-LGE Rating'!$R:$R,$D189,'KU-LGE Rating'!$G:$G)</f>
        <v>0</v>
      </c>
      <c r="AP189" s="240">
        <f t="shared" si="26"/>
        <v>0</v>
      </c>
      <c r="AQ189" s="277"/>
      <c r="AR189" s="277"/>
      <c r="AV189" s="278"/>
      <c r="AW189" s="278"/>
      <c r="AX189" s="278"/>
    </row>
    <row r="190" spans="1:50">
      <c r="A190" s="1" t="s">
        <v>2769</v>
      </c>
      <c r="B190" s="1" t="s">
        <v>3</v>
      </c>
      <c r="C190" t="s">
        <v>3723</v>
      </c>
      <c r="D190" t="s">
        <v>3729</v>
      </c>
      <c r="E190" t="s">
        <v>3893</v>
      </c>
      <c r="F190">
        <v>2014</v>
      </c>
      <c r="G190" t="s">
        <v>3908</v>
      </c>
      <c r="H190">
        <v>512011</v>
      </c>
      <c r="I190">
        <v>0</v>
      </c>
      <c r="J190">
        <v>0</v>
      </c>
      <c r="K190">
        <v>0</v>
      </c>
      <c r="L190">
        <v>0</v>
      </c>
      <c r="M190">
        <v>53690.1</v>
      </c>
      <c r="N190">
        <v>5650</v>
      </c>
      <c r="O190">
        <v>0</v>
      </c>
      <c r="P190">
        <v>0</v>
      </c>
      <c r="Q190">
        <v>-59340.1</v>
      </c>
      <c r="R190">
        <v>0</v>
      </c>
      <c r="S190">
        <v>0</v>
      </c>
      <c r="T190">
        <v>0</v>
      </c>
      <c r="U190" s="8">
        <v>0</v>
      </c>
      <c r="V190" s="243" t="str">
        <f t="shared" si="20"/>
        <v>512</v>
      </c>
      <c r="W190" s="240">
        <f t="shared" si="21"/>
        <v>0</v>
      </c>
      <c r="X190" s="243">
        <f t="shared" si="22"/>
        <v>0</v>
      </c>
      <c r="Y190" s="255">
        <f>$W190*SUMIF('KU-LGE Rating'!$R:$R,$D190,'KU-LGE Rating'!F:F)</f>
        <v>0</v>
      </c>
      <c r="Z190" s="256">
        <f>$W190*SUMIF('KU-LGE Rating'!$R:$R,$D190,'KU-LGE Rating'!G:G)</f>
        <v>0</v>
      </c>
      <c r="AA190" s="257">
        <f t="shared" si="27"/>
        <v>0</v>
      </c>
      <c r="AB190" s="255">
        <f>$X190*SUMIF('KU-LGE Rating'!$R:$R,$D190,'KU-LGE Rating'!F:F)</f>
        <v>0</v>
      </c>
      <c r="AC190" s="256">
        <f>$X190*SUMIF('KU-LGE Rating'!$R:$R,$D190,'KU-LGE Rating'!G:G)</f>
        <v>0</v>
      </c>
      <c r="AD190" s="257">
        <f t="shared" si="28"/>
        <v>0</v>
      </c>
      <c r="AE190" s="274">
        <f>IF($F190=AE$1,$U190,0)*SUMIF('KU-LGE Rating'!$R:$R,$D190,'KU-LGE Rating'!$F:$F)</f>
        <v>0</v>
      </c>
      <c r="AF190" s="274">
        <f>IF($F190=AE$1,$U190,0)*SUMIF('KU-LGE Rating'!$R:$R,$D190,'KU-LGE Rating'!$G:$G)</f>
        <v>0</v>
      </c>
      <c r="AG190" s="240">
        <f t="shared" si="23"/>
        <v>0</v>
      </c>
      <c r="AH190" s="256">
        <f>IF($F190=AH$1,$U190,0)*SUMIF('KU-LGE Rating'!$R:$R,$D190,'KU-LGE Rating'!$F:$F)</f>
        <v>0</v>
      </c>
      <c r="AI190" s="256">
        <f>IF($F190=AH$1,$U190,0)*SUMIF('KU-LGE Rating'!$R:$R,$D190,'KU-LGE Rating'!$G:$G)</f>
        <v>0</v>
      </c>
      <c r="AJ190" s="240">
        <f t="shared" si="24"/>
        <v>0</v>
      </c>
      <c r="AK190" s="256">
        <f>IF($F190=AK$1,$U190,0)*SUMIF('KU-LGE Rating'!$R:$R,$D190,'KU-LGE Rating'!$F:$F)</f>
        <v>0</v>
      </c>
      <c r="AL190" s="256">
        <f>IF($F190=AK$1,$U190,0)*SUMIF('KU-LGE Rating'!$R:$R,$D190,'KU-LGE Rating'!$G:$G)</f>
        <v>0</v>
      </c>
      <c r="AM190" s="240">
        <f t="shared" si="25"/>
        <v>0</v>
      </c>
      <c r="AN190" s="256">
        <f>IF($F190=AN$1,$U190,0)*SUMIF('KU-LGE Rating'!$R:$R,$D190,'KU-LGE Rating'!$F:$F)</f>
        <v>0</v>
      </c>
      <c r="AO190" s="256">
        <f>IF($F190=AN$1,$U190,0)*SUMIF('KU-LGE Rating'!$R:$R,$D190,'KU-LGE Rating'!$G:$G)</f>
        <v>0</v>
      </c>
      <c r="AP190" s="240">
        <f t="shared" si="26"/>
        <v>0</v>
      </c>
      <c r="AQ190" s="277"/>
      <c r="AR190" s="277"/>
      <c r="AV190" s="278"/>
      <c r="AW190" s="278"/>
      <c r="AX190" s="278"/>
    </row>
    <row r="191" spans="1:50">
      <c r="A191" s="1" t="s">
        <v>2769</v>
      </c>
      <c r="B191" s="1" t="s">
        <v>3</v>
      </c>
      <c r="C191" t="s">
        <v>3723</v>
      </c>
      <c r="D191" t="s">
        <v>3729</v>
      </c>
      <c r="E191" t="s">
        <v>3893</v>
      </c>
      <c r="F191">
        <v>2014</v>
      </c>
      <c r="G191" t="s">
        <v>3908</v>
      </c>
      <c r="H191">
        <v>512017</v>
      </c>
      <c r="I191">
        <v>0</v>
      </c>
      <c r="J191">
        <v>0</v>
      </c>
      <c r="K191">
        <v>547.98</v>
      </c>
      <c r="L191">
        <v>371087.84</v>
      </c>
      <c r="M191">
        <v>-91422.85</v>
      </c>
      <c r="N191">
        <v>986.86</v>
      </c>
      <c r="O191">
        <v>0</v>
      </c>
      <c r="P191">
        <v>0</v>
      </c>
      <c r="Q191">
        <v>-281199.83</v>
      </c>
      <c r="R191">
        <v>0</v>
      </c>
      <c r="S191">
        <v>0</v>
      </c>
      <c r="T191">
        <v>0</v>
      </c>
      <c r="U191" s="8">
        <v>0</v>
      </c>
      <c r="V191" s="243" t="str">
        <f t="shared" si="20"/>
        <v>512</v>
      </c>
      <c r="W191" s="240">
        <f t="shared" si="21"/>
        <v>-5.8207660913467407E-11</v>
      </c>
      <c r="X191" s="243">
        <f t="shared" si="22"/>
        <v>0</v>
      </c>
      <c r="Y191" s="255">
        <f>$W191*SUMIF('KU-LGE Rating'!$R:$R,$D191,'KU-LGE Rating'!F:F)</f>
        <v>-5.8207660913467407E-11</v>
      </c>
      <c r="Z191" s="256">
        <f>$W191*SUMIF('KU-LGE Rating'!$R:$R,$D191,'KU-LGE Rating'!G:G)</f>
        <v>0</v>
      </c>
      <c r="AA191" s="257">
        <f t="shared" si="27"/>
        <v>-5.8207660913467407E-11</v>
      </c>
      <c r="AB191" s="255">
        <f>$X191*SUMIF('KU-LGE Rating'!$R:$R,$D191,'KU-LGE Rating'!F:F)</f>
        <v>0</v>
      </c>
      <c r="AC191" s="256">
        <f>$X191*SUMIF('KU-LGE Rating'!$R:$R,$D191,'KU-LGE Rating'!G:G)</f>
        <v>0</v>
      </c>
      <c r="AD191" s="257">
        <f t="shared" si="28"/>
        <v>0</v>
      </c>
      <c r="AE191" s="274">
        <f>IF($F191=AE$1,$U191,0)*SUMIF('KU-LGE Rating'!$R:$R,$D191,'KU-LGE Rating'!$F:$F)</f>
        <v>0</v>
      </c>
      <c r="AF191" s="274">
        <f>IF($F191=AE$1,$U191,0)*SUMIF('KU-LGE Rating'!$R:$R,$D191,'KU-LGE Rating'!$G:$G)</f>
        <v>0</v>
      </c>
      <c r="AG191" s="240">
        <f t="shared" si="23"/>
        <v>0</v>
      </c>
      <c r="AH191" s="256">
        <f>IF($F191=AH$1,$U191,0)*SUMIF('KU-LGE Rating'!$R:$R,$D191,'KU-LGE Rating'!$F:$F)</f>
        <v>0</v>
      </c>
      <c r="AI191" s="256">
        <f>IF($F191=AH$1,$U191,0)*SUMIF('KU-LGE Rating'!$R:$R,$D191,'KU-LGE Rating'!$G:$G)</f>
        <v>0</v>
      </c>
      <c r="AJ191" s="240">
        <f t="shared" si="24"/>
        <v>0</v>
      </c>
      <c r="AK191" s="256">
        <f>IF($F191=AK$1,$U191,0)*SUMIF('KU-LGE Rating'!$R:$R,$D191,'KU-LGE Rating'!$F:$F)</f>
        <v>0</v>
      </c>
      <c r="AL191" s="256">
        <f>IF($F191=AK$1,$U191,0)*SUMIF('KU-LGE Rating'!$R:$R,$D191,'KU-LGE Rating'!$G:$G)</f>
        <v>0</v>
      </c>
      <c r="AM191" s="240">
        <f t="shared" si="25"/>
        <v>0</v>
      </c>
      <c r="AN191" s="256">
        <f>IF($F191=AN$1,$U191,0)*SUMIF('KU-LGE Rating'!$R:$R,$D191,'KU-LGE Rating'!$F:$F)</f>
        <v>0</v>
      </c>
      <c r="AO191" s="256">
        <f>IF($F191=AN$1,$U191,0)*SUMIF('KU-LGE Rating'!$R:$R,$D191,'KU-LGE Rating'!$G:$G)</f>
        <v>0</v>
      </c>
      <c r="AP191" s="240">
        <f t="shared" si="26"/>
        <v>0</v>
      </c>
      <c r="AQ191" s="277"/>
      <c r="AR191" s="277"/>
      <c r="AV191" s="278"/>
      <c r="AW191" s="278"/>
      <c r="AX191" s="278"/>
    </row>
    <row r="192" spans="1:50">
      <c r="A192" s="1" t="s">
        <v>2769</v>
      </c>
      <c r="B192" s="1" t="s">
        <v>3</v>
      </c>
      <c r="C192" t="s">
        <v>3723</v>
      </c>
      <c r="D192" t="s">
        <v>3729</v>
      </c>
      <c r="E192" t="s">
        <v>3893</v>
      </c>
      <c r="F192">
        <v>2014</v>
      </c>
      <c r="G192" t="s">
        <v>3908</v>
      </c>
      <c r="H192">
        <v>512100</v>
      </c>
      <c r="I192">
        <v>25169.37</v>
      </c>
      <c r="J192">
        <v>11049.59</v>
      </c>
      <c r="K192">
        <v>122651.54</v>
      </c>
      <c r="L192">
        <v>1987296.77</v>
      </c>
      <c r="M192">
        <v>698205.46</v>
      </c>
      <c r="N192">
        <v>11493.12</v>
      </c>
      <c r="O192">
        <v>46699.37</v>
      </c>
      <c r="P192">
        <v>8640.67</v>
      </c>
      <c r="Q192">
        <v>918245.32</v>
      </c>
      <c r="R192">
        <v>0</v>
      </c>
      <c r="S192">
        <v>0</v>
      </c>
      <c r="T192">
        <v>0</v>
      </c>
      <c r="U192" s="8">
        <v>3829451.21</v>
      </c>
      <c r="V192" s="243" t="str">
        <f t="shared" si="20"/>
        <v>512</v>
      </c>
      <c r="W192" s="240">
        <f t="shared" si="21"/>
        <v>3793232.25</v>
      </c>
      <c r="X192" s="243">
        <f t="shared" si="22"/>
        <v>0</v>
      </c>
      <c r="Y192" s="255">
        <f>$W192*SUMIF('KU-LGE Rating'!$R:$R,$D192,'KU-LGE Rating'!F:F)</f>
        <v>3793232.25</v>
      </c>
      <c r="Z192" s="256">
        <f>$W192*SUMIF('KU-LGE Rating'!$R:$R,$D192,'KU-LGE Rating'!G:G)</f>
        <v>0</v>
      </c>
      <c r="AA192" s="257">
        <f t="shared" si="27"/>
        <v>3793232.25</v>
      </c>
      <c r="AB192" s="255">
        <f>$X192*SUMIF('KU-LGE Rating'!$R:$R,$D192,'KU-LGE Rating'!F:F)</f>
        <v>0</v>
      </c>
      <c r="AC192" s="256">
        <f>$X192*SUMIF('KU-LGE Rating'!$R:$R,$D192,'KU-LGE Rating'!G:G)</f>
        <v>0</v>
      </c>
      <c r="AD192" s="257">
        <f t="shared" si="28"/>
        <v>0</v>
      </c>
      <c r="AE192" s="274">
        <f>IF($F192=AE$1,$U192,0)*SUMIF('KU-LGE Rating'!$R:$R,$D192,'KU-LGE Rating'!$F:$F)</f>
        <v>3829451.21</v>
      </c>
      <c r="AF192" s="274">
        <f>IF($F192=AE$1,$U192,0)*SUMIF('KU-LGE Rating'!$R:$R,$D192,'KU-LGE Rating'!$G:$G)</f>
        <v>0</v>
      </c>
      <c r="AG192" s="240">
        <f t="shared" si="23"/>
        <v>3829451.21</v>
      </c>
      <c r="AH192" s="256">
        <f>IF($F192=AH$1,$U192,0)*SUMIF('KU-LGE Rating'!$R:$R,$D192,'KU-LGE Rating'!$F:$F)</f>
        <v>0</v>
      </c>
      <c r="AI192" s="256">
        <f>IF($F192=AH$1,$U192,0)*SUMIF('KU-LGE Rating'!$R:$R,$D192,'KU-LGE Rating'!$G:$G)</f>
        <v>0</v>
      </c>
      <c r="AJ192" s="240">
        <f t="shared" si="24"/>
        <v>0</v>
      </c>
      <c r="AK192" s="256">
        <f>IF($F192=AK$1,$U192,0)*SUMIF('KU-LGE Rating'!$R:$R,$D192,'KU-LGE Rating'!$F:$F)</f>
        <v>0</v>
      </c>
      <c r="AL192" s="256">
        <f>IF($F192=AK$1,$U192,0)*SUMIF('KU-LGE Rating'!$R:$R,$D192,'KU-LGE Rating'!$G:$G)</f>
        <v>0</v>
      </c>
      <c r="AM192" s="240">
        <f t="shared" si="25"/>
        <v>0</v>
      </c>
      <c r="AN192" s="256">
        <f>IF($F192=AN$1,$U192,0)*SUMIF('KU-LGE Rating'!$R:$R,$D192,'KU-LGE Rating'!$F:$F)</f>
        <v>0</v>
      </c>
      <c r="AO192" s="256">
        <f>IF($F192=AN$1,$U192,0)*SUMIF('KU-LGE Rating'!$R:$R,$D192,'KU-LGE Rating'!$G:$G)</f>
        <v>0</v>
      </c>
      <c r="AP192" s="240">
        <f t="shared" si="26"/>
        <v>0</v>
      </c>
      <c r="AQ192" s="277"/>
      <c r="AR192" s="277"/>
      <c r="AV192" s="278"/>
      <c r="AW192" s="278"/>
      <c r="AX192" s="278"/>
    </row>
    <row r="193" spans="1:50">
      <c r="A193" s="1" t="s">
        <v>2769</v>
      </c>
      <c r="B193" s="1" t="s">
        <v>3</v>
      </c>
      <c r="C193" t="s">
        <v>3723</v>
      </c>
      <c r="D193" t="s">
        <v>3729</v>
      </c>
      <c r="E193" t="s">
        <v>3893</v>
      </c>
      <c r="F193">
        <v>2014</v>
      </c>
      <c r="G193" t="s">
        <v>3908</v>
      </c>
      <c r="H193">
        <v>512101</v>
      </c>
      <c r="I193">
        <v>0</v>
      </c>
      <c r="J193">
        <v>0</v>
      </c>
      <c r="K193">
        <v>2392.94</v>
      </c>
      <c r="L193">
        <v>57916.74</v>
      </c>
      <c r="M193">
        <v>14796.96</v>
      </c>
      <c r="N193">
        <v>0</v>
      </c>
      <c r="O193">
        <v>0</v>
      </c>
      <c r="P193">
        <v>0</v>
      </c>
      <c r="Q193">
        <v>-75106.64</v>
      </c>
      <c r="R193">
        <v>0</v>
      </c>
      <c r="S193">
        <v>0</v>
      </c>
      <c r="T193">
        <v>0</v>
      </c>
      <c r="U193" s="8">
        <v>0</v>
      </c>
      <c r="V193" s="243" t="str">
        <f t="shared" si="20"/>
        <v>512</v>
      </c>
      <c r="W193" s="240">
        <f t="shared" si="21"/>
        <v>0</v>
      </c>
      <c r="X193" s="243">
        <f t="shared" si="22"/>
        <v>0</v>
      </c>
      <c r="Y193" s="255">
        <f>$W193*SUMIF('KU-LGE Rating'!$R:$R,$D193,'KU-LGE Rating'!F:F)</f>
        <v>0</v>
      </c>
      <c r="Z193" s="256">
        <f>$W193*SUMIF('KU-LGE Rating'!$R:$R,$D193,'KU-LGE Rating'!G:G)</f>
        <v>0</v>
      </c>
      <c r="AA193" s="257">
        <f t="shared" si="27"/>
        <v>0</v>
      </c>
      <c r="AB193" s="255">
        <f>$X193*SUMIF('KU-LGE Rating'!$R:$R,$D193,'KU-LGE Rating'!F:F)</f>
        <v>0</v>
      </c>
      <c r="AC193" s="256">
        <f>$X193*SUMIF('KU-LGE Rating'!$R:$R,$D193,'KU-LGE Rating'!G:G)</f>
        <v>0</v>
      </c>
      <c r="AD193" s="257">
        <f t="shared" si="28"/>
        <v>0</v>
      </c>
      <c r="AE193" s="274">
        <f>IF($F193=AE$1,$U193,0)*SUMIF('KU-LGE Rating'!$R:$R,$D193,'KU-LGE Rating'!$F:$F)</f>
        <v>0</v>
      </c>
      <c r="AF193" s="274">
        <f>IF($F193=AE$1,$U193,0)*SUMIF('KU-LGE Rating'!$R:$R,$D193,'KU-LGE Rating'!$G:$G)</f>
        <v>0</v>
      </c>
      <c r="AG193" s="240">
        <f t="shared" si="23"/>
        <v>0</v>
      </c>
      <c r="AH193" s="256">
        <f>IF($F193=AH$1,$U193,0)*SUMIF('KU-LGE Rating'!$R:$R,$D193,'KU-LGE Rating'!$F:$F)</f>
        <v>0</v>
      </c>
      <c r="AI193" s="256">
        <f>IF($F193=AH$1,$U193,0)*SUMIF('KU-LGE Rating'!$R:$R,$D193,'KU-LGE Rating'!$G:$G)</f>
        <v>0</v>
      </c>
      <c r="AJ193" s="240">
        <f t="shared" si="24"/>
        <v>0</v>
      </c>
      <c r="AK193" s="256">
        <f>IF($F193=AK$1,$U193,0)*SUMIF('KU-LGE Rating'!$R:$R,$D193,'KU-LGE Rating'!$F:$F)</f>
        <v>0</v>
      </c>
      <c r="AL193" s="256">
        <f>IF($F193=AK$1,$U193,0)*SUMIF('KU-LGE Rating'!$R:$R,$D193,'KU-LGE Rating'!$G:$G)</f>
        <v>0</v>
      </c>
      <c r="AM193" s="240">
        <f t="shared" si="25"/>
        <v>0</v>
      </c>
      <c r="AN193" s="256">
        <f>IF($F193=AN$1,$U193,0)*SUMIF('KU-LGE Rating'!$R:$R,$D193,'KU-LGE Rating'!$F:$F)</f>
        <v>0</v>
      </c>
      <c r="AO193" s="256">
        <f>IF($F193=AN$1,$U193,0)*SUMIF('KU-LGE Rating'!$R:$R,$D193,'KU-LGE Rating'!$G:$G)</f>
        <v>0</v>
      </c>
      <c r="AP193" s="240">
        <f t="shared" si="26"/>
        <v>0</v>
      </c>
      <c r="AQ193" s="277"/>
      <c r="AR193" s="277"/>
      <c r="AV193" s="278"/>
      <c r="AW193" s="278"/>
      <c r="AX193" s="278"/>
    </row>
    <row r="194" spans="1:50">
      <c r="A194" s="1" t="s">
        <v>2769</v>
      </c>
      <c r="B194" s="1" t="s">
        <v>3</v>
      </c>
      <c r="C194" t="s">
        <v>3723</v>
      </c>
      <c r="D194" t="s">
        <v>3729</v>
      </c>
      <c r="E194" t="s">
        <v>3893</v>
      </c>
      <c r="F194">
        <v>2014</v>
      </c>
      <c r="G194" t="s">
        <v>3908</v>
      </c>
      <c r="H194">
        <v>513100</v>
      </c>
      <c r="I194">
        <v>9121.15</v>
      </c>
      <c r="J194">
        <v>11685.61</v>
      </c>
      <c r="K194">
        <v>2984.19</v>
      </c>
      <c r="L194">
        <v>121214.58</v>
      </c>
      <c r="M194">
        <v>62776.959999999999</v>
      </c>
      <c r="N194">
        <v>511.68</v>
      </c>
      <c r="O194">
        <v>52509.05</v>
      </c>
      <c r="P194">
        <v>0</v>
      </c>
      <c r="Q194">
        <v>-260803.22</v>
      </c>
      <c r="R194">
        <v>0</v>
      </c>
      <c r="S194">
        <v>0</v>
      </c>
      <c r="T194">
        <v>0</v>
      </c>
      <c r="U194" s="8">
        <v>0</v>
      </c>
      <c r="V194" s="243" t="str">
        <f t="shared" si="20"/>
        <v>513</v>
      </c>
      <c r="W194" s="240">
        <f t="shared" si="21"/>
        <v>-20806.75999999998</v>
      </c>
      <c r="X194" s="243">
        <f t="shared" si="22"/>
        <v>0</v>
      </c>
      <c r="Y194" s="255">
        <f>$W194*SUMIF('KU-LGE Rating'!$R:$R,$D194,'KU-LGE Rating'!F:F)</f>
        <v>-20806.75999999998</v>
      </c>
      <c r="Z194" s="256">
        <f>$W194*SUMIF('KU-LGE Rating'!$R:$R,$D194,'KU-LGE Rating'!G:G)</f>
        <v>0</v>
      </c>
      <c r="AA194" s="257">
        <f t="shared" si="27"/>
        <v>-20806.75999999998</v>
      </c>
      <c r="AB194" s="255">
        <f>$X194*SUMIF('KU-LGE Rating'!$R:$R,$D194,'KU-LGE Rating'!F:F)</f>
        <v>0</v>
      </c>
      <c r="AC194" s="256">
        <f>$X194*SUMIF('KU-LGE Rating'!$R:$R,$D194,'KU-LGE Rating'!G:G)</f>
        <v>0</v>
      </c>
      <c r="AD194" s="257">
        <f t="shared" si="28"/>
        <v>0</v>
      </c>
      <c r="AE194" s="274">
        <f>IF($F194=AE$1,$U194,0)*SUMIF('KU-LGE Rating'!$R:$R,$D194,'KU-LGE Rating'!$F:$F)</f>
        <v>0</v>
      </c>
      <c r="AF194" s="274">
        <f>IF($F194=AE$1,$U194,0)*SUMIF('KU-LGE Rating'!$R:$R,$D194,'KU-LGE Rating'!$G:$G)</f>
        <v>0</v>
      </c>
      <c r="AG194" s="240">
        <f t="shared" si="23"/>
        <v>0</v>
      </c>
      <c r="AH194" s="256">
        <f>IF($F194=AH$1,$U194,0)*SUMIF('KU-LGE Rating'!$R:$R,$D194,'KU-LGE Rating'!$F:$F)</f>
        <v>0</v>
      </c>
      <c r="AI194" s="256">
        <f>IF($F194=AH$1,$U194,0)*SUMIF('KU-LGE Rating'!$R:$R,$D194,'KU-LGE Rating'!$G:$G)</f>
        <v>0</v>
      </c>
      <c r="AJ194" s="240">
        <f t="shared" si="24"/>
        <v>0</v>
      </c>
      <c r="AK194" s="256">
        <f>IF($F194=AK$1,$U194,0)*SUMIF('KU-LGE Rating'!$R:$R,$D194,'KU-LGE Rating'!$F:$F)</f>
        <v>0</v>
      </c>
      <c r="AL194" s="256">
        <f>IF($F194=AK$1,$U194,0)*SUMIF('KU-LGE Rating'!$R:$R,$D194,'KU-LGE Rating'!$G:$G)</f>
        <v>0</v>
      </c>
      <c r="AM194" s="240">
        <f t="shared" si="25"/>
        <v>0</v>
      </c>
      <c r="AN194" s="256">
        <f>IF($F194=AN$1,$U194,0)*SUMIF('KU-LGE Rating'!$R:$R,$D194,'KU-LGE Rating'!$F:$F)</f>
        <v>0</v>
      </c>
      <c r="AO194" s="256">
        <f>IF($F194=AN$1,$U194,0)*SUMIF('KU-LGE Rating'!$R:$R,$D194,'KU-LGE Rating'!$G:$G)</f>
        <v>0</v>
      </c>
      <c r="AP194" s="240">
        <f t="shared" si="26"/>
        <v>0</v>
      </c>
      <c r="AQ194" s="277"/>
      <c r="AR194" s="277"/>
      <c r="AV194" s="278"/>
      <c r="AW194" s="278"/>
      <c r="AX194" s="278"/>
    </row>
    <row r="195" spans="1:50">
      <c r="A195" s="1" t="s">
        <v>2769</v>
      </c>
      <c r="B195" s="1" t="s">
        <v>3</v>
      </c>
      <c r="C195" t="s">
        <v>3723</v>
      </c>
      <c r="D195" t="s">
        <v>3729</v>
      </c>
      <c r="E195" t="s">
        <v>3893</v>
      </c>
      <c r="F195">
        <v>2014</v>
      </c>
      <c r="G195" t="s">
        <v>3908</v>
      </c>
      <c r="H195">
        <v>514100</v>
      </c>
      <c r="I195">
        <v>0</v>
      </c>
      <c r="J195">
        <v>0</v>
      </c>
      <c r="K195">
        <v>0</v>
      </c>
      <c r="L195">
        <v>2.52</v>
      </c>
      <c r="M195">
        <v>0</v>
      </c>
      <c r="N195">
        <v>0</v>
      </c>
      <c r="O195">
        <v>0</v>
      </c>
      <c r="P195">
        <v>0</v>
      </c>
      <c r="Q195">
        <v>-2.52</v>
      </c>
      <c r="R195">
        <v>0</v>
      </c>
      <c r="S195">
        <v>0</v>
      </c>
      <c r="T195">
        <v>0</v>
      </c>
      <c r="U195" s="8">
        <v>0</v>
      </c>
      <c r="V195" s="243" t="str">
        <f t="shared" si="20"/>
        <v>514</v>
      </c>
      <c r="W195" s="240">
        <f t="shared" si="21"/>
        <v>0</v>
      </c>
      <c r="X195" s="243">
        <f t="shared" si="22"/>
        <v>0</v>
      </c>
      <c r="Y195" s="255">
        <f>$W195*SUMIF('KU-LGE Rating'!$R:$R,$D195,'KU-LGE Rating'!F:F)</f>
        <v>0</v>
      </c>
      <c r="Z195" s="256">
        <f>$W195*SUMIF('KU-LGE Rating'!$R:$R,$D195,'KU-LGE Rating'!G:G)</f>
        <v>0</v>
      </c>
      <c r="AA195" s="257">
        <f t="shared" si="27"/>
        <v>0</v>
      </c>
      <c r="AB195" s="255">
        <f>$X195*SUMIF('KU-LGE Rating'!$R:$R,$D195,'KU-LGE Rating'!F:F)</f>
        <v>0</v>
      </c>
      <c r="AC195" s="256">
        <f>$X195*SUMIF('KU-LGE Rating'!$R:$R,$D195,'KU-LGE Rating'!G:G)</f>
        <v>0</v>
      </c>
      <c r="AD195" s="257">
        <f t="shared" si="28"/>
        <v>0</v>
      </c>
      <c r="AE195" s="274">
        <f>IF($F195=AE$1,$U195,0)*SUMIF('KU-LGE Rating'!$R:$R,$D195,'KU-LGE Rating'!$F:$F)</f>
        <v>0</v>
      </c>
      <c r="AF195" s="274">
        <f>IF($F195=AE$1,$U195,0)*SUMIF('KU-LGE Rating'!$R:$R,$D195,'KU-LGE Rating'!$G:$G)</f>
        <v>0</v>
      </c>
      <c r="AG195" s="240">
        <f t="shared" si="23"/>
        <v>0</v>
      </c>
      <c r="AH195" s="256">
        <f>IF($F195=AH$1,$U195,0)*SUMIF('KU-LGE Rating'!$R:$R,$D195,'KU-LGE Rating'!$F:$F)</f>
        <v>0</v>
      </c>
      <c r="AI195" s="256">
        <f>IF($F195=AH$1,$U195,0)*SUMIF('KU-LGE Rating'!$R:$R,$D195,'KU-LGE Rating'!$G:$G)</f>
        <v>0</v>
      </c>
      <c r="AJ195" s="240">
        <f t="shared" si="24"/>
        <v>0</v>
      </c>
      <c r="AK195" s="256">
        <f>IF($F195=AK$1,$U195,0)*SUMIF('KU-LGE Rating'!$R:$R,$D195,'KU-LGE Rating'!$F:$F)</f>
        <v>0</v>
      </c>
      <c r="AL195" s="256">
        <f>IF($F195=AK$1,$U195,0)*SUMIF('KU-LGE Rating'!$R:$R,$D195,'KU-LGE Rating'!$G:$G)</f>
        <v>0</v>
      </c>
      <c r="AM195" s="240">
        <f t="shared" si="25"/>
        <v>0</v>
      </c>
      <c r="AN195" s="256">
        <f>IF($F195=AN$1,$U195,0)*SUMIF('KU-LGE Rating'!$R:$R,$D195,'KU-LGE Rating'!$F:$F)</f>
        <v>0</v>
      </c>
      <c r="AO195" s="256">
        <f>IF($F195=AN$1,$U195,0)*SUMIF('KU-LGE Rating'!$R:$R,$D195,'KU-LGE Rating'!$G:$G)</f>
        <v>0</v>
      </c>
      <c r="AP195" s="240">
        <f t="shared" si="26"/>
        <v>0</v>
      </c>
      <c r="AQ195" s="277"/>
      <c r="AR195" s="277"/>
      <c r="AV195" s="278"/>
      <c r="AW195" s="278"/>
      <c r="AX195" s="278"/>
    </row>
    <row r="196" spans="1:50">
      <c r="A196" s="1" t="s">
        <v>2769</v>
      </c>
      <c r="B196" s="1" t="s">
        <v>3</v>
      </c>
      <c r="C196" t="s">
        <v>3723</v>
      </c>
      <c r="D196" t="s">
        <v>3729</v>
      </c>
      <c r="E196" t="s">
        <v>3893</v>
      </c>
      <c r="F196">
        <v>2015</v>
      </c>
      <c r="G196" t="s">
        <v>3908</v>
      </c>
      <c r="H196">
        <v>512100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1930006</v>
      </c>
      <c r="S196">
        <v>1170007</v>
      </c>
      <c r="T196">
        <v>0</v>
      </c>
      <c r="U196" s="8">
        <v>3100013</v>
      </c>
      <c r="V196" s="243" t="str">
        <f t="shared" ref="V196:V230" si="29">LEFT(H196,3)</f>
        <v>512</v>
      </c>
      <c r="W196" s="240">
        <f t="shared" ref="W196:W230" si="30">IF(F196=2014,SUM(K196:T196),IF(F196=2015,SUM(I196:J196),0))</f>
        <v>0</v>
      </c>
      <c r="X196" s="243">
        <f t="shared" ref="X196:X230" si="31">IF(F196=2015,SUM(O196:T196),IF(F196=2016,SUM(I196:N196),0))</f>
        <v>3100013</v>
      </c>
      <c r="Y196" s="255">
        <f>$W196*SUMIF('KU-LGE Rating'!$R:$R,$D196,'KU-LGE Rating'!F:F)</f>
        <v>0</v>
      </c>
      <c r="Z196" s="256">
        <f>$W196*SUMIF('KU-LGE Rating'!$R:$R,$D196,'KU-LGE Rating'!G:G)</f>
        <v>0</v>
      </c>
      <c r="AA196" s="257">
        <f t="shared" si="27"/>
        <v>0</v>
      </c>
      <c r="AB196" s="255">
        <f>$X196*SUMIF('KU-LGE Rating'!$R:$R,$D196,'KU-LGE Rating'!F:F)</f>
        <v>3100013</v>
      </c>
      <c r="AC196" s="256">
        <f>$X196*SUMIF('KU-LGE Rating'!$R:$R,$D196,'KU-LGE Rating'!G:G)</f>
        <v>0</v>
      </c>
      <c r="AD196" s="257">
        <f t="shared" si="28"/>
        <v>3100013</v>
      </c>
      <c r="AE196" s="274">
        <f>IF($F196=AE$1,$U196,0)*SUMIF('KU-LGE Rating'!$R:$R,$D196,'KU-LGE Rating'!$F:$F)</f>
        <v>0</v>
      </c>
      <c r="AF196" s="274">
        <f>IF($F196=AE$1,$U196,0)*SUMIF('KU-LGE Rating'!$R:$R,$D196,'KU-LGE Rating'!$G:$G)</f>
        <v>0</v>
      </c>
      <c r="AG196" s="240">
        <f t="shared" ref="AG196:AG230" si="32">IF($F196=AE$1,$U196,0)</f>
        <v>0</v>
      </c>
      <c r="AH196" s="256">
        <f>IF($F196=AH$1,$U196,0)*SUMIF('KU-LGE Rating'!$R:$R,$D196,'KU-LGE Rating'!$F:$F)</f>
        <v>3100013</v>
      </c>
      <c r="AI196" s="256">
        <f>IF($F196=AH$1,$U196,0)*SUMIF('KU-LGE Rating'!$R:$R,$D196,'KU-LGE Rating'!$G:$G)</f>
        <v>0</v>
      </c>
      <c r="AJ196" s="240">
        <f t="shared" ref="AJ196:AJ230" si="33">IF($F196=AH$1,$U196,0)</f>
        <v>3100013</v>
      </c>
      <c r="AK196" s="256">
        <f>IF($F196=AK$1,$U196,0)*SUMIF('KU-LGE Rating'!$R:$R,$D196,'KU-LGE Rating'!$F:$F)</f>
        <v>0</v>
      </c>
      <c r="AL196" s="256">
        <f>IF($F196=AK$1,$U196,0)*SUMIF('KU-LGE Rating'!$R:$R,$D196,'KU-LGE Rating'!$G:$G)</f>
        <v>0</v>
      </c>
      <c r="AM196" s="240">
        <f t="shared" ref="AM196:AM230" si="34">IF($F196=AK$1,$U196,0)</f>
        <v>0</v>
      </c>
      <c r="AN196" s="256">
        <f>IF($F196=AN$1,$U196,0)*SUMIF('KU-LGE Rating'!$R:$R,$D196,'KU-LGE Rating'!$F:$F)</f>
        <v>0</v>
      </c>
      <c r="AO196" s="256">
        <f>IF($F196=AN$1,$U196,0)*SUMIF('KU-LGE Rating'!$R:$R,$D196,'KU-LGE Rating'!$G:$G)</f>
        <v>0</v>
      </c>
      <c r="AP196" s="240">
        <f t="shared" ref="AP196:AP230" si="35">IF($F196=AN$1,$U196,0)</f>
        <v>0</v>
      </c>
      <c r="AQ196" s="277"/>
      <c r="AR196" s="277"/>
      <c r="AV196" s="278"/>
      <c r="AW196" s="278"/>
      <c r="AX196" s="278"/>
    </row>
    <row r="197" spans="1:50">
      <c r="A197" s="1" t="s">
        <v>2769</v>
      </c>
      <c r="B197" s="1" t="s">
        <v>3</v>
      </c>
      <c r="C197" t="s">
        <v>3723</v>
      </c>
      <c r="D197" t="s">
        <v>3729</v>
      </c>
      <c r="E197" t="s">
        <v>3893</v>
      </c>
      <c r="F197">
        <v>2015</v>
      </c>
      <c r="G197" t="s">
        <v>3908</v>
      </c>
      <c r="H197">
        <v>513100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104999</v>
      </c>
      <c r="S197">
        <v>94999</v>
      </c>
      <c r="T197">
        <v>0</v>
      </c>
      <c r="U197" s="8">
        <v>199998</v>
      </c>
      <c r="V197" s="243" t="str">
        <f t="shared" si="29"/>
        <v>513</v>
      </c>
      <c r="W197" s="240">
        <f t="shared" si="30"/>
        <v>0</v>
      </c>
      <c r="X197" s="243">
        <f t="shared" si="31"/>
        <v>199998</v>
      </c>
      <c r="Y197" s="255">
        <f>$W197*SUMIF('KU-LGE Rating'!$R:$R,$D197,'KU-LGE Rating'!F:F)</f>
        <v>0</v>
      </c>
      <c r="Z197" s="256">
        <f>$W197*SUMIF('KU-LGE Rating'!$R:$R,$D197,'KU-LGE Rating'!G:G)</f>
        <v>0</v>
      </c>
      <c r="AA197" s="257">
        <f t="shared" si="27"/>
        <v>0</v>
      </c>
      <c r="AB197" s="255">
        <f>$X197*SUMIF('KU-LGE Rating'!$R:$R,$D197,'KU-LGE Rating'!F:F)</f>
        <v>199998</v>
      </c>
      <c r="AC197" s="256">
        <f>$X197*SUMIF('KU-LGE Rating'!$R:$R,$D197,'KU-LGE Rating'!G:G)</f>
        <v>0</v>
      </c>
      <c r="AD197" s="257">
        <f t="shared" si="28"/>
        <v>199998</v>
      </c>
      <c r="AE197" s="274">
        <f>IF($F197=AE$1,$U197,0)*SUMIF('KU-LGE Rating'!$R:$R,$D197,'KU-LGE Rating'!$F:$F)</f>
        <v>0</v>
      </c>
      <c r="AF197" s="274">
        <f>IF($F197=AE$1,$U197,0)*SUMIF('KU-LGE Rating'!$R:$R,$D197,'KU-LGE Rating'!$G:$G)</f>
        <v>0</v>
      </c>
      <c r="AG197" s="240">
        <f t="shared" si="32"/>
        <v>0</v>
      </c>
      <c r="AH197" s="256">
        <f>IF($F197=AH$1,$U197,0)*SUMIF('KU-LGE Rating'!$R:$R,$D197,'KU-LGE Rating'!$F:$F)</f>
        <v>199998</v>
      </c>
      <c r="AI197" s="256">
        <f>IF($F197=AH$1,$U197,0)*SUMIF('KU-LGE Rating'!$R:$R,$D197,'KU-LGE Rating'!$G:$G)</f>
        <v>0</v>
      </c>
      <c r="AJ197" s="240">
        <f t="shared" si="33"/>
        <v>199998</v>
      </c>
      <c r="AK197" s="256">
        <f>IF($F197=AK$1,$U197,0)*SUMIF('KU-LGE Rating'!$R:$R,$D197,'KU-LGE Rating'!$F:$F)</f>
        <v>0</v>
      </c>
      <c r="AL197" s="256">
        <f>IF($F197=AK$1,$U197,0)*SUMIF('KU-LGE Rating'!$R:$R,$D197,'KU-LGE Rating'!$G:$G)</f>
        <v>0</v>
      </c>
      <c r="AM197" s="240">
        <f t="shared" si="34"/>
        <v>0</v>
      </c>
      <c r="AN197" s="256">
        <f>IF($F197=AN$1,$U197,0)*SUMIF('KU-LGE Rating'!$R:$R,$D197,'KU-LGE Rating'!$F:$F)</f>
        <v>0</v>
      </c>
      <c r="AO197" s="256">
        <f>IF($F197=AN$1,$U197,0)*SUMIF('KU-LGE Rating'!$R:$R,$D197,'KU-LGE Rating'!$G:$G)</f>
        <v>0</v>
      </c>
      <c r="AP197" s="240">
        <f t="shared" si="35"/>
        <v>0</v>
      </c>
      <c r="AQ197" s="277"/>
      <c r="AR197" s="277"/>
      <c r="AV197" s="278"/>
      <c r="AW197" s="278"/>
      <c r="AX197" s="278"/>
    </row>
    <row r="198" spans="1:50">
      <c r="A198" s="1" t="s">
        <v>2769</v>
      </c>
      <c r="B198" s="1" t="s">
        <v>3</v>
      </c>
      <c r="C198" t="s">
        <v>3723</v>
      </c>
      <c r="D198" t="s">
        <v>3729</v>
      </c>
      <c r="E198" t="s">
        <v>3893</v>
      </c>
      <c r="F198">
        <v>2016</v>
      </c>
      <c r="G198" t="s">
        <v>3908</v>
      </c>
      <c r="H198">
        <v>512100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1815000</v>
      </c>
      <c r="S198">
        <v>0</v>
      </c>
      <c r="T198">
        <v>0</v>
      </c>
      <c r="U198" s="8">
        <v>1815000</v>
      </c>
      <c r="V198" s="243" t="str">
        <f t="shared" si="29"/>
        <v>512</v>
      </c>
      <c r="W198" s="240">
        <f t="shared" si="30"/>
        <v>0</v>
      </c>
      <c r="X198" s="243">
        <f t="shared" si="31"/>
        <v>0</v>
      </c>
      <c r="Y198" s="255">
        <f>$W198*SUMIF('KU-LGE Rating'!$R:$R,$D198,'KU-LGE Rating'!F:F)</f>
        <v>0</v>
      </c>
      <c r="Z198" s="256">
        <f>$W198*SUMIF('KU-LGE Rating'!$R:$R,$D198,'KU-LGE Rating'!G:G)</f>
        <v>0</v>
      </c>
      <c r="AA198" s="257">
        <f t="shared" si="27"/>
        <v>0</v>
      </c>
      <c r="AB198" s="255">
        <f>$X198*SUMIF('KU-LGE Rating'!$R:$R,$D198,'KU-LGE Rating'!F:F)</f>
        <v>0</v>
      </c>
      <c r="AC198" s="256">
        <f>$X198*SUMIF('KU-LGE Rating'!$R:$R,$D198,'KU-LGE Rating'!G:G)</f>
        <v>0</v>
      </c>
      <c r="AD198" s="257">
        <f t="shared" si="28"/>
        <v>0</v>
      </c>
      <c r="AE198" s="274">
        <f>IF($F198=AE$1,$U198,0)*SUMIF('KU-LGE Rating'!$R:$R,$D198,'KU-LGE Rating'!$F:$F)</f>
        <v>0</v>
      </c>
      <c r="AF198" s="274">
        <f>IF($F198=AE$1,$U198,0)*SUMIF('KU-LGE Rating'!$R:$R,$D198,'KU-LGE Rating'!$G:$G)</f>
        <v>0</v>
      </c>
      <c r="AG198" s="240">
        <f t="shared" si="32"/>
        <v>0</v>
      </c>
      <c r="AH198" s="256">
        <f>IF($F198=AH$1,$U198,0)*SUMIF('KU-LGE Rating'!$R:$R,$D198,'KU-LGE Rating'!$F:$F)</f>
        <v>0</v>
      </c>
      <c r="AI198" s="256">
        <f>IF($F198=AH$1,$U198,0)*SUMIF('KU-LGE Rating'!$R:$R,$D198,'KU-LGE Rating'!$G:$G)</f>
        <v>0</v>
      </c>
      <c r="AJ198" s="240">
        <f t="shared" si="33"/>
        <v>0</v>
      </c>
      <c r="AK198" s="256">
        <f>IF($F198=AK$1,$U198,0)*SUMIF('KU-LGE Rating'!$R:$R,$D198,'KU-LGE Rating'!$F:$F)</f>
        <v>1815000</v>
      </c>
      <c r="AL198" s="256">
        <f>IF($F198=AK$1,$U198,0)*SUMIF('KU-LGE Rating'!$R:$R,$D198,'KU-LGE Rating'!$G:$G)</f>
        <v>0</v>
      </c>
      <c r="AM198" s="240">
        <f t="shared" si="34"/>
        <v>1815000</v>
      </c>
      <c r="AN198" s="256">
        <f>IF($F198=AN$1,$U198,0)*SUMIF('KU-LGE Rating'!$R:$R,$D198,'KU-LGE Rating'!$F:$F)</f>
        <v>0</v>
      </c>
      <c r="AO198" s="256">
        <f>IF($F198=AN$1,$U198,0)*SUMIF('KU-LGE Rating'!$R:$R,$D198,'KU-LGE Rating'!$G:$G)</f>
        <v>0</v>
      </c>
      <c r="AP198" s="240">
        <f t="shared" si="35"/>
        <v>0</v>
      </c>
      <c r="AQ198" s="277"/>
      <c r="AR198" s="277"/>
      <c r="AV198" s="278"/>
      <c r="AW198" s="278"/>
      <c r="AX198" s="278"/>
    </row>
    <row r="199" spans="1:50">
      <c r="A199" s="1" t="s">
        <v>2769</v>
      </c>
      <c r="B199" s="1" t="s">
        <v>3</v>
      </c>
      <c r="C199" t="s">
        <v>3723</v>
      </c>
      <c r="D199" t="s">
        <v>3729</v>
      </c>
      <c r="E199" t="s">
        <v>3893</v>
      </c>
      <c r="F199">
        <v>2016</v>
      </c>
      <c r="G199" t="s">
        <v>3908</v>
      </c>
      <c r="H199">
        <v>513100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784994</v>
      </c>
      <c r="S199">
        <v>0</v>
      </c>
      <c r="T199">
        <v>0</v>
      </c>
      <c r="U199" s="8">
        <v>784994</v>
      </c>
      <c r="V199" s="243" t="str">
        <f t="shared" si="29"/>
        <v>513</v>
      </c>
      <c r="W199" s="240">
        <f t="shared" si="30"/>
        <v>0</v>
      </c>
      <c r="X199" s="243">
        <f t="shared" si="31"/>
        <v>0</v>
      </c>
      <c r="Y199" s="255">
        <f>$W199*SUMIF('KU-LGE Rating'!$R:$R,$D199,'KU-LGE Rating'!F:F)</f>
        <v>0</v>
      </c>
      <c r="Z199" s="256">
        <f>$W199*SUMIF('KU-LGE Rating'!$R:$R,$D199,'KU-LGE Rating'!G:G)</f>
        <v>0</v>
      </c>
      <c r="AA199" s="257">
        <f t="shared" si="27"/>
        <v>0</v>
      </c>
      <c r="AB199" s="255">
        <f>$X199*SUMIF('KU-LGE Rating'!$R:$R,$D199,'KU-LGE Rating'!F:F)</f>
        <v>0</v>
      </c>
      <c r="AC199" s="256">
        <f>$X199*SUMIF('KU-LGE Rating'!$R:$R,$D199,'KU-LGE Rating'!G:G)</f>
        <v>0</v>
      </c>
      <c r="AD199" s="257">
        <f t="shared" si="28"/>
        <v>0</v>
      </c>
      <c r="AE199" s="274">
        <f>IF($F199=AE$1,$U199,0)*SUMIF('KU-LGE Rating'!$R:$R,$D199,'KU-LGE Rating'!$F:$F)</f>
        <v>0</v>
      </c>
      <c r="AF199" s="274">
        <f>IF($F199=AE$1,$U199,0)*SUMIF('KU-LGE Rating'!$R:$R,$D199,'KU-LGE Rating'!$G:$G)</f>
        <v>0</v>
      </c>
      <c r="AG199" s="240">
        <f t="shared" si="32"/>
        <v>0</v>
      </c>
      <c r="AH199" s="256">
        <f>IF($F199=AH$1,$U199,0)*SUMIF('KU-LGE Rating'!$R:$R,$D199,'KU-LGE Rating'!$F:$F)</f>
        <v>0</v>
      </c>
      <c r="AI199" s="256">
        <f>IF($F199=AH$1,$U199,0)*SUMIF('KU-LGE Rating'!$R:$R,$D199,'KU-LGE Rating'!$G:$G)</f>
        <v>0</v>
      </c>
      <c r="AJ199" s="240">
        <f t="shared" si="33"/>
        <v>0</v>
      </c>
      <c r="AK199" s="256">
        <f>IF($F199=AK$1,$U199,0)*SUMIF('KU-LGE Rating'!$R:$R,$D199,'KU-LGE Rating'!$F:$F)</f>
        <v>784994</v>
      </c>
      <c r="AL199" s="256">
        <f>IF($F199=AK$1,$U199,0)*SUMIF('KU-LGE Rating'!$R:$R,$D199,'KU-LGE Rating'!$G:$G)</f>
        <v>0</v>
      </c>
      <c r="AM199" s="240">
        <f t="shared" si="34"/>
        <v>784994</v>
      </c>
      <c r="AN199" s="256">
        <f>IF($F199=AN$1,$U199,0)*SUMIF('KU-LGE Rating'!$R:$R,$D199,'KU-LGE Rating'!$F:$F)</f>
        <v>0</v>
      </c>
      <c r="AO199" s="256">
        <f>IF($F199=AN$1,$U199,0)*SUMIF('KU-LGE Rating'!$R:$R,$D199,'KU-LGE Rating'!$G:$G)</f>
        <v>0</v>
      </c>
      <c r="AP199" s="240">
        <f t="shared" si="35"/>
        <v>0</v>
      </c>
      <c r="AQ199" s="277"/>
      <c r="AR199" s="277"/>
      <c r="AV199" s="278"/>
      <c r="AW199" s="278"/>
      <c r="AX199" s="278"/>
    </row>
    <row r="200" spans="1:50">
      <c r="A200" s="1" t="s">
        <v>2769</v>
      </c>
      <c r="B200" s="1" t="s">
        <v>3</v>
      </c>
      <c r="C200" t="s">
        <v>3723</v>
      </c>
      <c r="D200" t="s">
        <v>3729</v>
      </c>
      <c r="E200" t="s">
        <v>3893</v>
      </c>
      <c r="F200">
        <v>2017</v>
      </c>
      <c r="G200" t="s">
        <v>3908</v>
      </c>
      <c r="H200">
        <v>512100</v>
      </c>
      <c r="I200">
        <v>0</v>
      </c>
      <c r="J200">
        <v>0</v>
      </c>
      <c r="K200">
        <v>1010008</v>
      </c>
      <c r="L200">
        <v>979995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 s="8">
        <v>1990003</v>
      </c>
      <c r="V200" s="243" t="str">
        <f t="shared" si="29"/>
        <v>512</v>
      </c>
      <c r="W200" s="240">
        <f t="shared" si="30"/>
        <v>0</v>
      </c>
      <c r="X200" s="243">
        <f t="shared" si="31"/>
        <v>0</v>
      </c>
      <c r="Y200" s="255">
        <f>$W200*SUMIF('KU-LGE Rating'!$R:$R,$D200,'KU-LGE Rating'!F:F)</f>
        <v>0</v>
      </c>
      <c r="Z200" s="256">
        <f>$W200*SUMIF('KU-LGE Rating'!$R:$R,$D200,'KU-LGE Rating'!G:G)</f>
        <v>0</v>
      </c>
      <c r="AA200" s="257">
        <f t="shared" si="27"/>
        <v>0</v>
      </c>
      <c r="AB200" s="255">
        <f>$X200*SUMIF('KU-LGE Rating'!$R:$R,$D200,'KU-LGE Rating'!F:F)</f>
        <v>0</v>
      </c>
      <c r="AC200" s="256">
        <f>$X200*SUMIF('KU-LGE Rating'!$R:$R,$D200,'KU-LGE Rating'!G:G)</f>
        <v>0</v>
      </c>
      <c r="AD200" s="257">
        <f t="shared" si="28"/>
        <v>0</v>
      </c>
      <c r="AE200" s="274">
        <f>IF($F200=AE$1,$U200,0)*SUMIF('KU-LGE Rating'!$R:$R,$D200,'KU-LGE Rating'!$F:$F)</f>
        <v>0</v>
      </c>
      <c r="AF200" s="274">
        <f>IF($F200=AE$1,$U200,0)*SUMIF('KU-LGE Rating'!$R:$R,$D200,'KU-LGE Rating'!$G:$G)</f>
        <v>0</v>
      </c>
      <c r="AG200" s="240">
        <f t="shared" si="32"/>
        <v>0</v>
      </c>
      <c r="AH200" s="256">
        <f>IF($F200=AH$1,$U200,0)*SUMIF('KU-LGE Rating'!$R:$R,$D200,'KU-LGE Rating'!$F:$F)</f>
        <v>0</v>
      </c>
      <c r="AI200" s="256">
        <f>IF($F200=AH$1,$U200,0)*SUMIF('KU-LGE Rating'!$R:$R,$D200,'KU-LGE Rating'!$G:$G)</f>
        <v>0</v>
      </c>
      <c r="AJ200" s="240">
        <f t="shared" si="33"/>
        <v>0</v>
      </c>
      <c r="AK200" s="256">
        <f>IF($F200=AK$1,$U200,0)*SUMIF('KU-LGE Rating'!$R:$R,$D200,'KU-LGE Rating'!$F:$F)</f>
        <v>0</v>
      </c>
      <c r="AL200" s="256">
        <f>IF($F200=AK$1,$U200,0)*SUMIF('KU-LGE Rating'!$R:$R,$D200,'KU-LGE Rating'!$G:$G)</f>
        <v>0</v>
      </c>
      <c r="AM200" s="240">
        <f t="shared" si="34"/>
        <v>0</v>
      </c>
      <c r="AN200" s="256">
        <f>IF($F200=AN$1,$U200,0)*SUMIF('KU-LGE Rating'!$R:$R,$D200,'KU-LGE Rating'!$F:$F)</f>
        <v>1990003</v>
      </c>
      <c r="AO200" s="256">
        <f>IF($F200=AN$1,$U200,0)*SUMIF('KU-LGE Rating'!$R:$R,$D200,'KU-LGE Rating'!$G:$G)</f>
        <v>0</v>
      </c>
      <c r="AP200" s="240">
        <f t="shared" si="35"/>
        <v>1990003</v>
      </c>
      <c r="AQ200" s="277"/>
      <c r="AR200" s="277"/>
      <c r="AV200" s="278"/>
      <c r="AW200" s="278"/>
      <c r="AX200" s="278"/>
    </row>
    <row r="201" spans="1:50">
      <c r="A201" s="1" t="s">
        <v>2769</v>
      </c>
      <c r="B201" s="1" t="s">
        <v>3</v>
      </c>
      <c r="C201" t="s">
        <v>3723</v>
      </c>
      <c r="D201" t="s">
        <v>3729</v>
      </c>
      <c r="E201" t="s">
        <v>3893</v>
      </c>
      <c r="F201">
        <v>2017</v>
      </c>
      <c r="G201" t="s">
        <v>3908</v>
      </c>
      <c r="H201">
        <v>513100</v>
      </c>
      <c r="I201">
        <v>0</v>
      </c>
      <c r="J201">
        <v>0</v>
      </c>
      <c r="K201">
        <v>84994</v>
      </c>
      <c r="L201">
        <v>125004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 s="8">
        <v>209998</v>
      </c>
      <c r="V201" s="243" t="str">
        <f t="shared" si="29"/>
        <v>513</v>
      </c>
      <c r="W201" s="240">
        <f t="shared" si="30"/>
        <v>0</v>
      </c>
      <c r="X201" s="243">
        <f t="shared" si="31"/>
        <v>0</v>
      </c>
      <c r="Y201" s="255">
        <f>$W201*SUMIF('KU-LGE Rating'!$R:$R,$D201,'KU-LGE Rating'!F:F)</f>
        <v>0</v>
      </c>
      <c r="Z201" s="256">
        <f>$W201*SUMIF('KU-LGE Rating'!$R:$R,$D201,'KU-LGE Rating'!G:G)</f>
        <v>0</v>
      </c>
      <c r="AA201" s="257">
        <f t="shared" si="27"/>
        <v>0</v>
      </c>
      <c r="AB201" s="255">
        <f>$X201*SUMIF('KU-LGE Rating'!$R:$R,$D201,'KU-LGE Rating'!F:F)</f>
        <v>0</v>
      </c>
      <c r="AC201" s="256">
        <f>$X201*SUMIF('KU-LGE Rating'!$R:$R,$D201,'KU-LGE Rating'!G:G)</f>
        <v>0</v>
      </c>
      <c r="AD201" s="257">
        <f t="shared" si="28"/>
        <v>0</v>
      </c>
      <c r="AE201" s="274">
        <f>IF($F201=AE$1,$U201,0)*SUMIF('KU-LGE Rating'!$R:$R,$D201,'KU-LGE Rating'!$F:$F)</f>
        <v>0</v>
      </c>
      <c r="AF201" s="274">
        <f>IF($F201=AE$1,$U201,0)*SUMIF('KU-LGE Rating'!$R:$R,$D201,'KU-LGE Rating'!$G:$G)</f>
        <v>0</v>
      </c>
      <c r="AG201" s="240">
        <f t="shared" si="32"/>
        <v>0</v>
      </c>
      <c r="AH201" s="256">
        <f>IF($F201=AH$1,$U201,0)*SUMIF('KU-LGE Rating'!$R:$R,$D201,'KU-LGE Rating'!$F:$F)</f>
        <v>0</v>
      </c>
      <c r="AI201" s="256">
        <f>IF($F201=AH$1,$U201,0)*SUMIF('KU-LGE Rating'!$R:$R,$D201,'KU-LGE Rating'!$G:$G)</f>
        <v>0</v>
      </c>
      <c r="AJ201" s="240">
        <f t="shared" si="33"/>
        <v>0</v>
      </c>
      <c r="AK201" s="256">
        <f>IF($F201=AK$1,$U201,0)*SUMIF('KU-LGE Rating'!$R:$R,$D201,'KU-LGE Rating'!$F:$F)</f>
        <v>0</v>
      </c>
      <c r="AL201" s="256">
        <f>IF($F201=AK$1,$U201,0)*SUMIF('KU-LGE Rating'!$R:$R,$D201,'KU-LGE Rating'!$G:$G)</f>
        <v>0</v>
      </c>
      <c r="AM201" s="240">
        <f t="shared" si="34"/>
        <v>0</v>
      </c>
      <c r="AN201" s="256">
        <f>IF($F201=AN$1,$U201,0)*SUMIF('KU-LGE Rating'!$R:$R,$D201,'KU-LGE Rating'!$F:$F)</f>
        <v>209998</v>
      </c>
      <c r="AO201" s="256">
        <f>IF($F201=AN$1,$U201,0)*SUMIF('KU-LGE Rating'!$R:$R,$D201,'KU-LGE Rating'!$G:$G)</f>
        <v>0</v>
      </c>
      <c r="AP201" s="240">
        <f t="shared" si="35"/>
        <v>209998</v>
      </c>
      <c r="AQ201" s="277"/>
      <c r="AR201" s="277"/>
      <c r="AV201" s="278"/>
      <c r="AW201" s="278"/>
      <c r="AX201" s="278"/>
    </row>
    <row r="202" spans="1:50">
      <c r="A202" s="1" t="s">
        <v>2769</v>
      </c>
      <c r="B202" s="1" t="s">
        <v>3</v>
      </c>
      <c r="C202" t="s">
        <v>3723</v>
      </c>
      <c r="D202" t="s">
        <v>3730</v>
      </c>
      <c r="E202" t="s">
        <v>3893</v>
      </c>
      <c r="F202">
        <v>2014</v>
      </c>
      <c r="G202" t="s">
        <v>3908</v>
      </c>
      <c r="H202">
        <v>511100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40745.919999999998</v>
      </c>
      <c r="R202">
        <v>5808.45</v>
      </c>
      <c r="S202">
        <v>11585.74</v>
      </c>
      <c r="T202">
        <v>11754.01</v>
      </c>
      <c r="U202" s="8">
        <v>69894.12</v>
      </c>
      <c r="V202" s="243" t="str">
        <f t="shared" si="29"/>
        <v>511</v>
      </c>
      <c r="W202" s="240">
        <f t="shared" si="30"/>
        <v>69894.12</v>
      </c>
      <c r="X202" s="243">
        <f t="shared" si="31"/>
        <v>0</v>
      </c>
      <c r="Y202" s="255">
        <f>$W202*SUMIF('KU-LGE Rating'!$R:$R,$D202,'KU-LGE Rating'!F:F)</f>
        <v>69894.12</v>
      </c>
      <c r="Z202" s="256">
        <f>$W202*SUMIF('KU-LGE Rating'!$R:$R,$D202,'KU-LGE Rating'!G:G)</f>
        <v>0</v>
      </c>
      <c r="AA202" s="257">
        <f t="shared" si="27"/>
        <v>69894.12</v>
      </c>
      <c r="AB202" s="255">
        <f>$X202*SUMIF('KU-LGE Rating'!$R:$R,$D202,'KU-LGE Rating'!F:F)</f>
        <v>0</v>
      </c>
      <c r="AC202" s="256">
        <f>$X202*SUMIF('KU-LGE Rating'!$R:$R,$D202,'KU-LGE Rating'!G:G)</f>
        <v>0</v>
      </c>
      <c r="AD202" s="257">
        <f t="shared" si="28"/>
        <v>0</v>
      </c>
      <c r="AE202" s="274">
        <f>IF($F202=AE$1,$U202,0)*SUMIF('KU-LGE Rating'!$R:$R,$D202,'KU-LGE Rating'!$F:$F)</f>
        <v>69894.12</v>
      </c>
      <c r="AF202" s="274">
        <f>IF($F202=AE$1,$U202,0)*SUMIF('KU-LGE Rating'!$R:$R,$D202,'KU-LGE Rating'!$G:$G)</f>
        <v>0</v>
      </c>
      <c r="AG202" s="240">
        <f t="shared" si="32"/>
        <v>69894.12</v>
      </c>
      <c r="AH202" s="256">
        <f>IF($F202=AH$1,$U202,0)*SUMIF('KU-LGE Rating'!$R:$R,$D202,'KU-LGE Rating'!$F:$F)</f>
        <v>0</v>
      </c>
      <c r="AI202" s="256">
        <f>IF($F202=AH$1,$U202,0)*SUMIF('KU-LGE Rating'!$R:$R,$D202,'KU-LGE Rating'!$G:$G)</f>
        <v>0</v>
      </c>
      <c r="AJ202" s="240">
        <f t="shared" si="33"/>
        <v>0</v>
      </c>
      <c r="AK202" s="256">
        <f>IF($F202=AK$1,$U202,0)*SUMIF('KU-LGE Rating'!$R:$R,$D202,'KU-LGE Rating'!$F:$F)</f>
        <v>0</v>
      </c>
      <c r="AL202" s="256">
        <f>IF($F202=AK$1,$U202,0)*SUMIF('KU-LGE Rating'!$R:$R,$D202,'KU-LGE Rating'!$G:$G)</f>
        <v>0</v>
      </c>
      <c r="AM202" s="240">
        <f t="shared" si="34"/>
        <v>0</v>
      </c>
      <c r="AN202" s="256">
        <f>IF($F202=AN$1,$U202,0)*SUMIF('KU-LGE Rating'!$R:$R,$D202,'KU-LGE Rating'!$F:$F)</f>
        <v>0</v>
      </c>
      <c r="AO202" s="256">
        <f>IF($F202=AN$1,$U202,0)*SUMIF('KU-LGE Rating'!$R:$R,$D202,'KU-LGE Rating'!$G:$G)</f>
        <v>0</v>
      </c>
      <c r="AP202" s="240">
        <f t="shared" si="35"/>
        <v>0</v>
      </c>
      <c r="AQ202" s="277"/>
      <c r="AR202" s="277"/>
      <c r="AV202" s="278"/>
      <c r="AW202" s="278"/>
      <c r="AX202" s="278"/>
    </row>
    <row r="203" spans="1:50">
      <c r="A203" s="1" t="s">
        <v>2769</v>
      </c>
      <c r="B203" s="1" t="s">
        <v>3</v>
      </c>
      <c r="C203" t="s">
        <v>3723</v>
      </c>
      <c r="D203" t="s">
        <v>3730</v>
      </c>
      <c r="E203" t="s">
        <v>3893</v>
      </c>
      <c r="F203">
        <v>2014</v>
      </c>
      <c r="G203" t="s">
        <v>3908</v>
      </c>
      <c r="H203">
        <v>512005</v>
      </c>
      <c r="I203">
        <v>-2.56</v>
      </c>
      <c r="J203">
        <v>0</v>
      </c>
      <c r="K203">
        <v>-315.35000000000002</v>
      </c>
      <c r="L203">
        <v>0</v>
      </c>
      <c r="M203">
        <v>0</v>
      </c>
      <c r="N203">
        <v>0</v>
      </c>
      <c r="O203">
        <v>73007.240000000005</v>
      </c>
      <c r="P203">
        <v>2220.2600000000002</v>
      </c>
      <c r="Q203">
        <v>-74909.59</v>
      </c>
      <c r="R203">
        <v>0</v>
      </c>
      <c r="S203">
        <v>0</v>
      </c>
      <c r="T203">
        <v>0</v>
      </c>
      <c r="U203" s="8">
        <v>0</v>
      </c>
      <c r="V203" s="243" t="str">
        <f t="shared" si="29"/>
        <v>512</v>
      </c>
      <c r="W203" s="240">
        <f t="shared" si="30"/>
        <v>2.5599999999976717</v>
      </c>
      <c r="X203" s="243">
        <f t="shared" si="31"/>
        <v>0</v>
      </c>
      <c r="Y203" s="255">
        <f>$W203*SUMIF('KU-LGE Rating'!$R:$R,$D203,'KU-LGE Rating'!F:F)</f>
        <v>2.5599999999976717</v>
      </c>
      <c r="Z203" s="256">
        <f>$W203*SUMIF('KU-LGE Rating'!$R:$R,$D203,'KU-LGE Rating'!G:G)</f>
        <v>0</v>
      </c>
      <c r="AA203" s="257">
        <f t="shared" si="27"/>
        <v>2.5599999999976717</v>
      </c>
      <c r="AB203" s="255">
        <f>$X203*SUMIF('KU-LGE Rating'!$R:$R,$D203,'KU-LGE Rating'!F:F)</f>
        <v>0</v>
      </c>
      <c r="AC203" s="256">
        <f>$X203*SUMIF('KU-LGE Rating'!$R:$R,$D203,'KU-LGE Rating'!G:G)</f>
        <v>0</v>
      </c>
      <c r="AD203" s="257">
        <f t="shared" si="28"/>
        <v>0</v>
      </c>
      <c r="AE203" s="274">
        <f>IF($F203=AE$1,$U203,0)*SUMIF('KU-LGE Rating'!$R:$R,$D203,'KU-LGE Rating'!$F:$F)</f>
        <v>0</v>
      </c>
      <c r="AF203" s="274">
        <f>IF($F203=AE$1,$U203,0)*SUMIF('KU-LGE Rating'!$R:$R,$D203,'KU-LGE Rating'!$G:$G)</f>
        <v>0</v>
      </c>
      <c r="AG203" s="240">
        <f t="shared" si="32"/>
        <v>0</v>
      </c>
      <c r="AH203" s="256">
        <f>IF($F203=AH$1,$U203,0)*SUMIF('KU-LGE Rating'!$R:$R,$D203,'KU-LGE Rating'!$F:$F)</f>
        <v>0</v>
      </c>
      <c r="AI203" s="256">
        <f>IF($F203=AH$1,$U203,0)*SUMIF('KU-LGE Rating'!$R:$R,$D203,'KU-LGE Rating'!$G:$G)</f>
        <v>0</v>
      </c>
      <c r="AJ203" s="240">
        <f t="shared" si="33"/>
        <v>0</v>
      </c>
      <c r="AK203" s="256">
        <f>IF($F203=AK$1,$U203,0)*SUMIF('KU-LGE Rating'!$R:$R,$D203,'KU-LGE Rating'!$F:$F)</f>
        <v>0</v>
      </c>
      <c r="AL203" s="256">
        <f>IF($F203=AK$1,$U203,0)*SUMIF('KU-LGE Rating'!$R:$R,$D203,'KU-LGE Rating'!$G:$G)</f>
        <v>0</v>
      </c>
      <c r="AM203" s="240">
        <f t="shared" si="34"/>
        <v>0</v>
      </c>
      <c r="AN203" s="256">
        <f>IF($F203=AN$1,$U203,0)*SUMIF('KU-LGE Rating'!$R:$R,$D203,'KU-LGE Rating'!$F:$F)</f>
        <v>0</v>
      </c>
      <c r="AO203" s="256">
        <f>IF($F203=AN$1,$U203,0)*SUMIF('KU-LGE Rating'!$R:$R,$D203,'KU-LGE Rating'!$G:$G)</f>
        <v>0</v>
      </c>
      <c r="AP203" s="240">
        <f t="shared" si="35"/>
        <v>0</v>
      </c>
      <c r="AQ203" s="277"/>
      <c r="AR203" s="277"/>
      <c r="AV203" s="278"/>
      <c r="AW203" s="278"/>
      <c r="AX203" s="278"/>
    </row>
    <row r="204" spans="1:50">
      <c r="A204" s="1" t="s">
        <v>2769</v>
      </c>
      <c r="B204" s="1" t="s">
        <v>3</v>
      </c>
      <c r="C204" t="s">
        <v>3723</v>
      </c>
      <c r="D204" t="s">
        <v>3730</v>
      </c>
      <c r="E204" t="s">
        <v>3893</v>
      </c>
      <c r="F204">
        <v>2014</v>
      </c>
      <c r="G204" t="s">
        <v>3908</v>
      </c>
      <c r="H204">
        <v>512100</v>
      </c>
      <c r="I204">
        <v>24198.97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-1462660.61</v>
      </c>
      <c r="R204">
        <v>990364.08</v>
      </c>
      <c r="S204">
        <v>2058264.37</v>
      </c>
      <c r="T204">
        <v>402571.63</v>
      </c>
      <c r="U204" s="8">
        <v>2012738.44</v>
      </c>
      <c r="V204" s="243" t="str">
        <f t="shared" si="29"/>
        <v>512</v>
      </c>
      <c r="W204" s="240">
        <f t="shared" si="30"/>
        <v>1988539.4699999997</v>
      </c>
      <c r="X204" s="243">
        <f t="shared" si="31"/>
        <v>0</v>
      </c>
      <c r="Y204" s="255">
        <f>$W204*SUMIF('KU-LGE Rating'!$R:$R,$D204,'KU-LGE Rating'!F:F)</f>
        <v>1988539.4699999997</v>
      </c>
      <c r="Z204" s="256">
        <f>$W204*SUMIF('KU-LGE Rating'!$R:$R,$D204,'KU-LGE Rating'!G:G)</f>
        <v>0</v>
      </c>
      <c r="AA204" s="257">
        <f t="shared" si="27"/>
        <v>1988539.4699999997</v>
      </c>
      <c r="AB204" s="255">
        <f>$X204*SUMIF('KU-LGE Rating'!$R:$R,$D204,'KU-LGE Rating'!F:F)</f>
        <v>0</v>
      </c>
      <c r="AC204" s="256">
        <f>$X204*SUMIF('KU-LGE Rating'!$R:$R,$D204,'KU-LGE Rating'!G:G)</f>
        <v>0</v>
      </c>
      <c r="AD204" s="257">
        <f t="shared" si="28"/>
        <v>0</v>
      </c>
      <c r="AE204" s="274">
        <f>IF($F204=AE$1,$U204,0)*SUMIF('KU-LGE Rating'!$R:$R,$D204,'KU-LGE Rating'!$F:$F)</f>
        <v>2012738.44</v>
      </c>
      <c r="AF204" s="274">
        <f>IF($F204=AE$1,$U204,0)*SUMIF('KU-LGE Rating'!$R:$R,$D204,'KU-LGE Rating'!$G:$G)</f>
        <v>0</v>
      </c>
      <c r="AG204" s="240">
        <f t="shared" si="32"/>
        <v>2012738.44</v>
      </c>
      <c r="AH204" s="256">
        <f>IF($F204=AH$1,$U204,0)*SUMIF('KU-LGE Rating'!$R:$R,$D204,'KU-LGE Rating'!$F:$F)</f>
        <v>0</v>
      </c>
      <c r="AI204" s="256">
        <f>IF($F204=AH$1,$U204,0)*SUMIF('KU-LGE Rating'!$R:$R,$D204,'KU-LGE Rating'!$G:$G)</f>
        <v>0</v>
      </c>
      <c r="AJ204" s="240">
        <f t="shared" si="33"/>
        <v>0</v>
      </c>
      <c r="AK204" s="256">
        <f>IF($F204=AK$1,$U204,0)*SUMIF('KU-LGE Rating'!$R:$R,$D204,'KU-LGE Rating'!$F:$F)</f>
        <v>0</v>
      </c>
      <c r="AL204" s="256">
        <f>IF($F204=AK$1,$U204,0)*SUMIF('KU-LGE Rating'!$R:$R,$D204,'KU-LGE Rating'!$G:$G)</f>
        <v>0</v>
      </c>
      <c r="AM204" s="240">
        <f t="shared" si="34"/>
        <v>0</v>
      </c>
      <c r="AN204" s="256">
        <f>IF($F204=AN$1,$U204,0)*SUMIF('KU-LGE Rating'!$R:$R,$D204,'KU-LGE Rating'!$F:$F)</f>
        <v>0</v>
      </c>
      <c r="AO204" s="256">
        <f>IF($F204=AN$1,$U204,0)*SUMIF('KU-LGE Rating'!$R:$R,$D204,'KU-LGE Rating'!$G:$G)</f>
        <v>0</v>
      </c>
      <c r="AP204" s="240">
        <f t="shared" si="35"/>
        <v>0</v>
      </c>
      <c r="AQ204" s="277"/>
      <c r="AR204" s="277"/>
      <c r="AV204" s="278"/>
      <c r="AW204" s="278"/>
      <c r="AX204" s="278"/>
    </row>
    <row r="205" spans="1:50">
      <c r="A205" s="1" t="s">
        <v>2769</v>
      </c>
      <c r="B205" s="1" t="s">
        <v>3</v>
      </c>
      <c r="C205" t="s">
        <v>3723</v>
      </c>
      <c r="D205" t="s">
        <v>3730</v>
      </c>
      <c r="E205" t="s">
        <v>3893</v>
      </c>
      <c r="F205">
        <v>2014</v>
      </c>
      <c r="G205" t="s">
        <v>3908</v>
      </c>
      <c r="H205">
        <v>513100</v>
      </c>
      <c r="I205">
        <v>0</v>
      </c>
      <c r="J205">
        <v>3186.04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366.86</v>
      </c>
      <c r="Q205">
        <v>930844.33</v>
      </c>
      <c r="R205">
        <v>852000</v>
      </c>
      <c r="S205">
        <v>1105000</v>
      </c>
      <c r="T205">
        <v>2413000</v>
      </c>
      <c r="U205" s="8">
        <v>5304397.2300000004</v>
      </c>
      <c r="V205" s="243" t="str">
        <f t="shared" si="29"/>
        <v>513</v>
      </c>
      <c r="W205" s="240">
        <f t="shared" si="30"/>
        <v>5301211.1899999995</v>
      </c>
      <c r="X205" s="243">
        <f t="shared" si="31"/>
        <v>0</v>
      </c>
      <c r="Y205" s="255">
        <f>$W205*SUMIF('KU-LGE Rating'!$R:$R,$D205,'KU-LGE Rating'!F:F)</f>
        <v>5301211.1899999995</v>
      </c>
      <c r="Z205" s="256">
        <f>$W205*SUMIF('KU-LGE Rating'!$R:$R,$D205,'KU-LGE Rating'!G:G)</f>
        <v>0</v>
      </c>
      <c r="AA205" s="257">
        <f t="shared" si="27"/>
        <v>5301211.1899999995</v>
      </c>
      <c r="AB205" s="255">
        <f>$X205*SUMIF('KU-LGE Rating'!$R:$R,$D205,'KU-LGE Rating'!F:F)</f>
        <v>0</v>
      </c>
      <c r="AC205" s="256">
        <f>$X205*SUMIF('KU-LGE Rating'!$R:$R,$D205,'KU-LGE Rating'!G:G)</f>
        <v>0</v>
      </c>
      <c r="AD205" s="257">
        <f t="shared" si="28"/>
        <v>0</v>
      </c>
      <c r="AE205" s="274">
        <f>IF($F205=AE$1,$U205,0)*SUMIF('KU-LGE Rating'!$R:$R,$D205,'KU-LGE Rating'!$F:$F)</f>
        <v>5304397.2300000004</v>
      </c>
      <c r="AF205" s="274">
        <f>IF($F205=AE$1,$U205,0)*SUMIF('KU-LGE Rating'!$R:$R,$D205,'KU-LGE Rating'!$G:$G)</f>
        <v>0</v>
      </c>
      <c r="AG205" s="240">
        <f t="shared" si="32"/>
        <v>5304397.2300000004</v>
      </c>
      <c r="AH205" s="256">
        <f>IF($F205=AH$1,$U205,0)*SUMIF('KU-LGE Rating'!$R:$R,$D205,'KU-LGE Rating'!$F:$F)</f>
        <v>0</v>
      </c>
      <c r="AI205" s="256">
        <f>IF($F205=AH$1,$U205,0)*SUMIF('KU-LGE Rating'!$R:$R,$D205,'KU-LGE Rating'!$G:$G)</f>
        <v>0</v>
      </c>
      <c r="AJ205" s="240">
        <f t="shared" si="33"/>
        <v>0</v>
      </c>
      <c r="AK205" s="256">
        <f>IF($F205=AK$1,$U205,0)*SUMIF('KU-LGE Rating'!$R:$R,$D205,'KU-LGE Rating'!$F:$F)</f>
        <v>0</v>
      </c>
      <c r="AL205" s="256">
        <f>IF($F205=AK$1,$U205,0)*SUMIF('KU-LGE Rating'!$R:$R,$D205,'KU-LGE Rating'!$G:$G)</f>
        <v>0</v>
      </c>
      <c r="AM205" s="240">
        <f t="shared" si="34"/>
        <v>0</v>
      </c>
      <c r="AN205" s="256">
        <f>IF($F205=AN$1,$U205,0)*SUMIF('KU-LGE Rating'!$R:$R,$D205,'KU-LGE Rating'!$F:$F)</f>
        <v>0</v>
      </c>
      <c r="AO205" s="256">
        <f>IF($F205=AN$1,$U205,0)*SUMIF('KU-LGE Rating'!$R:$R,$D205,'KU-LGE Rating'!$G:$G)</f>
        <v>0</v>
      </c>
      <c r="AP205" s="240">
        <f t="shared" si="35"/>
        <v>0</v>
      </c>
      <c r="AQ205" s="277"/>
      <c r="AR205" s="277"/>
      <c r="AV205" s="278"/>
      <c r="AW205" s="278"/>
      <c r="AX205" s="278"/>
    </row>
    <row r="206" spans="1:50">
      <c r="A206" s="1" t="s">
        <v>2769</v>
      </c>
      <c r="B206" s="1" t="s">
        <v>3</v>
      </c>
      <c r="C206" t="s">
        <v>3723</v>
      </c>
      <c r="D206" t="s">
        <v>3730</v>
      </c>
      <c r="E206" t="s">
        <v>3893</v>
      </c>
      <c r="F206">
        <v>2014</v>
      </c>
      <c r="G206" t="s">
        <v>3908</v>
      </c>
      <c r="H206">
        <v>514100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268.79000000000002</v>
      </c>
      <c r="R206">
        <v>827.21</v>
      </c>
      <c r="S206">
        <v>1649.99</v>
      </c>
      <c r="T206">
        <v>1673.95</v>
      </c>
      <c r="U206" s="8">
        <v>4419.9399999999996</v>
      </c>
      <c r="V206" s="243" t="str">
        <f t="shared" si="29"/>
        <v>514</v>
      </c>
      <c r="W206" s="240">
        <f t="shared" si="30"/>
        <v>4419.9399999999996</v>
      </c>
      <c r="X206" s="243">
        <f t="shared" si="31"/>
        <v>0</v>
      </c>
      <c r="Y206" s="255">
        <f>$W206*SUMIF('KU-LGE Rating'!$R:$R,$D206,'KU-LGE Rating'!F:F)</f>
        <v>4419.9399999999996</v>
      </c>
      <c r="Z206" s="256">
        <f>$W206*SUMIF('KU-LGE Rating'!$R:$R,$D206,'KU-LGE Rating'!G:G)</f>
        <v>0</v>
      </c>
      <c r="AA206" s="257">
        <f t="shared" si="27"/>
        <v>4419.9399999999996</v>
      </c>
      <c r="AB206" s="255">
        <f>$X206*SUMIF('KU-LGE Rating'!$R:$R,$D206,'KU-LGE Rating'!F:F)</f>
        <v>0</v>
      </c>
      <c r="AC206" s="256">
        <f>$X206*SUMIF('KU-LGE Rating'!$R:$R,$D206,'KU-LGE Rating'!G:G)</f>
        <v>0</v>
      </c>
      <c r="AD206" s="257">
        <f t="shared" si="28"/>
        <v>0</v>
      </c>
      <c r="AE206" s="274">
        <f>IF($F206=AE$1,$U206,0)*SUMIF('KU-LGE Rating'!$R:$R,$D206,'KU-LGE Rating'!$F:$F)</f>
        <v>4419.9399999999996</v>
      </c>
      <c r="AF206" s="274">
        <f>IF($F206=AE$1,$U206,0)*SUMIF('KU-LGE Rating'!$R:$R,$D206,'KU-LGE Rating'!$G:$G)</f>
        <v>0</v>
      </c>
      <c r="AG206" s="240">
        <f t="shared" si="32"/>
        <v>4419.9399999999996</v>
      </c>
      <c r="AH206" s="256">
        <f>IF($F206=AH$1,$U206,0)*SUMIF('KU-LGE Rating'!$R:$R,$D206,'KU-LGE Rating'!$F:$F)</f>
        <v>0</v>
      </c>
      <c r="AI206" s="256">
        <f>IF($F206=AH$1,$U206,0)*SUMIF('KU-LGE Rating'!$R:$R,$D206,'KU-LGE Rating'!$G:$G)</f>
        <v>0</v>
      </c>
      <c r="AJ206" s="240">
        <f t="shared" si="33"/>
        <v>0</v>
      </c>
      <c r="AK206" s="256">
        <f>IF($F206=AK$1,$U206,0)*SUMIF('KU-LGE Rating'!$R:$R,$D206,'KU-LGE Rating'!$F:$F)</f>
        <v>0</v>
      </c>
      <c r="AL206" s="256">
        <f>IF($F206=AK$1,$U206,0)*SUMIF('KU-LGE Rating'!$R:$R,$D206,'KU-LGE Rating'!$G:$G)</f>
        <v>0</v>
      </c>
      <c r="AM206" s="240">
        <f t="shared" si="34"/>
        <v>0</v>
      </c>
      <c r="AN206" s="256">
        <f>IF($F206=AN$1,$U206,0)*SUMIF('KU-LGE Rating'!$R:$R,$D206,'KU-LGE Rating'!$F:$F)</f>
        <v>0</v>
      </c>
      <c r="AO206" s="256">
        <f>IF($F206=AN$1,$U206,0)*SUMIF('KU-LGE Rating'!$R:$R,$D206,'KU-LGE Rating'!$G:$G)</f>
        <v>0</v>
      </c>
      <c r="AP206" s="240">
        <f t="shared" si="35"/>
        <v>0</v>
      </c>
      <c r="AQ206" s="277"/>
      <c r="AR206" s="277"/>
      <c r="AV206" s="278"/>
      <c r="AW206" s="278"/>
      <c r="AX206" s="278"/>
    </row>
    <row r="207" spans="1:50">
      <c r="A207" s="1" t="s">
        <v>2769</v>
      </c>
      <c r="B207" s="1" t="s">
        <v>3</v>
      </c>
      <c r="C207" t="s">
        <v>3723</v>
      </c>
      <c r="D207" t="s">
        <v>3730</v>
      </c>
      <c r="E207" t="s">
        <v>3893</v>
      </c>
      <c r="F207">
        <v>2016</v>
      </c>
      <c r="G207" t="s">
        <v>3908</v>
      </c>
      <c r="H207">
        <v>512100</v>
      </c>
      <c r="I207">
        <v>0</v>
      </c>
      <c r="J207">
        <v>0</v>
      </c>
      <c r="K207">
        <v>0</v>
      </c>
      <c r="L207">
        <v>894995</v>
      </c>
      <c r="M207">
        <v>1064998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8">
        <v>1959993</v>
      </c>
      <c r="V207" s="243" t="str">
        <f t="shared" si="29"/>
        <v>512</v>
      </c>
      <c r="W207" s="240">
        <f t="shared" si="30"/>
        <v>0</v>
      </c>
      <c r="X207" s="243">
        <f t="shared" si="31"/>
        <v>1959993</v>
      </c>
      <c r="Y207" s="255">
        <f>$W207*SUMIF('KU-LGE Rating'!$R:$R,$D207,'KU-LGE Rating'!F:F)</f>
        <v>0</v>
      </c>
      <c r="Z207" s="256">
        <f>$W207*SUMIF('KU-LGE Rating'!$R:$R,$D207,'KU-LGE Rating'!G:G)</f>
        <v>0</v>
      </c>
      <c r="AA207" s="257">
        <f t="shared" si="27"/>
        <v>0</v>
      </c>
      <c r="AB207" s="255">
        <f>$X207*SUMIF('KU-LGE Rating'!$R:$R,$D207,'KU-LGE Rating'!F:F)</f>
        <v>1959993</v>
      </c>
      <c r="AC207" s="256">
        <f>$X207*SUMIF('KU-LGE Rating'!$R:$R,$D207,'KU-LGE Rating'!G:G)</f>
        <v>0</v>
      </c>
      <c r="AD207" s="257">
        <f t="shared" si="28"/>
        <v>1959993</v>
      </c>
      <c r="AE207" s="274">
        <f>IF($F207=AE$1,$U207,0)*SUMIF('KU-LGE Rating'!$R:$R,$D207,'KU-LGE Rating'!$F:$F)</f>
        <v>0</v>
      </c>
      <c r="AF207" s="274">
        <f>IF($F207=AE$1,$U207,0)*SUMIF('KU-LGE Rating'!$R:$R,$D207,'KU-LGE Rating'!$G:$G)</f>
        <v>0</v>
      </c>
      <c r="AG207" s="240">
        <f t="shared" si="32"/>
        <v>0</v>
      </c>
      <c r="AH207" s="256">
        <f>IF($F207=AH$1,$U207,0)*SUMIF('KU-LGE Rating'!$R:$R,$D207,'KU-LGE Rating'!$F:$F)</f>
        <v>0</v>
      </c>
      <c r="AI207" s="256">
        <f>IF($F207=AH$1,$U207,0)*SUMIF('KU-LGE Rating'!$R:$R,$D207,'KU-LGE Rating'!$G:$G)</f>
        <v>0</v>
      </c>
      <c r="AJ207" s="240">
        <f t="shared" si="33"/>
        <v>0</v>
      </c>
      <c r="AK207" s="256">
        <f>IF($F207=AK$1,$U207,0)*SUMIF('KU-LGE Rating'!$R:$R,$D207,'KU-LGE Rating'!$F:$F)</f>
        <v>1959993</v>
      </c>
      <c r="AL207" s="256">
        <f>IF($F207=AK$1,$U207,0)*SUMIF('KU-LGE Rating'!$R:$R,$D207,'KU-LGE Rating'!$G:$G)</f>
        <v>0</v>
      </c>
      <c r="AM207" s="240">
        <f t="shared" si="34"/>
        <v>1959993</v>
      </c>
      <c r="AN207" s="256">
        <f>IF($F207=AN$1,$U207,0)*SUMIF('KU-LGE Rating'!$R:$R,$D207,'KU-LGE Rating'!$F:$F)</f>
        <v>0</v>
      </c>
      <c r="AO207" s="256">
        <f>IF($F207=AN$1,$U207,0)*SUMIF('KU-LGE Rating'!$R:$R,$D207,'KU-LGE Rating'!$G:$G)</f>
        <v>0</v>
      </c>
      <c r="AP207" s="240">
        <f t="shared" si="35"/>
        <v>0</v>
      </c>
      <c r="AQ207" s="277"/>
      <c r="AR207" s="277"/>
      <c r="AV207" s="278"/>
      <c r="AW207" s="278"/>
      <c r="AX207" s="278"/>
    </row>
    <row r="208" spans="1:50">
      <c r="A208" s="1" t="s">
        <v>2769</v>
      </c>
      <c r="B208" s="1" t="s">
        <v>3</v>
      </c>
      <c r="C208" t="s">
        <v>3723</v>
      </c>
      <c r="D208" t="s">
        <v>3730</v>
      </c>
      <c r="E208" t="s">
        <v>3893</v>
      </c>
      <c r="F208">
        <v>2016</v>
      </c>
      <c r="G208" t="s">
        <v>3908</v>
      </c>
      <c r="H208">
        <v>513100</v>
      </c>
      <c r="I208">
        <v>0</v>
      </c>
      <c r="J208">
        <v>0</v>
      </c>
      <c r="K208">
        <v>0</v>
      </c>
      <c r="L208">
        <v>90002</v>
      </c>
      <c r="M208">
        <v>50002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 s="8">
        <v>140004</v>
      </c>
      <c r="V208" s="243" t="str">
        <f t="shared" si="29"/>
        <v>513</v>
      </c>
      <c r="W208" s="240">
        <f t="shared" si="30"/>
        <v>0</v>
      </c>
      <c r="X208" s="243">
        <f t="shared" si="31"/>
        <v>140004</v>
      </c>
      <c r="Y208" s="255">
        <f>$W208*SUMIF('KU-LGE Rating'!$R:$R,$D208,'KU-LGE Rating'!F:F)</f>
        <v>0</v>
      </c>
      <c r="Z208" s="256">
        <f>$W208*SUMIF('KU-LGE Rating'!$R:$R,$D208,'KU-LGE Rating'!G:G)</f>
        <v>0</v>
      </c>
      <c r="AA208" s="257">
        <f t="shared" si="27"/>
        <v>0</v>
      </c>
      <c r="AB208" s="255">
        <f>$X208*SUMIF('KU-LGE Rating'!$R:$R,$D208,'KU-LGE Rating'!F:F)</f>
        <v>140004</v>
      </c>
      <c r="AC208" s="256">
        <f>$X208*SUMIF('KU-LGE Rating'!$R:$R,$D208,'KU-LGE Rating'!G:G)</f>
        <v>0</v>
      </c>
      <c r="AD208" s="257">
        <f t="shared" si="28"/>
        <v>140004</v>
      </c>
      <c r="AE208" s="274">
        <f>IF($F208=AE$1,$U208,0)*SUMIF('KU-LGE Rating'!$R:$R,$D208,'KU-LGE Rating'!$F:$F)</f>
        <v>0</v>
      </c>
      <c r="AF208" s="274">
        <f>IF($F208=AE$1,$U208,0)*SUMIF('KU-LGE Rating'!$R:$R,$D208,'KU-LGE Rating'!$G:$G)</f>
        <v>0</v>
      </c>
      <c r="AG208" s="240">
        <f t="shared" si="32"/>
        <v>0</v>
      </c>
      <c r="AH208" s="256">
        <f>IF($F208=AH$1,$U208,0)*SUMIF('KU-LGE Rating'!$R:$R,$D208,'KU-LGE Rating'!$F:$F)</f>
        <v>0</v>
      </c>
      <c r="AI208" s="256">
        <f>IF($F208=AH$1,$U208,0)*SUMIF('KU-LGE Rating'!$R:$R,$D208,'KU-LGE Rating'!$G:$G)</f>
        <v>0</v>
      </c>
      <c r="AJ208" s="240">
        <f t="shared" si="33"/>
        <v>0</v>
      </c>
      <c r="AK208" s="256">
        <f>IF($F208=AK$1,$U208,0)*SUMIF('KU-LGE Rating'!$R:$R,$D208,'KU-LGE Rating'!$F:$F)</f>
        <v>140004</v>
      </c>
      <c r="AL208" s="256">
        <f>IF($F208=AK$1,$U208,0)*SUMIF('KU-LGE Rating'!$R:$R,$D208,'KU-LGE Rating'!$G:$G)</f>
        <v>0</v>
      </c>
      <c r="AM208" s="240">
        <f t="shared" si="34"/>
        <v>140004</v>
      </c>
      <c r="AN208" s="256">
        <f>IF($F208=AN$1,$U208,0)*SUMIF('KU-LGE Rating'!$R:$R,$D208,'KU-LGE Rating'!$F:$F)</f>
        <v>0</v>
      </c>
      <c r="AO208" s="256">
        <f>IF($F208=AN$1,$U208,0)*SUMIF('KU-LGE Rating'!$R:$R,$D208,'KU-LGE Rating'!$G:$G)</f>
        <v>0</v>
      </c>
      <c r="AP208" s="240">
        <f t="shared" si="35"/>
        <v>0</v>
      </c>
      <c r="AQ208" s="277"/>
      <c r="AR208" s="277"/>
      <c r="AV208" s="278"/>
      <c r="AW208" s="278"/>
      <c r="AX208" s="278"/>
    </row>
    <row r="209" spans="1:50">
      <c r="A209" s="1" t="s">
        <v>2769</v>
      </c>
      <c r="B209" s="1" t="s">
        <v>3</v>
      </c>
      <c r="C209" t="s">
        <v>3723</v>
      </c>
      <c r="D209" t="s">
        <v>3730</v>
      </c>
      <c r="E209" t="s">
        <v>3893</v>
      </c>
      <c r="F209">
        <v>2017</v>
      </c>
      <c r="G209" t="s">
        <v>3908</v>
      </c>
      <c r="H209">
        <v>512100</v>
      </c>
      <c r="I209">
        <v>0</v>
      </c>
      <c r="J209">
        <v>0</v>
      </c>
      <c r="K209">
        <v>0</v>
      </c>
      <c r="L209">
        <v>550009</v>
      </c>
      <c r="M209">
        <v>750001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8">
        <v>1300010</v>
      </c>
      <c r="V209" s="243" t="str">
        <f t="shared" si="29"/>
        <v>512</v>
      </c>
      <c r="W209" s="240">
        <f t="shared" si="30"/>
        <v>0</v>
      </c>
      <c r="X209" s="243">
        <f t="shared" si="31"/>
        <v>0</v>
      </c>
      <c r="Y209" s="255">
        <f>$W209*SUMIF('KU-LGE Rating'!$R:$R,$D209,'KU-LGE Rating'!F:F)</f>
        <v>0</v>
      </c>
      <c r="Z209" s="256">
        <f>$W209*SUMIF('KU-LGE Rating'!$R:$R,$D209,'KU-LGE Rating'!G:G)</f>
        <v>0</v>
      </c>
      <c r="AA209" s="257">
        <f t="shared" si="27"/>
        <v>0</v>
      </c>
      <c r="AB209" s="255">
        <f>$X209*SUMIF('KU-LGE Rating'!$R:$R,$D209,'KU-LGE Rating'!F:F)</f>
        <v>0</v>
      </c>
      <c r="AC209" s="256">
        <f>$X209*SUMIF('KU-LGE Rating'!$R:$R,$D209,'KU-LGE Rating'!G:G)</f>
        <v>0</v>
      </c>
      <c r="AD209" s="257">
        <f t="shared" si="28"/>
        <v>0</v>
      </c>
      <c r="AE209" s="274">
        <f>IF($F209=AE$1,$U209,0)*SUMIF('KU-LGE Rating'!$R:$R,$D209,'KU-LGE Rating'!$F:$F)</f>
        <v>0</v>
      </c>
      <c r="AF209" s="274">
        <f>IF($F209=AE$1,$U209,0)*SUMIF('KU-LGE Rating'!$R:$R,$D209,'KU-LGE Rating'!$G:$G)</f>
        <v>0</v>
      </c>
      <c r="AG209" s="240">
        <f t="shared" si="32"/>
        <v>0</v>
      </c>
      <c r="AH209" s="256">
        <f>IF($F209=AH$1,$U209,0)*SUMIF('KU-LGE Rating'!$R:$R,$D209,'KU-LGE Rating'!$F:$F)</f>
        <v>0</v>
      </c>
      <c r="AI209" s="256">
        <f>IF($F209=AH$1,$U209,0)*SUMIF('KU-LGE Rating'!$R:$R,$D209,'KU-LGE Rating'!$G:$G)</f>
        <v>0</v>
      </c>
      <c r="AJ209" s="240">
        <f t="shared" si="33"/>
        <v>0</v>
      </c>
      <c r="AK209" s="256">
        <f>IF($F209=AK$1,$U209,0)*SUMIF('KU-LGE Rating'!$R:$R,$D209,'KU-LGE Rating'!$F:$F)</f>
        <v>0</v>
      </c>
      <c r="AL209" s="256">
        <f>IF($F209=AK$1,$U209,0)*SUMIF('KU-LGE Rating'!$R:$R,$D209,'KU-LGE Rating'!$G:$G)</f>
        <v>0</v>
      </c>
      <c r="AM209" s="240">
        <f t="shared" si="34"/>
        <v>0</v>
      </c>
      <c r="AN209" s="256">
        <f>IF($F209=AN$1,$U209,0)*SUMIF('KU-LGE Rating'!$R:$R,$D209,'KU-LGE Rating'!$F:$F)</f>
        <v>1300010</v>
      </c>
      <c r="AO209" s="256">
        <f>IF($F209=AN$1,$U209,0)*SUMIF('KU-LGE Rating'!$R:$R,$D209,'KU-LGE Rating'!$G:$G)</f>
        <v>0</v>
      </c>
      <c r="AP209" s="240">
        <f t="shared" si="35"/>
        <v>1300010</v>
      </c>
      <c r="AQ209" s="277"/>
      <c r="AR209" s="277"/>
      <c r="AV209" s="278"/>
      <c r="AW209" s="278"/>
      <c r="AX209" s="278"/>
    </row>
    <row r="210" spans="1:50">
      <c r="A210" s="1" t="s">
        <v>2769</v>
      </c>
      <c r="B210" s="1" t="s">
        <v>3</v>
      </c>
      <c r="C210" t="s">
        <v>3723</v>
      </c>
      <c r="D210" t="s">
        <v>3730</v>
      </c>
      <c r="E210" t="s">
        <v>3893</v>
      </c>
      <c r="F210">
        <v>2017</v>
      </c>
      <c r="G210" t="s">
        <v>3908</v>
      </c>
      <c r="H210">
        <v>513100</v>
      </c>
      <c r="I210">
        <v>0</v>
      </c>
      <c r="J210">
        <v>0</v>
      </c>
      <c r="K210">
        <v>0</v>
      </c>
      <c r="L210">
        <v>29997</v>
      </c>
      <c r="M210">
        <v>70002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 s="8">
        <v>99999</v>
      </c>
      <c r="V210" s="243" t="str">
        <f t="shared" si="29"/>
        <v>513</v>
      </c>
      <c r="W210" s="240">
        <f t="shared" si="30"/>
        <v>0</v>
      </c>
      <c r="X210" s="243">
        <f t="shared" si="31"/>
        <v>0</v>
      </c>
      <c r="Y210" s="255">
        <f>$W210*SUMIF('KU-LGE Rating'!$R:$R,$D210,'KU-LGE Rating'!F:F)</f>
        <v>0</v>
      </c>
      <c r="Z210" s="256">
        <f>$W210*SUMIF('KU-LGE Rating'!$R:$R,$D210,'KU-LGE Rating'!G:G)</f>
        <v>0</v>
      </c>
      <c r="AA210" s="257">
        <f t="shared" si="27"/>
        <v>0</v>
      </c>
      <c r="AB210" s="255">
        <f>$X210*SUMIF('KU-LGE Rating'!$R:$R,$D210,'KU-LGE Rating'!F:F)</f>
        <v>0</v>
      </c>
      <c r="AC210" s="256">
        <f>$X210*SUMIF('KU-LGE Rating'!$R:$R,$D210,'KU-LGE Rating'!G:G)</f>
        <v>0</v>
      </c>
      <c r="AD210" s="257">
        <f t="shared" si="28"/>
        <v>0</v>
      </c>
      <c r="AE210" s="274">
        <f>IF($F210=AE$1,$U210,0)*SUMIF('KU-LGE Rating'!$R:$R,$D210,'KU-LGE Rating'!$F:$F)</f>
        <v>0</v>
      </c>
      <c r="AF210" s="274">
        <f>IF($F210=AE$1,$U210,0)*SUMIF('KU-LGE Rating'!$R:$R,$D210,'KU-LGE Rating'!$G:$G)</f>
        <v>0</v>
      </c>
      <c r="AG210" s="240">
        <f t="shared" si="32"/>
        <v>0</v>
      </c>
      <c r="AH210" s="256">
        <f>IF($F210=AH$1,$U210,0)*SUMIF('KU-LGE Rating'!$R:$R,$D210,'KU-LGE Rating'!$F:$F)</f>
        <v>0</v>
      </c>
      <c r="AI210" s="256">
        <f>IF($F210=AH$1,$U210,0)*SUMIF('KU-LGE Rating'!$R:$R,$D210,'KU-LGE Rating'!$G:$G)</f>
        <v>0</v>
      </c>
      <c r="AJ210" s="240">
        <f t="shared" si="33"/>
        <v>0</v>
      </c>
      <c r="AK210" s="256">
        <f>IF($F210=AK$1,$U210,0)*SUMIF('KU-LGE Rating'!$R:$R,$D210,'KU-LGE Rating'!$F:$F)</f>
        <v>0</v>
      </c>
      <c r="AL210" s="256">
        <f>IF($F210=AK$1,$U210,0)*SUMIF('KU-LGE Rating'!$R:$R,$D210,'KU-LGE Rating'!$G:$G)</f>
        <v>0</v>
      </c>
      <c r="AM210" s="240">
        <f t="shared" si="34"/>
        <v>0</v>
      </c>
      <c r="AN210" s="256">
        <f>IF($F210=AN$1,$U210,0)*SUMIF('KU-LGE Rating'!$R:$R,$D210,'KU-LGE Rating'!$F:$F)</f>
        <v>99999</v>
      </c>
      <c r="AO210" s="256">
        <f>IF($F210=AN$1,$U210,0)*SUMIF('KU-LGE Rating'!$R:$R,$D210,'KU-LGE Rating'!$G:$G)</f>
        <v>0</v>
      </c>
      <c r="AP210" s="240">
        <f t="shared" si="35"/>
        <v>99999</v>
      </c>
      <c r="AQ210" s="277"/>
      <c r="AR210" s="277"/>
      <c r="AV210" s="278"/>
      <c r="AW210" s="278"/>
      <c r="AX210" s="278"/>
    </row>
    <row r="211" spans="1:50">
      <c r="A211" s="1" t="s">
        <v>2769</v>
      </c>
      <c r="B211" s="1" t="s">
        <v>3</v>
      </c>
      <c r="C211" t="s">
        <v>3723</v>
      </c>
      <c r="D211" t="s">
        <v>3731</v>
      </c>
      <c r="E211" t="s">
        <v>3893</v>
      </c>
      <c r="F211">
        <v>2014</v>
      </c>
      <c r="G211" t="s">
        <v>3908</v>
      </c>
      <c r="H211">
        <v>512100</v>
      </c>
      <c r="I211">
        <v>0</v>
      </c>
      <c r="J211">
        <v>0</v>
      </c>
      <c r="K211">
        <v>0</v>
      </c>
      <c r="L211">
        <v>0</v>
      </c>
      <c r="M211">
        <v>44252.92</v>
      </c>
      <c r="N211">
        <v>24014.86</v>
      </c>
      <c r="O211">
        <v>7505.85</v>
      </c>
      <c r="P211">
        <v>62721.84</v>
      </c>
      <c r="Q211">
        <v>-98495.47</v>
      </c>
      <c r="R211">
        <v>110487.78</v>
      </c>
      <c r="S211">
        <v>850027</v>
      </c>
      <c r="T211">
        <v>0</v>
      </c>
      <c r="U211" s="8">
        <v>1000514.78</v>
      </c>
      <c r="V211" s="243" t="str">
        <f t="shared" si="29"/>
        <v>512</v>
      </c>
      <c r="W211" s="240">
        <f t="shared" si="30"/>
        <v>1000514.78</v>
      </c>
      <c r="X211" s="243">
        <f t="shared" si="31"/>
        <v>0</v>
      </c>
      <c r="Y211" s="255">
        <f>$W211*SUMIF('KU-LGE Rating'!$R:$R,$D211,'KU-LGE Rating'!F:F)</f>
        <v>1000514.78</v>
      </c>
      <c r="Z211" s="256">
        <f>$W211*SUMIF('KU-LGE Rating'!$R:$R,$D211,'KU-LGE Rating'!G:G)</f>
        <v>0</v>
      </c>
      <c r="AA211" s="257">
        <f t="shared" si="27"/>
        <v>1000514.78</v>
      </c>
      <c r="AB211" s="255">
        <f>$X211*SUMIF('KU-LGE Rating'!$R:$R,$D211,'KU-LGE Rating'!F:F)</f>
        <v>0</v>
      </c>
      <c r="AC211" s="256">
        <f>$X211*SUMIF('KU-LGE Rating'!$R:$R,$D211,'KU-LGE Rating'!G:G)</f>
        <v>0</v>
      </c>
      <c r="AD211" s="257">
        <f t="shared" si="28"/>
        <v>0</v>
      </c>
      <c r="AE211" s="274">
        <f>IF($F211=AE$1,$U211,0)*SUMIF('KU-LGE Rating'!$R:$R,$D211,'KU-LGE Rating'!$F:$F)</f>
        <v>1000514.78</v>
      </c>
      <c r="AF211" s="274">
        <f>IF($F211=AE$1,$U211,0)*SUMIF('KU-LGE Rating'!$R:$R,$D211,'KU-LGE Rating'!$G:$G)</f>
        <v>0</v>
      </c>
      <c r="AG211" s="240">
        <f t="shared" si="32"/>
        <v>1000514.78</v>
      </c>
      <c r="AH211" s="256">
        <f>IF($F211=AH$1,$U211,0)*SUMIF('KU-LGE Rating'!$R:$R,$D211,'KU-LGE Rating'!$F:$F)</f>
        <v>0</v>
      </c>
      <c r="AI211" s="256">
        <f>IF($F211=AH$1,$U211,0)*SUMIF('KU-LGE Rating'!$R:$R,$D211,'KU-LGE Rating'!$G:$G)</f>
        <v>0</v>
      </c>
      <c r="AJ211" s="240">
        <f t="shared" si="33"/>
        <v>0</v>
      </c>
      <c r="AK211" s="256">
        <f>IF($F211=AK$1,$U211,0)*SUMIF('KU-LGE Rating'!$R:$R,$D211,'KU-LGE Rating'!$F:$F)</f>
        <v>0</v>
      </c>
      <c r="AL211" s="256">
        <f>IF($F211=AK$1,$U211,0)*SUMIF('KU-LGE Rating'!$R:$R,$D211,'KU-LGE Rating'!$G:$G)</f>
        <v>0</v>
      </c>
      <c r="AM211" s="240">
        <f t="shared" si="34"/>
        <v>0</v>
      </c>
      <c r="AN211" s="256">
        <f>IF($F211=AN$1,$U211,0)*SUMIF('KU-LGE Rating'!$R:$R,$D211,'KU-LGE Rating'!$F:$F)</f>
        <v>0</v>
      </c>
      <c r="AO211" s="256">
        <f>IF($F211=AN$1,$U211,0)*SUMIF('KU-LGE Rating'!$R:$R,$D211,'KU-LGE Rating'!$G:$G)</f>
        <v>0</v>
      </c>
      <c r="AP211" s="240">
        <f t="shared" si="35"/>
        <v>0</v>
      </c>
      <c r="AQ211" s="277"/>
      <c r="AR211" s="277"/>
      <c r="AV211" s="278"/>
      <c r="AW211" s="278"/>
      <c r="AX211" s="278"/>
    </row>
    <row r="212" spans="1:50">
      <c r="A212" s="1" t="s">
        <v>2769</v>
      </c>
      <c r="B212" s="1" t="s">
        <v>3</v>
      </c>
      <c r="C212" t="s">
        <v>3723</v>
      </c>
      <c r="D212" t="s">
        <v>3731</v>
      </c>
      <c r="E212" t="s">
        <v>3893</v>
      </c>
      <c r="F212">
        <v>2014</v>
      </c>
      <c r="G212" t="s">
        <v>3908</v>
      </c>
      <c r="H212">
        <v>513100</v>
      </c>
      <c r="I212">
        <v>0</v>
      </c>
      <c r="J212">
        <v>0</v>
      </c>
      <c r="K212">
        <v>0</v>
      </c>
      <c r="L212">
        <v>0</v>
      </c>
      <c r="M212">
        <v>3966.25</v>
      </c>
      <c r="N212">
        <v>367.19</v>
      </c>
      <c r="O212">
        <v>5363.58</v>
      </c>
      <c r="P212">
        <v>-42.2</v>
      </c>
      <c r="Q212">
        <v>0</v>
      </c>
      <c r="R212">
        <v>0</v>
      </c>
      <c r="S212">
        <v>0</v>
      </c>
      <c r="T212">
        <v>0</v>
      </c>
      <c r="U212" s="8">
        <v>9654.82</v>
      </c>
      <c r="V212" s="243" t="str">
        <f t="shared" si="29"/>
        <v>513</v>
      </c>
      <c r="W212" s="240">
        <f t="shared" si="30"/>
        <v>9654.82</v>
      </c>
      <c r="X212" s="243">
        <f t="shared" si="31"/>
        <v>0</v>
      </c>
      <c r="Y212" s="255">
        <f>$W212*SUMIF('KU-LGE Rating'!$R:$R,$D212,'KU-LGE Rating'!F:F)</f>
        <v>9654.82</v>
      </c>
      <c r="Z212" s="256">
        <f>$W212*SUMIF('KU-LGE Rating'!$R:$R,$D212,'KU-LGE Rating'!G:G)</f>
        <v>0</v>
      </c>
      <c r="AA212" s="257">
        <f t="shared" si="27"/>
        <v>9654.82</v>
      </c>
      <c r="AB212" s="255">
        <f>$X212*SUMIF('KU-LGE Rating'!$R:$R,$D212,'KU-LGE Rating'!F:F)</f>
        <v>0</v>
      </c>
      <c r="AC212" s="256">
        <f>$X212*SUMIF('KU-LGE Rating'!$R:$R,$D212,'KU-LGE Rating'!G:G)</f>
        <v>0</v>
      </c>
      <c r="AD212" s="257">
        <f t="shared" si="28"/>
        <v>0</v>
      </c>
      <c r="AE212" s="274">
        <f>IF($F212=AE$1,$U212,0)*SUMIF('KU-LGE Rating'!$R:$R,$D212,'KU-LGE Rating'!$F:$F)</f>
        <v>9654.82</v>
      </c>
      <c r="AF212" s="274">
        <f>IF($F212=AE$1,$U212,0)*SUMIF('KU-LGE Rating'!$R:$R,$D212,'KU-LGE Rating'!$G:$G)</f>
        <v>0</v>
      </c>
      <c r="AG212" s="240">
        <f t="shared" si="32"/>
        <v>9654.82</v>
      </c>
      <c r="AH212" s="256">
        <f>IF($F212=AH$1,$U212,0)*SUMIF('KU-LGE Rating'!$R:$R,$D212,'KU-LGE Rating'!$F:$F)</f>
        <v>0</v>
      </c>
      <c r="AI212" s="256">
        <f>IF($F212=AH$1,$U212,0)*SUMIF('KU-LGE Rating'!$R:$R,$D212,'KU-LGE Rating'!$G:$G)</f>
        <v>0</v>
      </c>
      <c r="AJ212" s="240">
        <f t="shared" si="33"/>
        <v>0</v>
      </c>
      <c r="AK212" s="256">
        <f>IF($F212=AK$1,$U212,0)*SUMIF('KU-LGE Rating'!$R:$R,$D212,'KU-LGE Rating'!$F:$F)</f>
        <v>0</v>
      </c>
      <c r="AL212" s="256">
        <f>IF($F212=AK$1,$U212,0)*SUMIF('KU-LGE Rating'!$R:$R,$D212,'KU-LGE Rating'!$G:$G)</f>
        <v>0</v>
      </c>
      <c r="AM212" s="240">
        <f t="shared" si="34"/>
        <v>0</v>
      </c>
      <c r="AN212" s="256">
        <f>IF($F212=AN$1,$U212,0)*SUMIF('KU-LGE Rating'!$R:$R,$D212,'KU-LGE Rating'!$F:$F)</f>
        <v>0</v>
      </c>
      <c r="AO212" s="256">
        <f>IF($F212=AN$1,$U212,0)*SUMIF('KU-LGE Rating'!$R:$R,$D212,'KU-LGE Rating'!$G:$G)</f>
        <v>0</v>
      </c>
      <c r="AP212" s="240">
        <f t="shared" si="35"/>
        <v>0</v>
      </c>
      <c r="AQ212" s="277"/>
      <c r="AR212" s="277"/>
      <c r="AV212" s="278"/>
      <c r="AW212" s="278"/>
      <c r="AX212" s="278"/>
    </row>
    <row r="213" spans="1:50">
      <c r="A213" s="1" t="s">
        <v>2769</v>
      </c>
      <c r="B213" s="1" t="s">
        <v>3</v>
      </c>
      <c r="C213" t="s">
        <v>3723</v>
      </c>
      <c r="D213" t="s">
        <v>3731</v>
      </c>
      <c r="E213" t="s">
        <v>3893</v>
      </c>
      <c r="F213">
        <v>2015</v>
      </c>
      <c r="G213" t="s">
        <v>3908</v>
      </c>
      <c r="H213">
        <v>512100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300000</v>
      </c>
      <c r="S213">
        <v>0</v>
      </c>
      <c r="T213">
        <v>0</v>
      </c>
      <c r="U213" s="8">
        <v>300000</v>
      </c>
      <c r="V213" s="243" t="str">
        <f t="shared" si="29"/>
        <v>512</v>
      </c>
      <c r="W213" s="240">
        <f t="shared" si="30"/>
        <v>0</v>
      </c>
      <c r="X213" s="243">
        <f t="shared" si="31"/>
        <v>300000</v>
      </c>
      <c r="Y213" s="255">
        <f>$W213*SUMIF('KU-LGE Rating'!$R:$R,$D213,'KU-LGE Rating'!F:F)</f>
        <v>0</v>
      </c>
      <c r="Z213" s="256">
        <f>$W213*SUMIF('KU-LGE Rating'!$R:$R,$D213,'KU-LGE Rating'!G:G)</f>
        <v>0</v>
      </c>
      <c r="AA213" s="257">
        <f t="shared" si="27"/>
        <v>0</v>
      </c>
      <c r="AB213" s="255">
        <f>$X213*SUMIF('KU-LGE Rating'!$R:$R,$D213,'KU-LGE Rating'!F:F)</f>
        <v>300000</v>
      </c>
      <c r="AC213" s="256">
        <f>$X213*SUMIF('KU-LGE Rating'!$R:$R,$D213,'KU-LGE Rating'!G:G)</f>
        <v>0</v>
      </c>
      <c r="AD213" s="257">
        <f t="shared" si="28"/>
        <v>300000</v>
      </c>
      <c r="AE213" s="274">
        <f>IF($F213=AE$1,$U213,0)*SUMIF('KU-LGE Rating'!$R:$R,$D213,'KU-LGE Rating'!$F:$F)</f>
        <v>0</v>
      </c>
      <c r="AF213" s="274">
        <f>IF($F213=AE$1,$U213,0)*SUMIF('KU-LGE Rating'!$R:$R,$D213,'KU-LGE Rating'!$G:$G)</f>
        <v>0</v>
      </c>
      <c r="AG213" s="240">
        <f t="shared" si="32"/>
        <v>0</v>
      </c>
      <c r="AH213" s="256">
        <f>IF($F213=AH$1,$U213,0)*SUMIF('KU-LGE Rating'!$R:$R,$D213,'KU-LGE Rating'!$F:$F)</f>
        <v>300000</v>
      </c>
      <c r="AI213" s="256">
        <f>IF($F213=AH$1,$U213,0)*SUMIF('KU-LGE Rating'!$R:$R,$D213,'KU-LGE Rating'!$G:$G)</f>
        <v>0</v>
      </c>
      <c r="AJ213" s="240">
        <f t="shared" si="33"/>
        <v>300000</v>
      </c>
      <c r="AK213" s="256">
        <f>IF($F213=AK$1,$U213,0)*SUMIF('KU-LGE Rating'!$R:$R,$D213,'KU-LGE Rating'!$F:$F)</f>
        <v>0</v>
      </c>
      <c r="AL213" s="256">
        <f>IF($F213=AK$1,$U213,0)*SUMIF('KU-LGE Rating'!$R:$R,$D213,'KU-LGE Rating'!$G:$G)</f>
        <v>0</v>
      </c>
      <c r="AM213" s="240">
        <f t="shared" si="34"/>
        <v>0</v>
      </c>
      <c r="AN213" s="256">
        <f>IF($F213=AN$1,$U213,0)*SUMIF('KU-LGE Rating'!$R:$R,$D213,'KU-LGE Rating'!$F:$F)</f>
        <v>0</v>
      </c>
      <c r="AO213" s="256">
        <f>IF($F213=AN$1,$U213,0)*SUMIF('KU-LGE Rating'!$R:$R,$D213,'KU-LGE Rating'!$G:$G)</f>
        <v>0</v>
      </c>
      <c r="AP213" s="240">
        <f t="shared" si="35"/>
        <v>0</v>
      </c>
      <c r="AQ213" s="277"/>
      <c r="AR213" s="277"/>
      <c r="AV213" s="278"/>
      <c r="AW213" s="278"/>
      <c r="AX213" s="278"/>
    </row>
    <row r="214" spans="1:50">
      <c r="A214" s="1" t="s">
        <v>2769</v>
      </c>
      <c r="B214" s="1" t="s">
        <v>3</v>
      </c>
      <c r="C214" t="s">
        <v>3723</v>
      </c>
      <c r="D214" t="s">
        <v>3748</v>
      </c>
      <c r="E214" t="s">
        <v>3893</v>
      </c>
      <c r="F214">
        <v>2014</v>
      </c>
      <c r="G214" t="s">
        <v>3908</v>
      </c>
      <c r="H214">
        <v>511100</v>
      </c>
      <c r="I214">
        <v>0</v>
      </c>
      <c r="J214">
        <v>0</v>
      </c>
      <c r="K214">
        <v>0</v>
      </c>
      <c r="L214">
        <v>3684.61</v>
      </c>
      <c r="M214">
        <v>26870.04</v>
      </c>
      <c r="N214">
        <v>0</v>
      </c>
      <c r="O214">
        <v>0</v>
      </c>
      <c r="P214">
        <v>46.84</v>
      </c>
      <c r="Q214">
        <v>0</v>
      </c>
      <c r="R214">
        <v>0</v>
      </c>
      <c r="S214">
        <v>0</v>
      </c>
      <c r="T214">
        <v>0</v>
      </c>
      <c r="U214" s="8">
        <v>30601.49</v>
      </c>
      <c r="V214" s="243" t="str">
        <f t="shared" si="29"/>
        <v>511</v>
      </c>
      <c r="W214" s="240">
        <f t="shared" si="30"/>
        <v>30601.49</v>
      </c>
      <c r="X214" s="243">
        <f t="shared" si="31"/>
        <v>0</v>
      </c>
      <c r="Y214" s="255">
        <f>$W214*SUMIF('KU-LGE Rating'!$R:$R,$D214,'KU-LGE Rating'!F:F)</f>
        <v>30601.49</v>
      </c>
      <c r="Z214" s="256">
        <f>$W214*SUMIF('KU-LGE Rating'!$R:$R,$D214,'KU-LGE Rating'!G:G)</f>
        <v>0</v>
      </c>
      <c r="AA214" s="257">
        <f t="shared" si="27"/>
        <v>30601.49</v>
      </c>
      <c r="AB214" s="255">
        <f>$X214*SUMIF('KU-LGE Rating'!$R:$R,$D214,'KU-LGE Rating'!F:F)</f>
        <v>0</v>
      </c>
      <c r="AC214" s="256">
        <f>$X214*SUMIF('KU-LGE Rating'!$R:$R,$D214,'KU-LGE Rating'!G:G)</f>
        <v>0</v>
      </c>
      <c r="AD214" s="257">
        <f t="shared" si="28"/>
        <v>0</v>
      </c>
      <c r="AE214" s="274">
        <f>IF($F214=AE$1,$U214,0)*SUMIF('KU-LGE Rating'!$R:$R,$D214,'KU-LGE Rating'!$F:$F)</f>
        <v>30601.49</v>
      </c>
      <c r="AF214" s="274">
        <f>IF($F214=AE$1,$U214,0)*SUMIF('KU-LGE Rating'!$R:$R,$D214,'KU-LGE Rating'!$G:$G)</f>
        <v>0</v>
      </c>
      <c r="AG214" s="240">
        <f t="shared" si="32"/>
        <v>30601.49</v>
      </c>
      <c r="AH214" s="256">
        <f>IF($F214=AH$1,$U214,0)*SUMIF('KU-LGE Rating'!$R:$R,$D214,'KU-LGE Rating'!$F:$F)</f>
        <v>0</v>
      </c>
      <c r="AI214" s="256">
        <f>IF($F214=AH$1,$U214,0)*SUMIF('KU-LGE Rating'!$R:$R,$D214,'KU-LGE Rating'!$G:$G)</f>
        <v>0</v>
      </c>
      <c r="AJ214" s="240">
        <f t="shared" si="33"/>
        <v>0</v>
      </c>
      <c r="AK214" s="256">
        <f>IF($F214=AK$1,$U214,0)*SUMIF('KU-LGE Rating'!$R:$R,$D214,'KU-LGE Rating'!$F:$F)</f>
        <v>0</v>
      </c>
      <c r="AL214" s="256">
        <f>IF($F214=AK$1,$U214,0)*SUMIF('KU-LGE Rating'!$R:$R,$D214,'KU-LGE Rating'!$G:$G)</f>
        <v>0</v>
      </c>
      <c r="AM214" s="240">
        <f t="shared" si="34"/>
        <v>0</v>
      </c>
      <c r="AN214" s="256">
        <f>IF($F214=AN$1,$U214,0)*SUMIF('KU-LGE Rating'!$R:$R,$D214,'KU-LGE Rating'!$F:$F)</f>
        <v>0</v>
      </c>
      <c r="AO214" s="256">
        <f>IF($F214=AN$1,$U214,0)*SUMIF('KU-LGE Rating'!$R:$R,$D214,'KU-LGE Rating'!$G:$G)</f>
        <v>0</v>
      </c>
      <c r="AP214" s="240">
        <f t="shared" si="35"/>
        <v>0</v>
      </c>
      <c r="AQ214" s="277"/>
      <c r="AR214" s="277"/>
      <c r="AV214" s="278"/>
      <c r="AW214" s="278"/>
      <c r="AX214" s="278"/>
    </row>
    <row r="215" spans="1:50">
      <c r="A215" s="1" t="s">
        <v>2769</v>
      </c>
      <c r="B215" s="1" t="s">
        <v>3</v>
      </c>
      <c r="C215" t="s">
        <v>3723</v>
      </c>
      <c r="D215" t="s">
        <v>3748</v>
      </c>
      <c r="E215" t="s">
        <v>3893</v>
      </c>
      <c r="F215">
        <v>2014</v>
      </c>
      <c r="G215" t="s">
        <v>3908</v>
      </c>
      <c r="H215">
        <v>512017</v>
      </c>
      <c r="I215">
        <v>0</v>
      </c>
      <c r="J215">
        <v>0</v>
      </c>
      <c r="K215">
        <v>0</v>
      </c>
      <c r="L215">
        <v>9888.83</v>
      </c>
      <c r="M215">
        <v>21714.03</v>
      </c>
      <c r="N215">
        <v>0</v>
      </c>
      <c r="O215">
        <v>0</v>
      </c>
      <c r="P215">
        <v>0</v>
      </c>
      <c r="Q215">
        <v>-11366.93</v>
      </c>
      <c r="R215">
        <v>0</v>
      </c>
      <c r="S215">
        <v>0</v>
      </c>
      <c r="T215">
        <v>0</v>
      </c>
      <c r="U215" s="8">
        <v>20235.93</v>
      </c>
      <c r="V215" s="243" t="str">
        <f t="shared" si="29"/>
        <v>512</v>
      </c>
      <c r="W215" s="240">
        <f t="shared" si="30"/>
        <v>20235.93</v>
      </c>
      <c r="X215" s="243">
        <f t="shared" si="31"/>
        <v>0</v>
      </c>
      <c r="Y215" s="255">
        <f>$W215*SUMIF('KU-LGE Rating'!$R:$R,$D215,'KU-LGE Rating'!F:F)</f>
        <v>20235.93</v>
      </c>
      <c r="Z215" s="256">
        <f>$W215*SUMIF('KU-LGE Rating'!$R:$R,$D215,'KU-LGE Rating'!G:G)</f>
        <v>0</v>
      </c>
      <c r="AA215" s="257">
        <f t="shared" si="27"/>
        <v>20235.93</v>
      </c>
      <c r="AB215" s="255">
        <f>$X215*SUMIF('KU-LGE Rating'!$R:$R,$D215,'KU-LGE Rating'!F:F)</f>
        <v>0</v>
      </c>
      <c r="AC215" s="256">
        <f>$X215*SUMIF('KU-LGE Rating'!$R:$R,$D215,'KU-LGE Rating'!G:G)</f>
        <v>0</v>
      </c>
      <c r="AD215" s="257">
        <f t="shared" si="28"/>
        <v>0</v>
      </c>
      <c r="AE215" s="274">
        <f>IF($F215=AE$1,$U215,0)*SUMIF('KU-LGE Rating'!$R:$R,$D215,'KU-LGE Rating'!$F:$F)</f>
        <v>20235.93</v>
      </c>
      <c r="AF215" s="274">
        <f>IF($F215=AE$1,$U215,0)*SUMIF('KU-LGE Rating'!$R:$R,$D215,'KU-LGE Rating'!$G:$G)</f>
        <v>0</v>
      </c>
      <c r="AG215" s="240">
        <f t="shared" si="32"/>
        <v>20235.93</v>
      </c>
      <c r="AH215" s="256">
        <f>IF($F215=AH$1,$U215,0)*SUMIF('KU-LGE Rating'!$R:$R,$D215,'KU-LGE Rating'!$F:$F)</f>
        <v>0</v>
      </c>
      <c r="AI215" s="256">
        <f>IF($F215=AH$1,$U215,0)*SUMIF('KU-LGE Rating'!$R:$R,$D215,'KU-LGE Rating'!$G:$G)</f>
        <v>0</v>
      </c>
      <c r="AJ215" s="240">
        <f t="shared" si="33"/>
        <v>0</v>
      </c>
      <c r="AK215" s="256">
        <f>IF($F215=AK$1,$U215,0)*SUMIF('KU-LGE Rating'!$R:$R,$D215,'KU-LGE Rating'!$F:$F)</f>
        <v>0</v>
      </c>
      <c r="AL215" s="256">
        <f>IF($F215=AK$1,$U215,0)*SUMIF('KU-LGE Rating'!$R:$R,$D215,'KU-LGE Rating'!$G:$G)</f>
        <v>0</v>
      </c>
      <c r="AM215" s="240">
        <f t="shared" si="34"/>
        <v>0</v>
      </c>
      <c r="AN215" s="256">
        <f>IF($F215=AN$1,$U215,0)*SUMIF('KU-LGE Rating'!$R:$R,$D215,'KU-LGE Rating'!$F:$F)</f>
        <v>0</v>
      </c>
      <c r="AO215" s="256">
        <f>IF($F215=AN$1,$U215,0)*SUMIF('KU-LGE Rating'!$R:$R,$D215,'KU-LGE Rating'!$G:$G)</f>
        <v>0</v>
      </c>
      <c r="AP215" s="240">
        <f t="shared" si="35"/>
        <v>0</v>
      </c>
      <c r="AQ215" s="277"/>
      <c r="AR215" s="277"/>
      <c r="AV215" s="278"/>
      <c r="AW215" s="278"/>
      <c r="AX215" s="278"/>
    </row>
    <row r="216" spans="1:50">
      <c r="A216" s="1" t="s">
        <v>2769</v>
      </c>
      <c r="B216" s="1" t="s">
        <v>3</v>
      </c>
      <c r="C216" t="s">
        <v>3723</v>
      </c>
      <c r="D216" t="s">
        <v>3748</v>
      </c>
      <c r="E216" t="s">
        <v>3893</v>
      </c>
      <c r="F216">
        <v>2014</v>
      </c>
      <c r="G216" t="s">
        <v>3908</v>
      </c>
      <c r="H216">
        <v>512100</v>
      </c>
      <c r="I216">
        <v>712.66</v>
      </c>
      <c r="J216">
        <v>1664.83</v>
      </c>
      <c r="K216">
        <v>11523.11</v>
      </c>
      <c r="L216">
        <v>711855.21</v>
      </c>
      <c r="M216">
        <v>-24355.119999999999</v>
      </c>
      <c r="N216">
        <v>-1678.26</v>
      </c>
      <c r="O216">
        <v>1631.85</v>
      </c>
      <c r="P216">
        <v>4066.54</v>
      </c>
      <c r="Q216">
        <v>110976.8</v>
      </c>
      <c r="R216">
        <v>0</v>
      </c>
      <c r="S216">
        <v>0</v>
      </c>
      <c r="T216">
        <v>0</v>
      </c>
      <c r="U216" s="8">
        <v>816397.62</v>
      </c>
      <c r="V216" s="243" t="str">
        <f t="shared" si="29"/>
        <v>512</v>
      </c>
      <c r="W216" s="240">
        <f t="shared" si="30"/>
        <v>814020.13</v>
      </c>
      <c r="X216" s="243">
        <f t="shared" si="31"/>
        <v>0</v>
      </c>
      <c r="Y216" s="255">
        <f>$W216*SUMIF('KU-LGE Rating'!$R:$R,$D216,'KU-LGE Rating'!F:F)</f>
        <v>814020.13</v>
      </c>
      <c r="Z216" s="256">
        <f>$W216*SUMIF('KU-LGE Rating'!$R:$R,$D216,'KU-LGE Rating'!G:G)</f>
        <v>0</v>
      </c>
      <c r="AA216" s="257">
        <f t="shared" si="27"/>
        <v>814020.13</v>
      </c>
      <c r="AB216" s="255">
        <f>$X216*SUMIF('KU-LGE Rating'!$R:$R,$D216,'KU-LGE Rating'!F:F)</f>
        <v>0</v>
      </c>
      <c r="AC216" s="256">
        <f>$X216*SUMIF('KU-LGE Rating'!$R:$R,$D216,'KU-LGE Rating'!G:G)</f>
        <v>0</v>
      </c>
      <c r="AD216" s="257">
        <f t="shared" si="28"/>
        <v>0</v>
      </c>
      <c r="AE216" s="274">
        <f>IF($F216=AE$1,$U216,0)*SUMIF('KU-LGE Rating'!$R:$R,$D216,'KU-LGE Rating'!$F:$F)</f>
        <v>816397.62</v>
      </c>
      <c r="AF216" s="274">
        <f>IF($F216=AE$1,$U216,0)*SUMIF('KU-LGE Rating'!$R:$R,$D216,'KU-LGE Rating'!$G:$G)</f>
        <v>0</v>
      </c>
      <c r="AG216" s="240">
        <f t="shared" si="32"/>
        <v>816397.62</v>
      </c>
      <c r="AH216" s="256">
        <f>IF($F216=AH$1,$U216,0)*SUMIF('KU-LGE Rating'!$R:$R,$D216,'KU-LGE Rating'!$F:$F)</f>
        <v>0</v>
      </c>
      <c r="AI216" s="256">
        <f>IF($F216=AH$1,$U216,0)*SUMIF('KU-LGE Rating'!$R:$R,$D216,'KU-LGE Rating'!$G:$G)</f>
        <v>0</v>
      </c>
      <c r="AJ216" s="240">
        <f t="shared" si="33"/>
        <v>0</v>
      </c>
      <c r="AK216" s="256">
        <f>IF($F216=AK$1,$U216,0)*SUMIF('KU-LGE Rating'!$R:$R,$D216,'KU-LGE Rating'!$F:$F)</f>
        <v>0</v>
      </c>
      <c r="AL216" s="256">
        <f>IF($F216=AK$1,$U216,0)*SUMIF('KU-LGE Rating'!$R:$R,$D216,'KU-LGE Rating'!$G:$G)</f>
        <v>0</v>
      </c>
      <c r="AM216" s="240">
        <f t="shared" si="34"/>
        <v>0</v>
      </c>
      <c r="AN216" s="256">
        <f>IF($F216=AN$1,$U216,0)*SUMIF('KU-LGE Rating'!$R:$R,$D216,'KU-LGE Rating'!$F:$F)</f>
        <v>0</v>
      </c>
      <c r="AO216" s="256">
        <f>IF($F216=AN$1,$U216,0)*SUMIF('KU-LGE Rating'!$R:$R,$D216,'KU-LGE Rating'!$G:$G)</f>
        <v>0</v>
      </c>
      <c r="AP216" s="240">
        <f t="shared" si="35"/>
        <v>0</v>
      </c>
      <c r="AQ216" s="277"/>
      <c r="AR216" s="277"/>
      <c r="AV216" s="278"/>
      <c r="AW216" s="278"/>
      <c r="AX216" s="278"/>
    </row>
    <row r="217" spans="1:50">
      <c r="A217" s="1" t="s">
        <v>2769</v>
      </c>
      <c r="B217" s="1" t="s">
        <v>3</v>
      </c>
      <c r="C217" t="s">
        <v>3723</v>
      </c>
      <c r="D217" t="s">
        <v>3748</v>
      </c>
      <c r="E217" t="s">
        <v>3893</v>
      </c>
      <c r="F217">
        <v>2014</v>
      </c>
      <c r="G217" t="s">
        <v>3908</v>
      </c>
      <c r="H217">
        <v>513100</v>
      </c>
      <c r="I217">
        <v>0</v>
      </c>
      <c r="J217">
        <v>806.6</v>
      </c>
      <c r="K217">
        <v>0</v>
      </c>
      <c r="L217">
        <v>25808.48</v>
      </c>
      <c r="M217">
        <v>31878.57</v>
      </c>
      <c r="N217">
        <v>416.43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 s="8">
        <v>58910.080000000002</v>
      </c>
      <c r="V217" s="243" t="str">
        <f t="shared" si="29"/>
        <v>513</v>
      </c>
      <c r="W217" s="240">
        <f t="shared" si="30"/>
        <v>58103.48</v>
      </c>
      <c r="X217" s="243">
        <f t="shared" si="31"/>
        <v>0</v>
      </c>
      <c r="Y217" s="255">
        <f>$W217*SUMIF('KU-LGE Rating'!$R:$R,$D217,'KU-LGE Rating'!F:F)</f>
        <v>58103.48</v>
      </c>
      <c r="Z217" s="256">
        <f>$W217*SUMIF('KU-LGE Rating'!$R:$R,$D217,'KU-LGE Rating'!G:G)</f>
        <v>0</v>
      </c>
      <c r="AA217" s="257">
        <f t="shared" si="27"/>
        <v>58103.48</v>
      </c>
      <c r="AB217" s="255">
        <f>$X217*SUMIF('KU-LGE Rating'!$R:$R,$D217,'KU-LGE Rating'!F:F)</f>
        <v>0</v>
      </c>
      <c r="AC217" s="256">
        <f>$X217*SUMIF('KU-LGE Rating'!$R:$R,$D217,'KU-LGE Rating'!G:G)</f>
        <v>0</v>
      </c>
      <c r="AD217" s="257">
        <f t="shared" si="28"/>
        <v>0</v>
      </c>
      <c r="AE217" s="274">
        <f>IF($F217=AE$1,$U217,0)*SUMIF('KU-LGE Rating'!$R:$R,$D217,'KU-LGE Rating'!$F:$F)</f>
        <v>58910.080000000002</v>
      </c>
      <c r="AF217" s="274">
        <f>IF($F217=AE$1,$U217,0)*SUMIF('KU-LGE Rating'!$R:$R,$D217,'KU-LGE Rating'!$G:$G)</f>
        <v>0</v>
      </c>
      <c r="AG217" s="240">
        <f t="shared" si="32"/>
        <v>58910.080000000002</v>
      </c>
      <c r="AH217" s="256">
        <f>IF($F217=AH$1,$U217,0)*SUMIF('KU-LGE Rating'!$R:$R,$D217,'KU-LGE Rating'!$F:$F)</f>
        <v>0</v>
      </c>
      <c r="AI217" s="256">
        <f>IF($F217=AH$1,$U217,0)*SUMIF('KU-LGE Rating'!$R:$R,$D217,'KU-LGE Rating'!$G:$G)</f>
        <v>0</v>
      </c>
      <c r="AJ217" s="240">
        <f t="shared" si="33"/>
        <v>0</v>
      </c>
      <c r="AK217" s="256">
        <f>IF($F217=AK$1,$U217,0)*SUMIF('KU-LGE Rating'!$R:$R,$D217,'KU-LGE Rating'!$F:$F)</f>
        <v>0</v>
      </c>
      <c r="AL217" s="256">
        <f>IF($F217=AK$1,$U217,0)*SUMIF('KU-LGE Rating'!$R:$R,$D217,'KU-LGE Rating'!$G:$G)</f>
        <v>0</v>
      </c>
      <c r="AM217" s="240">
        <f t="shared" si="34"/>
        <v>0</v>
      </c>
      <c r="AN217" s="256">
        <f>IF($F217=AN$1,$U217,0)*SUMIF('KU-LGE Rating'!$R:$R,$D217,'KU-LGE Rating'!$F:$F)</f>
        <v>0</v>
      </c>
      <c r="AO217" s="256">
        <f>IF($F217=AN$1,$U217,0)*SUMIF('KU-LGE Rating'!$R:$R,$D217,'KU-LGE Rating'!$G:$G)</f>
        <v>0</v>
      </c>
      <c r="AP217" s="240">
        <f t="shared" si="35"/>
        <v>0</v>
      </c>
      <c r="AQ217" s="277"/>
      <c r="AR217" s="277"/>
      <c r="AV217" s="278"/>
      <c r="AW217" s="278"/>
      <c r="AX217" s="278"/>
    </row>
    <row r="218" spans="1:50">
      <c r="A218" s="1" t="s">
        <v>2769</v>
      </c>
      <c r="B218" s="1" t="s">
        <v>3</v>
      </c>
      <c r="C218" t="s">
        <v>3723</v>
      </c>
      <c r="D218" t="s">
        <v>3748</v>
      </c>
      <c r="E218" t="s">
        <v>3893</v>
      </c>
      <c r="F218">
        <v>2014</v>
      </c>
      <c r="G218" t="s">
        <v>3908</v>
      </c>
      <c r="H218">
        <v>514100</v>
      </c>
      <c r="I218">
        <v>0</v>
      </c>
      <c r="J218">
        <v>0</v>
      </c>
      <c r="K218">
        <v>0</v>
      </c>
      <c r="L218">
        <v>2010.72</v>
      </c>
      <c r="M218">
        <v>995.37</v>
      </c>
      <c r="N218">
        <v>-23.88</v>
      </c>
      <c r="O218">
        <v>0</v>
      </c>
      <c r="P218">
        <v>0</v>
      </c>
      <c r="Q218">
        <v>40216.79</v>
      </c>
      <c r="R218">
        <v>148404</v>
      </c>
      <c r="S218">
        <v>26898</v>
      </c>
      <c r="T218">
        <v>0</v>
      </c>
      <c r="U218" s="8">
        <v>218501</v>
      </c>
      <c r="V218" s="243" t="str">
        <f t="shared" si="29"/>
        <v>514</v>
      </c>
      <c r="W218" s="240">
        <f t="shared" si="30"/>
        <v>218501</v>
      </c>
      <c r="X218" s="243">
        <f t="shared" si="31"/>
        <v>0</v>
      </c>
      <c r="Y218" s="255">
        <f>$W218*SUMIF('KU-LGE Rating'!$R:$R,$D218,'KU-LGE Rating'!F:F)</f>
        <v>218501</v>
      </c>
      <c r="Z218" s="256">
        <f>$W218*SUMIF('KU-LGE Rating'!$R:$R,$D218,'KU-LGE Rating'!G:G)</f>
        <v>0</v>
      </c>
      <c r="AA218" s="257">
        <f t="shared" si="27"/>
        <v>218501</v>
      </c>
      <c r="AB218" s="255">
        <f>$X218*SUMIF('KU-LGE Rating'!$R:$R,$D218,'KU-LGE Rating'!F:F)</f>
        <v>0</v>
      </c>
      <c r="AC218" s="256">
        <f>$X218*SUMIF('KU-LGE Rating'!$R:$R,$D218,'KU-LGE Rating'!G:G)</f>
        <v>0</v>
      </c>
      <c r="AD218" s="257">
        <f t="shared" si="28"/>
        <v>0</v>
      </c>
      <c r="AE218" s="274">
        <f>IF($F218=AE$1,$U218,0)*SUMIF('KU-LGE Rating'!$R:$R,$D218,'KU-LGE Rating'!$F:$F)</f>
        <v>218501</v>
      </c>
      <c r="AF218" s="274">
        <f>IF($F218=AE$1,$U218,0)*SUMIF('KU-LGE Rating'!$R:$R,$D218,'KU-LGE Rating'!$G:$G)</f>
        <v>0</v>
      </c>
      <c r="AG218" s="240">
        <f t="shared" si="32"/>
        <v>218501</v>
      </c>
      <c r="AH218" s="256">
        <f>IF($F218=AH$1,$U218,0)*SUMIF('KU-LGE Rating'!$R:$R,$D218,'KU-LGE Rating'!$F:$F)</f>
        <v>0</v>
      </c>
      <c r="AI218" s="256">
        <f>IF($F218=AH$1,$U218,0)*SUMIF('KU-LGE Rating'!$R:$R,$D218,'KU-LGE Rating'!$G:$G)</f>
        <v>0</v>
      </c>
      <c r="AJ218" s="240">
        <f t="shared" si="33"/>
        <v>0</v>
      </c>
      <c r="AK218" s="256">
        <f>IF($F218=AK$1,$U218,0)*SUMIF('KU-LGE Rating'!$R:$R,$D218,'KU-LGE Rating'!$F:$F)</f>
        <v>0</v>
      </c>
      <c r="AL218" s="256">
        <f>IF($F218=AK$1,$U218,0)*SUMIF('KU-LGE Rating'!$R:$R,$D218,'KU-LGE Rating'!$G:$G)</f>
        <v>0</v>
      </c>
      <c r="AM218" s="240">
        <f t="shared" si="34"/>
        <v>0</v>
      </c>
      <c r="AN218" s="256">
        <f>IF($F218=AN$1,$U218,0)*SUMIF('KU-LGE Rating'!$R:$R,$D218,'KU-LGE Rating'!$F:$F)</f>
        <v>0</v>
      </c>
      <c r="AO218" s="256">
        <f>IF($F218=AN$1,$U218,0)*SUMIF('KU-LGE Rating'!$R:$R,$D218,'KU-LGE Rating'!$G:$G)</f>
        <v>0</v>
      </c>
      <c r="AP218" s="240">
        <f t="shared" si="35"/>
        <v>0</v>
      </c>
      <c r="AQ218" s="277"/>
      <c r="AR218" s="277"/>
      <c r="AV218" s="278"/>
      <c r="AW218" s="278"/>
      <c r="AX218" s="278"/>
    </row>
    <row r="219" spans="1:50">
      <c r="A219" s="1" t="s">
        <v>2769</v>
      </c>
      <c r="B219" s="1" t="s">
        <v>3</v>
      </c>
      <c r="C219" t="s">
        <v>3723</v>
      </c>
      <c r="D219" t="s">
        <v>3748</v>
      </c>
      <c r="E219" t="s">
        <v>3893</v>
      </c>
      <c r="F219">
        <v>2015</v>
      </c>
      <c r="G219" t="s">
        <v>3908</v>
      </c>
      <c r="H219">
        <v>512100</v>
      </c>
      <c r="I219">
        <v>0</v>
      </c>
      <c r="J219">
        <v>0</v>
      </c>
      <c r="K219">
        <v>1000000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 s="8">
        <v>1000000</v>
      </c>
      <c r="V219" s="243" t="str">
        <f t="shared" si="29"/>
        <v>512</v>
      </c>
      <c r="W219" s="240">
        <f t="shared" si="30"/>
        <v>0</v>
      </c>
      <c r="X219" s="243">
        <f t="shared" si="31"/>
        <v>0</v>
      </c>
      <c r="Y219" s="255">
        <f>$W219*SUMIF('KU-LGE Rating'!$R:$R,$D219,'KU-LGE Rating'!F:F)</f>
        <v>0</v>
      </c>
      <c r="Z219" s="256">
        <f>$W219*SUMIF('KU-LGE Rating'!$R:$R,$D219,'KU-LGE Rating'!G:G)</f>
        <v>0</v>
      </c>
      <c r="AA219" s="257">
        <f t="shared" si="27"/>
        <v>0</v>
      </c>
      <c r="AB219" s="255">
        <f>$X219*SUMIF('KU-LGE Rating'!$R:$R,$D219,'KU-LGE Rating'!F:F)</f>
        <v>0</v>
      </c>
      <c r="AC219" s="256">
        <f>$X219*SUMIF('KU-LGE Rating'!$R:$R,$D219,'KU-LGE Rating'!G:G)</f>
        <v>0</v>
      </c>
      <c r="AD219" s="257">
        <f t="shared" si="28"/>
        <v>0</v>
      </c>
      <c r="AE219" s="274">
        <f>IF($F219=AE$1,$U219,0)*SUMIF('KU-LGE Rating'!$R:$R,$D219,'KU-LGE Rating'!$F:$F)</f>
        <v>0</v>
      </c>
      <c r="AF219" s="274">
        <f>IF($F219=AE$1,$U219,0)*SUMIF('KU-LGE Rating'!$R:$R,$D219,'KU-LGE Rating'!$G:$G)</f>
        <v>0</v>
      </c>
      <c r="AG219" s="240">
        <f t="shared" si="32"/>
        <v>0</v>
      </c>
      <c r="AH219" s="256">
        <f>IF($F219=AH$1,$U219,0)*SUMIF('KU-LGE Rating'!$R:$R,$D219,'KU-LGE Rating'!$F:$F)</f>
        <v>1000000</v>
      </c>
      <c r="AI219" s="256">
        <f>IF($F219=AH$1,$U219,0)*SUMIF('KU-LGE Rating'!$R:$R,$D219,'KU-LGE Rating'!$G:$G)</f>
        <v>0</v>
      </c>
      <c r="AJ219" s="240">
        <f t="shared" si="33"/>
        <v>1000000</v>
      </c>
      <c r="AK219" s="256">
        <f>IF($F219=AK$1,$U219,0)*SUMIF('KU-LGE Rating'!$R:$R,$D219,'KU-LGE Rating'!$F:$F)</f>
        <v>0</v>
      </c>
      <c r="AL219" s="256">
        <f>IF($F219=AK$1,$U219,0)*SUMIF('KU-LGE Rating'!$R:$R,$D219,'KU-LGE Rating'!$G:$G)</f>
        <v>0</v>
      </c>
      <c r="AM219" s="240">
        <f t="shared" si="34"/>
        <v>0</v>
      </c>
      <c r="AN219" s="256">
        <f>IF($F219=AN$1,$U219,0)*SUMIF('KU-LGE Rating'!$R:$R,$D219,'KU-LGE Rating'!$F:$F)</f>
        <v>0</v>
      </c>
      <c r="AO219" s="256">
        <f>IF($F219=AN$1,$U219,0)*SUMIF('KU-LGE Rating'!$R:$R,$D219,'KU-LGE Rating'!$G:$G)</f>
        <v>0</v>
      </c>
      <c r="AP219" s="240">
        <f t="shared" si="35"/>
        <v>0</v>
      </c>
      <c r="AQ219" s="277"/>
      <c r="AR219" s="277"/>
      <c r="AV219" s="278"/>
      <c r="AW219" s="278"/>
      <c r="AX219" s="278"/>
    </row>
    <row r="220" spans="1:50">
      <c r="A220" s="1" t="s">
        <v>2769</v>
      </c>
      <c r="B220" s="1" t="s">
        <v>3</v>
      </c>
      <c r="C220" t="s">
        <v>3723</v>
      </c>
      <c r="D220" t="s">
        <v>3748</v>
      </c>
      <c r="E220" t="s">
        <v>3893</v>
      </c>
      <c r="F220">
        <v>2016</v>
      </c>
      <c r="G220" t="s">
        <v>3908</v>
      </c>
      <c r="H220">
        <v>512100</v>
      </c>
      <c r="I220">
        <v>0</v>
      </c>
      <c r="J220">
        <v>300000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 s="8">
        <v>300000</v>
      </c>
      <c r="V220" s="243" t="str">
        <f t="shared" si="29"/>
        <v>512</v>
      </c>
      <c r="W220" s="240">
        <f t="shared" si="30"/>
        <v>0</v>
      </c>
      <c r="X220" s="243">
        <f t="shared" si="31"/>
        <v>300000</v>
      </c>
      <c r="Y220" s="255">
        <f>$W220*SUMIF('KU-LGE Rating'!$R:$R,$D220,'KU-LGE Rating'!F:F)</f>
        <v>0</v>
      </c>
      <c r="Z220" s="256">
        <f>$W220*SUMIF('KU-LGE Rating'!$R:$R,$D220,'KU-LGE Rating'!G:G)</f>
        <v>0</v>
      </c>
      <c r="AA220" s="257">
        <f t="shared" si="27"/>
        <v>0</v>
      </c>
      <c r="AB220" s="255">
        <f>$X220*SUMIF('KU-LGE Rating'!$R:$R,$D220,'KU-LGE Rating'!F:F)</f>
        <v>300000</v>
      </c>
      <c r="AC220" s="256">
        <f>$X220*SUMIF('KU-LGE Rating'!$R:$R,$D220,'KU-LGE Rating'!G:G)</f>
        <v>0</v>
      </c>
      <c r="AD220" s="257">
        <f t="shared" si="28"/>
        <v>300000</v>
      </c>
      <c r="AE220" s="274">
        <f>IF($F220=AE$1,$U220,0)*SUMIF('KU-LGE Rating'!$R:$R,$D220,'KU-LGE Rating'!$F:$F)</f>
        <v>0</v>
      </c>
      <c r="AF220" s="274">
        <f>IF($F220=AE$1,$U220,0)*SUMIF('KU-LGE Rating'!$R:$R,$D220,'KU-LGE Rating'!$G:$G)</f>
        <v>0</v>
      </c>
      <c r="AG220" s="240">
        <f t="shared" si="32"/>
        <v>0</v>
      </c>
      <c r="AH220" s="256">
        <f>IF($F220=AH$1,$U220,0)*SUMIF('KU-LGE Rating'!$R:$R,$D220,'KU-LGE Rating'!$F:$F)</f>
        <v>0</v>
      </c>
      <c r="AI220" s="256">
        <f>IF($F220=AH$1,$U220,0)*SUMIF('KU-LGE Rating'!$R:$R,$D220,'KU-LGE Rating'!$G:$G)</f>
        <v>0</v>
      </c>
      <c r="AJ220" s="240">
        <f t="shared" si="33"/>
        <v>0</v>
      </c>
      <c r="AK220" s="256">
        <f>IF($F220=AK$1,$U220,0)*SUMIF('KU-LGE Rating'!$R:$R,$D220,'KU-LGE Rating'!$F:$F)</f>
        <v>300000</v>
      </c>
      <c r="AL220" s="256">
        <f>IF($F220=AK$1,$U220,0)*SUMIF('KU-LGE Rating'!$R:$R,$D220,'KU-LGE Rating'!$G:$G)</f>
        <v>0</v>
      </c>
      <c r="AM220" s="240">
        <f t="shared" si="34"/>
        <v>300000</v>
      </c>
      <c r="AN220" s="256">
        <f>IF($F220=AN$1,$U220,0)*SUMIF('KU-LGE Rating'!$R:$R,$D220,'KU-LGE Rating'!$F:$F)</f>
        <v>0</v>
      </c>
      <c r="AO220" s="256">
        <f>IF($F220=AN$1,$U220,0)*SUMIF('KU-LGE Rating'!$R:$R,$D220,'KU-LGE Rating'!$G:$G)</f>
        <v>0</v>
      </c>
      <c r="AP220" s="240">
        <f t="shared" si="35"/>
        <v>0</v>
      </c>
      <c r="AQ220" s="277"/>
      <c r="AR220" s="277"/>
      <c r="AV220" s="278"/>
      <c r="AW220" s="278"/>
      <c r="AX220" s="278"/>
    </row>
    <row r="221" spans="1:50">
      <c r="A221" s="1" t="s">
        <v>2769</v>
      </c>
      <c r="B221" s="1" t="s">
        <v>3</v>
      </c>
      <c r="C221" t="s">
        <v>3723</v>
      </c>
      <c r="D221" t="s">
        <v>3749</v>
      </c>
      <c r="E221" t="s">
        <v>3893</v>
      </c>
      <c r="F221">
        <v>2014</v>
      </c>
      <c r="G221" t="s">
        <v>3908</v>
      </c>
      <c r="H221">
        <v>553100</v>
      </c>
      <c r="I221">
        <v>0</v>
      </c>
      <c r="J221">
        <v>0</v>
      </c>
      <c r="K221">
        <v>75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-75</v>
      </c>
      <c r="R221">
        <v>0</v>
      </c>
      <c r="S221">
        <v>17000</v>
      </c>
      <c r="T221">
        <v>0</v>
      </c>
      <c r="U221" s="8">
        <v>17000</v>
      </c>
      <c r="V221" s="243" t="str">
        <f t="shared" si="29"/>
        <v>553</v>
      </c>
      <c r="W221" s="240">
        <f t="shared" si="30"/>
        <v>17000</v>
      </c>
      <c r="X221" s="243">
        <f t="shared" si="31"/>
        <v>0</v>
      </c>
      <c r="Y221" s="255">
        <f>$W221*SUMIF('KU-LGE Rating'!$R:$R,$D221,'KU-LGE Rating'!F:F)</f>
        <v>17000</v>
      </c>
      <c r="Z221" s="256">
        <f>$W221*SUMIF('KU-LGE Rating'!$R:$R,$D221,'KU-LGE Rating'!G:G)</f>
        <v>0</v>
      </c>
      <c r="AA221" s="257">
        <f t="shared" si="27"/>
        <v>17000</v>
      </c>
      <c r="AB221" s="255">
        <f>$X221*SUMIF('KU-LGE Rating'!$R:$R,$D221,'KU-LGE Rating'!F:F)</f>
        <v>0</v>
      </c>
      <c r="AC221" s="256">
        <f>$X221*SUMIF('KU-LGE Rating'!$R:$R,$D221,'KU-LGE Rating'!G:G)</f>
        <v>0</v>
      </c>
      <c r="AD221" s="257">
        <f t="shared" si="28"/>
        <v>0</v>
      </c>
      <c r="AE221" s="274">
        <f>IF($F221=AE$1,$U221,0)*SUMIF('KU-LGE Rating'!$R:$R,$D221,'KU-LGE Rating'!$F:$F)</f>
        <v>17000</v>
      </c>
      <c r="AF221" s="274">
        <f>IF($F221=AE$1,$U221,0)*SUMIF('KU-LGE Rating'!$R:$R,$D221,'KU-LGE Rating'!$G:$G)</f>
        <v>0</v>
      </c>
      <c r="AG221" s="240">
        <f t="shared" si="32"/>
        <v>17000</v>
      </c>
      <c r="AH221" s="256">
        <f>IF($F221=AH$1,$U221,0)*SUMIF('KU-LGE Rating'!$R:$R,$D221,'KU-LGE Rating'!$F:$F)</f>
        <v>0</v>
      </c>
      <c r="AI221" s="256">
        <f>IF($F221=AH$1,$U221,0)*SUMIF('KU-LGE Rating'!$R:$R,$D221,'KU-LGE Rating'!$G:$G)</f>
        <v>0</v>
      </c>
      <c r="AJ221" s="240">
        <f t="shared" si="33"/>
        <v>0</v>
      </c>
      <c r="AK221" s="256">
        <f>IF($F221=AK$1,$U221,0)*SUMIF('KU-LGE Rating'!$R:$R,$D221,'KU-LGE Rating'!$F:$F)</f>
        <v>0</v>
      </c>
      <c r="AL221" s="256">
        <f>IF($F221=AK$1,$U221,0)*SUMIF('KU-LGE Rating'!$R:$R,$D221,'KU-LGE Rating'!$G:$G)</f>
        <v>0</v>
      </c>
      <c r="AM221" s="240">
        <f t="shared" si="34"/>
        <v>0</v>
      </c>
      <c r="AN221" s="256">
        <f>IF($F221=AN$1,$U221,0)*SUMIF('KU-LGE Rating'!$R:$R,$D221,'KU-LGE Rating'!$F:$F)</f>
        <v>0</v>
      </c>
      <c r="AO221" s="256">
        <f>IF($F221=AN$1,$U221,0)*SUMIF('KU-LGE Rating'!$R:$R,$D221,'KU-LGE Rating'!$G:$G)</f>
        <v>0</v>
      </c>
      <c r="AP221" s="240">
        <f t="shared" si="35"/>
        <v>0</v>
      </c>
      <c r="AQ221" s="277"/>
      <c r="AR221" s="277"/>
      <c r="AV221" s="278"/>
      <c r="AW221" s="278"/>
      <c r="AX221" s="278"/>
    </row>
    <row r="222" spans="1:50">
      <c r="A222" s="1" t="s">
        <v>2769</v>
      </c>
      <c r="B222" s="1" t="s">
        <v>3</v>
      </c>
      <c r="C222" t="s">
        <v>3723</v>
      </c>
      <c r="D222" t="s">
        <v>3749</v>
      </c>
      <c r="E222" t="s">
        <v>3893</v>
      </c>
      <c r="F222">
        <v>2015</v>
      </c>
      <c r="G222" t="s">
        <v>3908</v>
      </c>
      <c r="H222">
        <v>553100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17340</v>
      </c>
      <c r="T222">
        <v>0</v>
      </c>
      <c r="U222" s="8">
        <v>17340</v>
      </c>
      <c r="V222" s="243" t="str">
        <f t="shared" si="29"/>
        <v>553</v>
      </c>
      <c r="W222" s="240">
        <f t="shared" si="30"/>
        <v>0</v>
      </c>
      <c r="X222" s="243">
        <f t="shared" si="31"/>
        <v>17340</v>
      </c>
      <c r="Y222" s="255">
        <f>$W222*SUMIF('KU-LGE Rating'!$R:$R,$D222,'KU-LGE Rating'!F:F)</f>
        <v>0</v>
      </c>
      <c r="Z222" s="256">
        <f>$W222*SUMIF('KU-LGE Rating'!$R:$R,$D222,'KU-LGE Rating'!G:G)</f>
        <v>0</v>
      </c>
      <c r="AA222" s="257">
        <f t="shared" si="27"/>
        <v>0</v>
      </c>
      <c r="AB222" s="255">
        <f>$X222*SUMIF('KU-LGE Rating'!$R:$R,$D222,'KU-LGE Rating'!F:F)</f>
        <v>17340</v>
      </c>
      <c r="AC222" s="256">
        <f>$X222*SUMIF('KU-LGE Rating'!$R:$R,$D222,'KU-LGE Rating'!G:G)</f>
        <v>0</v>
      </c>
      <c r="AD222" s="257">
        <f t="shared" si="28"/>
        <v>17340</v>
      </c>
      <c r="AE222" s="274">
        <f>IF($F222=AE$1,$U222,0)*SUMIF('KU-LGE Rating'!$R:$R,$D222,'KU-LGE Rating'!$F:$F)</f>
        <v>0</v>
      </c>
      <c r="AF222" s="274">
        <f>IF($F222=AE$1,$U222,0)*SUMIF('KU-LGE Rating'!$R:$R,$D222,'KU-LGE Rating'!$G:$G)</f>
        <v>0</v>
      </c>
      <c r="AG222" s="240">
        <f t="shared" si="32"/>
        <v>0</v>
      </c>
      <c r="AH222" s="256">
        <f>IF($F222=AH$1,$U222,0)*SUMIF('KU-LGE Rating'!$R:$R,$D222,'KU-LGE Rating'!$F:$F)</f>
        <v>17340</v>
      </c>
      <c r="AI222" s="256">
        <f>IF($F222=AH$1,$U222,0)*SUMIF('KU-LGE Rating'!$R:$R,$D222,'KU-LGE Rating'!$G:$G)</f>
        <v>0</v>
      </c>
      <c r="AJ222" s="240">
        <f t="shared" si="33"/>
        <v>17340</v>
      </c>
      <c r="AK222" s="256">
        <f>IF($F222=AK$1,$U222,0)*SUMIF('KU-LGE Rating'!$R:$R,$D222,'KU-LGE Rating'!$F:$F)</f>
        <v>0</v>
      </c>
      <c r="AL222" s="256">
        <f>IF($F222=AK$1,$U222,0)*SUMIF('KU-LGE Rating'!$R:$R,$D222,'KU-LGE Rating'!$G:$G)</f>
        <v>0</v>
      </c>
      <c r="AM222" s="240">
        <f t="shared" si="34"/>
        <v>0</v>
      </c>
      <c r="AN222" s="256">
        <f>IF($F222=AN$1,$U222,0)*SUMIF('KU-LGE Rating'!$R:$R,$D222,'KU-LGE Rating'!$F:$F)</f>
        <v>0</v>
      </c>
      <c r="AO222" s="256">
        <f>IF($F222=AN$1,$U222,0)*SUMIF('KU-LGE Rating'!$R:$R,$D222,'KU-LGE Rating'!$G:$G)</f>
        <v>0</v>
      </c>
      <c r="AP222" s="240">
        <f t="shared" si="35"/>
        <v>0</v>
      </c>
      <c r="AQ222" s="277"/>
      <c r="AR222" s="277"/>
      <c r="AV222" s="278"/>
      <c r="AW222" s="278"/>
      <c r="AX222" s="278"/>
    </row>
    <row r="223" spans="1:50">
      <c r="A223" s="1" t="s">
        <v>2769</v>
      </c>
      <c r="B223" s="1" t="s">
        <v>3</v>
      </c>
      <c r="C223" t="s">
        <v>3723</v>
      </c>
      <c r="D223" t="s">
        <v>3749</v>
      </c>
      <c r="E223" t="s">
        <v>3893</v>
      </c>
      <c r="F223">
        <v>2016</v>
      </c>
      <c r="G223" t="s">
        <v>3908</v>
      </c>
      <c r="H223">
        <v>553100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17687</v>
      </c>
      <c r="T223">
        <v>0</v>
      </c>
      <c r="U223" s="8">
        <v>17687</v>
      </c>
      <c r="V223" s="243" t="str">
        <f t="shared" si="29"/>
        <v>553</v>
      </c>
      <c r="W223" s="240">
        <f t="shared" si="30"/>
        <v>0</v>
      </c>
      <c r="X223" s="243">
        <f t="shared" si="31"/>
        <v>0</v>
      </c>
      <c r="Y223" s="255">
        <f>$W223*SUMIF('KU-LGE Rating'!$R:$R,$D223,'KU-LGE Rating'!F:F)</f>
        <v>0</v>
      </c>
      <c r="Z223" s="256">
        <f>$W223*SUMIF('KU-LGE Rating'!$R:$R,$D223,'KU-LGE Rating'!G:G)</f>
        <v>0</v>
      </c>
      <c r="AA223" s="257">
        <f t="shared" si="27"/>
        <v>0</v>
      </c>
      <c r="AB223" s="255">
        <f>$X223*SUMIF('KU-LGE Rating'!$R:$R,$D223,'KU-LGE Rating'!F:F)</f>
        <v>0</v>
      </c>
      <c r="AC223" s="256">
        <f>$X223*SUMIF('KU-LGE Rating'!$R:$R,$D223,'KU-LGE Rating'!G:G)</f>
        <v>0</v>
      </c>
      <c r="AD223" s="257">
        <f t="shared" si="28"/>
        <v>0</v>
      </c>
      <c r="AE223" s="274">
        <f>IF($F223=AE$1,$U223,0)*SUMIF('KU-LGE Rating'!$R:$R,$D223,'KU-LGE Rating'!$F:$F)</f>
        <v>0</v>
      </c>
      <c r="AF223" s="274">
        <f>IF($F223=AE$1,$U223,0)*SUMIF('KU-LGE Rating'!$R:$R,$D223,'KU-LGE Rating'!$G:$G)</f>
        <v>0</v>
      </c>
      <c r="AG223" s="240">
        <f t="shared" si="32"/>
        <v>0</v>
      </c>
      <c r="AH223" s="256">
        <f>IF($F223=AH$1,$U223,0)*SUMIF('KU-LGE Rating'!$R:$R,$D223,'KU-LGE Rating'!$F:$F)</f>
        <v>0</v>
      </c>
      <c r="AI223" s="256">
        <f>IF($F223=AH$1,$U223,0)*SUMIF('KU-LGE Rating'!$R:$R,$D223,'KU-LGE Rating'!$G:$G)</f>
        <v>0</v>
      </c>
      <c r="AJ223" s="240">
        <f t="shared" si="33"/>
        <v>0</v>
      </c>
      <c r="AK223" s="256">
        <f>IF($F223=AK$1,$U223,0)*SUMIF('KU-LGE Rating'!$R:$R,$D223,'KU-LGE Rating'!$F:$F)</f>
        <v>17687</v>
      </c>
      <c r="AL223" s="256">
        <f>IF($F223=AK$1,$U223,0)*SUMIF('KU-LGE Rating'!$R:$R,$D223,'KU-LGE Rating'!$G:$G)</f>
        <v>0</v>
      </c>
      <c r="AM223" s="240">
        <f t="shared" si="34"/>
        <v>17687</v>
      </c>
      <c r="AN223" s="256">
        <f>IF($F223=AN$1,$U223,0)*SUMIF('KU-LGE Rating'!$R:$R,$D223,'KU-LGE Rating'!$F:$F)</f>
        <v>0</v>
      </c>
      <c r="AO223" s="256">
        <f>IF($F223=AN$1,$U223,0)*SUMIF('KU-LGE Rating'!$R:$R,$D223,'KU-LGE Rating'!$G:$G)</f>
        <v>0</v>
      </c>
      <c r="AP223" s="240">
        <f t="shared" si="35"/>
        <v>0</v>
      </c>
      <c r="AQ223" s="277"/>
      <c r="AR223" s="277"/>
      <c r="AV223" s="278"/>
      <c r="AW223" s="278"/>
      <c r="AX223" s="278"/>
    </row>
    <row r="224" spans="1:50">
      <c r="A224" s="1" t="s">
        <v>2769</v>
      </c>
      <c r="B224" s="1" t="s">
        <v>3</v>
      </c>
      <c r="C224" t="s">
        <v>3723</v>
      </c>
      <c r="D224" t="s">
        <v>3749</v>
      </c>
      <c r="E224" t="s">
        <v>3893</v>
      </c>
      <c r="F224">
        <v>2017</v>
      </c>
      <c r="G224" t="s">
        <v>3908</v>
      </c>
      <c r="H224">
        <v>553100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18041</v>
      </c>
      <c r="T224">
        <v>0</v>
      </c>
      <c r="U224" s="8">
        <v>18041</v>
      </c>
      <c r="V224" s="243" t="str">
        <f t="shared" si="29"/>
        <v>553</v>
      </c>
      <c r="W224" s="240">
        <f t="shared" si="30"/>
        <v>0</v>
      </c>
      <c r="X224" s="243">
        <f t="shared" si="31"/>
        <v>0</v>
      </c>
      <c r="Y224" s="255">
        <f>$W224*SUMIF('KU-LGE Rating'!$R:$R,$D224,'KU-LGE Rating'!F:F)</f>
        <v>0</v>
      </c>
      <c r="Z224" s="256">
        <f>$W224*SUMIF('KU-LGE Rating'!$R:$R,$D224,'KU-LGE Rating'!G:G)</f>
        <v>0</v>
      </c>
      <c r="AA224" s="257">
        <f t="shared" si="27"/>
        <v>0</v>
      </c>
      <c r="AB224" s="255">
        <f>$X224*SUMIF('KU-LGE Rating'!$R:$R,$D224,'KU-LGE Rating'!F:F)</f>
        <v>0</v>
      </c>
      <c r="AC224" s="256">
        <f>$X224*SUMIF('KU-LGE Rating'!$R:$R,$D224,'KU-LGE Rating'!G:G)</f>
        <v>0</v>
      </c>
      <c r="AD224" s="257">
        <f t="shared" si="28"/>
        <v>0</v>
      </c>
      <c r="AE224" s="274">
        <f>IF($F224=AE$1,$U224,0)*SUMIF('KU-LGE Rating'!$R:$R,$D224,'KU-LGE Rating'!$F:$F)</f>
        <v>0</v>
      </c>
      <c r="AF224" s="274">
        <f>IF($F224=AE$1,$U224,0)*SUMIF('KU-LGE Rating'!$R:$R,$D224,'KU-LGE Rating'!$G:$G)</f>
        <v>0</v>
      </c>
      <c r="AG224" s="240">
        <f t="shared" si="32"/>
        <v>0</v>
      </c>
      <c r="AH224" s="256">
        <f>IF($F224=AH$1,$U224,0)*SUMIF('KU-LGE Rating'!$R:$R,$D224,'KU-LGE Rating'!$F:$F)</f>
        <v>0</v>
      </c>
      <c r="AI224" s="256">
        <f>IF($F224=AH$1,$U224,0)*SUMIF('KU-LGE Rating'!$R:$R,$D224,'KU-LGE Rating'!$G:$G)</f>
        <v>0</v>
      </c>
      <c r="AJ224" s="240">
        <f t="shared" si="33"/>
        <v>0</v>
      </c>
      <c r="AK224" s="256">
        <f>IF($F224=AK$1,$U224,0)*SUMIF('KU-LGE Rating'!$R:$R,$D224,'KU-LGE Rating'!$F:$F)</f>
        <v>0</v>
      </c>
      <c r="AL224" s="256">
        <f>IF($F224=AK$1,$U224,0)*SUMIF('KU-LGE Rating'!$R:$R,$D224,'KU-LGE Rating'!$G:$G)</f>
        <v>0</v>
      </c>
      <c r="AM224" s="240">
        <f t="shared" si="34"/>
        <v>0</v>
      </c>
      <c r="AN224" s="256">
        <f>IF($F224=AN$1,$U224,0)*SUMIF('KU-LGE Rating'!$R:$R,$D224,'KU-LGE Rating'!$F:$F)</f>
        <v>18041</v>
      </c>
      <c r="AO224" s="256">
        <f>IF($F224=AN$1,$U224,0)*SUMIF('KU-LGE Rating'!$R:$R,$D224,'KU-LGE Rating'!$G:$G)</f>
        <v>0</v>
      </c>
      <c r="AP224" s="240">
        <f t="shared" si="35"/>
        <v>18041</v>
      </c>
      <c r="AQ224" s="277"/>
      <c r="AR224" s="277"/>
      <c r="AV224" s="278"/>
      <c r="AW224" s="278"/>
      <c r="AX224" s="278"/>
    </row>
    <row r="225" spans="1:50">
      <c r="A225" s="1" t="s">
        <v>2769</v>
      </c>
      <c r="B225" s="1" t="s">
        <v>3</v>
      </c>
      <c r="C225" t="s">
        <v>3723</v>
      </c>
      <c r="D225" t="s">
        <v>3750</v>
      </c>
      <c r="E225" t="s">
        <v>3893</v>
      </c>
      <c r="F225">
        <v>2014</v>
      </c>
      <c r="G225" t="s">
        <v>3908</v>
      </c>
      <c r="H225">
        <v>553100</v>
      </c>
      <c r="I225">
        <v>0</v>
      </c>
      <c r="J225">
        <v>0</v>
      </c>
      <c r="K225">
        <v>75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-75</v>
      </c>
      <c r="R225">
        <v>0</v>
      </c>
      <c r="S225">
        <v>17000</v>
      </c>
      <c r="T225">
        <v>0</v>
      </c>
      <c r="U225" s="8">
        <v>17000</v>
      </c>
      <c r="V225" s="243" t="str">
        <f t="shared" si="29"/>
        <v>553</v>
      </c>
      <c r="W225" s="240">
        <f t="shared" si="30"/>
        <v>17000</v>
      </c>
      <c r="X225" s="243">
        <f t="shared" si="31"/>
        <v>0</v>
      </c>
      <c r="Y225" s="255">
        <f>$W225*SUMIF('KU-LGE Rating'!$R:$R,$D225,'KU-LGE Rating'!F:F)</f>
        <v>17000</v>
      </c>
      <c r="Z225" s="256">
        <f>$W225*SUMIF('KU-LGE Rating'!$R:$R,$D225,'KU-LGE Rating'!G:G)</f>
        <v>0</v>
      </c>
      <c r="AA225" s="257">
        <f t="shared" si="27"/>
        <v>17000</v>
      </c>
      <c r="AB225" s="255">
        <f>$X225*SUMIF('KU-LGE Rating'!$R:$R,$D225,'KU-LGE Rating'!F:F)</f>
        <v>0</v>
      </c>
      <c r="AC225" s="256">
        <f>$X225*SUMIF('KU-LGE Rating'!$R:$R,$D225,'KU-LGE Rating'!G:G)</f>
        <v>0</v>
      </c>
      <c r="AD225" s="257">
        <f t="shared" si="28"/>
        <v>0</v>
      </c>
      <c r="AE225" s="274">
        <f>IF($F225=AE$1,$U225,0)*SUMIF('KU-LGE Rating'!$R:$R,$D225,'KU-LGE Rating'!$F:$F)</f>
        <v>17000</v>
      </c>
      <c r="AF225" s="274">
        <f>IF($F225=AE$1,$U225,0)*SUMIF('KU-LGE Rating'!$R:$R,$D225,'KU-LGE Rating'!$G:$G)</f>
        <v>0</v>
      </c>
      <c r="AG225" s="240">
        <f t="shared" si="32"/>
        <v>17000</v>
      </c>
      <c r="AH225" s="256">
        <f>IF($F225=AH$1,$U225,0)*SUMIF('KU-LGE Rating'!$R:$R,$D225,'KU-LGE Rating'!$F:$F)</f>
        <v>0</v>
      </c>
      <c r="AI225" s="256">
        <f>IF($F225=AH$1,$U225,0)*SUMIF('KU-LGE Rating'!$R:$R,$D225,'KU-LGE Rating'!$G:$G)</f>
        <v>0</v>
      </c>
      <c r="AJ225" s="240">
        <f t="shared" si="33"/>
        <v>0</v>
      </c>
      <c r="AK225" s="256">
        <f>IF($F225=AK$1,$U225,0)*SUMIF('KU-LGE Rating'!$R:$R,$D225,'KU-LGE Rating'!$F:$F)</f>
        <v>0</v>
      </c>
      <c r="AL225" s="256">
        <f>IF($F225=AK$1,$U225,0)*SUMIF('KU-LGE Rating'!$R:$R,$D225,'KU-LGE Rating'!$G:$G)</f>
        <v>0</v>
      </c>
      <c r="AM225" s="240">
        <f t="shared" si="34"/>
        <v>0</v>
      </c>
      <c r="AN225" s="256">
        <f>IF($F225=AN$1,$U225,0)*SUMIF('KU-LGE Rating'!$R:$R,$D225,'KU-LGE Rating'!$F:$F)</f>
        <v>0</v>
      </c>
      <c r="AO225" s="256">
        <f>IF($F225=AN$1,$U225,0)*SUMIF('KU-LGE Rating'!$R:$R,$D225,'KU-LGE Rating'!$G:$G)</f>
        <v>0</v>
      </c>
      <c r="AP225" s="240">
        <f t="shared" si="35"/>
        <v>0</v>
      </c>
      <c r="AQ225" s="277"/>
      <c r="AR225" s="277"/>
      <c r="AV225" s="278"/>
      <c r="AW225" s="278"/>
      <c r="AX225" s="278"/>
    </row>
    <row r="226" spans="1:50">
      <c r="A226" s="1" t="s">
        <v>2769</v>
      </c>
      <c r="B226" s="1" t="s">
        <v>3</v>
      </c>
      <c r="C226" t="s">
        <v>3723</v>
      </c>
      <c r="D226" t="s">
        <v>3750</v>
      </c>
      <c r="E226" t="s">
        <v>3893</v>
      </c>
      <c r="F226">
        <v>2015</v>
      </c>
      <c r="G226" t="s">
        <v>3908</v>
      </c>
      <c r="H226">
        <v>553100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17340</v>
      </c>
      <c r="T226">
        <v>0</v>
      </c>
      <c r="U226" s="8">
        <v>17340</v>
      </c>
      <c r="V226" s="243" t="str">
        <f t="shared" si="29"/>
        <v>553</v>
      </c>
      <c r="W226" s="240">
        <f t="shared" si="30"/>
        <v>0</v>
      </c>
      <c r="X226" s="243">
        <f t="shared" si="31"/>
        <v>17340</v>
      </c>
      <c r="Y226" s="255">
        <f>$W226*SUMIF('KU-LGE Rating'!$R:$R,$D226,'KU-LGE Rating'!F:F)</f>
        <v>0</v>
      </c>
      <c r="Z226" s="256">
        <f>$W226*SUMIF('KU-LGE Rating'!$R:$R,$D226,'KU-LGE Rating'!G:G)</f>
        <v>0</v>
      </c>
      <c r="AA226" s="257">
        <f t="shared" si="27"/>
        <v>0</v>
      </c>
      <c r="AB226" s="255">
        <f>$X226*SUMIF('KU-LGE Rating'!$R:$R,$D226,'KU-LGE Rating'!F:F)</f>
        <v>17340</v>
      </c>
      <c r="AC226" s="256">
        <f>$X226*SUMIF('KU-LGE Rating'!$R:$R,$D226,'KU-LGE Rating'!G:G)</f>
        <v>0</v>
      </c>
      <c r="AD226" s="257">
        <f t="shared" si="28"/>
        <v>17340</v>
      </c>
      <c r="AE226" s="274">
        <f>IF($F226=AE$1,$U226,0)*SUMIF('KU-LGE Rating'!$R:$R,$D226,'KU-LGE Rating'!$F:$F)</f>
        <v>0</v>
      </c>
      <c r="AF226" s="274">
        <f>IF($F226=AE$1,$U226,0)*SUMIF('KU-LGE Rating'!$R:$R,$D226,'KU-LGE Rating'!$G:$G)</f>
        <v>0</v>
      </c>
      <c r="AG226" s="240">
        <f t="shared" si="32"/>
        <v>0</v>
      </c>
      <c r="AH226" s="256">
        <f>IF($F226=AH$1,$U226,0)*SUMIF('KU-LGE Rating'!$R:$R,$D226,'KU-LGE Rating'!$F:$F)</f>
        <v>17340</v>
      </c>
      <c r="AI226" s="256">
        <f>IF($F226=AH$1,$U226,0)*SUMIF('KU-LGE Rating'!$R:$R,$D226,'KU-LGE Rating'!$G:$G)</f>
        <v>0</v>
      </c>
      <c r="AJ226" s="240">
        <f t="shared" si="33"/>
        <v>17340</v>
      </c>
      <c r="AK226" s="256">
        <f>IF($F226=AK$1,$U226,0)*SUMIF('KU-LGE Rating'!$R:$R,$D226,'KU-LGE Rating'!$F:$F)</f>
        <v>0</v>
      </c>
      <c r="AL226" s="256">
        <f>IF($F226=AK$1,$U226,0)*SUMIF('KU-LGE Rating'!$R:$R,$D226,'KU-LGE Rating'!$G:$G)</f>
        <v>0</v>
      </c>
      <c r="AM226" s="240">
        <f t="shared" si="34"/>
        <v>0</v>
      </c>
      <c r="AN226" s="256">
        <f>IF($F226=AN$1,$U226,0)*SUMIF('KU-LGE Rating'!$R:$R,$D226,'KU-LGE Rating'!$F:$F)</f>
        <v>0</v>
      </c>
      <c r="AO226" s="256">
        <f>IF($F226=AN$1,$U226,0)*SUMIF('KU-LGE Rating'!$R:$R,$D226,'KU-LGE Rating'!$G:$G)</f>
        <v>0</v>
      </c>
      <c r="AP226" s="240">
        <f t="shared" si="35"/>
        <v>0</v>
      </c>
      <c r="AQ226" s="277"/>
      <c r="AR226" s="277"/>
      <c r="AV226" s="278"/>
      <c r="AW226" s="278"/>
      <c r="AX226" s="278"/>
    </row>
    <row r="227" spans="1:50">
      <c r="A227" s="1" t="s">
        <v>2769</v>
      </c>
      <c r="B227" s="1" t="s">
        <v>3</v>
      </c>
      <c r="C227" t="s">
        <v>3723</v>
      </c>
      <c r="D227" t="s">
        <v>3750</v>
      </c>
      <c r="E227" t="s">
        <v>3893</v>
      </c>
      <c r="F227">
        <v>2016</v>
      </c>
      <c r="G227" t="s">
        <v>3908</v>
      </c>
      <c r="H227">
        <v>553100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17687</v>
      </c>
      <c r="T227">
        <v>0</v>
      </c>
      <c r="U227" s="8">
        <v>17687</v>
      </c>
      <c r="V227" s="243" t="str">
        <f t="shared" si="29"/>
        <v>553</v>
      </c>
      <c r="W227" s="240">
        <f t="shared" si="30"/>
        <v>0</v>
      </c>
      <c r="X227" s="243">
        <f t="shared" si="31"/>
        <v>0</v>
      </c>
      <c r="Y227" s="255">
        <f>$W227*SUMIF('KU-LGE Rating'!$R:$R,$D227,'KU-LGE Rating'!F:F)</f>
        <v>0</v>
      </c>
      <c r="Z227" s="256">
        <f>$W227*SUMIF('KU-LGE Rating'!$R:$R,$D227,'KU-LGE Rating'!G:G)</f>
        <v>0</v>
      </c>
      <c r="AA227" s="257">
        <f t="shared" si="27"/>
        <v>0</v>
      </c>
      <c r="AB227" s="255">
        <f>$X227*SUMIF('KU-LGE Rating'!$R:$R,$D227,'KU-LGE Rating'!F:F)</f>
        <v>0</v>
      </c>
      <c r="AC227" s="256">
        <f>$X227*SUMIF('KU-LGE Rating'!$R:$R,$D227,'KU-LGE Rating'!G:G)</f>
        <v>0</v>
      </c>
      <c r="AD227" s="257">
        <f t="shared" si="28"/>
        <v>0</v>
      </c>
      <c r="AE227" s="274">
        <f>IF($F227=AE$1,$U227,0)*SUMIF('KU-LGE Rating'!$R:$R,$D227,'KU-LGE Rating'!$F:$F)</f>
        <v>0</v>
      </c>
      <c r="AF227" s="274">
        <f>IF($F227=AE$1,$U227,0)*SUMIF('KU-LGE Rating'!$R:$R,$D227,'KU-LGE Rating'!$G:$G)</f>
        <v>0</v>
      </c>
      <c r="AG227" s="240">
        <f t="shared" si="32"/>
        <v>0</v>
      </c>
      <c r="AH227" s="256">
        <f>IF($F227=AH$1,$U227,0)*SUMIF('KU-LGE Rating'!$R:$R,$D227,'KU-LGE Rating'!$F:$F)</f>
        <v>0</v>
      </c>
      <c r="AI227" s="256">
        <f>IF($F227=AH$1,$U227,0)*SUMIF('KU-LGE Rating'!$R:$R,$D227,'KU-LGE Rating'!$G:$G)</f>
        <v>0</v>
      </c>
      <c r="AJ227" s="240">
        <f t="shared" si="33"/>
        <v>0</v>
      </c>
      <c r="AK227" s="256">
        <f>IF($F227=AK$1,$U227,0)*SUMIF('KU-LGE Rating'!$R:$R,$D227,'KU-LGE Rating'!$F:$F)</f>
        <v>17687</v>
      </c>
      <c r="AL227" s="256">
        <f>IF($F227=AK$1,$U227,0)*SUMIF('KU-LGE Rating'!$R:$R,$D227,'KU-LGE Rating'!$G:$G)</f>
        <v>0</v>
      </c>
      <c r="AM227" s="240">
        <f t="shared" si="34"/>
        <v>17687</v>
      </c>
      <c r="AN227" s="256">
        <f>IF($F227=AN$1,$U227,0)*SUMIF('KU-LGE Rating'!$R:$R,$D227,'KU-LGE Rating'!$F:$F)</f>
        <v>0</v>
      </c>
      <c r="AO227" s="256">
        <f>IF($F227=AN$1,$U227,0)*SUMIF('KU-LGE Rating'!$R:$R,$D227,'KU-LGE Rating'!$G:$G)</f>
        <v>0</v>
      </c>
      <c r="AP227" s="240">
        <f t="shared" si="35"/>
        <v>0</v>
      </c>
      <c r="AQ227" s="277"/>
      <c r="AR227" s="277"/>
      <c r="AV227" s="278"/>
      <c r="AW227" s="278"/>
      <c r="AX227" s="278"/>
    </row>
    <row r="228" spans="1:50">
      <c r="A228" s="1" t="s">
        <v>2769</v>
      </c>
      <c r="B228" s="1" t="s">
        <v>3</v>
      </c>
      <c r="C228" t="s">
        <v>3723</v>
      </c>
      <c r="D228" t="s">
        <v>3750</v>
      </c>
      <c r="E228" t="s">
        <v>3893</v>
      </c>
      <c r="F228">
        <v>2017</v>
      </c>
      <c r="G228" t="s">
        <v>3908</v>
      </c>
      <c r="H228">
        <v>553100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18041</v>
      </c>
      <c r="T228">
        <v>0</v>
      </c>
      <c r="U228" s="8">
        <v>18041</v>
      </c>
      <c r="V228" s="243" t="str">
        <f t="shared" si="29"/>
        <v>553</v>
      </c>
      <c r="W228" s="240">
        <f t="shared" si="30"/>
        <v>0</v>
      </c>
      <c r="X228" s="243">
        <f t="shared" si="31"/>
        <v>0</v>
      </c>
      <c r="Y228" s="255">
        <f>$W228*SUMIF('KU-LGE Rating'!$R:$R,$D228,'KU-LGE Rating'!F:F)</f>
        <v>0</v>
      </c>
      <c r="Z228" s="256">
        <f>$W228*SUMIF('KU-LGE Rating'!$R:$R,$D228,'KU-LGE Rating'!G:G)</f>
        <v>0</v>
      </c>
      <c r="AA228" s="257">
        <f t="shared" si="27"/>
        <v>0</v>
      </c>
      <c r="AB228" s="255">
        <f>$X228*SUMIF('KU-LGE Rating'!$R:$R,$D228,'KU-LGE Rating'!F:F)</f>
        <v>0</v>
      </c>
      <c r="AC228" s="256">
        <f>$X228*SUMIF('KU-LGE Rating'!$R:$R,$D228,'KU-LGE Rating'!G:G)</f>
        <v>0</v>
      </c>
      <c r="AD228" s="257">
        <f t="shared" si="28"/>
        <v>0</v>
      </c>
      <c r="AE228" s="274">
        <f>IF($F228=AE$1,$U228,0)*SUMIF('KU-LGE Rating'!$R:$R,$D228,'KU-LGE Rating'!$F:$F)</f>
        <v>0</v>
      </c>
      <c r="AF228" s="274">
        <f>IF($F228=AE$1,$U228,0)*SUMIF('KU-LGE Rating'!$R:$R,$D228,'KU-LGE Rating'!$G:$G)</f>
        <v>0</v>
      </c>
      <c r="AG228" s="240">
        <f t="shared" si="32"/>
        <v>0</v>
      </c>
      <c r="AH228" s="256">
        <f>IF($F228=AH$1,$U228,0)*SUMIF('KU-LGE Rating'!$R:$R,$D228,'KU-LGE Rating'!$F:$F)</f>
        <v>0</v>
      </c>
      <c r="AI228" s="256">
        <f>IF($F228=AH$1,$U228,0)*SUMIF('KU-LGE Rating'!$R:$R,$D228,'KU-LGE Rating'!$G:$G)</f>
        <v>0</v>
      </c>
      <c r="AJ228" s="240">
        <f t="shared" si="33"/>
        <v>0</v>
      </c>
      <c r="AK228" s="256">
        <f>IF($F228=AK$1,$U228,0)*SUMIF('KU-LGE Rating'!$R:$R,$D228,'KU-LGE Rating'!$F:$F)</f>
        <v>0</v>
      </c>
      <c r="AL228" s="256">
        <f>IF($F228=AK$1,$U228,0)*SUMIF('KU-LGE Rating'!$R:$R,$D228,'KU-LGE Rating'!$G:$G)</f>
        <v>0</v>
      </c>
      <c r="AM228" s="240">
        <f t="shared" si="34"/>
        <v>0</v>
      </c>
      <c r="AN228" s="256">
        <f>IF($F228=AN$1,$U228,0)*SUMIF('KU-LGE Rating'!$R:$R,$D228,'KU-LGE Rating'!$F:$F)</f>
        <v>18041</v>
      </c>
      <c r="AO228" s="256">
        <f>IF($F228=AN$1,$U228,0)*SUMIF('KU-LGE Rating'!$R:$R,$D228,'KU-LGE Rating'!$G:$G)</f>
        <v>0</v>
      </c>
      <c r="AP228" s="240">
        <f t="shared" si="35"/>
        <v>18041</v>
      </c>
      <c r="AQ228" s="277"/>
      <c r="AR228" s="277"/>
      <c r="AV228" s="278"/>
      <c r="AW228" s="278"/>
      <c r="AX228" s="278"/>
    </row>
    <row r="229" spans="1:50">
      <c r="A229" s="1" t="s">
        <v>2769</v>
      </c>
      <c r="B229" s="1" t="s">
        <v>3</v>
      </c>
      <c r="C229" t="s">
        <v>3723</v>
      </c>
      <c r="D229" t="s">
        <v>3751</v>
      </c>
      <c r="E229" t="s">
        <v>3893</v>
      </c>
      <c r="F229">
        <v>2014</v>
      </c>
      <c r="G229" t="s">
        <v>3908</v>
      </c>
      <c r="H229">
        <v>553100</v>
      </c>
      <c r="I229">
        <v>75</v>
      </c>
      <c r="J229">
        <v>75</v>
      </c>
      <c r="K229">
        <v>-150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17000</v>
      </c>
      <c r="T229">
        <v>0</v>
      </c>
      <c r="U229" s="8">
        <v>17000</v>
      </c>
      <c r="V229" s="243" t="str">
        <f t="shared" si="29"/>
        <v>553</v>
      </c>
      <c r="W229" s="240">
        <f t="shared" si="30"/>
        <v>16850</v>
      </c>
      <c r="X229" s="243">
        <f t="shared" si="31"/>
        <v>0</v>
      </c>
      <c r="Y229" s="255">
        <f>$W229*SUMIF('KU-LGE Rating'!$R:$R,$D229,'KU-LGE Rating'!F:F)</f>
        <v>16850</v>
      </c>
      <c r="Z229" s="256">
        <f>$W229*SUMIF('KU-LGE Rating'!$R:$R,$D229,'KU-LGE Rating'!G:G)</f>
        <v>0</v>
      </c>
      <c r="AA229" s="257">
        <f t="shared" si="27"/>
        <v>16850</v>
      </c>
      <c r="AB229" s="255">
        <f>$X229*SUMIF('KU-LGE Rating'!$R:$R,$D229,'KU-LGE Rating'!F:F)</f>
        <v>0</v>
      </c>
      <c r="AC229" s="256">
        <f>$X229*SUMIF('KU-LGE Rating'!$R:$R,$D229,'KU-LGE Rating'!G:G)</f>
        <v>0</v>
      </c>
      <c r="AD229" s="257">
        <f t="shared" si="28"/>
        <v>0</v>
      </c>
      <c r="AE229" s="274">
        <f>IF($F229=AE$1,$U229,0)*SUMIF('KU-LGE Rating'!$R:$R,$D229,'KU-LGE Rating'!$F:$F)</f>
        <v>17000</v>
      </c>
      <c r="AF229" s="274">
        <f>IF($F229=AE$1,$U229,0)*SUMIF('KU-LGE Rating'!$R:$R,$D229,'KU-LGE Rating'!$G:$G)</f>
        <v>0</v>
      </c>
      <c r="AG229" s="240">
        <f t="shared" si="32"/>
        <v>17000</v>
      </c>
      <c r="AH229" s="256">
        <f>IF($F229=AH$1,$U229,0)*SUMIF('KU-LGE Rating'!$R:$R,$D229,'KU-LGE Rating'!$F:$F)</f>
        <v>0</v>
      </c>
      <c r="AI229" s="256">
        <f>IF($F229=AH$1,$U229,0)*SUMIF('KU-LGE Rating'!$R:$R,$D229,'KU-LGE Rating'!$G:$G)</f>
        <v>0</v>
      </c>
      <c r="AJ229" s="240">
        <f t="shared" si="33"/>
        <v>0</v>
      </c>
      <c r="AK229" s="256">
        <f>IF($F229=AK$1,$U229,0)*SUMIF('KU-LGE Rating'!$R:$R,$D229,'KU-LGE Rating'!$F:$F)</f>
        <v>0</v>
      </c>
      <c r="AL229" s="256">
        <f>IF($F229=AK$1,$U229,0)*SUMIF('KU-LGE Rating'!$R:$R,$D229,'KU-LGE Rating'!$G:$G)</f>
        <v>0</v>
      </c>
      <c r="AM229" s="240">
        <f t="shared" si="34"/>
        <v>0</v>
      </c>
      <c r="AN229" s="256">
        <f>IF($F229=AN$1,$U229,0)*SUMIF('KU-LGE Rating'!$R:$R,$D229,'KU-LGE Rating'!$F:$F)</f>
        <v>0</v>
      </c>
      <c r="AO229" s="256">
        <f>IF($F229=AN$1,$U229,0)*SUMIF('KU-LGE Rating'!$R:$R,$D229,'KU-LGE Rating'!$G:$G)</f>
        <v>0</v>
      </c>
      <c r="AP229" s="240">
        <f t="shared" si="35"/>
        <v>0</v>
      </c>
      <c r="AQ229" s="277"/>
      <c r="AR229" s="277"/>
      <c r="AV229" s="278"/>
      <c r="AW229" s="278"/>
      <c r="AX229" s="278"/>
    </row>
    <row r="230" spans="1:50">
      <c r="A230" s="1"/>
      <c r="B230" s="1"/>
      <c r="U230" s="8"/>
      <c r="V230" s="243" t="str">
        <f t="shared" si="29"/>
        <v/>
      </c>
      <c r="W230" s="240">
        <f t="shared" si="30"/>
        <v>0</v>
      </c>
      <c r="X230" s="243">
        <f t="shared" si="31"/>
        <v>0</v>
      </c>
      <c r="Y230" s="255">
        <f>$W230*SUMIF('KU-LGE Rating'!$R:$R,$D230,'KU-LGE Rating'!F:F)</f>
        <v>0</v>
      </c>
      <c r="Z230" s="256">
        <f>$W230*SUMIF('KU-LGE Rating'!$R:$R,$D230,'KU-LGE Rating'!G:G)</f>
        <v>0</v>
      </c>
      <c r="AA230" s="257">
        <f t="shared" si="27"/>
        <v>0</v>
      </c>
      <c r="AB230" s="255">
        <f>$X230*SUMIF('KU-LGE Rating'!$R:$R,$D230,'KU-LGE Rating'!F:F)</f>
        <v>0</v>
      </c>
      <c r="AC230" s="256">
        <f>$X230*SUMIF('KU-LGE Rating'!$R:$R,$D230,'KU-LGE Rating'!G:G)</f>
        <v>0</v>
      </c>
      <c r="AD230" s="257">
        <f t="shared" si="28"/>
        <v>0</v>
      </c>
      <c r="AE230" s="274">
        <f>IF($F230=AE$1,$U230,0)*SUMIF('KU-LGE Rating'!$R:$R,$D230,'KU-LGE Rating'!$F:$F)</f>
        <v>0</v>
      </c>
      <c r="AF230" s="274">
        <f>IF($F230=AE$1,$U230,0)*SUMIF('KU-LGE Rating'!$R:$R,$D230,'KU-LGE Rating'!$G:$G)</f>
        <v>0</v>
      </c>
      <c r="AG230" s="240">
        <f t="shared" si="32"/>
        <v>0</v>
      </c>
      <c r="AH230" s="256">
        <f>IF($F230=AH$1,$U230,0)*SUMIF('KU-LGE Rating'!$R:$R,$D230,'KU-LGE Rating'!$F:$F)</f>
        <v>0</v>
      </c>
      <c r="AI230" s="256">
        <f>IF($F230=AH$1,$U230,0)*SUMIF('KU-LGE Rating'!$R:$R,$D230,'KU-LGE Rating'!$G:$G)</f>
        <v>0</v>
      </c>
      <c r="AJ230" s="240">
        <f t="shared" si="33"/>
        <v>0</v>
      </c>
      <c r="AK230" s="256">
        <f>IF($F230=AK$1,$U230,0)*SUMIF('KU-LGE Rating'!$R:$R,$D230,'KU-LGE Rating'!$F:$F)</f>
        <v>0</v>
      </c>
      <c r="AL230" s="256">
        <f>IF($F230=AK$1,$U230,0)*SUMIF('KU-LGE Rating'!$R:$R,$D230,'KU-LGE Rating'!$G:$G)</f>
        <v>0</v>
      </c>
      <c r="AM230" s="240">
        <f t="shared" si="34"/>
        <v>0</v>
      </c>
      <c r="AN230" s="256">
        <f>IF($F230=AN$1,$U230,0)*SUMIF('KU-LGE Rating'!$R:$R,$D230,'KU-LGE Rating'!$F:$F)</f>
        <v>0</v>
      </c>
      <c r="AO230" s="256">
        <f>IF($F230=AN$1,$U230,0)*SUMIF('KU-LGE Rating'!$R:$R,$D230,'KU-LGE Rating'!$G:$G)</f>
        <v>0</v>
      </c>
      <c r="AP230" s="240">
        <f t="shared" si="35"/>
        <v>0</v>
      </c>
      <c r="AQ230" s="277"/>
      <c r="AR230" s="277"/>
      <c r="AV230" s="278"/>
      <c r="AW230" s="278"/>
      <c r="AX230" s="278"/>
    </row>
    <row r="231" spans="1:50">
      <c r="A231" s="1"/>
    </row>
    <row r="232" spans="1:50">
      <c r="A232" s="1"/>
    </row>
    <row r="233" spans="1:50">
      <c r="A233" s="1"/>
    </row>
    <row r="234" spans="1:50">
      <c r="A234" s="1"/>
    </row>
    <row r="235" spans="1:50">
      <c r="A235" s="1"/>
    </row>
    <row r="236" spans="1:50">
      <c r="A236" s="1"/>
    </row>
    <row r="237" spans="1:50">
      <c r="A237" s="1"/>
    </row>
    <row r="238" spans="1:50">
      <c r="A238" s="1"/>
    </row>
    <row r="239" spans="1:50">
      <c r="A239" s="1"/>
    </row>
    <row r="240" spans="1:50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</sheetData>
  <autoFilter ref="A2:AZ230"/>
  <mergeCells count="6">
    <mergeCell ref="AN1:AP1"/>
    <mergeCell ref="Y1:AA1"/>
    <mergeCell ref="AB1:AD1"/>
    <mergeCell ref="AE1:AG1"/>
    <mergeCell ref="AH1:AJ1"/>
    <mergeCell ref="AK1:A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F128"/>
  <sheetViews>
    <sheetView view="pageBreakPreview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" sqref="G1:G1048576"/>
    </sheetView>
  </sheetViews>
  <sheetFormatPr defaultColWidth="13.5703125" defaultRowHeight="15"/>
  <cols>
    <col min="1" max="1" width="40.85546875" style="30" customWidth="1"/>
    <col min="2" max="2" width="10" style="30" customWidth="1"/>
    <col min="3" max="3" width="23" style="30" bestFit="1" customWidth="1"/>
    <col min="4" max="4" width="22.140625" style="30" bestFit="1" customWidth="1"/>
    <col min="5" max="5" width="7.5703125" style="30" bestFit="1" customWidth="1"/>
    <col min="6" max="7" width="8.85546875" style="30" customWidth="1"/>
    <col min="8" max="8" width="16.42578125" style="30" customWidth="1"/>
    <col min="9" max="9" width="17" style="30" bestFit="1" customWidth="1"/>
    <col min="10" max="10" width="17.5703125" style="30" hidden="1" customWidth="1"/>
    <col min="11" max="12" width="17" style="30" hidden="1" customWidth="1"/>
    <col min="13" max="14" width="14" style="30" customWidth="1"/>
    <col min="15" max="15" width="3.85546875" style="30" customWidth="1"/>
    <col min="16" max="17" width="14" style="30" customWidth="1"/>
    <col min="18" max="16384" width="13.5703125" style="30"/>
  </cols>
  <sheetData>
    <row r="1" spans="1:214" ht="30.75">
      <c r="A1" s="27" t="s">
        <v>3752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</row>
    <row r="2" spans="1:214" ht="23.25">
      <c r="A2" s="31" t="s">
        <v>3753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</row>
    <row r="3" spans="1:214" ht="19.5" customHeight="1">
      <c r="A3" s="33">
        <v>41620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214" ht="18.75" customHeight="1">
      <c r="A4" s="35"/>
      <c r="B4" s="35"/>
      <c r="C4" s="35"/>
      <c r="D4" s="36"/>
      <c r="E4" s="36"/>
      <c r="F4" s="37" t="s">
        <v>3754</v>
      </c>
      <c r="G4" s="38"/>
      <c r="H4" s="39" t="s">
        <v>3755</v>
      </c>
      <c r="I4" s="39" t="s">
        <v>3756</v>
      </c>
      <c r="J4" s="39" t="s">
        <v>3757</v>
      </c>
      <c r="K4" s="39" t="s">
        <v>3756</v>
      </c>
      <c r="L4" s="39" t="s">
        <v>3757</v>
      </c>
      <c r="M4" s="40" t="s">
        <v>3756</v>
      </c>
      <c r="N4" s="41"/>
      <c r="O4" s="42"/>
      <c r="P4" s="43" t="s">
        <v>3757</v>
      </c>
      <c r="Q4" s="44"/>
    </row>
    <row r="5" spans="1:214" ht="18.75" customHeight="1">
      <c r="A5" s="45"/>
      <c r="B5" s="45"/>
      <c r="C5" s="46" t="s">
        <v>3758</v>
      </c>
      <c r="D5" s="47" t="s">
        <v>3759</v>
      </c>
      <c r="E5" s="47"/>
      <c r="F5" s="48" t="s">
        <v>3760</v>
      </c>
      <c r="G5" s="48"/>
      <c r="H5" s="46" t="s">
        <v>3761</v>
      </c>
      <c r="I5" s="46" t="s">
        <v>3762</v>
      </c>
      <c r="J5" s="46" t="s">
        <v>3762</v>
      </c>
      <c r="K5" s="46" t="s">
        <v>3763</v>
      </c>
      <c r="L5" s="46" t="s">
        <v>3763</v>
      </c>
      <c r="M5" s="49" t="s">
        <v>3764</v>
      </c>
      <c r="N5" s="50" t="s">
        <v>3765</v>
      </c>
      <c r="O5" s="51"/>
      <c r="P5" s="49" t="s">
        <v>3764</v>
      </c>
      <c r="Q5" s="50" t="s">
        <v>3765</v>
      </c>
    </row>
    <row r="6" spans="1:214" ht="19.5" thickBot="1">
      <c r="A6" s="52" t="s">
        <v>3766</v>
      </c>
      <c r="B6" s="53" t="s">
        <v>3767</v>
      </c>
      <c r="C6" s="54" t="s">
        <v>3768</v>
      </c>
      <c r="D6" s="55" t="s">
        <v>3768</v>
      </c>
      <c r="E6" s="56" t="s">
        <v>3769</v>
      </c>
      <c r="F6" s="54" t="s">
        <v>2751</v>
      </c>
      <c r="G6" s="54" t="s">
        <v>2750</v>
      </c>
      <c r="H6" s="54" t="s">
        <v>3770</v>
      </c>
      <c r="I6" s="54" t="s">
        <v>3771</v>
      </c>
      <c r="J6" s="54" t="s">
        <v>3771</v>
      </c>
      <c r="K6" s="54" t="s">
        <v>3771</v>
      </c>
      <c r="L6" s="54" t="s">
        <v>3771</v>
      </c>
      <c r="M6" s="57" t="str">
        <f>LEFT($A$2,4)</f>
        <v>2013</v>
      </c>
      <c r="N6" s="57" t="str">
        <f>LEFT($A$2,4)</f>
        <v>2013</v>
      </c>
      <c r="O6" s="57"/>
      <c r="P6" s="57" t="str">
        <f>LEFT($A$2,4)</f>
        <v>2013</v>
      </c>
      <c r="Q6" s="57" t="str">
        <f>LEFT($A$2,4)</f>
        <v>2013</v>
      </c>
    </row>
    <row r="7" spans="1:214" s="66" customFormat="1" ht="18.75" customHeight="1" thickTop="1">
      <c r="A7" s="36" t="s">
        <v>3679</v>
      </c>
      <c r="B7" s="58" t="s">
        <v>2751</v>
      </c>
      <c r="C7" s="59">
        <v>20941</v>
      </c>
      <c r="D7" s="60">
        <f>A$3</f>
        <v>41620</v>
      </c>
      <c r="E7" s="61">
        <f>(D7-C7)/365</f>
        <v>56.654794520547945</v>
      </c>
      <c r="F7" s="208">
        <v>1</v>
      </c>
      <c r="G7" s="208">
        <v>0</v>
      </c>
      <c r="H7" s="62">
        <v>113.63565</v>
      </c>
      <c r="I7" s="63">
        <v>36</v>
      </c>
      <c r="J7" s="63">
        <v>40</v>
      </c>
      <c r="K7" s="64" t="s">
        <v>3772</v>
      </c>
      <c r="L7" s="64" t="s">
        <v>3772</v>
      </c>
      <c r="M7" s="63">
        <v>107</v>
      </c>
      <c r="N7" s="65">
        <v>106</v>
      </c>
      <c r="O7" s="63"/>
      <c r="P7" s="63">
        <v>114</v>
      </c>
      <c r="Q7" s="65">
        <v>113</v>
      </c>
      <c r="R7" s="66" t="s">
        <v>3679</v>
      </c>
    </row>
    <row r="8" spans="1:214" s="66" customFormat="1" ht="18.75" customHeight="1">
      <c r="A8" s="67" t="s">
        <v>3680</v>
      </c>
      <c r="B8" s="68" t="s">
        <v>2751</v>
      </c>
      <c r="C8" s="59">
        <v>23163</v>
      </c>
      <c r="D8" s="69">
        <f>A$3</f>
        <v>41620</v>
      </c>
      <c r="E8" s="61">
        <f>(D8-C8)/365</f>
        <v>50.56712328767123</v>
      </c>
      <c r="F8" s="209">
        <v>1</v>
      </c>
      <c r="G8" s="209">
        <v>0</v>
      </c>
      <c r="H8" s="70">
        <v>179.52</v>
      </c>
      <c r="I8" s="63">
        <v>74</v>
      </c>
      <c r="J8" s="63">
        <v>80</v>
      </c>
      <c r="K8" s="64" t="s">
        <v>3772</v>
      </c>
      <c r="L8" s="64" t="s">
        <v>3772</v>
      </c>
      <c r="M8" s="63">
        <v>168</v>
      </c>
      <c r="N8" s="63">
        <v>166</v>
      </c>
      <c r="O8" s="63"/>
      <c r="P8" s="63">
        <v>180</v>
      </c>
      <c r="Q8" s="63">
        <v>177</v>
      </c>
      <c r="R8" s="66" t="s">
        <v>3680</v>
      </c>
    </row>
    <row r="9" spans="1:214" s="66" customFormat="1" ht="18.75" customHeight="1">
      <c r="A9" s="67" t="s">
        <v>3681</v>
      </c>
      <c r="B9" s="68" t="s">
        <v>2751</v>
      </c>
      <c r="C9" s="59">
        <v>26133</v>
      </c>
      <c r="D9" s="69">
        <f>A$3</f>
        <v>41620</v>
      </c>
      <c r="E9" s="61">
        <f>(D9-C9)/365</f>
        <v>42.43013698630137</v>
      </c>
      <c r="F9" s="209">
        <v>1</v>
      </c>
      <c r="G9" s="209">
        <v>0</v>
      </c>
      <c r="H9" s="70">
        <v>464</v>
      </c>
      <c r="I9" s="63">
        <v>155</v>
      </c>
      <c r="J9" s="63">
        <v>180</v>
      </c>
      <c r="K9" s="63">
        <v>155</v>
      </c>
      <c r="L9" s="63">
        <v>180</v>
      </c>
      <c r="M9" s="63">
        <v>414</v>
      </c>
      <c r="N9" s="63">
        <v>410</v>
      </c>
      <c r="O9" s="63"/>
      <c r="P9" s="63">
        <v>457</v>
      </c>
      <c r="Q9" s="63">
        <v>455</v>
      </c>
      <c r="R9" s="66" t="s">
        <v>3681</v>
      </c>
    </row>
    <row r="10" spans="1:214" s="223" customFormat="1" ht="18.75" customHeight="1">
      <c r="A10" s="224" t="s">
        <v>3743</v>
      </c>
      <c r="B10" s="225"/>
      <c r="C10" s="226"/>
      <c r="D10" s="227"/>
      <c r="E10" s="228"/>
      <c r="F10" s="229">
        <v>1</v>
      </c>
      <c r="G10" s="229"/>
      <c r="H10" s="230"/>
      <c r="I10" s="232"/>
      <c r="J10" s="232"/>
      <c r="K10" s="239"/>
      <c r="L10" s="239"/>
      <c r="M10" s="232"/>
      <c r="N10" s="232"/>
      <c r="O10" s="232"/>
      <c r="P10" s="232"/>
      <c r="Q10" s="232"/>
      <c r="R10" s="223" t="s">
        <v>3743</v>
      </c>
    </row>
    <row r="11" spans="1:214" s="81" customFormat="1" ht="18.75" customHeight="1">
      <c r="A11" s="75" t="s">
        <v>3773</v>
      </c>
      <c r="B11" s="75"/>
      <c r="C11" s="76"/>
      <c r="D11" s="77"/>
      <c r="E11" s="78"/>
      <c r="F11" s="211">
        <v>0</v>
      </c>
      <c r="G11" s="211">
        <v>0</v>
      </c>
      <c r="H11" s="79">
        <f>SUM(H7:H9)</f>
        <v>757.15565000000004</v>
      </c>
      <c r="I11" s="79">
        <f>SUM(I7:I9)</f>
        <v>265</v>
      </c>
      <c r="J11" s="79">
        <f t="shared" ref="J11:L11" si="0">SUM(J7:J9)</f>
        <v>300</v>
      </c>
      <c r="K11" s="79">
        <f t="shared" si="0"/>
        <v>155</v>
      </c>
      <c r="L11" s="79">
        <f t="shared" si="0"/>
        <v>180</v>
      </c>
      <c r="M11" s="80">
        <f>SUM(M7:M9)</f>
        <v>689</v>
      </c>
      <c r="N11" s="80">
        <f>SUM(N7:N9)</f>
        <v>682</v>
      </c>
      <c r="O11" s="80"/>
      <c r="P11" s="80">
        <f>SUM(P7:P9)</f>
        <v>751</v>
      </c>
      <c r="Q11" s="80">
        <f>SUM(Q7:Q9)</f>
        <v>745</v>
      </c>
    </row>
    <row r="12" spans="1:214" s="66" customFormat="1" ht="18.75" customHeight="1">
      <c r="A12" s="82" t="s">
        <v>3774</v>
      </c>
      <c r="B12" s="83" t="s">
        <v>3775</v>
      </c>
      <c r="C12" s="59">
        <v>36678</v>
      </c>
      <c r="D12" s="60">
        <f t="shared" ref="D12:D19" si="1">A$3</f>
        <v>41620</v>
      </c>
      <c r="E12" s="61">
        <f t="shared" ref="E12:E19" si="2">(D12-C12)/365</f>
        <v>13.53972602739726</v>
      </c>
      <c r="F12" s="209">
        <v>0.9</v>
      </c>
      <c r="G12" s="209">
        <v>0.1</v>
      </c>
      <c r="H12" s="70"/>
      <c r="I12" s="63"/>
      <c r="J12" s="63"/>
      <c r="K12" s="63"/>
      <c r="L12" s="63"/>
      <c r="M12" s="63"/>
      <c r="N12" s="63">
        <f>22+19*4</f>
        <v>98</v>
      </c>
      <c r="O12" s="63"/>
      <c r="P12" s="63"/>
      <c r="Q12" s="63">
        <f>22+19*4</f>
        <v>98</v>
      </c>
    </row>
    <row r="13" spans="1:214" s="66" customFormat="1" ht="18.75" customHeight="1">
      <c r="A13" s="84" t="s">
        <v>3776</v>
      </c>
      <c r="B13" s="85" t="s">
        <v>3775</v>
      </c>
      <c r="C13" s="59">
        <v>37051</v>
      </c>
      <c r="D13" s="69">
        <f t="shared" si="1"/>
        <v>41620</v>
      </c>
      <c r="E13" s="61">
        <f t="shared" si="2"/>
        <v>12.517808219178082</v>
      </c>
      <c r="F13" s="209">
        <v>0.47</v>
      </c>
      <c r="G13" s="209">
        <v>0.53</v>
      </c>
      <c r="H13" s="70">
        <v>123.3</v>
      </c>
      <c r="I13" s="63">
        <v>50</v>
      </c>
      <c r="J13" s="63">
        <f>I13</f>
        <v>50</v>
      </c>
      <c r="K13" s="64" t="s">
        <v>3772</v>
      </c>
      <c r="L13" s="64" t="s">
        <v>3772</v>
      </c>
      <c r="M13" s="63">
        <v>130</v>
      </c>
      <c r="N13" s="63">
        <v>112</v>
      </c>
      <c r="O13" s="63"/>
      <c r="P13" s="63">
        <f>M13+1</f>
        <v>131</v>
      </c>
      <c r="Q13" s="63">
        <f>N13+1</f>
        <v>113</v>
      </c>
      <c r="R13" s="66" t="s">
        <v>3706</v>
      </c>
    </row>
    <row r="14" spans="1:214" s="87" customFormat="1" ht="18.75" customHeight="1">
      <c r="A14" s="84" t="s">
        <v>3777</v>
      </c>
      <c r="B14" s="85" t="s">
        <v>3775</v>
      </c>
      <c r="C14" s="59">
        <v>36383</v>
      </c>
      <c r="D14" s="69">
        <f t="shared" si="1"/>
        <v>41620</v>
      </c>
      <c r="E14" s="61">
        <f t="shared" si="2"/>
        <v>14.347945205479451</v>
      </c>
      <c r="F14" s="209">
        <v>0.62</v>
      </c>
      <c r="G14" s="209">
        <v>0.38</v>
      </c>
      <c r="H14" s="70">
        <v>177</v>
      </c>
      <c r="I14" s="86" t="s">
        <v>3778</v>
      </c>
      <c r="J14" s="64" t="str">
        <f t="shared" ref="J14:J18" si="3">I14</f>
        <v>20 / 90</v>
      </c>
      <c r="K14" s="64" t="s">
        <v>3772</v>
      </c>
      <c r="L14" s="86" t="s">
        <v>3772</v>
      </c>
      <c r="M14" s="63">
        <v>171</v>
      </c>
      <c r="N14" s="63">
        <v>146</v>
      </c>
      <c r="O14" s="63"/>
      <c r="P14" s="63">
        <f t="shared" ref="P14:Q19" si="4">M14+1</f>
        <v>172</v>
      </c>
      <c r="Q14" s="63">
        <f t="shared" si="4"/>
        <v>147</v>
      </c>
      <c r="R14" s="66" t="s">
        <v>3707</v>
      </c>
    </row>
    <row r="15" spans="1:214" s="87" customFormat="1" ht="18.75" customHeight="1">
      <c r="A15" s="82" t="s">
        <v>3708</v>
      </c>
      <c r="B15" s="85" t="s">
        <v>3775</v>
      </c>
      <c r="C15" s="59">
        <v>36380</v>
      </c>
      <c r="D15" s="69">
        <f t="shared" si="1"/>
        <v>41620</v>
      </c>
      <c r="E15" s="61">
        <f t="shared" si="2"/>
        <v>14.356164383561644</v>
      </c>
      <c r="F15" s="209">
        <v>0.62</v>
      </c>
      <c r="G15" s="209">
        <v>0.38</v>
      </c>
      <c r="H15" s="70">
        <v>177</v>
      </c>
      <c r="I15" s="63">
        <v>105</v>
      </c>
      <c r="J15" s="63">
        <f t="shared" si="3"/>
        <v>105</v>
      </c>
      <c r="K15" s="64" t="s">
        <v>3772</v>
      </c>
      <c r="L15" s="64" t="s">
        <v>3772</v>
      </c>
      <c r="M15" s="63">
        <v>171</v>
      </c>
      <c r="N15" s="63">
        <v>146</v>
      </c>
      <c r="O15" s="63"/>
      <c r="P15" s="63">
        <f t="shared" si="4"/>
        <v>172</v>
      </c>
      <c r="Q15" s="63">
        <f t="shared" si="4"/>
        <v>147</v>
      </c>
      <c r="R15" s="66" t="s">
        <v>3708</v>
      </c>
    </row>
    <row r="16" spans="1:214" s="66" customFormat="1" ht="18.75" customHeight="1">
      <c r="A16" s="88" t="s">
        <v>3779</v>
      </c>
      <c r="B16" s="68" t="s">
        <v>2751</v>
      </c>
      <c r="C16" s="59">
        <v>34753</v>
      </c>
      <c r="D16" s="69">
        <f t="shared" si="1"/>
        <v>41620</v>
      </c>
      <c r="E16" s="61">
        <f t="shared" si="2"/>
        <v>18.813698630136987</v>
      </c>
      <c r="F16" s="209">
        <v>1</v>
      </c>
      <c r="G16" s="209">
        <v>0</v>
      </c>
      <c r="H16" s="70">
        <v>126</v>
      </c>
      <c r="I16" s="63">
        <v>50</v>
      </c>
      <c r="J16" s="63">
        <f t="shared" si="3"/>
        <v>50</v>
      </c>
      <c r="K16" s="64" t="s">
        <v>3772</v>
      </c>
      <c r="L16" s="64" t="s">
        <v>3772</v>
      </c>
      <c r="M16" s="63">
        <v>128</v>
      </c>
      <c r="N16" s="63">
        <v>102</v>
      </c>
      <c r="O16" s="63"/>
      <c r="P16" s="63">
        <f t="shared" si="4"/>
        <v>129</v>
      </c>
      <c r="Q16" s="63">
        <f t="shared" si="4"/>
        <v>103</v>
      </c>
      <c r="R16" s="66" t="s">
        <v>3709</v>
      </c>
    </row>
    <row r="17" spans="1:18" s="66" customFormat="1" ht="18.75" customHeight="1">
      <c r="A17" s="88" t="s">
        <v>3780</v>
      </c>
      <c r="B17" s="68" t="s">
        <v>2751</v>
      </c>
      <c r="C17" s="59">
        <v>34723</v>
      </c>
      <c r="D17" s="69">
        <f t="shared" si="1"/>
        <v>41620</v>
      </c>
      <c r="E17" s="61">
        <f t="shared" si="2"/>
        <v>18.895890410958906</v>
      </c>
      <c r="F17" s="209">
        <v>1</v>
      </c>
      <c r="G17" s="209">
        <v>0</v>
      </c>
      <c r="H17" s="70">
        <v>126</v>
      </c>
      <c r="I17" s="63">
        <v>50</v>
      </c>
      <c r="J17" s="63">
        <f t="shared" si="3"/>
        <v>50</v>
      </c>
      <c r="K17" s="64" t="s">
        <v>3772</v>
      </c>
      <c r="L17" s="64" t="s">
        <v>3772</v>
      </c>
      <c r="M17" s="63">
        <v>138</v>
      </c>
      <c r="N17" s="63">
        <v>102</v>
      </c>
      <c r="O17" s="63"/>
      <c r="P17" s="63">
        <f t="shared" si="4"/>
        <v>139</v>
      </c>
      <c r="Q17" s="63">
        <f t="shared" si="4"/>
        <v>103</v>
      </c>
      <c r="R17" s="66" t="s">
        <v>3710</v>
      </c>
    </row>
    <row r="18" spans="1:18" s="66" customFormat="1" ht="18.75" customHeight="1">
      <c r="A18" s="88" t="s">
        <v>3781</v>
      </c>
      <c r="B18" s="68" t="s">
        <v>2751</v>
      </c>
      <c r="C18" s="59">
        <v>35055</v>
      </c>
      <c r="D18" s="69">
        <f t="shared" si="1"/>
        <v>41620</v>
      </c>
      <c r="E18" s="61">
        <f t="shared" si="2"/>
        <v>17.986301369863014</v>
      </c>
      <c r="F18" s="209">
        <v>1</v>
      </c>
      <c r="G18" s="209">
        <v>0</v>
      </c>
      <c r="H18" s="70">
        <v>126</v>
      </c>
      <c r="I18" s="63">
        <v>50</v>
      </c>
      <c r="J18" s="63">
        <f t="shared" si="3"/>
        <v>50</v>
      </c>
      <c r="K18" s="64" t="s">
        <v>3772</v>
      </c>
      <c r="L18" s="64" t="s">
        <v>3772</v>
      </c>
      <c r="M18" s="63">
        <v>138</v>
      </c>
      <c r="N18" s="63">
        <v>102</v>
      </c>
      <c r="O18" s="63"/>
      <c r="P18" s="63">
        <f t="shared" si="4"/>
        <v>139</v>
      </c>
      <c r="Q18" s="63">
        <f t="shared" si="4"/>
        <v>103</v>
      </c>
      <c r="R18" s="66" t="s">
        <v>3711</v>
      </c>
    </row>
    <row r="19" spans="1:18" s="66" customFormat="1" ht="18.75" customHeight="1">
      <c r="A19" s="88" t="s">
        <v>3782</v>
      </c>
      <c r="B19" s="72" t="s">
        <v>2751</v>
      </c>
      <c r="C19" s="59">
        <v>35193</v>
      </c>
      <c r="D19" s="73">
        <f t="shared" si="1"/>
        <v>41620</v>
      </c>
      <c r="E19" s="61">
        <f t="shared" si="2"/>
        <v>17.608219178082191</v>
      </c>
      <c r="F19" s="209">
        <v>1</v>
      </c>
      <c r="G19" s="209">
        <v>0</v>
      </c>
      <c r="H19" s="70">
        <v>126</v>
      </c>
      <c r="I19" s="63">
        <v>50</v>
      </c>
      <c r="J19" s="63">
        <f>I19</f>
        <v>50</v>
      </c>
      <c r="K19" s="64" t="s">
        <v>3772</v>
      </c>
      <c r="L19" s="64" t="s">
        <v>3772</v>
      </c>
      <c r="M19" s="63">
        <v>128</v>
      </c>
      <c r="N19" s="63">
        <v>102</v>
      </c>
      <c r="O19" s="63"/>
      <c r="P19" s="63">
        <f t="shared" si="4"/>
        <v>129</v>
      </c>
      <c r="Q19" s="63">
        <f t="shared" si="4"/>
        <v>103</v>
      </c>
      <c r="R19" s="66" t="s">
        <v>3717</v>
      </c>
    </row>
    <row r="20" spans="1:18" s="81" customFormat="1" ht="18.75" customHeight="1">
      <c r="A20" s="75" t="s">
        <v>3783</v>
      </c>
      <c r="B20" s="75"/>
      <c r="C20" s="89"/>
      <c r="D20" s="77"/>
      <c r="E20" s="78"/>
      <c r="F20" s="211">
        <v>0</v>
      </c>
      <c r="G20" s="211">
        <v>0</v>
      </c>
      <c r="H20" s="79">
        <f>SUM(H12:H19)</f>
        <v>981.3</v>
      </c>
      <c r="I20" s="79">
        <f>SUM(I15:I19)+I13+90</f>
        <v>445</v>
      </c>
      <c r="J20" s="79">
        <f t="shared" ref="J20" si="5">SUM(J15:J19)+J13+90</f>
        <v>445</v>
      </c>
      <c r="K20" s="90" t="s">
        <v>3772</v>
      </c>
      <c r="L20" s="90" t="s">
        <v>3772</v>
      </c>
      <c r="M20" s="80">
        <f>SUM(M12:M19)</f>
        <v>1004</v>
      </c>
      <c r="N20" s="80">
        <f>SUM(N12:N19)</f>
        <v>910</v>
      </c>
      <c r="O20" s="80"/>
      <c r="P20" s="80">
        <f>SUM(P12:P19)</f>
        <v>1011</v>
      </c>
      <c r="Q20" s="80">
        <f>SUM(Q12:Q19)</f>
        <v>917</v>
      </c>
    </row>
    <row r="21" spans="1:18" s="66" customFormat="1" ht="18.75" customHeight="1">
      <c r="A21" s="36" t="s">
        <v>3668</v>
      </c>
      <c r="B21" s="58" t="s">
        <v>2750</v>
      </c>
      <c r="C21" s="59">
        <v>22770</v>
      </c>
      <c r="D21" s="60">
        <f>A$3</f>
        <v>41620</v>
      </c>
      <c r="E21" s="61">
        <f>(D21-C21)/365</f>
        <v>51.643835616438359</v>
      </c>
      <c r="F21" s="208">
        <v>0</v>
      </c>
      <c r="G21" s="208">
        <v>1</v>
      </c>
      <c r="H21" s="62">
        <v>163.5</v>
      </c>
      <c r="I21" s="63">
        <v>65</v>
      </c>
      <c r="J21" s="63">
        <v>70</v>
      </c>
      <c r="K21" s="64" t="s">
        <v>3772</v>
      </c>
      <c r="L21" s="64" t="s">
        <v>3772</v>
      </c>
      <c r="M21" s="63">
        <v>155</v>
      </c>
      <c r="N21" s="63">
        <v>155</v>
      </c>
      <c r="O21" s="63"/>
      <c r="P21" s="63">
        <v>168</v>
      </c>
      <c r="Q21" s="63">
        <v>168</v>
      </c>
      <c r="R21" s="66" t="s">
        <v>3668</v>
      </c>
    </row>
    <row r="22" spans="1:18" s="66" customFormat="1" ht="18.75" customHeight="1">
      <c r="A22" s="67" t="s">
        <v>3687</v>
      </c>
      <c r="B22" s="68" t="s">
        <v>2750</v>
      </c>
      <c r="C22" s="59">
        <v>24240</v>
      </c>
      <c r="D22" s="69">
        <f>A$3</f>
        <v>41620</v>
      </c>
      <c r="E22" s="61">
        <f>(D22-C22)/365</f>
        <v>47.61643835616438</v>
      </c>
      <c r="F22" s="209">
        <v>0</v>
      </c>
      <c r="G22" s="209">
        <v>1</v>
      </c>
      <c r="H22" s="70">
        <v>209.44</v>
      </c>
      <c r="I22" s="63">
        <v>65</v>
      </c>
      <c r="J22" s="63">
        <v>70</v>
      </c>
      <c r="K22" s="64" t="s">
        <v>3772</v>
      </c>
      <c r="L22" s="64" t="s">
        <v>3772</v>
      </c>
      <c r="M22" s="63">
        <v>168</v>
      </c>
      <c r="N22" s="63">
        <v>168</v>
      </c>
      <c r="O22" s="63"/>
      <c r="P22" s="63">
        <v>181</v>
      </c>
      <c r="Q22" s="63">
        <v>181</v>
      </c>
      <c r="R22" s="66" t="s">
        <v>3687</v>
      </c>
    </row>
    <row r="23" spans="1:18" s="66" customFormat="1" ht="18.75" customHeight="1">
      <c r="A23" s="67" t="s">
        <v>3669</v>
      </c>
      <c r="B23" s="68" t="s">
        <v>2750</v>
      </c>
      <c r="C23" s="59">
        <v>25335</v>
      </c>
      <c r="D23" s="73">
        <f>A$3</f>
        <v>41620</v>
      </c>
      <c r="E23" s="61">
        <f>(D23-C23)/365</f>
        <v>44.61643835616438</v>
      </c>
      <c r="F23" s="209">
        <v>0</v>
      </c>
      <c r="G23" s="209">
        <v>1</v>
      </c>
      <c r="H23" s="70">
        <v>272</v>
      </c>
      <c r="I23" s="63">
        <v>80</v>
      </c>
      <c r="J23" s="63">
        <v>85</v>
      </c>
      <c r="K23" s="64" t="s">
        <v>3772</v>
      </c>
      <c r="L23" s="64" t="s">
        <v>3772</v>
      </c>
      <c r="M23" s="63">
        <v>240</v>
      </c>
      <c r="N23" s="63">
        <v>240</v>
      </c>
      <c r="O23" s="63"/>
      <c r="P23" s="63">
        <v>261</v>
      </c>
      <c r="Q23" s="63">
        <v>261</v>
      </c>
      <c r="R23" s="66" t="s">
        <v>3669</v>
      </c>
    </row>
    <row r="24" spans="1:18" s="66" customFormat="1" ht="18.75" customHeight="1">
      <c r="A24" s="67" t="s">
        <v>3888</v>
      </c>
      <c r="B24" s="68" t="s">
        <v>2750</v>
      </c>
      <c r="C24" s="59">
        <v>25335</v>
      </c>
      <c r="D24" s="73">
        <f>A$3</f>
        <v>41620</v>
      </c>
      <c r="E24" s="61">
        <f>(D24-C24)/365</f>
        <v>44.61643835616438</v>
      </c>
      <c r="F24" s="209">
        <v>0.78</v>
      </c>
      <c r="G24" s="209">
        <v>0.22</v>
      </c>
      <c r="H24" s="70">
        <v>272</v>
      </c>
      <c r="I24" s="63">
        <v>80</v>
      </c>
      <c r="J24" s="63">
        <v>85</v>
      </c>
      <c r="K24" s="64" t="s">
        <v>3772</v>
      </c>
      <c r="L24" s="64" t="s">
        <v>3772</v>
      </c>
      <c r="M24" s="63">
        <v>240</v>
      </c>
      <c r="N24" s="63">
        <v>240</v>
      </c>
      <c r="O24" s="63"/>
      <c r="P24" s="63">
        <v>261</v>
      </c>
      <c r="Q24" s="63">
        <v>261</v>
      </c>
      <c r="R24" s="66" t="s">
        <v>3888</v>
      </c>
    </row>
    <row r="25" spans="1:18" s="81" customFormat="1" ht="18.75" customHeight="1">
      <c r="A25" s="75" t="s">
        <v>3784</v>
      </c>
      <c r="B25" s="91"/>
      <c r="C25" s="77"/>
      <c r="D25" s="77"/>
      <c r="E25" s="78"/>
      <c r="F25" s="211">
        <v>0</v>
      </c>
      <c r="G25" s="211">
        <v>0</v>
      </c>
      <c r="H25" s="79">
        <f>SUM(H21:H24)</f>
        <v>916.94</v>
      </c>
      <c r="I25" s="79">
        <f>SUM(I21:I24)</f>
        <v>290</v>
      </c>
      <c r="J25" s="79">
        <f t="shared" ref="J25" si="6">SUM(J21:J24)</f>
        <v>310</v>
      </c>
      <c r="K25" s="90" t="s">
        <v>3772</v>
      </c>
      <c r="L25" s="90" t="s">
        <v>3772</v>
      </c>
      <c r="M25" s="80">
        <f>SUM(M21:M24)</f>
        <v>803</v>
      </c>
      <c r="N25" s="80">
        <f>SUM(N21:N24)</f>
        <v>803</v>
      </c>
      <c r="O25" s="80"/>
      <c r="P25" s="80">
        <f>SUM(P21:P24)</f>
        <v>871</v>
      </c>
      <c r="Q25" s="80">
        <f>SUM(Q21:Q24)</f>
        <v>871</v>
      </c>
    </row>
    <row r="26" spans="1:18" s="66" customFormat="1" ht="18.75" customHeight="1">
      <c r="A26" s="67" t="s">
        <v>3785</v>
      </c>
      <c r="B26" s="68" t="s">
        <v>2751</v>
      </c>
      <c r="C26" s="59">
        <v>9460</v>
      </c>
      <c r="D26" s="60">
        <f>A$3</f>
        <v>41620</v>
      </c>
      <c r="E26" s="61">
        <f>(D26-C26)/365</f>
        <v>88.109589041095887</v>
      </c>
      <c r="F26" s="209">
        <v>1</v>
      </c>
      <c r="G26" s="209">
        <v>0</v>
      </c>
      <c r="H26" s="70">
        <v>9.4190000000000005</v>
      </c>
      <c r="I26" s="63">
        <v>2</v>
      </c>
      <c r="J26" s="63">
        <f>I26</f>
        <v>2</v>
      </c>
      <c r="K26" s="64" t="s">
        <v>3772</v>
      </c>
      <c r="L26" s="64" t="s">
        <v>3772</v>
      </c>
      <c r="M26" s="63">
        <v>8</v>
      </c>
      <c r="N26" s="92">
        <v>8</v>
      </c>
      <c r="O26" s="63"/>
      <c r="P26" s="63">
        <v>8</v>
      </c>
      <c r="Q26" s="63">
        <v>8</v>
      </c>
      <c r="R26" s="66" t="s">
        <v>3715</v>
      </c>
    </row>
    <row r="27" spans="1:18" s="66" customFormat="1" ht="18.75" customHeight="1">
      <c r="A27" s="67" t="s">
        <v>3786</v>
      </c>
      <c r="B27" s="68" t="s">
        <v>2751</v>
      </c>
      <c r="C27" s="59">
        <v>9460</v>
      </c>
      <c r="D27" s="69">
        <f>A$3</f>
        <v>41620</v>
      </c>
      <c r="E27" s="61">
        <f>(D27-C27)/365</f>
        <v>88.109589041095887</v>
      </c>
      <c r="F27" s="209"/>
      <c r="G27" s="209">
        <v>0</v>
      </c>
      <c r="H27" s="70">
        <v>9.4190000000000005</v>
      </c>
      <c r="I27" s="63">
        <v>2</v>
      </c>
      <c r="J27" s="63">
        <f>I27</f>
        <v>2</v>
      </c>
      <c r="K27" s="64" t="s">
        <v>3772</v>
      </c>
      <c r="L27" s="64" t="s">
        <v>3772</v>
      </c>
      <c r="M27" s="63">
        <v>8</v>
      </c>
      <c r="N27" s="63">
        <v>8</v>
      </c>
      <c r="O27" s="63"/>
      <c r="P27" s="63">
        <v>8</v>
      </c>
      <c r="Q27" s="63">
        <v>8</v>
      </c>
      <c r="R27" s="66" t="s">
        <v>3715</v>
      </c>
    </row>
    <row r="28" spans="1:18" s="66" customFormat="1" ht="18.75" customHeight="1">
      <c r="A28" s="67" t="s">
        <v>3787</v>
      </c>
      <c r="B28" s="68" t="s">
        <v>2751</v>
      </c>
      <c r="C28" s="59">
        <v>9460</v>
      </c>
      <c r="D28" s="73">
        <f>A$3</f>
        <v>41620</v>
      </c>
      <c r="E28" s="61">
        <f>(D28-C28)/365</f>
        <v>88.109589041095887</v>
      </c>
      <c r="F28" s="209"/>
      <c r="G28" s="209">
        <v>0</v>
      </c>
      <c r="H28" s="70">
        <v>9.4190000000000005</v>
      </c>
      <c r="I28" s="63">
        <v>2</v>
      </c>
      <c r="J28" s="63">
        <f>I28</f>
        <v>2</v>
      </c>
      <c r="K28" s="64" t="s">
        <v>3772</v>
      </c>
      <c r="L28" s="64" t="s">
        <v>3772</v>
      </c>
      <c r="M28" s="63">
        <v>8</v>
      </c>
      <c r="N28" s="93">
        <v>8</v>
      </c>
      <c r="O28" s="63"/>
      <c r="P28" s="63">
        <v>8</v>
      </c>
      <c r="Q28" s="63">
        <v>8</v>
      </c>
      <c r="R28" s="66" t="s">
        <v>3715</v>
      </c>
    </row>
    <row r="29" spans="1:18" s="81" customFormat="1" ht="18.75" customHeight="1">
      <c r="A29" s="94" t="s">
        <v>3788</v>
      </c>
      <c r="B29" s="95"/>
      <c r="C29" s="96"/>
      <c r="D29" s="77"/>
      <c r="E29" s="78"/>
      <c r="F29" s="212">
        <v>0</v>
      </c>
      <c r="G29" s="212">
        <v>0</v>
      </c>
      <c r="H29" s="79">
        <f>SUM(H26:H28)</f>
        <v>28.257000000000001</v>
      </c>
      <c r="I29" s="79">
        <f>SUM(I26:I28)</f>
        <v>6</v>
      </c>
      <c r="J29" s="79">
        <f t="shared" ref="J29" si="7">SUM(J26:J28)</f>
        <v>6</v>
      </c>
      <c r="K29" s="90" t="s">
        <v>3772</v>
      </c>
      <c r="L29" s="90" t="s">
        <v>3772</v>
      </c>
      <c r="M29" s="80">
        <f>SUM(M26:M28)</f>
        <v>24</v>
      </c>
      <c r="N29" s="80">
        <f>SUM(N26:N28)</f>
        <v>24</v>
      </c>
      <c r="O29" s="80"/>
      <c r="P29" s="80">
        <f>SUM(P26:P28)</f>
        <v>24</v>
      </c>
      <c r="Q29" s="80">
        <f>SUM(Q26:Q28)</f>
        <v>24</v>
      </c>
    </row>
    <row r="30" spans="1:18" ht="18.75" customHeight="1">
      <c r="A30" s="97" t="s">
        <v>3682</v>
      </c>
      <c r="B30" s="35" t="s">
        <v>2751</v>
      </c>
      <c r="C30" s="98">
        <v>27079</v>
      </c>
      <c r="D30" s="60">
        <f>A$3</f>
        <v>41620</v>
      </c>
      <c r="E30" s="61">
        <f>(D30-C30)/365</f>
        <v>39.838356164383562</v>
      </c>
      <c r="F30" s="213">
        <v>1</v>
      </c>
      <c r="G30" s="213">
        <v>0</v>
      </c>
      <c r="H30" s="62">
        <v>556.91999999999996</v>
      </c>
      <c r="I30" s="63">
        <v>157</v>
      </c>
      <c r="J30" s="63">
        <v>180</v>
      </c>
      <c r="K30" s="64">
        <v>360</v>
      </c>
      <c r="L30" s="64">
        <v>390</v>
      </c>
      <c r="M30" s="63">
        <v>481</v>
      </c>
      <c r="N30" s="63">
        <v>479</v>
      </c>
      <c r="O30" s="63"/>
      <c r="P30" s="63">
        <v>517</v>
      </c>
      <c r="Q30" s="63">
        <v>519</v>
      </c>
      <c r="R30" s="30" t="s">
        <v>3682</v>
      </c>
    </row>
    <row r="31" spans="1:18" ht="18.75" customHeight="1">
      <c r="A31" s="99" t="s">
        <v>3685</v>
      </c>
      <c r="B31" s="45" t="s">
        <v>2751</v>
      </c>
      <c r="C31" s="98">
        <v>28235</v>
      </c>
      <c r="D31" s="69">
        <f>A$3</f>
        <v>41620</v>
      </c>
      <c r="E31" s="61">
        <f>(D31-C31)/365</f>
        <v>36.671232876712331</v>
      </c>
      <c r="F31" s="214">
        <v>1</v>
      </c>
      <c r="G31" s="214">
        <v>0</v>
      </c>
      <c r="H31" s="70">
        <v>556.38</v>
      </c>
      <c r="I31" s="63">
        <v>155</v>
      </c>
      <c r="J31" s="63">
        <v>180</v>
      </c>
      <c r="K31" s="64" t="s">
        <v>3772</v>
      </c>
      <c r="L31" s="64" t="s">
        <v>3772</v>
      </c>
      <c r="M31" s="63">
        <v>477</v>
      </c>
      <c r="N31" s="63">
        <v>495</v>
      </c>
      <c r="O31" s="63"/>
      <c r="P31" s="63">
        <v>509</v>
      </c>
      <c r="Q31" s="63">
        <v>528</v>
      </c>
      <c r="R31" s="30" t="s">
        <v>3685</v>
      </c>
    </row>
    <row r="32" spans="1:18" s="100" customFormat="1" ht="18.75" customHeight="1">
      <c r="A32" s="67" t="s">
        <v>3683</v>
      </c>
      <c r="B32" s="68" t="s">
        <v>2751</v>
      </c>
      <c r="C32" s="59">
        <v>29737</v>
      </c>
      <c r="D32" s="69">
        <f>A$3</f>
        <v>41620</v>
      </c>
      <c r="E32" s="61">
        <f>(D32-C32)/365</f>
        <v>32.556164383561644</v>
      </c>
      <c r="F32" s="209">
        <v>1</v>
      </c>
      <c r="G32" s="209">
        <v>0</v>
      </c>
      <c r="H32" s="70">
        <v>556.55999999999995</v>
      </c>
      <c r="I32" s="63">
        <v>150</v>
      </c>
      <c r="J32" s="63">
        <v>180</v>
      </c>
      <c r="K32" s="64">
        <v>373</v>
      </c>
      <c r="L32" s="64">
        <v>410</v>
      </c>
      <c r="M32" s="63">
        <v>482</v>
      </c>
      <c r="N32" s="63">
        <v>489</v>
      </c>
      <c r="O32" s="63"/>
      <c r="P32" s="63">
        <v>527</v>
      </c>
      <c r="Q32" s="63">
        <v>534</v>
      </c>
      <c r="R32" s="30" t="s">
        <v>3683</v>
      </c>
    </row>
    <row r="33" spans="1:18" s="100" customFormat="1" ht="18.75" customHeight="1">
      <c r="A33" s="71" t="s">
        <v>3684</v>
      </c>
      <c r="B33" s="72" t="s">
        <v>2751</v>
      </c>
      <c r="C33" s="101">
        <v>30912</v>
      </c>
      <c r="D33" s="73">
        <f>A$3</f>
        <v>41620</v>
      </c>
      <c r="E33" s="102">
        <f>(D33-C33)/365</f>
        <v>29.336986301369862</v>
      </c>
      <c r="F33" s="210">
        <v>1</v>
      </c>
      <c r="G33" s="210">
        <v>0</v>
      </c>
      <c r="H33" s="74">
        <v>556.20000000000005</v>
      </c>
      <c r="I33" s="63">
        <v>153</v>
      </c>
      <c r="J33" s="63">
        <v>180</v>
      </c>
      <c r="K33" s="64">
        <v>269</v>
      </c>
      <c r="L33" s="64">
        <v>300</v>
      </c>
      <c r="M33" s="63">
        <v>491</v>
      </c>
      <c r="N33" s="63">
        <v>469</v>
      </c>
      <c r="O33" s="63"/>
      <c r="P33" s="63">
        <v>534</v>
      </c>
      <c r="Q33" s="63">
        <v>512</v>
      </c>
      <c r="R33" s="30" t="s">
        <v>3684</v>
      </c>
    </row>
    <row r="34" spans="1:18" s="81" customFormat="1" ht="18.75" customHeight="1">
      <c r="A34" s="94" t="s">
        <v>3789</v>
      </c>
      <c r="B34" s="95"/>
      <c r="C34" s="96"/>
      <c r="D34" s="77"/>
      <c r="E34" s="78"/>
      <c r="F34" s="212">
        <v>0</v>
      </c>
      <c r="G34" s="212">
        <v>0</v>
      </c>
      <c r="H34" s="79">
        <f>SUM(H30:H33)</f>
        <v>2226.06</v>
      </c>
      <c r="I34" s="79">
        <f>SUM(I30:I33)</f>
        <v>615</v>
      </c>
      <c r="J34" s="79">
        <f t="shared" ref="J34:L34" si="8">SUM(J30:J33)</f>
        <v>720</v>
      </c>
      <c r="K34" s="79">
        <f t="shared" si="8"/>
        <v>1002</v>
      </c>
      <c r="L34" s="79">
        <f t="shared" si="8"/>
        <v>1100</v>
      </c>
      <c r="M34" s="80">
        <f>SUM(M30:M33)</f>
        <v>1931</v>
      </c>
      <c r="N34" s="80">
        <f>SUM(N30:N33)</f>
        <v>1932</v>
      </c>
      <c r="O34" s="80"/>
      <c r="P34" s="80">
        <f>SUM(P30:P33)</f>
        <v>2087</v>
      </c>
      <c r="Q34" s="80">
        <f>SUM(Q30:Q33)</f>
        <v>2093</v>
      </c>
    </row>
    <row r="35" spans="1:18" s="66" customFormat="1" ht="18.75" customHeight="1">
      <c r="A35" s="67" t="s">
        <v>3675</v>
      </c>
      <c r="B35" s="68" t="s">
        <v>2751</v>
      </c>
      <c r="C35" s="59">
        <v>19820</v>
      </c>
      <c r="D35" s="69">
        <f>A$3</f>
        <v>41620</v>
      </c>
      <c r="E35" s="61">
        <f>(D35-C35)/365</f>
        <v>59.726027397260275</v>
      </c>
      <c r="F35" s="209">
        <v>1</v>
      </c>
      <c r="G35" s="209">
        <v>0</v>
      </c>
      <c r="H35" s="70">
        <v>74.999750000000006</v>
      </c>
      <c r="I35" s="63">
        <v>37</v>
      </c>
      <c r="J35" s="63">
        <v>40</v>
      </c>
      <c r="K35" s="64" t="s">
        <v>3772</v>
      </c>
      <c r="L35" s="64" t="s">
        <v>3772</v>
      </c>
      <c r="M35" s="63">
        <v>71</v>
      </c>
      <c r="N35" s="63">
        <v>68</v>
      </c>
      <c r="O35" s="63"/>
      <c r="P35" s="63">
        <v>75</v>
      </c>
      <c r="Q35" s="63">
        <v>72</v>
      </c>
      <c r="R35" s="66" t="s">
        <v>3675</v>
      </c>
    </row>
    <row r="36" spans="1:18" s="66" customFormat="1" ht="18.75" customHeight="1">
      <c r="A36" s="67" t="s">
        <v>3676</v>
      </c>
      <c r="B36" s="68" t="s">
        <v>2751</v>
      </c>
      <c r="C36" s="59">
        <v>21739</v>
      </c>
      <c r="D36" s="73">
        <f>A$3</f>
        <v>41620</v>
      </c>
      <c r="E36" s="61">
        <f>(D36-C36)/365</f>
        <v>54.468493150684928</v>
      </c>
      <c r="F36" s="209">
        <v>1</v>
      </c>
      <c r="G36" s="209">
        <v>0</v>
      </c>
      <c r="H36" s="70">
        <v>113.63565</v>
      </c>
      <c r="I36" s="63">
        <v>37</v>
      </c>
      <c r="J36" s="63">
        <v>40</v>
      </c>
      <c r="K36" s="64" t="s">
        <v>3772</v>
      </c>
      <c r="L36" s="64" t="s">
        <v>3772</v>
      </c>
      <c r="M36" s="63">
        <v>98</v>
      </c>
      <c r="N36" s="63">
        <v>93</v>
      </c>
      <c r="O36" s="63"/>
      <c r="P36" s="63">
        <v>105</v>
      </c>
      <c r="Q36" s="63">
        <v>100</v>
      </c>
      <c r="R36" s="66" t="s">
        <v>3676</v>
      </c>
    </row>
    <row r="37" spans="1:18" s="81" customFormat="1" ht="18.75" customHeight="1">
      <c r="A37" s="75" t="s">
        <v>3790</v>
      </c>
      <c r="B37" s="91"/>
      <c r="C37" s="77"/>
      <c r="D37" s="77"/>
      <c r="E37" s="78"/>
      <c r="F37" s="211">
        <v>0</v>
      </c>
      <c r="G37" s="211">
        <v>0</v>
      </c>
      <c r="H37" s="79">
        <f>SUM(H35:H36)</f>
        <v>188.6354</v>
      </c>
      <c r="I37" s="79">
        <f>SUM(I35:I36)</f>
        <v>74</v>
      </c>
      <c r="J37" s="79">
        <f t="shared" ref="J37" si="9">SUM(J35:J36)</f>
        <v>80</v>
      </c>
      <c r="K37" s="90" t="s">
        <v>3772</v>
      </c>
      <c r="L37" s="90" t="s">
        <v>3772</v>
      </c>
      <c r="M37" s="80">
        <f>SUM(M35:M36)</f>
        <v>169</v>
      </c>
      <c r="N37" s="80">
        <f>SUM(N35:N36)</f>
        <v>161</v>
      </c>
      <c r="O37" s="80"/>
      <c r="P37" s="80">
        <f>SUM(P35:P36)</f>
        <v>180</v>
      </c>
      <c r="Q37" s="80">
        <f>SUM(Q35:Q36)</f>
        <v>172</v>
      </c>
    </row>
    <row r="38" spans="1:18" s="66" customFormat="1" ht="18.75" customHeight="1">
      <c r="A38" s="67" t="s">
        <v>3712</v>
      </c>
      <c r="B38" s="68" t="s">
        <v>2751</v>
      </c>
      <c r="C38" s="59">
        <v>25848</v>
      </c>
      <c r="D38" s="60">
        <f>A$3</f>
        <v>41620</v>
      </c>
      <c r="E38" s="61">
        <f>(D38-C38)/365</f>
        <v>43.210958904109589</v>
      </c>
      <c r="F38" s="209">
        <v>1</v>
      </c>
      <c r="G38" s="209">
        <v>0</v>
      </c>
      <c r="H38" s="70">
        <v>20.7</v>
      </c>
      <c r="I38" s="86">
        <v>2</v>
      </c>
      <c r="J38" s="86">
        <v>2</v>
      </c>
      <c r="K38" s="86" t="s">
        <v>3772</v>
      </c>
      <c r="L38" s="86" t="s">
        <v>3772</v>
      </c>
      <c r="M38" s="63">
        <v>13.6666666666666</v>
      </c>
      <c r="N38" s="63">
        <v>12</v>
      </c>
      <c r="O38" s="63"/>
      <c r="P38" s="63">
        <v>13.6666666666666</v>
      </c>
      <c r="Q38" s="63">
        <v>12</v>
      </c>
      <c r="R38" s="66" t="s">
        <v>3712</v>
      </c>
    </row>
    <row r="39" spans="1:18" s="66" customFormat="1" ht="18.75" customHeight="1">
      <c r="A39" s="67" t="s">
        <v>3713</v>
      </c>
      <c r="B39" s="68" t="s">
        <v>2751</v>
      </c>
      <c r="C39" s="59">
        <v>25862</v>
      </c>
      <c r="D39" s="69">
        <f>A$3</f>
        <v>41620</v>
      </c>
      <c r="E39" s="61">
        <f>(D39-C39)/365</f>
        <v>43.172602739726024</v>
      </c>
      <c r="F39" s="209">
        <v>1</v>
      </c>
      <c r="G39" s="209">
        <v>0</v>
      </c>
      <c r="H39" s="70">
        <v>20.7</v>
      </c>
      <c r="I39" s="86">
        <v>2</v>
      </c>
      <c r="J39" s="86">
        <v>2</v>
      </c>
      <c r="K39" s="86" t="s">
        <v>3772</v>
      </c>
      <c r="L39" s="86" t="s">
        <v>3772</v>
      </c>
      <c r="M39" s="63">
        <v>13.6666666666666</v>
      </c>
      <c r="N39" s="63">
        <v>12</v>
      </c>
      <c r="O39" s="63"/>
      <c r="P39" s="63">
        <v>13.6666666666666</v>
      </c>
      <c r="Q39" s="63">
        <v>12</v>
      </c>
      <c r="R39" s="66" t="s">
        <v>3713</v>
      </c>
    </row>
    <row r="40" spans="1:18" s="66" customFormat="1" ht="18.75" customHeight="1">
      <c r="A40" s="224" t="s">
        <v>3689</v>
      </c>
      <c r="B40" s="225" t="s">
        <v>2751</v>
      </c>
      <c r="C40" s="226"/>
      <c r="D40" s="227"/>
      <c r="E40" s="228"/>
      <c r="F40" s="229">
        <v>1</v>
      </c>
      <c r="G40" s="229">
        <v>0</v>
      </c>
      <c r="H40" s="230"/>
      <c r="I40" s="231"/>
      <c r="J40" s="231"/>
      <c r="K40" s="231"/>
      <c r="L40" s="231"/>
      <c r="M40" s="232"/>
      <c r="N40" s="232"/>
      <c r="O40" s="232"/>
      <c r="P40" s="232"/>
      <c r="Q40" s="232"/>
      <c r="R40" s="66" t="s">
        <v>3689</v>
      </c>
    </row>
    <row r="41" spans="1:18" s="81" customFormat="1" ht="18.75" customHeight="1">
      <c r="A41" s="94" t="s">
        <v>3791</v>
      </c>
      <c r="B41" s="95"/>
      <c r="C41" s="103"/>
      <c r="D41" s="77"/>
      <c r="E41" s="104"/>
      <c r="F41" s="212">
        <v>0</v>
      </c>
      <c r="G41" s="212">
        <v>0</v>
      </c>
      <c r="H41" s="79">
        <f>SUM(H38:H39)</f>
        <v>41.4</v>
      </c>
      <c r="I41" s="79">
        <f>SUM(I38:I39)</f>
        <v>4</v>
      </c>
      <c r="J41" s="79">
        <f>SUM(J38:J39)</f>
        <v>4</v>
      </c>
      <c r="K41" s="90" t="s">
        <v>3772</v>
      </c>
      <c r="L41" s="90" t="s">
        <v>3772</v>
      </c>
      <c r="M41" s="80">
        <f>SUM(M38:M39)</f>
        <v>27.333333333333201</v>
      </c>
      <c r="N41" s="80">
        <f>SUM(N38:N39)</f>
        <v>24</v>
      </c>
      <c r="O41" s="80"/>
      <c r="P41" s="80">
        <f>SUM(P38:P39)</f>
        <v>27.333333333333201</v>
      </c>
      <c r="Q41" s="80">
        <f>SUM(Q38:Q39)</f>
        <v>24</v>
      </c>
    </row>
    <row r="42" spans="1:18" ht="18.75" customHeight="1">
      <c r="A42" s="35" t="s">
        <v>3671</v>
      </c>
      <c r="B42" s="35" t="s">
        <v>2750</v>
      </c>
      <c r="C42" s="98">
        <v>26491</v>
      </c>
      <c r="D42" s="60">
        <f>A$3</f>
        <v>41620</v>
      </c>
      <c r="E42" s="61">
        <f>(D42-C42)/365</f>
        <v>41.449315068493149</v>
      </c>
      <c r="F42" s="213">
        <v>0</v>
      </c>
      <c r="G42" s="213">
        <v>1</v>
      </c>
      <c r="H42" s="62">
        <v>355.5</v>
      </c>
      <c r="I42" s="63">
        <v>115</v>
      </c>
      <c r="J42" s="63">
        <v>125</v>
      </c>
      <c r="K42" s="64" t="s">
        <v>3772</v>
      </c>
      <c r="L42" s="64" t="s">
        <v>3772</v>
      </c>
      <c r="M42" s="63">
        <v>303</v>
      </c>
      <c r="N42" s="63">
        <v>303</v>
      </c>
      <c r="O42" s="63"/>
      <c r="P42" s="63">
        <v>330</v>
      </c>
      <c r="Q42" s="63">
        <v>330</v>
      </c>
      <c r="R42" s="30" t="s">
        <v>3671</v>
      </c>
    </row>
    <row r="43" spans="1:18" ht="18.75" customHeight="1">
      <c r="A43" s="45" t="s">
        <v>3672</v>
      </c>
      <c r="B43" s="45" t="s">
        <v>2750</v>
      </c>
      <c r="C43" s="98">
        <v>27191</v>
      </c>
      <c r="D43" s="69">
        <f>A$3</f>
        <v>41620</v>
      </c>
      <c r="E43" s="61">
        <f>(D43-C43)/365</f>
        <v>39.531506849315072</v>
      </c>
      <c r="F43" s="214">
        <v>0</v>
      </c>
      <c r="G43" s="214">
        <v>1</v>
      </c>
      <c r="H43" s="70">
        <v>355.5</v>
      </c>
      <c r="I43" s="63">
        <v>115</v>
      </c>
      <c r="J43" s="63">
        <v>125</v>
      </c>
      <c r="K43" s="64" t="s">
        <v>3772</v>
      </c>
      <c r="L43" s="64" t="s">
        <v>3772</v>
      </c>
      <c r="M43" s="63">
        <v>299</v>
      </c>
      <c r="N43" s="63">
        <v>301</v>
      </c>
      <c r="O43" s="63"/>
      <c r="P43" s="63">
        <v>330</v>
      </c>
      <c r="Q43" s="63">
        <v>330</v>
      </c>
      <c r="R43" s="30" t="s">
        <v>3672</v>
      </c>
    </row>
    <row r="44" spans="1:18" s="66" customFormat="1" ht="18.75" customHeight="1">
      <c r="A44" s="68" t="s">
        <v>3673</v>
      </c>
      <c r="B44" s="68" t="s">
        <v>2750</v>
      </c>
      <c r="C44" s="59">
        <v>28669</v>
      </c>
      <c r="D44" s="69">
        <f>A$3</f>
        <v>41620</v>
      </c>
      <c r="E44" s="61">
        <f>(D44-C44)/365</f>
        <v>35.482191780821921</v>
      </c>
      <c r="F44" s="209">
        <v>0</v>
      </c>
      <c r="G44" s="209">
        <v>1</v>
      </c>
      <c r="H44" s="70">
        <v>462.6</v>
      </c>
      <c r="I44" s="63">
        <v>170</v>
      </c>
      <c r="J44" s="63">
        <v>200</v>
      </c>
      <c r="K44" s="64">
        <v>170</v>
      </c>
      <c r="L44" s="64">
        <v>200</v>
      </c>
      <c r="M44" s="63">
        <v>394</v>
      </c>
      <c r="N44" s="63">
        <f>394-3</f>
        <v>391</v>
      </c>
      <c r="O44" s="63"/>
      <c r="P44" s="63">
        <v>423</v>
      </c>
      <c r="Q44" s="63">
        <v>422</v>
      </c>
      <c r="R44" s="30" t="s">
        <v>3673</v>
      </c>
    </row>
    <row r="45" spans="1:18" s="66" customFormat="1" ht="18.75" customHeight="1">
      <c r="A45" s="88" t="s">
        <v>3674</v>
      </c>
      <c r="B45" s="68" t="s">
        <v>2750</v>
      </c>
      <c r="C45" s="59">
        <v>30147</v>
      </c>
      <c r="D45" s="73">
        <f>A$3</f>
        <v>41620</v>
      </c>
      <c r="E45" s="61">
        <f>(D45-C45)/365</f>
        <v>31.432876712328767</v>
      </c>
      <c r="F45" s="209">
        <v>0</v>
      </c>
      <c r="G45" s="209">
        <v>1</v>
      </c>
      <c r="H45" s="74">
        <v>543.6</v>
      </c>
      <c r="I45" s="63">
        <v>175</v>
      </c>
      <c r="J45" s="63">
        <v>200</v>
      </c>
      <c r="K45" s="64">
        <v>270</v>
      </c>
      <c r="L45" s="64">
        <v>300</v>
      </c>
      <c r="M45" s="63">
        <v>486</v>
      </c>
      <c r="N45" s="63">
        <f>481-4</f>
        <v>477</v>
      </c>
      <c r="O45" s="63"/>
      <c r="P45" s="63">
        <v>525</v>
      </c>
      <c r="Q45" s="63">
        <v>517</v>
      </c>
      <c r="R45" s="30" t="s">
        <v>3674</v>
      </c>
    </row>
    <row r="46" spans="1:18" s="81" customFormat="1" ht="18.75" customHeight="1">
      <c r="A46" s="75" t="s">
        <v>3792</v>
      </c>
      <c r="B46" s="91"/>
      <c r="C46" s="77"/>
      <c r="D46" s="77"/>
      <c r="E46" s="78"/>
      <c r="F46" s="211">
        <v>0</v>
      </c>
      <c r="G46" s="211">
        <v>0</v>
      </c>
      <c r="H46" s="79">
        <f>SUM(H42:H45)</f>
        <v>1717.1999999999998</v>
      </c>
      <c r="I46" s="79">
        <f>SUM(I42:I45)</f>
        <v>575</v>
      </c>
      <c r="J46" s="79">
        <f t="shared" ref="J46:L46" si="10">SUM(J42:J45)</f>
        <v>650</v>
      </c>
      <c r="K46" s="90">
        <f t="shared" si="10"/>
        <v>440</v>
      </c>
      <c r="L46" s="90">
        <f t="shared" si="10"/>
        <v>500</v>
      </c>
      <c r="M46" s="80">
        <f>SUM(M42:M45)</f>
        <v>1482</v>
      </c>
      <c r="N46" s="80">
        <f>SUM(N42:N45)</f>
        <v>1472</v>
      </c>
      <c r="O46" s="80"/>
      <c r="P46" s="80">
        <f>SUM(P42:P45)</f>
        <v>1608</v>
      </c>
      <c r="Q46" s="80">
        <f>SUM(Q42:Q45)</f>
        <v>1599</v>
      </c>
    </row>
    <row r="47" spans="1:18" s="66" customFormat="1" ht="18.75" customHeight="1">
      <c r="A47" s="67" t="s">
        <v>3793</v>
      </c>
      <c r="B47" s="68" t="s">
        <v>2750</v>
      </c>
      <c r="C47" s="59">
        <v>10228</v>
      </c>
      <c r="D47" s="60">
        <f t="shared" ref="D47:D54" si="11">A$3</f>
        <v>41620</v>
      </c>
      <c r="E47" s="61">
        <f t="shared" ref="E47:E54" si="12">(D47-C47)/365</f>
        <v>86.0054794520548</v>
      </c>
      <c r="F47" s="209">
        <v>0</v>
      </c>
      <c r="G47" s="209">
        <v>1</v>
      </c>
      <c r="H47" s="70">
        <v>10</v>
      </c>
      <c r="I47" s="63">
        <f>15/8</f>
        <v>1.875</v>
      </c>
      <c r="J47" s="63">
        <f>I47</f>
        <v>1.875</v>
      </c>
      <c r="K47" s="64" t="s">
        <v>3772</v>
      </c>
      <c r="L47" s="64" t="s">
        <v>3772</v>
      </c>
      <c r="M47" s="63">
        <v>4</v>
      </c>
      <c r="N47" s="63">
        <v>6</v>
      </c>
      <c r="O47" s="63"/>
      <c r="P47" s="63">
        <v>4</v>
      </c>
      <c r="Q47" s="63">
        <v>6</v>
      </c>
      <c r="R47" s="66" t="s">
        <v>3863</v>
      </c>
    </row>
    <row r="48" spans="1:18" s="66" customFormat="1" ht="18.75" customHeight="1">
      <c r="A48" s="67" t="s">
        <v>3794</v>
      </c>
      <c r="B48" s="68" t="s">
        <v>2750</v>
      </c>
      <c r="C48" s="59">
        <v>10228</v>
      </c>
      <c r="D48" s="69">
        <f t="shared" si="11"/>
        <v>41620</v>
      </c>
      <c r="E48" s="61">
        <f t="shared" si="12"/>
        <v>86.0054794520548</v>
      </c>
      <c r="F48" s="209">
        <v>0</v>
      </c>
      <c r="G48" s="209">
        <v>1</v>
      </c>
      <c r="H48" s="70">
        <v>10</v>
      </c>
      <c r="I48" s="63">
        <f t="shared" ref="I48:I54" si="13">15/8</f>
        <v>1.875</v>
      </c>
      <c r="J48" s="63">
        <f>I48</f>
        <v>1.875</v>
      </c>
      <c r="K48" s="64" t="s">
        <v>3772</v>
      </c>
      <c r="L48" s="64" t="s">
        <v>3772</v>
      </c>
      <c r="M48" s="63">
        <v>4</v>
      </c>
      <c r="N48" s="63">
        <v>6</v>
      </c>
      <c r="O48" s="63"/>
      <c r="P48" s="63">
        <v>4</v>
      </c>
      <c r="Q48" s="63">
        <v>6</v>
      </c>
      <c r="R48" s="66" t="s">
        <v>3864</v>
      </c>
    </row>
    <row r="49" spans="1:18" s="66" customFormat="1" ht="18.75" customHeight="1">
      <c r="A49" s="67" t="s">
        <v>3795</v>
      </c>
      <c r="B49" s="68" t="s">
        <v>2750</v>
      </c>
      <c r="C49" s="59">
        <v>10228</v>
      </c>
      <c r="D49" s="69">
        <f t="shared" si="11"/>
        <v>41620</v>
      </c>
      <c r="E49" s="61">
        <f t="shared" si="12"/>
        <v>86.0054794520548</v>
      </c>
      <c r="F49" s="209">
        <v>0</v>
      </c>
      <c r="G49" s="209">
        <v>1</v>
      </c>
      <c r="H49" s="70">
        <v>10</v>
      </c>
      <c r="I49" s="63">
        <f t="shared" si="13"/>
        <v>1.875</v>
      </c>
      <c r="J49" s="63">
        <f t="shared" ref="J49:J53" si="14">I49</f>
        <v>1.875</v>
      </c>
      <c r="K49" s="64" t="s">
        <v>3772</v>
      </c>
      <c r="L49" s="64" t="s">
        <v>3772</v>
      </c>
      <c r="M49" s="63">
        <v>4</v>
      </c>
      <c r="N49" s="63">
        <v>6</v>
      </c>
      <c r="O49" s="63"/>
      <c r="P49" s="63">
        <v>4</v>
      </c>
      <c r="Q49" s="63">
        <v>6</v>
      </c>
      <c r="R49" s="66" t="s">
        <v>3865</v>
      </c>
    </row>
    <row r="50" spans="1:18" s="66" customFormat="1" ht="18.75" customHeight="1">
      <c r="A50" s="67" t="s">
        <v>3796</v>
      </c>
      <c r="B50" s="68" t="s">
        <v>2750</v>
      </c>
      <c r="C50" s="59">
        <v>10228</v>
      </c>
      <c r="D50" s="69">
        <f t="shared" si="11"/>
        <v>41620</v>
      </c>
      <c r="E50" s="61">
        <f t="shared" si="12"/>
        <v>86.0054794520548</v>
      </c>
      <c r="F50" s="209">
        <v>0</v>
      </c>
      <c r="G50" s="209">
        <v>1</v>
      </c>
      <c r="H50" s="70">
        <v>10</v>
      </c>
      <c r="I50" s="63">
        <f t="shared" si="13"/>
        <v>1.875</v>
      </c>
      <c r="J50" s="63">
        <f t="shared" si="14"/>
        <v>1.875</v>
      </c>
      <c r="K50" s="64" t="s">
        <v>3772</v>
      </c>
      <c r="L50" s="64" t="s">
        <v>3772</v>
      </c>
      <c r="M50" s="63">
        <v>4</v>
      </c>
      <c r="N50" s="63">
        <v>6</v>
      </c>
      <c r="O50" s="63"/>
      <c r="P50" s="63">
        <v>4</v>
      </c>
      <c r="Q50" s="63">
        <v>6</v>
      </c>
      <c r="R50" s="66" t="s">
        <v>3866</v>
      </c>
    </row>
    <row r="51" spans="1:18" s="66" customFormat="1" ht="18.75" customHeight="1">
      <c r="A51" s="67" t="s">
        <v>3797</v>
      </c>
      <c r="B51" s="68" t="s">
        <v>2750</v>
      </c>
      <c r="C51" s="59">
        <v>10228</v>
      </c>
      <c r="D51" s="69">
        <f t="shared" si="11"/>
        <v>41620</v>
      </c>
      <c r="E51" s="61">
        <f t="shared" si="12"/>
        <v>86.0054794520548</v>
      </c>
      <c r="F51" s="209">
        <v>0</v>
      </c>
      <c r="G51" s="209">
        <v>1</v>
      </c>
      <c r="H51" s="70">
        <v>12.58</v>
      </c>
      <c r="I51" s="63">
        <f t="shared" si="13"/>
        <v>1.875</v>
      </c>
      <c r="J51" s="63">
        <f t="shared" si="14"/>
        <v>1.875</v>
      </c>
      <c r="K51" s="64" t="s">
        <v>3772</v>
      </c>
      <c r="L51" s="64" t="s">
        <v>3772</v>
      </c>
      <c r="M51" s="63">
        <v>5</v>
      </c>
      <c r="N51" s="63">
        <v>8</v>
      </c>
      <c r="O51" s="63"/>
      <c r="P51" s="63">
        <v>5</v>
      </c>
      <c r="Q51" s="63">
        <v>8</v>
      </c>
      <c r="R51" s="66" t="s">
        <v>3867</v>
      </c>
    </row>
    <row r="52" spans="1:18" s="66" customFormat="1" ht="18.75" customHeight="1">
      <c r="A52" s="88" t="s">
        <v>3798</v>
      </c>
      <c r="B52" s="68" t="s">
        <v>2750</v>
      </c>
      <c r="C52" s="59">
        <v>10228</v>
      </c>
      <c r="D52" s="69">
        <f t="shared" si="11"/>
        <v>41620</v>
      </c>
      <c r="E52" s="61">
        <f t="shared" si="12"/>
        <v>86.0054794520548</v>
      </c>
      <c r="F52" s="209">
        <v>0</v>
      </c>
      <c r="G52" s="209">
        <v>1</v>
      </c>
      <c r="H52" s="70">
        <v>12.7</v>
      </c>
      <c r="I52" s="63">
        <f t="shared" si="13"/>
        <v>1.875</v>
      </c>
      <c r="J52" s="63">
        <f t="shared" si="14"/>
        <v>1.875</v>
      </c>
      <c r="K52" s="64" t="s">
        <v>3772</v>
      </c>
      <c r="L52" s="64" t="s">
        <v>3772</v>
      </c>
      <c r="M52" s="63">
        <v>5</v>
      </c>
      <c r="N52" s="63">
        <v>8</v>
      </c>
      <c r="O52" s="63"/>
      <c r="P52" s="63">
        <v>5</v>
      </c>
      <c r="Q52" s="63">
        <v>8</v>
      </c>
      <c r="R52" s="66" t="s">
        <v>3868</v>
      </c>
    </row>
    <row r="53" spans="1:18" s="66" customFormat="1" ht="18.75" customHeight="1">
      <c r="A53" s="67" t="s">
        <v>3799</v>
      </c>
      <c r="B53" s="68" t="s">
        <v>2750</v>
      </c>
      <c r="C53" s="59">
        <v>10228</v>
      </c>
      <c r="D53" s="69">
        <f t="shared" si="11"/>
        <v>41620</v>
      </c>
      <c r="E53" s="61">
        <f t="shared" si="12"/>
        <v>86.0054794520548</v>
      </c>
      <c r="F53" s="209">
        <v>0</v>
      </c>
      <c r="G53" s="209">
        <v>1</v>
      </c>
      <c r="H53" s="70">
        <v>12.7</v>
      </c>
      <c r="I53" s="63">
        <f t="shared" si="13"/>
        <v>1.875</v>
      </c>
      <c r="J53" s="63">
        <f t="shared" si="14"/>
        <v>1.875</v>
      </c>
      <c r="K53" s="64" t="s">
        <v>3772</v>
      </c>
      <c r="L53" s="64" t="s">
        <v>3772</v>
      </c>
      <c r="M53" s="63">
        <v>5</v>
      </c>
      <c r="N53" s="63">
        <v>8</v>
      </c>
      <c r="O53" s="63"/>
      <c r="P53" s="63">
        <v>5</v>
      </c>
      <c r="Q53" s="63">
        <v>8</v>
      </c>
      <c r="R53" s="66" t="s">
        <v>3869</v>
      </c>
    </row>
    <row r="54" spans="1:18" s="66" customFormat="1" ht="18.75" customHeight="1">
      <c r="A54" s="67" t="s">
        <v>3800</v>
      </c>
      <c r="B54" s="68" t="s">
        <v>2750</v>
      </c>
      <c r="C54" s="59">
        <v>10228</v>
      </c>
      <c r="D54" s="73">
        <f t="shared" si="11"/>
        <v>41620</v>
      </c>
      <c r="E54" s="61">
        <f t="shared" si="12"/>
        <v>86.0054794520548</v>
      </c>
      <c r="F54" s="209">
        <v>0</v>
      </c>
      <c r="G54" s="209">
        <v>1</v>
      </c>
      <c r="H54" s="70">
        <v>10</v>
      </c>
      <c r="I54" s="63">
        <f t="shared" si="13"/>
        <v>1.875</v>
      </c>
      <c r="J54" s="63">
        <f>I54</f>
        <v>1.875</v>
      </c>
      <c r="K54" s="64" t="s">
        <v>3772</v>
      </c>
      <c r="L54" s="64" t="s">
        <v>3772</v>
      </c>
      <c r="M54" s="63">
        <v>4</v>
      </c>
      <c r="N54" s="63">
        <v>6</v>
      </c>
      <c r="O54" s="63"/>
      <c r="P54" s="63">
        <v>4</v>
      </c>
      <c r="Q54" s="63">
        <v>6</v>
      </c>
      <c r="R54" s="66" t="s">
        <v>3870</v>
      </c>
    </row>
    <row r="55" spans="1:18" s="81" customFormat="1" ht="18.75" customHeight="1">
      <c r="A55" s="75" t="s">
        <v>3801</v>
      </c>
      <c r="B55" s="91"/>
      <c r="C55" s="77"/>
      <c r="D55" s="77"/>
      <c r="E55" s="78"/>
      <c r="F55" s="211">
        <v>0</v>
      </c>
      <c r="G55" s="211">
        <v>0</v>
      </c>
      <c r="H55" s="79">
        <f>SUM(H47:H54)</f>
        <v>87.98</v>
      </c>
      <c r="I55" s="79">
        <f>SUM(I47:I54)</f>
        <v>15</v>
      </c>
      <c r="J55" s="79">
        <f t="shared" ref="J55" si="15">SUM(J47:J54)</f>
        <v>15</v>
      </c>
      <c r="K55" s="90" t="s">
        <v>3772</v>
      </c>
      <c r="L55" s="90" t="s">
        <v>3772</v>
      </c>
      <c r="M55" s="80">
        <f>SUM(M47:M54)</f>
        <v>35</v>
      </c>
      <c r="N55" s="80">
        <f>SUM(N47:N54)</f>
        <v>54</v>
      </c>
      <c r="O55" s="80"/>
      <c r="P55" s="80">
        <f>SUM(P47:P54)</f>
        <v>35</v>
      </c>
      <c r="Q55" s="80">
        <f>SUM(Q47:Q54)</f>
        <v>54</v>
      </c>
    </row>
    <row r="56" spans="1:18" s="66" customFormat="1" ht="18.75" customHeight="1">
      <c r="A56" s="67" t="s">
        <v>3802</v>
      </c>
      <c r="B56" s="68" t="s">
        <v>3775</v>
      </c>
      <c r="C56" s="59">
        <v>37069</v>
      </c>
      <c r="D56" s="105">
        <f>A$3</f>
        <v>41620</v>
      </c>
      <c r="E56" s="61">
        <f>(D56-C56)/365</f>
        <v>12.468493150684932</v>
      </c>
      <c r="F56" s="209">
        <v>0.47</v>
      </c>
      <c r="G56" s="209">
        <v>0.53</v>
      </c>
      <c r="H56" s="70">
        <v>178.2</v>
      </c>
      <c r="I56" s="86">
        <v>81</v>
      </c>
      <c r="J56" s="86">
        <f>I56</f>
        <v>81</v>
      </c>
      <c r="K56" s="86" t="s">
        <v>3772</v>
      </c>
      <c r="L56" s="86" t="s">
        <v>3772</v>
      </c>
      <c r="M56" s="63">
        <v>175</v>
      </c>
      <c r="N56" s="63">
        <v>147</v>
      </c>
      <c r="O56" s="63"/>
      <c r="P56" s="63">
        <v>176</v>
      </c>
      <c r="Q56" s="63">
        <v>148</v>
      </c>
      <c r="R56" s="66" t="s">
        <v>3873</v>
      </c>
    </row>
    <row r="57" spans="1:18" s="81" customFormat="1" ht="18.75" customHeight="1">
      <c r="A57" s="75" t="s">
        <v>3803</v>
      </c>
      <c r="B57" s="91"/>
      <c r="C57" s="106"/>
      <c r="D57" s="107"/>
      <c r="E57" s="108"/>
      <c r="F57" s="211">
        <v>0</v>
      </c>
      <c r="G57" s="211">
        <v>0</v>
      </c>
      <c r="H57" s="79">
        <f>SUM(H56:H56)</f>
        <v>178.2</v>
      </c>
      <c r="I57" s="79">
        <f>SUM(I56:I56)</f>
        <v>81</v>
      </c>
      <c r="J57" s="79">
        <f t="shared" ref="J57" si="16">SUM(J56:J56)</f>
        <v>81</v>
      </c>
      <c r="K57" s="90" t="s">
        <v>3772</v>
      </c>
      <c r="L57" s="90" t="s">
        <v>3772</v>
      </c>
      <c r="M57" s="80">
        <f>SUM(M56:M56)</f>
        <v>175</v>
      </c>
      <c r="N57" s="80">
        <f>SUM(N56:N56)</f>
        <v>147</v>
      </c>
      <c r="O57" s="80"/>
      <c r="P57" s="80">
        <f>SUM(P56:P56)</f>
        <v>176</v>
      </c>
      <c r="Q57" s="80">
        <f>SUM(Q56:Q56)</f>
        <v>148</v>
      </c>
    </row>
    <row r="58" spans="1:18" s="66" customFormat="1" ht="18.75" customHeight="1">
      <c r="A58" s="224" t="s">
        <v>3697</v>
      </c>
      <c r="B58" s="224" t="s">
        <v>2751</v>
      </c>
      <c r="C58" s="233"/>
      <c r="D58" s="233"/>
      <c r="E58" s="234">
        <f>(D58-C58)/365</f>
        <v>0</v>
      </c>
      <c r="F58" s="235">
        <v>1</v>
      </c>
      <c r="G58" s="229">
        <v>0</v>
      </c>
      <c r="H58" s="230"/>
      <c r="I58" s="232"/>
      <c r="J58" s="232"/>
      <c r="K58" s="232"/>
      <c r="L58" s="232"/>
      <c r="M58" s="232"/>
      <c r="N58" s="232"/>
      <c r="O58" s="232"/>
      <c r="P58" s="232"/>
      <c r="Q58" s="232"/>
      <c r="R58" s="66" t="s">
        <v>3697</v>
      </c>
    </row>
    <row r="59" spans="1:18" s="66" customFormat="1" ht="18.75" customHeight="1">
      <c r="A59" s="236"/>
      <c r="B59" s="224"/>
      <c r="C59" s="237"/>
      <c r="D59" s="237"/>
      <c r="E59" s="238"/>
      <c r="F59" s="235"/>
      <c r="G59" s="229"/>
      <c r="H59" s="230"/>
      <c r="I59" s="232"/>
      <c r="J59" s="232"/>
      <c r="K59" s="232"/>
      <c r="L59" s="232"/>
      <c r="M59" s="232"/>
      <c r="N59" s="232"/>
      <c r="O59" s="232"/>
      <c r="P59" s="232"/>
      <c r="Q59" s="232"/>
      <c r="R59" s="66" t="s">
        <v>3694</v>
      </c>
    </row>
    <row r="60" spans="1:18" s="81" customFormat="1" ht="18.75" customHeight="1">
      <c r="A60" s="94"/>
      <c r="B60" s="95"/>
      <c r="C60" s="113"/>
      <c r="D60" s="114"/>
      <c r="E60" s="115"/>
      <c r="F60" s="212">
        <v>0</v>
      </c>
      <c r="G60" s="212">
        <v>0</v>
      </c>
      <c r="H60" s="79">
        <f>SUM(H58:H59)</f>
        <v>0</v>
      </c>
      <c r="I60" s="79">
        <f>SUM(I58:I59)</f>
        <v>0</v>
      </c>
      <c r="J60" s="79">
        <f t="shared" ref="J60:L60" si="17">SUM(J58:J59)</f>
        <v>0</v>
      </c>
      <c r="K60" s="79">
        <f t="shared" si="17"/>
        <v>0</v>
      </c>
      <c r="L60" s="79">
        <f t="shared" si="17"/>
        <v>0</v>
      </c>
      <c r="M60" s="80">
        <f>SUM(M58:M59)</f>
        <v>0</v>
      </c>
      <c r="N60" s="80">
        <f>SUM(N58:N59)</f>
        <v>0</v>
      </c>
      <c r="O60" s="80"/>
      <c r="P60" s="80">
        <f>SUM(P58:P59)</f>
        <v>0</v>
      </c>
      <c r="Q60" s="80">
        <f>SUM(Q58:Q59)</f>
        <v>0</v>
      </c>
    </row>
    <row r="61" spans="1:18" s="66" customFormat="1" ht="18.75" customHeight="1">
      <c r="A61" s="67" t="s">
        <v>3804</v>
      </c>
      <c r="B61" s="67" t="s">
        <v>2750</v>
      </c>
      <c r="C61" s="109">
        <v>33230</v>
      </c>
      <c r="D61" s="109">
        <f>A$3</f>
        <v>41620</v>
      </c>
      <c r="E61" s="110">
        <f>(D61-C61)/365</f>
        <v>22.986301369863014</v>
      </c>
      <c r="F61" s="215">
        <v>0</v>
      </c>
      <c r="G61" s="209">
        <v>1</v>
      </c>
      <c r="H61" s="70">
        <f>566.1*0.75</f>
        <v>424.57500000000005</v>
      </c>
      <c r="I61" s="63">
        <f>188*0.75</f>
        <v>141</v>
      </c>
      <c r="J61" s="63">
        <f>200*0.75</f>
        <v>150</v>
      </c>
      <c r="K61" s="63">
        <f>420*0.75</f>
        <v>315</v>
      </c>
      <c r="L61" s="63">
        <f>450*0.75</f>
        <v>337.5</v>
      </c>
      <c r="M61" s="63">
        <f>511*0.75</f>
        <v>383.25</v>
      </c>
      <c r="N61" s="63">
        <f>511*0.75</f>
        <v>383.25</v>
      </c>
      <c r="O61" s="63"/>
      <c r="P61" s="63">
        <f>547*0.75</f>
        <v>410.25</v>
      </c>
      <c r="Q61" s="63">
        <f>547*0.75</f>
        <v>410.25</v>
      </c>
      <c r="R61" s="66" t="s">
        <v>3693</v>
      </c>
    </row>
    <row r="62" spans="1:18" s="66" customFormat="1" ht="18.75" customHeight="1">
      <c r="A62" s="84" t="s">
        <v>3805</v>
      </c>
      <c r="B62" s="67" t="s">
        <v>3775</v>
      </c>
      <c r="C62" s="111">
        <v>40565</v>
      </c>
      <c r="D62" s="111">
        <f>A$3</f>
        <v>41620</v>
      </c>
      <c r="E62" s="112">
        <f>(D62-C62)/365</f>
        <v>2.8904109589041096</v>
      </c>
      <c r="F62" s="215">
        <v>0.81</v>
      </c>
      <c r="G62" s="209">
        <v>0.19</v>
      </c>
      <c r="H62" s="70">
        <f>838*0.75</f>
        <v>628.5</v>
      </c>
      <c r="I62" s="63">
        <f>360*0.75</f>
        <v>270</v>
      </c>
      <c r="J62" s="63">
        <f>400*0.75</f>
        <v>300</v>
      </c>
      <c r="K62" s="63">
        <f>I62</f>
        <v>270</v>
      </c>
      <c r="L62" s="63">
        <f>J62</f>
        <v>300</v>
      </c>
      <c r="M62" s="63">
        <f>760*0.75</f>
        <v>570</v>
      </c>
      <c r="N62" s="63">
        <f>732*0.75</f>
        <v>549</v>
      </c>
      <c r="O62" s="63"/>
      <c r="P62" s="63">
        <f>809*0.75</f>
        <v>606.75</v>
      </c>
      <c r="Q62" s="63">
        <f>781*0.75</f>
        <v>585.75</v>
      </c>
      <c r="R62" s="66" t="s">
        <v>3694</v>
      </c>
    </row>
    <row r="63" spans="1:18" s="81" customFormat="1" ht="18.75" customHeight="1">
      <c r="A63" s="94" t="s">
        <v>3806</v>
      </c>
      <c r="B63" s="95"/>
      <c r="C63" s="113"/>
      <c r="D63" s="114"/>
      <c r="E63" s="115"/>
      <c r="F63" s="212">
        <v>0</v>
      </c>
      <c r="G63" s="212">
        <v>0</v>
      </c>
      <c r="H63" s="79">
        <f>SUM(H61:H62)</f>
        <v>1053.075</v>
      </c>
      <c r="I63" s="79">
        <f>SUM(I61:I62)</f>
        <v>411</v>
      </c>
      <c r="J63" s="79">
        <f t="shared" ref="J63:L63" si="18">SUM(J61:J62)</f>
        <v>450</v>
      </c>
      <c r="K63" s="79">
        <f t="shared" si="18"/>
        <v>585</v>
      </c>
      <c r="L63" s="79">
        <f t="shared" si="18"/>
        <v>637.5</v>
      </c>
      <c r="M63" s="80">
        <f>SUM(M61:M62)</f>
        <v>953.25</v>
      </c>
      <c r="N63" s="80">
        <f>SUM(N61:N62)</f>
        <v>932.25</v>
      </c>
      <c r="O63" s="80"/>
      <c r="P63" s="80">
        <f>SUM(P61:P62)</f>
        <v>1017</v>
      </c>
      <c r="Q63" s="80">
        <f>SUM(Q61:Q62)</f>
        <v>996</v>
      </c>
    </row>
    <row r="64" spans="1:18" s="66" customFormat="1" ht="18.75" customHeight="1">
      <c r="A64" s="84" t="s">
        <v>3807</v>
      </c>
      <c r="B64" s="68" t="s">
        <v>3775</v>
      </c>
      <c r="C64" s="116">
        <v>37390</v>
      </c>
      <c r="D64" s="60">
        <f t="shared" ref="D64:D69" si="19">A$3</f>
        <v>41620</v>
      </c>
      <c r="E64" s="61">
        <f t="shared" ref="E64:E69" si="20">(D64-C64)/365</f>
        <v>11.58904109589041</v>
      </c>
      <c r="F64" s="209">
        <v>0.71</v>
      </c>
      <c r="G64" s="209">
        <v>0.28999999999999998</v>
      </c>
      <c r="H64" s="70">
        <v>198.9</v>
      </c>
      <c r="I64" s="86" t="s">
        <v>3808</v>
      </c>
      <c r="J64" s="86" t="str">
        <f>I64</f>
        <v>80 S  90 W</v>
      </c>
      <c r="K64" s="86" t="s">
        <v>3772</v>
      </c>
      <c r="L64" s="86" t="s">
        <v>3772</v>
      </c>
      <c r="M64" s="63">
        <v>176</v>
      </c>
      <c r="N64" s="63">
        <v>157</v>
      </c>
      <c r="O64" s="63"/>
      <c r="P64" s="63">
        <v>180</v>
      </c>
      <c r="Q64" s="63">
        <v>160</v>
      </c>
      <c r="R64" s="66" t="s">
        <v>3699</v>
      </c>
    </row>
    <row r="65" spans="1:18" s="66" customFormat="1" ht="18.75" customHeight="1">
      <c r="A65" s="84" t="s">
        <v>3809</v>
      </c>
      <c r="B65" s="68" t="s">
        <v>3775</v>
      </c>
      <c r="C65" s="116">
        <v>37390</v>
      </c>
      <c r="D65" s="69">
        <f t="shared" si="19"/>
        <v>41620</v>
      </c>
      <c r="E65" s="61">
        <f t="shared" si="20"/>
        <v>11.58904109589041</v>
      </c>
      <c r="F65" s="209">
        <v>0.71</v>
      </c>
      <c r="G65" s="209">
        <v>0.28999999999999998</v>
      </c>
      <c r="H65" s="70">
        <f>H64</f>
        <v>198.9</v>
      </c>
      <c r="I65" s="86" t="s">
        <v>3808</v>
      </c>
      <c r="J65" s="86" t="str">
        <f>I65</f>
        <v>80 S  90 W</v>
      </c>
      <c r="K65" s="86" t="s">
        <v>3772</v>
      </c>
      <c r="L65" s="86" t="s">
        <v>3772</v>
      </c>
      <c r="M65" s="63">
        <v>176</v>
      </c>
      <c r="N65" s="63">
        <v>157</v>
      </c>
      <c r="O65" s="63"/>
      <c r="P65" s="63">
        <v>180</v>
      </c>
      <c r="Q65" s="63">
        <v>160</v>
      </c>
      <c r="R65" s="66" t="s">
        <v>3700</v>
      </c>
    </row>
    <row r="66" spans="1:18" s="66" customFormat="1" ht="18.75" customHeight="1">
      <c r="A66" s="84" t="s">
        <v>3810</v>
      </c>
      <c r="B66" s="68" t="s">
        <v>3775</v>
      </c>
      <c r="C66" s="116">
        <v>38139</v>
      </c>
      <c r="D66" s="69">
        <f t="shared" si="19"/>
        <v>41620</v>
      </c>
      <c r="E66" s="61">
        <f t="shared" si="20"/>
        <v>9.536986301369863</v>
      </c>
      <c r="F66" s="209">
        <v>0.63</v>
      </c>
      <c r="G66" s="220">
        <v>0.37</v>
      </c>
      <c r="H66" s="63">
        <v>198.9</v>
      </c>
      <c r="I66" s="86" t="s">
        <v>3808</v>
      </c>
      <c r="J66" s="86" t="str">
        <f t="shared" ref="J66:J68" si="21">I66</f>
        <v>80 S  90 W</v>
      </c>
      <c r="K66" s="86" t="s">
        <v>3772</v>
      </c>
      <c r="L66" s="86" t="s">
        <v>3772</v>
      </c>
      <c r="M66" s="63">
        <v>176</v>
      </c>
      <c r="N66" s="63">
        <v>157</v>
      </c>
      <c r="O66" s="63"/>
      <c r="P66" s="63">
        <v>180</v>
      </c>
      <c r="Q66" s="63">
        <v>160</v>
      </c>
      <c r="R66" s="66" t="s">
        <v>3701</v>
      </c>
    </row>
    <row r="67" spans="1:18" s="66" customFormat="1" ht="18.75" customHeight="1">
      <c r="A67" s="84" t="s">
        <v>3811</v>
      </c>
      <c r="B67" s="68" t="s">
        <v>3775</v>
      </c>
      <c r="C67" s="116">
        <v>38139</v>
      </c>
      <c r="D67" s="69">
        <f t="shared" si="19"/>
        <v>41620</v>
      </c>
      <c r="E67" s="61">
        <f t="shared" si="20"/>
        <v>9.536986301369863</v>
      </c>
      <c r="F67" s="209">
        <v>0.63</v>
      </c>
      <c r="G67" s="220">
        <v>0.37</v>
      </c>
      <c r="H67" s="63">
        <v>198.9</v>
      </c>
      <c r="I67" s="86" t="s">
        <v>3808</v>
      </c>
      <c r="J67" s="86" t="str">
        <f t="shared" si="21"/>
        <v>80 S  90 W</v>
      </c>
      <c r="K67" s="86" t="s">
        <v>3772</v>
      </c>
      <c r="L67" s="86" t="s">
        <v>3772</v>
      </c>
      <c r="M67" s="63">
        <v>176</v>
      </c>
      <c r="N67" s="63">
        <v>157</v>
      </c>
      <c r="O67" s="63"/>
      <c r="P67" s="63">
        <v>180</v>
      </c>
      <c r="Q67" s="63">
        <v>160</v>
      </c>
      <c r="R67" s="66" t="s">
        <v>3702</v>
      </c>
    </row>
    <row r="68" spans="1:18" s="66" customFormat="1" ht="18.75" customHeight="1">
      <c r="A68" s="84" t="s">
        <v>3812</v>
      </c>
      <c r="B68" s="68" t="s">
        <v>3775</v>
      </c>
      <c r="C68" s="116">
        <v>38169</v>
      </c>
      <c r="D68" s="69">
        <f t="shared" si="19"/>
        <v>41620</v>
      </c>
      <c r="E68" s="61">
        <f t="shared" si="20"/>
        <v>9.4547945205479458</v>
      </c>
      <c r="F68" s="209">
        <v>0.63</v>
      </c>
      <c r="G68" s="220">
        <v>0.37</v>
      </c>
      <c r="H68" s="63">
        <v>198.9</v>
      </c>
      <c r="I68" s="86" t="s">
        <v>3808</v>
      </c>
      <c r="J68" s="86" t="str">
        <f t="shared" si="21"/>
        <v>80 S  90 W</v>
      </c>
      <c r="K68" s="86" t="s">
        <v>3772</v>
      </c>
      <c r="L68" s="86" t="s">
        <v>3772</v>
      </c>
      <c r="M68" s="63">
        <v>176</v>
      </c>
      <c r="N68" s="63">
        <v>157</v>
      </c>
      <c r="O68" s="63"/>
      <c r="P68" s="63">
        <v>180</v>
      </c>
      <c r="Q68" s="63">
        <v>160</v>
      </c>
      <c r="R68" s="66" t="s">
        <v>3703</v>
      </c>
    </row>
    <row r="69" spans="1:18" s="66" customFormat="1" ht="18.75" customHeight="1">
      <c r="A69" s="84" t="s">
        <v>3813</v>
      </c>
      <c r="B69" s="68" t="s">
        <v>3775</v>
      </c>
      <c r="C69" s="116">
        <v>38169</v>
      </c>
      <c r="D69" s="73">
        <f t="shared" si="19"/>
        <v>41620</v>
      </c>
      <c r="E69" s="61">
        <f t="shared" si="20"/>
        <v>9.4547945205479458</v>
      </c>
      <c r="F69" s="209">
        <v>0.63</v>
      </c>
      <c r="G69" s="221">
        <v>0.37</v>
      </c>
      <c r="H69" s="63">
        <v>198.9</v>
      </c>
      <c r="I69" s="86" t="s">
        <v>3808</v>
      </c>
      <c r="J69" s="86" t="str">
        <f>I69</f>
        <v>80 S  90 W</v>
      </c>
      <c r="K69" s="86" t="s">
        <v>3772</v>
      </c>
      <c r="L69" s="86" t="s">
        <v>3772</v>
      </c>
      <c r="M69" s="63">
        <v>176</v>
      </c>
      <c r="N69" s="63">
        <v>157</v>
      </c>
      <c r="O69" s="63"/>
      <c r="P69" s="63">
        <v>180</v>
      </c>
      <c r="Q69" s="63">
        <v>160</v>
      </c>
      <c r="R69" s="66" t="s">
        <v>3704</v>
      </c>
    </row>
    <row r="70" spans="1:18" s="81" customFormat="1" ht="18.75" customHeight="1">
      <c r="A70" s="94" t="s">
        <v>3814</v>
      </c>
      <c r="B70" s="95"/>
      <c r="C70" s="96"/>
      <c r="D70" s="77"/>
      <c r="E70" s="78"/>
      <c r="F70" s="212">
        <v>0</v>
      </c>
      <c r="G70" s="222">
        <v>0</v>
      </c>
      <c r="H70" s="80">
        <f>SUM(H64:H69)</f>
        <v>1193.4000000000001</v>
      </c>
      <c r="I70" s="117" t="str">
        <f>80*6&amp;"S "&amp;90*6&amp;"W"</f>
        <v>480S 540W</v>
      </c>
      <c r="J70" s="117" t="str">
        <f>I70</f>
        <v>480S 540W</v>
      </c>
      <c r="K70" s="117" t="s">
        <v>3772</v>
      </c>
      <c r="L70" s="117" t="s">
        <v>3772</v>
      </c>
      <c r="M70" s="80">
        <f>SUM(M64:M69)</f>
        <v>1056</v>
      </c>
      <c r="N70" s="80">
        <f>SUM(N64:N69)</f>
        <v>942</v>
      </c>
      <c r="O70" s="80"/>
      <c r="P70" s="80">
        <f>SUM(P64:P69)</f>
        <v>1080</v>
      </c>
      <c r="Q70" s="80">
        <f>SUM(Q64:Q69)</f>
        <v>960</v>
      </c>
    </row>
    <row r="71" spans="1:18" s="66" customFormat="1" ht="18.75" customHeight="1">
      <c r="A71" s="88" t="s">
        <v>3815</v>
      </c>
      <c r="B71" s="68" t="s">
        <v>2750</v>
      </c>
      <c r="C71" s="59">
        <v>24957</v>
      </c>
      <c r="D71" s="60">
        <f>A$3</f>
        <v>41620</v>
      </c>
      <c r="E71" s="61">
        <f>(D71-C71)/365</f>
        <v>45.652054794520545</v>
      </c>
      <c r="F71" s="209">
        <v>0</v>
      </c>
      <c r="G71" s="209">
        <v>1</v>
      </c>
      <c r="H71" s="70">
        <v>16.32</v>
      </c>
      <c r="I71" s="64">
        <v>2</v>
      </c>
      <c r="J71" s="64">
        <v>2</v>
      </c>
      <c r="K71" s="64" t="s">
        <v>3772</v>
      </c>
      <c r="L71" s="64" t="s">
        <v>3772</v>
      </c>
      <c r="M71" s="63">
        <v>14</v>
      </c>
      <c r="N71" s="63">
        <v>14</v>
      </c>
      <c r="O71" s="63"/>
      <c r="P71" s="63">
        <v>14</v>
      </c>
      <c r="Q71" s="63">
        <v>14</v>
      </c>
      <c r="R71" s="66" t="s">
        <v>3815</v>
      </c>
    </row>
    <row r="72" spans="1:18" s="81" customFormat="1" ht="18.75" customHeight="1">
      <c r="A72" s="88" t="s">
        <v>3816</v>
      </c>
      <c r="B72" s="68" t="s">
        <v>2750</v>
      </c>
      <c r="C72" s="59">
        <v>24999</v>
      </c>
      <c r="D72" s="69">
        <f>A$3</f>
        <v>41620</v>
      </c>
      <c r="E72" s="61">
        <f>(D72-C72)/365</f>
        <v>45.536986301369865</v>
      </c>
      <c r="F72" s="209">
        <v>0</v>
      </c>
      <c r="G72" s="209">
        <v>1</v>
      </c>
      <c r="H72" s="70">
        <v>16</v>
      </c>
      <c r="I72" s="64">
        <v>2</v>
      </c>
      <c r="J72" s="64">
        <v>2</v>
      </c>
      <c r="K72" s="64" t="s">
        <v>3772</v>
      </c>
      <c r="L72" s="64" t="s">
        <v>3772</v>
      </c>
      <c r="M72" s="63">
        <v>13</v>
      </c>
      <c r="N72" s="63">
        <v>12</v>
      </c>
      <c r="O72" s="63"/>
      <c r="P72" s="63">
        <v>13</v>
      </c>
      <c r="Q72" s="63">
        <v>12</v>
      </c>
      <c r="R72" s="81" t="s">
        <v>3816</v>
      </c>
    </row>
    <row r="73" spans="1:18" s="66" customFormat="1" ht="18.75" customHeight="1">
      <c r="A73" s="88" t="s">
        <v>3817</v>
      </c>
      <c r="B73" s="68" t="s">
        <v>2750</v>
      </c>
      <c r="C73" s="59">
        <v>25035</v>
      </c>
      <c r="D73" s="69">
        <f>A$3</f>
        <v>41620</v>
      </c>
      <c r="E73" s="61">
        <f>(D73-C73)/365</f>
        <v>45.438356164383563</v>
      </c>
      <c r="F73" s="209">
        <v>0</v>
      </c>
      <c r="G73" s="209">
        <v>1</v>
      </c>
      <c r="H73" s="70">
        <v>32.64</v>
      </c>
      <c r="I73" s="64">
        <v>2</v>
      </c>
      <c r="J73" s="64">
        <v>2</v>
      </c>
      <c r="K73" s="64" t="s">
        <v>3772</v>
      </c>
      <c r="L73" s="64" t="s">
        <v>3772</v>
      </c>
      <c r="M73" s="63">
        <v>28</v>
      </c>
      <c r="N73" s="63">
        <v>23</v>
      </c>
      <c r="O73" s="63"/>
      <c r="P73" s="63">
        <v>28</v>
      </c>
      <c r="Q73" s="63">
        <v>23</v>
      </c>
      <c r="R73" s="81" t="s">
        <v>3817</v>
      </c>
    </row>
    <row r="74" spans="1:18" s="66" customFormat="1" ht="18.75" customHeight="1">
      <c r="A74" s="88" t="s">
        <v>3818</v>
      </c>
      <c r="B74" s="68" t="s">
        <v>2750</v>
      </c>
      <c r="C74" s="59">
        <v>25346</v>
      </c>
      <c r="D74" s="73">
        <f>A$3</f>
        <v>41620</v>
      </c>
      <c r="E74" s="61">
        <f>(D74-C74)/365</f>
        <v>44.586301369863016</v>
      </c>
      <c r="F74" s="209">
        <v>0</v>
      </c>
      <c r="G74" s="209">
        <v>1</v>
      </c>
      <c r="H74" s="70">
        <v>18</v>
      </c>
      <c r="I74" s="64">
        <v>2</v>
      </c>
      <c r="J74" s="64">
        <v>2</v>
      </c>
      <c r="K74" s="64" t="s">
        <v>3772</v>
      </c>
      <c r="L74" s="64" t="s">
        <v>3772</v>
      </c>
      <c r="M74" s="63">
        <v>16</v>
      </c>
      <c r="N74" s="63">
        <v>14</v>
      </c>
      <c r="O74" s="63"/>
      <c r="P74" s="63">
        <v>16</v>
      </c>
      <c r="Q74" s="63">
        <v>14</v>
      </c>
      <c r="R74" s="66" t="s">
        <v>3871</v>
      </c>
    </row>
    <row r="75" spans="1:18" s="66" customFormat="1" ht="18.75" customHeight="1">
      <c r="A75" s="94" t="s">
        <v>3819</v>
      </c>
      <c r="B75" s="118"/>
      <c r="C75" s="119"/>
      <c r="D75" s="119"/>
      <c r="E75" s="119"/>
      <c r="F75" s="216">
        <v>0</v>
      </c>
      <c r="G75" s="216">
        <v>0</v>
      </c>
      <c r="H75" s="121">
        <f>SUM(H71:H74)</f>
        <v>82.960000000000008</v>
      </c>
      <c r="I75" s="121">
        <f>SUM(I71:I74)</f>
        <v>8</v>
      </c>
      <c r="J75" s="121">
        <f t="shared" ref="J75" si="22">SUM(J71:J74)</f>
        <v>8</v>
      </c>
      <c r="K75" s="122" t="s">
        <v>3772</v>
      </c>
      <c r="L75" s="122" t="s">
        <v>3772</v>
      </c>
      <c r="M75" s="123">
        <f>SUM(M71:M74)</f>
        <v>71</v>
      </c>
      <c r="N75" s="123">
        <f>SUM(N71:N74)</f>
        <v>63</v>
      </c>
      <c r="O75" s="123"/>
      <c r="P75" s="123">
        <f>SUM(P71:P74)</f>
        <v>71</v>
      </c>
      <c r="Q75" s="123">
        <f>SUM(Q71:Q74)</f>
        <v>63</v>
      </c>
    </row>
    <row r="76" spans="1:18" s="66" customFormat="1" ht="18.75" customHeight="1">
      <c r="A76" s="124" t="s">
        <v>3820</v>
      </c>
      <c r="B76" s="124" t="s">
        <v>3775</v>
      </c>
      <c r="C76" s="60">
        <v>20135</v>
      </c>
      <c r="D76" s="60">
        <f>$A$3</f>
        <v>41620</v>
      </c>
      <c r="E76" s="110">
        <f>(D76-C76)/365</f>
        <v>58.863013698630134</v>
      </c>
      <c r="F76" s="217">
        <f>2.5/(2.5+5.63)</f>
        <v>0.30750307503075036</v>
      </c>
      <c r="G76" s="217">
        <f>5.63/(2.5+5.63)</f>
        <v>0.69249692496924975</v>
      </c>
      <c r="H76" s="62">
        <f>217.26*5*(0.025+0.0563)</f>
        <v>88.316190000000006</v>
      </c>
      <c r="I76" s="125">
        <f>53*5*(0.025+0.0563)</f>
        <v>21.544500000000003</v>
      </c>
      <c r="J76" s="125">
        <f>60*5*(0.025+0.0563)</f>
        <v>24.390000000000004</v>
      </c>
      <c r="K76" s="126">
        <f>80*5*(0.025+0.0563)</f>
        <v>32.520000000000003</v>
      </c>
      <c r="L76" s="126">
        <f>89*5*(0.025+0.0563)</f>
        <v>36.178500000000007</v>
      </c>
      <c r="M76" s="92">
        <f>199*5*(0.025+0.0563)</f>
        <v>80.893500000000017</v>
      </c>
      <c r="N76" s="125">
        <f>192*(0.025+0.0563)+191*4*(0.025+0.0563)</f>
        <v>77.722800000000007</v>
      </c>
      <c r="O76" s="127"/>
      <c r="P76" s="125">
        <f>221*5*(0.025+0.0563)</f>
        <v>89.836500000000015</v>
      </c>
      <c r="Q76" s="125">
        <f>214*(0.025+0.0563)+213*4*(0.025+0.0563)</f>
        <v>86.665800000000019</v>
      </c>
    </row>
    <row r="77" spans="1:18" s="66" customFormat="1" ht="18.75" customHeight="1">
      <c r="A77" s="128" t="s">
        <v>3821</v>
      </c>
      <c r="B77" s="128" t="s">
        <v>3775</v>
      </c>
      <c r="C77" s="73">
        <v>20135</v>
      </c>
      <c r="D77" s="73">
        <f t="shared" ref="D77" si="23">$A$3</f>
        <v>41620</v>
      </c>
      <c r="E77" s="112">
        <f t="shared" ref="E77" si="24">(D77-C77)/365</f>
        <v>58.863013698630134</v>
      </c>
      <c r="F77" s="218">
        <f>2.5/(2.5+5.63)</f>
        <v>0.30750307503075036</v>
      </c>
      <c r="G77" s="218">
        <f>5.63/(2.5+5.63)</f>
        <v>0.69249692496924975</v>
      </c>
      <c r="H77" s="74">
        <f>217.26*6*(0.025+0.0563)</f>
        <v>105.97942800000001</v>
      </c>
      <c r="I77" s="129">
        <f>58*6*(0.025+0.0563)</f>
        <v>28.292400000000004</v>
      </c>
      <c r="J77" s="129">
        <f>65*6*(0.025+0.0563)</f>
        <v>31.707000000000004</v>
      </c>
      <c r="K77" s="130">
        <f>80*6*(0.025+0.0563)</f>
        <v>39.024000000000008</v>
      </c>
      <c r="L77" s="130">
        <f>88*6*(0.025+0.0563)</f>
        <v>42.926400000000008</v>
      </c>
      <c r="M77" s="93">
        <f>200*6*(0.025+0.0563)</f>
        <v>97.560000000000016</v>
      </c>
      <c r="N77" s="129">
        <f>194*6*(0.025+0.0563)</f>
        <v>94.633200000000016</v>
      </c>
      <c r="O77" s="131"/>
      <c r="P77" s="129">
        <f>221*6*(0.025+0.0563)</f>
        <v>107.80380000000001</v>
      </c>
      <c r="Q77" s="129">
        <f>215*6*(0.025+0.0563)</f>
        <v>104.87700000000001</v>
      </c>
    </row>
    <row r="78" spans="1:18" s="66" customFormat="1" ht="18.75" customHeight="1" thickBot="1">
      <c r="A78" s="95" t="s">
        <v>3822</v>
      </c>
      <c r="B78" s="132"/>
      <c r="C78" s="133"/>
      <c r="D78" s="134"/>
      <c r="E78" s="134"/>
      <c r="F78" s="219"/>
      <c r="G78" s="133"/>
      <c r="H78" s="135">
        <f>SUM(H76:H77)</f>
        <v>194.29561800000002</v>
      </c>
      <c r="I78" s="135">
        <f t="shared" ref="I78:L78" si="25">SUM(I76:I77)</f>
        <v>49.836900000000007</v>
      </c>
      <c r="J78" s="135">
        <f t="shared" si="25"/>
        <v>56.097000000000008</v>
      </c>
      <c r="K78" s="135">
        <f t="shared" si="25"/>
        <v>71.544000000000011</v>
      </c>
      <c r="L78" s="135">
        <f t="shared" si="25"/>
        <v>79.104900000000015</v>
      </c>
      <c r="M78" s="136">
        <f>SUM(M76:M77)</f>
        <v>178.45350000000002</v>
      </c>
      <c r="N78" s="137">
        <f>SUM(N76:N77)</f>
        <v>172.35600000000002</v>
      </c>
      <c r="O78" s="138"/>
      <c r="P78" s="137">
        <f>SUM(P76:P77)</f>
        <v>197.64030000000002</v>
      </c>
      <c r="Q78" s="137">
        <f>SUM(Q76:Q77)</f>
        <v>191.54280000000003</v>
      </c>
    </row>
    <row r="79" spans="1:18" s="66" customFormat="1" ht="18.75" customHeight="1" thickTop="1">
      <c r="A79" s="139"/>
      <c r="B79" s="139"/>
      <c r="C79" s="139"/>
      <c r="D79" s="139"/>
      <c r="E79" s="139"/>
      <c r="F79" s="139"/>
      <c r="G79" s="139"/>
      <c r="H79" s="140"/>
      <c r="I79" s="140"/>
      <c r="J79" s="140"/>
      <c r="K79" s="140"/>
      <c r="L79" s="140"/>
      <c r="M79" s="140"/>
      <c r="N79" s="140"/>
      <c r="O79" s="140"/>
      <c r="P79" s="140"/>
      <c r="Q79" s="140"/>
    </row>
    <row r="80" spans="1:18" s="81" customFormat="1" ht="18.75" customHeight="1" thickBot="1">
      <c r="A80" s="141" t="s">
        <v>3823</v>
      </c>
      <c r="B80" s="139"/>
      <c r="C80" s="139"/>
      <c r="D80" s="139"/>
      <c r="E80" s="139"/>
      <c r="F80" s="139"/>
      <c r="G80" s="139"/>
      <c r="H80" s="140"/>
      <c r="I80" s="140"/>
      <c r="J80" s="140"/>
      <c r="K80" s="140"/>
      <c r="L80" s="140"/>
      <c r="M80" s="140"/>
      <c r="N80" s="140"/>
      <c r="O80" s="140"/>
      <c r="P80" s="140"/>
      <c r="Q80" s="140"/>
    </row>
    <row r="81" spans="1:18" ht="18.75" customHeight="1" thickTop="1">
      <c r="A81" s="120" t="s">
        <v>3824</v>
      </c>
      <c r="B81" s="119"/>
      <c r="C81" s="119"/>
      <c r="D81" s="119"/>
      <c r="E81" s="119"/>
      <c r="F81" s="119"/>
      <c r="G81" s="119"/>
      <c r="H81" s="142">
        <f>H11+H34+H37+H62*F62</f>
        <v>3680.9360500000003</v>
      </c>
      <c r="I81" s="142"/>
      <c r="J81" s="142"/>
      <c r="K81" s="142"/>
      <c r="L81" s="142"/>
      <c r="M81" s="143">
        <f>M11+M34+M37+M62*F62</f>
        <v>3250.7</v>
      </c>
      <c r="N81" s="143">
        <f>N11+N34+N37+N62*F62</f>
        <v>3219.69</v>
      </c>
      <c r="O81" s="143"/>
      <c r="P81" s="143">
        <f>P11+P34+P37+P62*F62</f>
        <v>3509.4675000000002</v>
      </c>
      <c r="Q81" s="143">
        <f>Q11+Q34+Q37+Q62*F62</f>
        <v>3484.4575</v>
      </c>
    </row>
    <row r="82" spans="1:18" ht="18.75" customHeight="1">
      <c r="A82" s="144" t="s">
        <v>3825</v>
      </c>
      <c r="B82" s="139"/>
      <c r="C82" s="139"/>
      <c r="D82" s="139"/>
      <c r="E82" s="139"/>
      <c r="F82" s="139"/>
      <c r="G82" s="139"/>
      <c r="H82" s="145">
        <f>($F$12*H12)+SUM(H16:H19)+H41+($F$13*H13)+($F$14*H14)+($F$15*H15)+($F$56*H56)+SUMPRODUCT($F$64:$F$69,H64:H69)</f>
        <v>1690.2510000000002</v>
      </c>
      <c r="I82" s="145"/>
      <c r="J82" s="145"/>
      <c r="K82" s="145"/>
      <c r="L82" s="145"/>
      <c r="M82" s="145">
        <f>($F$12*M12)+SUM(M16:M19)+M41+($F$13*M13)+($F$14*M14)+($F$15*M15)+($F$56*M56)+SUMPRODUCT($F$64:$F$69,M64:M69)</f>
        <v>1608.1633333333332</v>
      </c>
      <c r="N82" s="145">
        <f>($F$12*N12)+SUM(N16:N19)+N41+($F$13*N13)+($F$14*N14)+($F$15*N15)+($F$56*N56)+SUMPRODUCT($F$64:$F$69,N64:N69)</f>
        <v>1441.55</v>
      </c>
      <c r="O82" s="145"/>
      <c r="P82" s="145">
        <f>($F$12*P12)+SUM(P16:P19)+P41+($F$13*P13)+($F$14*P14)+($F$15*P15)+($F$56*P56)+SUMPRODUCT($F$64:$F$69,P64:P69)</f>
        <v>1630.103333333333</v>
      </c>
      <c r="Q82" s="145">
        <f>($F$12*Q12)+SUM(Q16:Q19)+Q41+($F$13*Q13)+($F$14*Q14)+($F$15*Q15)+($F$56*Q56)+SUMPRODUCT($F$64:$F$69,Q64:Q69)</f>
        <v>1459.5500000000002</v>
      </c>
    </row>
    <row r="83" spans="1:18" ht="18.75" customHeight="1">
      <c r="A83" s="144" t="s">
        <v>3826</v>
      </c>
      <c r="B83" s="139"/>
      <c r="C83" s="139"/>
      <c r="D83" s="139"/>
      <c r="E83" s="139"/>
      <c r="F83" s="139"/>
      <c r="G83" s="139"/>
      <c r="H83" s="145">
        <f>H29</f>
        <v>28.257000000000001</v>
      </c>
      <c r="I83" s="145"/>
      <c r="J83" s="145"/>
      <c r="K83" s="145"/>
      <c r="L83" s="145"/>
      <c r="M83" s="145">
        <f>M29</f>
        <v>24</v>
      </c>
      <c r="N83" s="145">
        <f>N29</f>
        <v>24</v>
      </c>
      <c r="O83" s="145"/>
      <c r="P83" s="145">
        <f>P29</f>
        <v>24</v>
      </c>
      <c r="Q83" s="145">
        <f>Q29</f>
        <v>24</v>
      </c>
      <c r="R83" s="146"/>
    </row>
    <row r="84" spans="1:18" ht="18.75" customHeight="1">
      <c r="A84" s="144" t="s">
        <v>3827</v>
      </c>
      <c r="B84" s="139"/>
      <c r="C84" s="139"/>
      <c r="D84" s="139"/>
      <c r="E84" s="139"/>
      <c r="F84" s="139"/>
      <c r="G84" s="139"/>
      <c r="H84" s="145">
        <f>H76*F76+H77*F77</f>
        <v>59.746500000000019</v>
      </c>
      <c r="I84" s="145"/>
      <c r="J84" s="145"/>
      <c r="K84" s="145"/>
      <c r="L84" s="145"/>
      <c r="M84" s="145">
        <f>M76*F76+M77*F77</f>
        <v>54.875000000000021</v>
      </c>
      <c r="N84" s="145">
        <f>N76*F76+N77*F77</f>
        <v>53.000000000000014</v>
      </c>
      <c r="O84" s="145"/>
      <c r="P84" s="145">
        <f>P76*F76+P77*F77</f>
        <v>60.77500000000002</v>
      </c>
      <c r="Q84" s="145">
        <f>Q76*F76+Q77*F77</f>
        <v>58.90000000000002</v>
      </c>
      <c r="R84" s="146"/>
    </row>
    <row r="85" spans="1:18" ht="18.75" customHeight="1" thickBot="1">
      <c r="A85" s="133" t="s">
        <v>3828</v>
      </c>
      <c r="B85" s="147"/>
      <c r="C85" s="147"/>
      <c r="D85" s="147"/>
      <c r="E85" s="147"/>
      <c r="F85" s="147"/>
      <c r="G85" s="147"/>
      <c r="H85" s="148">
        <f>SUM(H81:H84)</f>
        <v>5459.1905500000003</v>
      </c>
      <c r="I85" s="148"/>
      <c r="J85" s="148"/>
      <c r="K85" s="148"/>
      <c r="L85" s="148"/>
      <c r="M85" s="149">
        <f>SUM(M81:M84)</f>
        <v>4937.7383333333328</v>
      </c>
      <c r="N85" s="149">
        <f>SUM(N81:N84)</f>
        <v>4738.24</v>
      </c>
      <c r="O85" s="149"/>
      <c r="P85" s="149">
        <f>SUM(P81:P84)</f>
        <v>5224.3458333333328</v>
      </c>
      <c r="Q85" s="149">
        <f>SUM(Q81:Q84)</f>
        <v>5026.9074999999993</v>
      </c>
    </row>
    <row r="86" spans="1:18" ht="18.75" customHeight="1" thickTop="1" thickBot="1">
      <c r="A86" s="139" t="s">
        <v>3829</v>
      </c>
      <c r="B86" s="150"/>
      <c r="C86" s="150"/>
      <c r="D86" s="150"/>
      <c r="E86" s="150"/>
      <c r="F86" s="150"/>
      <c r="G86" s="150"/>
      <c r="H86" s="140"/>
      <c r="I86" s="140"/>
      <c r="J86" s="140"/>
      <c r="K86" s="140"/>
      <c r="L86" s="140"/>
      <c r="M86" s="151">
        <f>SUM(M81:M83)</f>
        <v>4882.8633333333328</v>
      </c>
      <c r="N86" s="151">
        <f>SUM(N81:N83)</f>
        <v>4685.24</v>
      </c>
      <c r="O86" s="152"/>
      <c r="P86" s="151">
        <f>SUM(P81:P83)</f>
        <v>5163.5708333333332</v>
      </c>
      <c r="Q86" s="151">
        <f>SUM(Q81:Q83)</f>
        <v>4968.0074999999997</v>
      </c>
    </row>
    <row r="87" spans="1:18" ht="18.75" customHeight="1" thickTop="1">
      <c r="A87" s="150"/>
      <c r="B87" s="150"/>
      <c r="C87" s="150"/>
      <c r="D87" s="150"/>
      <c r="E87" s="150"/>
      <c r="F87" s="150"/>
      <c r="G87" s="150"/>
      <c r="H87" s="140"/>
      <c r="I87" s="140"/>
      <c r="J87" s="140"/>
      <c r="K87" s="140"/>
      <c r="L87" s="140"/>
      <c r="M87" s="140"/>
      <c r="N87" s="140"/>
      <c r="O87" s="140"/>
      <c r="P87" s="140"/>
      <c r="Q87" s="140"/>
    </row>
    <row r="88" spans="1:18" ht="18.75" customHeight="1" thickBot="1">
      <c r="A88" s="141" t="s">
        <v>3830</v>
      </c>
      <c r="B88" s="150"/>
      <c r="C88" s="150"/>
      <c r="D88" s="150"/>
      <c r="E88" s="150"/>
      <c r="F88" s="150"/>
      <c r="G88" s="150"/>
      <c r="H88" s="140"/>
      <c r="I88" s="140"/>
      <c r="J88" s="140"/>
      <c r="K88" s="140"/>
      <c r="L88" s="140"/>
      <c r="M88" s="140"/>
      <c r="N88" s="140"/>
      <c r="O88" s="140"/>
      <c r="P88" s="140"/>
      <c r="Q88" s="140"/>
    </row>
    <row r="89" spans="1:18" ht="18.75" customHeight="1" thickTop="1">
      <c r="A89" s="120" t="s">
        <v>3824</v>
      </c>
      <c r="B89" s="119"/>
      <c r="C89" s="119"/>
      <c r="D89" s="119"/>
      <c r="E89" s="119"/>
      <c r="F89" s="119"/>
      <c r="G89" s="119"/>
      <c r="H89" s="142">
        <f>H25+H46+H62*G62+H61</f>
        <v>3178.13</v>
      </c>
      <c r="I89" s="142"/>
      <c r="J89" s="142"/>
      <c r="K89" s="142"/>
      <c r="L89" s="142"/>
      <c r="M89" s="143">
        <f>M25+M46+M61+M62*G62</f>
        <v>2776.55</v>
      </c>
      <c r="N89" s="143">
        <f>N25+N46+N61+N62*G62</f>
        <v>2762.56</v>
      </c>
      <c r="O89" s="143"/>
      <c r="P89" s="143">
        <f>P25+P46+P61+P62*G62</f>
        <v>3004.5324999999998</v>
      </c>
      <c r="Q89" s="143">
        <f>Q25+Q46+Q61+Q62*G62</f>
        <v>2991.5425</v>
      </c>
    </row>
    <row r="90" spans="1:18" ht="18.75" customHeight="1">
      <c r="A90" s="144" t="s">
        <v>3825</v>
      </c>
      <c r="B90" s="139"/>
      <c r="C90" s="139"/>
      <c r="D90" s="139"/>
      <c r="E90" s="139"/>
      <c r="F90" s="139"/>
      <c r="G90" s="139"/>
      <c r="H90" s="145">
        <f>+H75+($G$13*H13)+($G$14*H14)+($G$15*H15)+($G$56*H56)+($G$12*H12)+SUMPRODUCT($G$64:$G$69,H64:H69)</f>
        <v>787.00900000000001</v>
      </c>
      <c r="I90" s="145"/>
      <c r="J90" s="145"/>
      <c r="K90" s="145"/>
      <c r="L90" s="145"/>
      <c r="M90" s="145">
        <f>+M75+($G$13*M13)+($G$14*M14)+($G$15*M15)+($G$56*M56)+($G$12*M12)+SUMPRODUCT($G$64:$G$69,M64:M69)</f>
        <v>725.17000000000007</v>
      </c>
      <c r="N90" s="145">
        <f>+N75+($G$13*N13)+($G$14*N14)+($G$15*N15)+($G$56*N56)+($G$12*N12)+SUMPRODUCT($G$64:$G$69,N64:N69)</f>
        <v>644.45000000000005</v>
      </c>
      <c r="O90" s="145"/>
      <c r="P90" s="145">
        <f>+P75+($G$13*P13)+($G$14*P14)+($G$15*P15)+($G$56*P56)+($G$12*P12)+SUMPRODUCT($G$64:$G$69,P64:P69)</f>
        <v>735.23</v>
      </c>
      <c r="Q90" s="145">
        <f>+Q75+($G$13*Q13)+($G$14*Q14)+($G$15*Q15)+($G$56*Q56)+($G$12*Q12)+SUMPRODUCT($G$64:$G$69,Q64:Q69)</f>
        <v>652.45000000000005</v>
      </c>
    </row>
    <row r="91" spans="1:18" ht="18.75" customHeight="1">
      <c r="A91" s="144" t="s">
        <v>3826</v>
      </c>
      <c r="B91" s="139"/>
      <c r="C91" s="139"/>
      <c r="D91" s="139"/>
      <c r="E91" s="139"/>
      <c r="F91" s="139"/>
      <c r="G91" s="139"/>
      <c r="H91" s="145">
        <f>+H55</f>
        <v>87.98</v>
      </c>
      <c r="I91" s="145"/>
      <c r="J91" s="145"/>
      <c r="K91" s="145"/>
      <c r="L91" s="145"/>
      <c r="M91" s="145">
        <f>+M55</f>
        <v>35</v>
      </c>
      <c r="N91" s="145">
        <f>+N55</f>
        <v>54</v>
      </c>
      <c r="O91" s="145"/>
      <c r="P91" s="145">
        <f>+P55</f>
        <v>35</v>
      </c>
      <c r="Q91" s="145">
        <f>+Q55</f>
        <v>54</v>
      </c>
    </row>
    <row r="92" spans="1:18" ht="18.75" customHeight="1">
      <c r="A92" s="144" t="s">
        <v>3827</v>
      </c>
      <c r="B92" s="139"/>
      <c r="C92" s="139"/>
      <c r="D92" s="139"/>
      <c r="E92" s="139"/>
      <c r="F92" s="139"/>
      <c r="G92" s="139"/>
      <c r="H92" s="145">
        <f>H76*G76+H77*G77</f>
        <v>134.54911800000002</v>
      </c>
      <c r="I92" s="145"/>
      <c r="J92" s="145"/>
      <c r="K92" s="145"/>
      <c r="L92" s="145"/>
      <c r="M92" s="145">
        <f>M76*G76+M77*G77</f>
        <v>123.57850000000003</v>
      </c>
      <c r="N92" s="145">
        <f>N76*G76+N77*G77</f>
        <v>119.35600000000002</v>
      </c>
      <c r="O92" s="145"/>
      <c r="P92" s="145">
        <f>P76*G76+P77*G77</f>
        <v>136.86530000000005</v>
      </c>
      <c r="Q92" s="145">
        <f>Q76*G76+Q77*G77</f>
        <v>132.64280000000002</v>
      </c>
    </row>
    <row r="93" spans="1:18" ht="18.75" customHeight="1" thickBot="1">
      <c r="A93" s="133" t="s">
        <v>3831</v>
      </c>
      <c r="B93" s="147"/>
      <c r="C93" s="147"/>
      <c r="D93" s="147"/>
      <c r="E93" s="147"/>
      <c r="F93" s="147"/>
      <c r="G93" s="147"/>
      <c r="H93" s="148">
        <f>SUM(H89:H92)</f>
        <v>4187.6681180000005</v>
      </c>
      <c r="I93" s="148"/>
      <c r="J93" s="148"/>
      <c r="K93" s="148"/>
      <c r="L93" s="148"/>
      <c r="M93" s="149">
        <f>SUM(M89:M92)</f>
        <v>3660.2985000000003</v>
      </c>
      <c r="N93" s="149">
        <f>SUM(N89:N92)</f>
        <v>3580.3660000000004</v>
      </c>
      <c r="O93" s="149"/>
      <c r="P93" s="149">
        <f>SUM(P89:P92)</f>
        <v>3911.6277999999998</v>
      </c>
      <c r="Q93" s="149">
        <f>SUM(Q89:Q92)</f>
        <v>3830.6353000000004</v>
      </c>
    </row>
    <row r="94" spans="1:18" ht="18.75" customHeight="1" thickTop="1" thickBot="1">
      <c r="A94" s="139" t="s">
        <v>3832</v>
      </c>
      <c r="B94" s="150"/>
      <c r="C94" s="150"/>
      <c r="D94" s="150"/>
      <c r="E94" s="150"/>
      <c r="F94" s="150"/>
      <c r="G94" s="150"/>
      <c r="H94" s="140"/>
      <c r="I94" s="140"/>
      <c r="J94" s="140"/>
      <c r="K94" s="140"/>
      <c r="L94" s="140"/>
      <c r="M94" s="151">
        <f>SUM(M89:M91)</f>
        <v>3536.7200000000003</v>
      </c>
      <c r="N94" s="151">
        <f>SUM(N89:N91)</f>
        <v>3461.01</v>
      </c>
      <c r="O94" s="152"/>
      <c r="P94" s="151">
        <f>SUM(P89:P91)</f>
        <v>3774.7624999999998</v>
      </c>
      <c r="Q94" s="151">
        <f>SUM(Q89:Q91)</f>
        <v>3697.9925000000003</v>
      </c>
    </row>
    <row r="95" spans="1:18" ht="18.75" customHeight="1" thickTop="1">
      <c r="A95" s="150"/>
      <c r="B95" s="150"/>
      <c r="C95" s="150"/>
      <c r="D95" s="150"/>
      <c r="E95" s="150"/>
      <c r="F95" s="150"/>
      <c r="G95" s="150"/>
      <c r="H95" s="140"/>
      <c r="I95" s="140"/>
      <c r="J95" s="140"/>
      <c r="K95" s="140"/>
      <c r="L95" s="140"/>
      <c r="M95" s="140"/>
      <c r="N95" s="140"/>
      <c r="O95" s="140"/>
      <c r="P95" s="140"/>
      <c r="Q95" s="140"/>
    </row>
    <row r="96" spans="1:18" ht="18.75" customHeight="1" thickBot="1">
      <c r="A96" s="141" t="s">
        <v>3833</v>
      </c>
      <c r="B96" s="150"/>
      <c r="C96" s="150"/>
      <c r="D96" s="150"/>
      <c r="E96" s="150"/>
      <c r="F96" s="150"/>
      <c r="G96" s="150"/>
      <c r="H96" s="140"/>
      <c r="I96" s="140"/>
      <c r="J96" s="140"/>
      <c r="K96" s="140"/>
      <c r="L96" s="140"/>
      <c r="M96" s="140"/>
      <c r="N96" s="140"/>
      <c r="O96" s="140"/>
      <c r="P96" s="140"/>
      <c r="Q96" s="140"/>
    </row>
    <row r="97" spans="1:17" ht="18.75" customHeight="1" thickTop="1">
      <c r="A97" s="120" t="s">
        <v>3824</v>
      </c>
      <c r="B97" s="119"/>
      <c r="C97" s="119"/>
      <c r="D97" s="119"/>
      <c r="E97" s="119"/>
      <c r="F97" s="119"/>
      <c r="G97" s="119"/>
      <c r="H97" s="142">
        <f>H81+H89</f>
        <v>6859.0660500000004</v>
      </c>
      <c r="I97" s="142"/>
      <c r="J97" s="142"/>
      <c r="K97" s="142"/>
      <c r="L97" s="142"/>
      <c r="M97" s="143">
        <f t="shared" ref="M97:Q102" si="26">M81+M89</f>
        <v>6027.25</v>
      </c>
      <c r="N97" s="153">
        <f t="shared" si="26"/>
        <v>5982.25</v>
      </c>
      <c r="O97" s="154"/>
      <c r="P97" s="143">
        <f t="shared" ref="P97:Q101" si="27">P81+P89</f>
        <v>6514</v>
      </c>
      <c r="Q97" s="143">
        <f t="shared" si="27"/>
        <v>6476</v>
      </c>
    </row>
    <row r="98" spans="1:17" ht="18.75" customHeight="1">
      <c r="A98" s="144" t="s">
        <v>3825</v>
      </c>
      <c r="B98" s="139"/>
      <c r="C98" s="139"/>
      <c r="D98" s="139"/>
      <c r="E98" s="139"/>
      <c r="F98" s="139"/>
      <c r="G98" s="139"/>
      <c r="H98" s="145">
        <f>H82+H90</f>
        <v>2477.2600000000002</v>
      </c>
      <c r="I98" s="145"/>
      <c r="J98" s="145"/>
      <c r="K98" s="145"/>
      <c r="L98" s="145"/>
      <c r="M98" s="145">
        <f t="shared" si="26"/>
        <v>2333.333333333333</v>
      </c>
      <c r="N98" s="140">
        <f t="shared" si="26"/>
        <v>2086</v>
      </c>
      <c r="O98" s="155"/>
      <c r="P98" s="145">
        <f t="shared" si="27"/>
        <v>2365.333333333333</v>
      </c>
      <c r="Q98" s="145">
        <f t="shared" si="27"/>
        <v>2112</v>
      </c>
    </row>
    <row r="99" spans="1:17" ht="18.75" customHeight="1">
      <c r="A99" s="144" t="s">
        <v>3826</v>
      </c>
      <c r="B99" s="139"/>
      <c r="C99" s="139"/>
      <c r="D99" s="139"/>
      <c r="E99" s="156"/>
      <c r="F99" s="139"/>
      <c r="G99" s="139"/>
      <c r="H99" s="145">
        <f>H83+H91</f>
        <v>116.23700000000001</v>
      </c>
      <c r="I99" s="145"/>
      <c r="J99" s="145"/>
      <c r="K99" s="145"/>
      <c r="L99" s="145"/>
      <c r="M99" s="145">
        <f t="shared" si="26"/>
        <v>59</v>
      </c>
      <c r="N99" s="140">
        <f t="shared" si="26"/>
        <v>78</v>
      </c>
      <c r="O99" s="155"/>
      <c r="P99" s="145">
        <f t="shared" si="27"/>
        <v>59</v>
      </c>
      <c r="Q99" s="145">
        <f t="shared" si="27"/>
        <v>78</v>
      </c>
    </row>
    <row r="100" spans="1:17" ht="18.75" customHeight="1">
      <c r="A100" s="144" t="s">
        <v>3827</v>
      </c>
      <c r="B100" s="139"/>
      <c r="C100" s="139"/>
      <c r="D100" s="139"/>
      <c r="E100" s="156"/>
      <c r="F100" s="139"/>
      <c r="G100" s="139"/>
      <c r="H100" s="145">
        <f>H84+H92</f>
        <v>194.29561800000005</v>
      </c>
      <c r="I100" s="145"/>
      <c r="J100" s="145"/>
      <c r="K100" s="145"/>
      <c r="L100" s="145"/>
      <c r="M100" s="145">
        <f t="shared" si="26"/>
        <v>178.45350000000005</v>
      </c>
      <c r="N100" s="140">
        <f t="shared" si="26"/>
        <v>172.35600000000005</v>
      </c>
      <c r="O100" s="155"/>
      <c r="P100" s="145">
        <f t="shared" si="27"/>
        <v>197.64030000000008</v>
      </c>
      <c r="Q100" s="145">
        <f t="shared" si="27"/>
        <v>191.54280000000006</v>
      </c>
    </row>
    <row r="101" spans="1:17" ht="18.75" customHeight="1" thickBot="1">
      <c r="A101" s="133" t="s">
        <v>3834</v>
      </c>
      <c r="B101" s="147"/>
      <c r="C101" s="147"/>
      <c r="D101" s="147"/>
      <c r="E101" s="157">
        <f>AVERAGE(E3:E74)</f>
        <v>42.04193888303476</v>
      </c>
      <c r="F101" s="147"/>
      <c r="G101" s="147"/>
      <c r="H101" s="148">
        <f>H85+H93</f>
        <v>9646.8586680000008</v>
      </c>
      <c r="I101" s="158"/>
      <c r="J101" s="145"/>
      <c r="K101" s="145"/>
      <c r="L101" s="145"/>
      <c r="M101" s="159">
        <f t="shared" si="26"/>
        <v>8598.0368333333336</v>
      </c>
      <c r="N101" s="160">
        <f t="shared" si="26"/>
        <v>8318.6059999999998</v>
      </c>
      <c r="O101" s="155"/>
      <c r="P101" s="159">
        <f t="shared" si="27"/>
        <v>9135.9736333333331</v>
      </c>
      <c r="Q101" s="159">
        <f t="shared" si="27"/>
        <v>8857.5427999999993</v>
      </c>
    </row>
    <row r="102" spans="1:17" ht="18.75" customHeight="1" thickTop="1" thickBot="1">
      <c r="A102" s="144" t="s">
        <v>3835</v>
      </c>
      <c r="B102" s="150"/>
      <c r="C102" s="150"/>
      <c r="D102" s="150"/>
      <c r="E102" s="161"/>
      <c r="F102" s="150"/>
      <c r="G102" s="150"/>
      <c r="H102" s="140"/>
      <c r="I102" s="140"/>
      <c r="J102" s="162"/>
      <c r="K102" s="162"/>
      <c r="L102" s="162"/>
      <c r="M102" s="163">
        <f t="shared" si="26"/>
        <v>8419.5833333333321</v>
      </c>
      <c r="N102" s="163">
        <f t="shared" si="26"/>
        <v>8146.25</v>
      </c>
      <c r="O102" s="151"/>
      <c r="P102" s="163">
        <f t="shared" si="26"/>
        <v>8938.3333333333321</v>
      </c>
      <c r="Q102" s="163">
        <f t="shared" si="26"/>
        <v>8666</v>
      </c>
    </row>
    <row r="103" spans="1:17" ht="16.5" thickTop="1">
      <c r="A103" s="150"/>
      <c r="B103" s="150"/>
      <c r="C103" s="150"/>
      <c r="D103" s="150"/>
      <c r="E103" s="150"/>
      <c r="F103" s="150"/>
      <c r="G103" s="15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</row>
    <row r="104" spans="1:17" ht="15.75">
      <c r="A104" s="297" t="s">
        <v>3836</v>
      </c>
      <c r="B104" s="298"/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</row>
    <row r="105" spans="1:17" ht="21">
      <c r="A105" s="164" t="s">
        <v>3837</v>
      </c>
      <c r="B105" s="165"/>
      <c r="C105" s="165"/>
      <c r="D105" s="165"/>
      <c r="E105" s="165"/>
      <c r="F105" s="165"/>
      <c r="G105" s="165"/>
    </row>
    <row r="106" spans="1:17" ht="18.75" customHeight="1">
      <c r="A106" s="166"/>
      <c r="B106" s="165"/>
      <c r="C106" s="165"/>
      <c r="D106" s="165"/>
      <c r="E106" s="165"/>
      <c r="F106" s="165"/>
      <c r="G106" s="167" t="s">
        <v>3838</v>
      </c>
      <c r="H106" s="168">
        <f t="shared" ref="H106:J107" si="28">H61/0.75</f>
        <v>566.1</v>
      </c>
      <c r="I106" s="169">
        <f t="shared" si="28"/>
        <v>188</v>
      </c>
      <c r="J106" s="170">
        <f t="shared" si="28"/>
        <v>200</v>
      </c>
      <c r="K106" s="170">
        <v>415</v>
      </c>
      <c r="L106" s="170">
        <f t="shared" ref="L106:N107" si="29">L61/0.75</f>
        <v>450</v>
      </c>
      <c r="M106" s="170">
        <f t="shared" si="29"/>
        <v>511</v>
      </c>
      <c r="N106" s="170">
        <f t="shared" si="29"/>
        <v>511</v>
      </c>
      <c r="O106" s="171"/>
      <c r="P106" s="170">
        <f>P61/0.75</f>
        <v>547</v>
      </c>
      <c r="Q106" s="170">
        <f>Q61/0.75</f>
        <v>547</v>
      </c>
    </row>
    <row r="107" spans="1:17" ht="18.75" customHeight="1">
      <c r="A107" s="166"/>
      <c r="B107" s="165"/>
      <c r="C107" s="165"/>
      <c r="D107" s="165"/>
      <c r="E107" s="165"/>
      <c r="F107" s="165"/>
      <c r="G107" s="167" t="s">
        <v>3839</v>
      </c>
      <c r="H107" s="172">
        <f t="shared" si="28"/>
        <v>838</v>
      </c>
      <c r="I107" s="173">
        <f t="shared" si="28"/>
        <v>360</v>
      </c>
      <c r="J107" s="174">
        <f t="shared" si="28"/>
        <v>400</v>
      </c>
      <c r="K107" s="174">
        <f>K62/0.75</f>
        <v>360</v>
      </c>
      <c r="L107" s="174">
        <f t="shared" si="29"/>
        <v>400</v>
      </c>
      <c r="M107" s="174">
        <f t="shared" si="29"/>
        <v>760</v>
      </c>
      <c r="N107" s="174">
        <f t="shared" si="29"/>
        <v>732</v>
      </c>
      <c r="O107" s="171"/>
      <c r="P107" s="174">
        <f>P62/0.75</f>
        <v>809</v>
      </c>
      <c r="Q107" s="174">
        <f>Q62/0.75</f>
        <v>781</v>
      </c>
    </row>
    <row r="108" spans="1:17" ht="18.75" customHeight="1">
      <c r="A108" s="166"/>
      <c r="B108" s="165"/>
      <c r="C108" s="165"/>
      <c r="D108" s="165"/>
      <c r="E108" s="165"/>
      <c r="F108" s="165"/>
      <c r="G108" s="175" t="s">
        <v>3840</v>
      </c>
      <c r="H108" s="176">
        <f>SUM(H106:H107)</f>
        <v>1404.1</v>
      </c>
      <c r="I108" s="177">
        <f>SUM(I106:I107)</f>
        <v>548</v>
      </c>
      <c r="J108" s="178">
        <f t="shared" ref="J108:N108" si="30">SUM(J106:J107)</f>
        <v>600</v>
      </c>
      <c r="K108" s="178">
        <f t="shared" si="30"/>
        <v>775</v>
      </c>
      <c r="L108" s="178">
        <f t="shared" si="30"/>
        <v>850</v>
      </c>
      <c r="M108" s="178">
        <f t="shared" si="30"/>
        <v>1271</v>
      </c>
      <c r="N108" s="178">
        <f t="shared" si="30"/>
        <v>1243</v>
      </c>
      <c r="O108" s="140"/>
      <c r="P108" s="178">
        <f t="shared" ref="P108:Q108" si="31">SUM(P106:P107)</f>
        <v>1356</v>
      </c>
      <c r="Q108" s="178">
        <f t="shared" si="31"/>
        <v>1328</v>
      </c>
    </row>
    <row r="109" spans="1:17" ht="21" customHeight="1">
      <c r="A109" s="164" t="s">
        <v>3841</v>
      </c>
      <c r="B109" s="165"/>
      <c r="C109" s="165"/>
      <c r="D109" s="165"/>
      <c r="E109" s="165"/>
      <c r="F109" s="165"/>
      <c r="G109" s="165"/>
    </row>
    <row r="110" spans="1:17" ht="21" customHeight="1">
      <c r="A110" s="164" t="s">
        <v>3842</v>
      </c>
      <c r="B110" s="165"/>
      <c r="C110" s="165"/>
      <c r="D110" s="165"/>
      <c r="E110" s="165"/>
      <c r="F110" s="165"/>
      <c r="G110" s="165"/>
    </row>
    <row r="111" spans="1:17" ht="21" customHeight="1">
      <c r="A111" s="179" t="s">
        <v>3843</v>
      </c>
      <c r="B111" s="180"/>
      <c r="C111" s="180"/>
      <c r="D111" s="180"/>
      <c r="E111" s="180"/>
      <c r="F111" s="180"/>
      <c r="G111" s="180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1:17" ht="21" customHeight="1">
      <c r="A112" s="179" t="s">
        <v>3844</v>
      </c>
    </row>
    <row r="113" spans="1:17" s="181" customFormat="1" ht="21" customHeight="1">
      <c r="A113" s="299" t="s">
        <v>3845</v>
      </c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</row>
    <row r="114" spans="1:17" ht="21" customHeight="1">
      <c r="A114" s="299" t="s">
        <v>3846</v>
      </c>
      <c r="B114" s="298"/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</row>
    <row r="115" spans="1:17" ht="21" customHeight="1">
      <c r="A115" s="299" t="s">
        <v>3847</v>
      </c>
      <c r="B115" s="298"/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</row>
    <row r="116" spans="1:17" ht="21" customHeight="1">
      <c r="A116" s="299" t="s">
        <v>3848</v>
      </c>
      <c r="B116" s="298"/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</row>
    <row r="117" spans="1:17" s="186" customFormat="1" ht="18.75" customHeight="1">
      <c r="A117" s="182" t="s">
        <v>3849</v>
      </c>
      <c r="B117" s="124" t="s">
        <v>3775</v>
      </c>
      <c r="C117" s="60">
        <v>20135</v>
      </c>
      <c r="D117" s="60">
        <f>$A$3</f>
        <v>41620</v>
      </c>
      <c r="E117" s="110">
        <f>(D117-C117)/365</f>
        <v>58.863013698630134</v>
      </c>
      <c r="F117" s="183">
        <v>2.5000000000000001E-2</v>
      </c>
      <c r="G117" s="183">
        <v>5.6300000000000003E-2</v>
      </c>
      <c r="H117" s="184">
        <v>217.26</v>
      </c>
      <c r="I117" s="125">
        <v>53</v>
      </c>
      <c r="J117" s="125">
        <v>60</v>
      </c>
      <c r="K117" s="185">
        <v>80</v>
      </c>
      <c r="L117" s="126">
        <v>89</v>
      </c>
      <c r="M117" s="127">
        <v>199</v>
      </c>
      <c r="N117" s="125">
        <v>192</v>
      </c>
      <c r="O117" s="127"/>
      <c r="P117" s="125">
        <v>221</v>
      </c>
      <c r="Q117" s="125">
        <v>214</v>
      </c>
    </row>
    <row r="118" spans="1:17" s="186" customFormat="1" ht="18.75" customHeight="1">
      <c r="A118" s="187" t="s">
        <v>3850</v>
      </c>
      <c r="B118" s="188" t="s">
        <v>3775</v>
      </c>
      <c r="C118" s="69">
        <v>20264</v>
      </c>
      <c r="D118" s="69">
        <f t="shared" ref="D118:D127" si="32">$A$3</f>
        <v>41620</v>
      </c>
      <c r="E118" s="189">
        <f t="shared" ref="E118:E127" si="33">(D118-C118)/365</f>
        <v>58.509589041095893</v>
      </c>
      <c r="F118" s="190">
        <v>2.5000000000000001E-2</v>
      </c>
      <c r="G118" s="190">
        <v>5.6300000000000003E-2</v>
      </c>
      <c r="H118" s="191">
        <v>217.26</v>
      </c>
      <c r="I118" s="192">
        <v>53</v>
      </c>
      <c r="J118" s="192">
        <v>60</v>
      </c>
      <c r="K118" s="193">
        <v>80</v>
      </c>
      <c r="L118" s="194">
        <v>89</v>
      </c>
      <c r="M118" s="195">
        <v>199</v>
      </c>
      <c r="N118" s="192">
        <v>191</v>
      </c>
      <c r="O118" s="195"/>
      <c r="P118" s="192">
        <v>221</v>
      </c>
      <c r="Q118" s="192">
        <v>213</v>
      </c>
    </row>
    <row r="119" spans="1:17" ht="18.75" customHeight="1">
      <c r="A119" s="187" t="s">
        <v>3851</v>
      </c>
      <c r="B119" s="188" t="s">
        <v>3775</v>
      </c>
      <c r="C119" s="69">
        <v>20333</v>
      </c>
      <c r="D119" s="69">
        <f t="shared" si="32"/>
        <v>41620</v>
      </c>
      <c r="E119" s="189">
        <f t="shared" si="33"/>
        <v>58.320547945205476</v>
      </c>
      <c r="F119" s="190">
        <v>2.5000000000000001E-2</v>
      </c>
      <c r="G119" s="190">
        <v>5.6300000000000003E-2</v>
      </c>
      <c r="H119" s="191">
        <v>217.26</v>
      </c>
      <c r="I119" s="192">
        <v>53</v>
      </c>
      <c r="J119" s="192">
        <v>60</v>
      </c>
      <c r="K119" s="193">
        <v>80</v>
      </c>
      <c r="L119" s="194">
        <v>89</v>
      </c>
      <c r="M119" s="195">
        <v>199</v>
      </c>
      <c r="N119" s="192">
        <v>191</v>
      </c>
      <c r="O119" s="186"/>
      <c r="P119" s="192">
        <v>221</v>
      </c>
      <c r="Q119" s="192">
        <v>213</v>
      </c>
    </row>
    <row r="120" spans="1:17" ht="18.75" customHeight="1">
      <c r="A120" s="187" t="s">
        <v>3852</v>
      </c>
      <c r="B120" s="188" t="s">
        <v>3775</v>
      </c>
      <c r="C120" s="69">
        <v>20408</v>
      </c>
      <c r="D120" s="69">
        <f t="shared" si="32"/>
        <v>41620</v>
      </c>
      <c r="E120" s="189">
        <f t="shared" si="33"/>
        <v>58.115068493150687</v>
      </c>
      <c r="F120" s="190">
        <v>2.5000000000000001E-2</v>
      </c>
      <c r="G120" s="190">
        <v>5.6300000000000003E-2</v>
      </c>
      <c r="H120" s="191">
        <v>217.26</v>
      </c>
      <c r="I120" s="192">
        <v>53</v>
      </c>
      <c r="J120" s="192">
        <v>60</v>
      </c>
      <c r="K120" s="193">
        <v>80</v>
      </c>
      <c r="L120" s="194">
        <v>89</v>
      </c>
      <c r="M120" s="195">
        <v>199</v>
      </c>
      <c r="N120" s="192">
        <v>191</v>
      </c>
      <c r="O120" s="186"/>
      <c r="P120" s="192">
        <v>221</v>
      </c>
      <c r="Q120" s="192">
        <v>213</v>
      </c>
    </row>
    <row r="121" spans="1:17" ht="18.75" customHeight="1">
      <c r="A121" s="187" t="s">
        <v>3853</v>
      </c>
      <c r="B121" s="188" t="s">
        <v>3775</v>
      </c>
      <c r="C121" s="69">
        <v>20445</v>
      </c>
      <c r="D121" s="69">
        <f t="shared" si="32"/>
        <v>41620</v>
      </c>
      <c r="E121" s="189">
        <f t="shared" si="33"/>
        <v>58.013698630136986</v>
      </c>
      <c r="F121" s="190">
        <v>2.5000000000000001E-2</v>
      </c>
      <c r="G121" s="190">
        <v>5.6300000000000003E-2</v>
      </c>
      <c r="H121" s="191">
        <v>217.26</v>
      </c>
      <c r="I121" s="192">
        <v>53</v>
      </c>
      <c r="J121" s="192">
        <v>60</v>
      </c>
      <c r="K121" s="193">
        <v>80</v>
      </c>
      <c r="L121" s="194">
        <v>89</v>
      </c>
      <c r="M121" s="195">
        <v>199</v>
      </c>
      <c r="N121" s="192">
        <v>191</v>
      </c>
      <c r="O121" s="186"/>
      <c r="P121" s="192">
        <v>221</v>
      </c>
      <c r="Q121" s="192">
        <v>213</v>
      </c>
    </row>
    <row r="122" spans="1:17" ht="18.75" customHeight="1">
      <c r="A122" s="196" t="s">
        <v>3854</v>
      </c>
      <c r="B122" s="124" t="s">
        <v>3775</v>
      </c>
      <c r="C122" s="60">
        <v>20135</v>
      </c>
      <c r="D122" s="60">
        <f t="shared" si="32"/>
        <v>41620</v>
      </c>
      <c r="E122" s="110">
        <f t="shared" si="33"/>
        <v>58.863013698630134</v>
      </c>
      <c r="F122" s="183">
        <v>2.5000000000000001E-2</v>
      </c>
      <c r="G122" s="183">
        <v>5.6300000000000003E-2</v>
      </c>
      <c r="H122" s="184">
        <v>217.26</v>
      </c>
      <c r="I122" s="125">
        <v>58</v>
      </c>
      <c r="J122" s="125">
        <v>65</v>
      </c>
      <c r="K122" s="185">
        <v>80</v>
      </c>
      <c r="L122" s="126">
        <v>88</v>
      </c>
      <c r="M122" s="127">
        <v>200</v>
      </c>
      <c r="N122" s="125">
        <v>194</v>
      </c>
      <c r="O122" s="197"/>
      <c r="P122" s="125">
        <v>221</v>
      </c>
      <c r="Q122" s="125">
        <v>215</v>
      </c>
    </row>
    <row r="123" spans="1:17" ht="18.75" customHeight="1">
      <c r="A123" s="198" t="s">
        <v>3855</v>
      </c>
      <c r="B123" s="188" t="s">
        <v>3775</v>
      </c>
      <c r="C123" s="69">
        <v>20210</v>
      </c>
      <c r="D123" s="69">
        <f t="shared" si="32"/>
        <v>41620</v>
      </c>
      <c r="E123" s="189">
        <f t="shared" si="33"/>
        <v>58.657534246575345</v>
      </c>
      <c r="F123" s="190">
        <v>2.5000000000000001E-2</v>
      </c>
      <c r="G123" s="190">
        <v>5.6300000000000003E-2</v>
      </c>
      <c r="H123" s="191">
        <v>217.26</v>
      </c>
      <c r="I123" s="192">
        <v>58</v>
      </c>
      <c r="J123" s="192">
        <v>65</v>
      </c>
      <c r="K123" s="193">
        <v>80</v>
      </c>
      <c r="L123" s="194">
        <v>88</v>
      </c>
      <c r="M123" s="195">
        <v>200</v>
      </c>
      <c r="N123" s="192">
        <v>194</v>
      </c>
      <c r="O123" s="186"/>
      <c r="P123" s="192">
        <v>221</v>
      </c>
      <c r="Q123" s="192">
        <v>215</v>
      </c>
    </row>
    <row r="124" spans="1:17" ht="18.75" customHeight="1">
      <c r="A124" s="198" t="s">
        <v>3856</v>
      </c>
      <c r="B124" s="188" t="s">
        <v>3775</v>
      </c>
      <c r="C124" s="69">
        <v>20281</v>
      </c>
      <c r="D124" s="69">
        <f t="shared" si="32"/>
        <v>41620</v>
      </c>
      <c r="E124" s="189">
        <f t="shared" si="33"/>
        <v>58.463013698630135</v>
      </c>
      <c r="F124" s="190">
        <v>2.5000000000000001E-2</v>
      </c>
      <c r="G124" s="190">
        <v>5.6300000000000003E-2</v>
      </c>
      <c r="H124" s="191">
        <v>217.26</v>
      </c>
      <c r="I124" s="192">
        <v>58</v>
      </c>
      <c r="J124" s="192">
        <v>65</v>
      </c>
      <c r="K124" s="193">
        <v>80</v>
      </c>
      <c r="L124" s="194">
        <v>88</v>
      </c>
      <c r="M124" s="195">
        <v>200</v>
      </c>
      <c r="N124" s="192">
        <v>194</v>
      </c>
      <c r="O124" s="186"/>
      <c r="P124" s="192">
        <v>221</v>
      </c>
      <c r="Q124" s="192">
        <v>215</v>
      </c>
    </row>
    <row r="125" spans="1:17" ht="18.75" customHeight="1">
      <c r="A125" s="198" t="s">
        <v>3857</v>
      </c>
      <c r="B125" s="188" t="s">
        <v>3775</v>
      </c>
      <c r="C125" s="69">
        <v>20386</v>
      </c>
      <c r="D125" s="69">
        <f t="shared" si="32"/>
        <v>41620</v>
      </c>
      <c r="E125" s="189">
        <f t="shared" si="33"/>
        <v>58.175342465753424</v>
      </c>
      <c r="F125" s="190">
        <v>2.5000000000000001E-2</v>
      </c>
      <c r="G125" s="190">
        <v>5.6300000000000003E-2</v>
      </c>
      <c r="H125" s="191">
        <v>217.26</v>
      </c>
      <c r="I125" s="192">
        <v>58</v>
      </c>
      <c r="J125" s="192">
        <v>65</v>
      </c>
      <c r="K125" s="193">
        <v>80</v>
      </c>
      <c r="L125" s="194">
        <v>88</v>
      </c>
      <c r="M125" s="195">
        <v>200</v>
      </c>
      <c r="N125" s="192">
        <v>194</v>
      </c>
      <c r="O125" s="186"/>
      <c r="P125" s="192">
        <v>221</v>
      </c>
      <c r="Q125" s="192">
        <v>215</v>
      </c>
    </row>
    <row r="126" spans="1:17" ht="18.75" customHeight="1">
      <c r="A126" s="198" t="s">
        <v>3858</v>
      </c>
      <c r="B126" s="188" t="s">
        <v>3775</v>
      </c>
      <c r="C126" s="69">
        <v>20423</v>
      </c>
      <c r="D126" s="69">
        <f t="shared" si="32"/>
        <v>41620</v>
      </c>
      <c r="E126" s="189">
        <f t="shared" si="33"/>
        <v>58.073972602739723</v>
      </c>
      <c r="F126" s="190">
        <v>2.5000000000000001E-2</v>
      </c>
      <c r="G126" s="190">
        <v>5.6300000000000003E-2</v>
      </c>
      <c r="H126" s="191">
        <v>217.26</v>
      </c>
      <c r="I126" s="192">
        <v>58</v>
      </c>
      <c r="J126" s="192">
        <v>65</v>
      </c>
      <c r="K126" s="193">
        <v>80</v>
      </c>
      <c r="L126" s="194">
        <v>88</v>
      </c>
      <c r="M126" s="195">
        <v>200</v>
      </c>
      <c r="N126" s="192">
        <v>194</v>
      </c>
      <c r="O126" s="186"/>
      <c r="P126" s="192">
        <v>221</v>
      </c>
      <c r="Q126" s="192">
        <v>215</v>
      </c>
    </row>
    <row r="127" spans="1:17" ht="18.75" customHeight="1">
      <c r="A127" s="199" t="s">
        <v>3859</v>
      </c>
      <c r="B127" s="128" t="s">
        <v>3775</v>
      </c>
      <c r="C127" s="73">
        <v>20527</v>
      </c>
      <c r="D127" s="73">
        <f t="shared" si="32"/>
        <v>41620</v>
      </c>
      <c r="E127" s="112">
        <f t="shared" si="33"/>
        <v>57.789041095890411</v>
      </c>
      <c r="F127" s="200">
        <v>2.5000000000000001E-2</v>
      </c>
      <c r="G127" s="200">
        <v>5.6300000000000003E-2</v>
      </c>
      <c r="H127" s="201">
        <v>217.26</v>
      </c>
      <c r="I127" s="129">
        <v>58</v>
      </c>
      <c r="J127" s="129">
        <v>65</v>
      </c>
      <c r="K127" s="202">
        <v>80</v>
      </c>
      <c r="L127" s="130">
        <v>88</v>
      </c>
      <c r="M127" s="131">
        <v>200</v>
      </c>
      <c r="N127" s="129">
        <v>194</v>
      </c>
      <c r="O127" s="203"/>
      <c r="P127" s="129">
        <v>221</v>
      </c>
      <c r="Q127" s="129">
        <v>215</v>
      </c>
    </row>
    <row r="128" spans="1:17" s="66" customFormat="1" ht="18.75" customHeight="1">
      <c r="A128" s="132" t="s">
        <v>3860</v>
      </c>
      <c r="B128" s="133"/>
      <c r="C128" s="94"/>
      <c r="D128" s="204"/>
      <c r="E128" s="205"/>
      <c r="F128" s="95"/>
      <c r="G128" s="95"/>
      <c r="H128" s="206">
        <f>SUM(H117:H127)</f>
        <v>2389.8599999999997</v>
      </c>
      <c r="I128" s="207">
        <f t="shared" ref="I128:Q128" si="34">SUM(I117:I127)</f>
        <v>613</v>
      </c>
      <c r="J128" s="207">
        <f t="shared" si="34"/>
        <v>690</v>
      </c>
      <c r="K128" s="138">
        <f t="shared" si="34"/>
        <v>880</v>
      </c>
      <c r="L128" s="207">
        <f t="shared" si="34"/>
        <v>973</v>
      </c>
      <c r="M128" s="138">
        <f t="shared" si="34"/>
        <v>2195</v>
      </c>
      <c r="N128" s="207">
        <f t="shared" si="34"/>
        <v>2120</v>
      </c>
      <c r="O128" s="138"/>
      <c r="P128" s="207">
        <f t="shared" si="34"/>
        <v>2431</v>
      </c>
      <c r="Q128" s="207">
        <f t="shared" si="34"/>
        <v>2356</v>
      </c>
    </row>
  </sheetData>
  <mergeCells count="5">
    <mergeCell ref="A104:Q104"/>
    <mergeCell ref="A113:Q113"/>
    <mergeCell ref="A114:Q114"/>
    <mergeCell ref="A115:Q115"/>
    <mergeCell ref="A116:Q116"/>
  </mergeCells>
  <printOptions horizontalCentered="1"/>
  <pageMargins left="0.25" right="0.25" top="0.5" bottom="0.5" header="0.5" footer="0.25"/>
  <pageSetup scale="30" orientation="portrait" horizontalDpi="4294967292" verticalDpi="4294967292" r:id="rId1"/>
  <headerFooter alignWithMargins="0">
    <oddFooter>&amp;L&amp;6&amp;F  &amp;D &amp;T&amp;C&amp;6&amp;A&amp;R&amp;6 Generation Planning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379"/>
  <sheetViews>
    <sheetView workbookViewId="0">
      <selection activeCell="E26" sqref="E26"/>
    </sheetView>
  </sheetViews>
  <sheetFormatPr defaultRowHeight="15"/>
  <cols>
    <col min="1" max="1" width="10.85546875" bestFit="1" customWidth="1"/>
    <col min="2" max="2" width="57.85546875" bestFit="1" customWidth="1"/>
    <col min="7" max="7" width="65.42578125" bestFit="1" customWidth="1"/>
  </cols>
  <sheetData>
    <row r="1" spans="1:9">
      <c r="A1" s="2" t="s">
        <v>26</v>
      </c>
      <c r="B1" s="2" t="s">
        <v>27</v>
      </c>
      <c r="C1" s="3" t="s">
        <v>28</v>
      </c>
      <c r="F1" s="14" t="s">
        <v>2804</v>
      </c>
      <c r="G1" s="15" t="s">
        <v>2804</v>
      </c>
    </row>
    <row r="2" spans="1:9">
      <c r="A2" s="4" t="s">
        <v>29</v>
      </c>
      <c r="B2" s="5" t="s">
        <v>30</v>
      </c>
      <c r="C2" s="6" t="s">
        <v>31</v>
      </c>
      <c r="F2" s="14" t="s">
        <v>2805</v>
      </c>
      <c r="G2" s="15" t="s">
        <v>27</v>
      </c>
    </row>
    <row r="3" spans="1:9">
      <c r="A3" s="4" t="s">
        <v>32</v>
      </c>
      <c r="B3" s="5" t="s">
        <v>33</v>
      </c>
      <c r="C3" s="6" t="s">
        <v>31</v>
      </c>
      <c r="F3" s="16"/>
      <c r="G3" s="17"/>
    </row>
    <row r="4" spans="1:9">
      <c r="A4" s="4" t="s">
        <v>34</v>
      </c>
      <c r="B4" s="5" t="s">
        <v>35</v>
      </c>
      <c r="C4" s="6" t="s">
        <v>31</v>
      </c>
      <c r="F4" s="16" t="s">
        <v>2806</v>
      </c>
      <c r="G4" s="17" t="s">
        <v>30</v>
      </c>
      <c r="H4" s="1" t="s">
        <v>2757</v>
      </c>
      <c r="I4" t="s">
        <v>3667</v>
      </c>
    </row>
    <row r="5" spans="1:9">
      <c r="A5" s="4" t="s">
        <v>36</v>
      </c>
      <c r="B5" s="5" t="s">
        <v>37</v>
      </c>
      <c r="C5" s="6" t="s">
        <v>31</v>
      </c>
      <c r="F5" s="16" t="s">
        <v>2807</v>
      </c>
      <c r="G5" s="17" t="s">
        <v>2808</v>
      </c>
      <c r="H5" s="1" t="s">
        <v>2758</v>
      </c>
      <c r="I5" t="s">
        <v>3668</v>
      </c>
    </row>
    <row r="6" spans="1:9">
      <c r="A6" s="4" t="s">
        <v>38</v>
      </c>
      <c r="B6" s="5" t="s">
        <v>39</v>
      </c>
      <c r="C6" s="6" t="s">
        <v>31</v>
      </c>
      <c r="F6" s="16" t="s">
        <v>2809</v>
      </c>
      <c r="G6" s="17" t="s">
        <v>2810</v>
      </c>
      <c r="H6" s="1" t="s">
        <v>2788</v>
      </c>
      <c r="I6" t="s">
        <v>3687</v>
      </c>
    </row>
    <row r="7" spans="1:9">
      <c r="A7" s="4" t="s">
        <v>40</v>
      </c>
      <c r="B7" s="5" t="s">
        <v>41</v>
      </c>
      <c r="C7" s="6"/>
      <c r="F7" s="16" t="s">
        <v>2811</v>
      </c>
      <c r="G7" s="17" t="s">
        <v>2812</v>
      </c>
      <c r="H7" s="1" t="s">
        <v>2759</v>
      </c>
      <c r="I7" t="s">
        <v>3669</v>
      </c>
    </row>
    <row r="8" spans="1:9">
      <c r="A8" s="4" t="s">
        <v>42</v>
      </c>
      <c r="B8" s="5" t="s">
        <v>43</v>
      </c>
      <c r="C8" s="6" t="s">
        <v>44</v>
      </c>
      <c r="F8" s="16" t="s">
        <v>2813</v>
      </c>
      <c r="G8" s="17" t="s">
        <v>2814</v>
      </c>
      <c r="H8" s="1" t="s">
        <v>2762</v>
      </c>
      <c r="I8" t="s">
        <v>3671</v>
      </c>
    </row>
    <row r="9" spans="1:9">
      <c r="A9" s="4" t="s">
        <v>45</v>
      </c>
      <c r="B9" s="5" t="s">
        <v>46</v>
      </c>
      <c r="C9" s="6"/>
      <c r="F9" s="16" t="s">
        <v>2815</v>
      </c>
      <c r="G9" s="17" t="s">
        <v>2816</v>
      </c>
      <c r="H9" s="1" t="s">
        <v>2795</v>
      </c>
      <c r="I9" t="s">
        <v>3671</v>
      </c>
    </row>
    <row r="10" spans="1:9">
      <c r="A10" s="4" t="s">
        <v>47</v>
      </c>
      <c r="B10" s="5" t="s">
        <v>48</v>
      </c>
      <c r="C10" s="6"/>
      <c r="F10" s="16" t="s">
        <v>2817</v>
      </c>
      <c r="G10" s="17" t="s">
        <v>2818</v>
      </c>
      <c r="H10" s="1" t="s">
        <v>2763</v>
      </c>
      <c r="I10" t="s">
        <v>3672</v>
      </c>
    </row>
    <row r="11" spans="1:9">
      <c r="A11" s="4" t="s">
        <v>49</v>
      </c>
      <c r="B11" s="5" t="s">
        <v>50</v>
      </c>
      <c r="C11" s="6"/>
      <c r="F11" s="16" t="s">
        <v>2819</v>
      </c>
      <c r="G11" s="17" t="s">
        <v>2820</v>
      </c>
      <c r="H11" s="1" t="s">
        <v>2796</v>
      </c>
      <c r="I11" t="s">
        <v>3672</v>
      </c>
    </row>
    <row r="12" spans="1:9">
      <c r="A12" s="4" t="s">
        <v>51</v>
      </c>
      <c r="B12" s="5" t="s">
        <v>52</v>
      </c>
      <c r="C12" s="6"/>
      <c r="F12" s="16" t="s">
        <v>2821</v>
      </c>
      <c r="G12" s="17" t="s">
        <v>2822</v>
      </c>
      <c r="H12" s="1" t="s">
        <v>2764</v>
      </c>
      <c r="I12" t="s">
        <v>3673</v>
      </c>
    </row>
    <row r="13" spans="1:9">
      <c r="A13" s="4" t="s">
        <v>53</v>
      </c>
      <c r="B13" s="5" t="s">
        <v>54</v>
      </c>
      <c r="C13" s="6"/>
      <c r="F13" s="16" t="s">
        <v>2823</v>
      </c>
      <c r="G13" s="17" t="s">
        <v>2824</v>
      </c>
      <c r="H13" s="1" t="s">
        <v>2797</v>
      </c>
      <c r="I13" t="s">
        <v>3673</v>
      </c>
    </row>
    <row r="14" spans="1:9">
      <c r="A14" s="4" t="s">
        <v>55</v>
      </c>
      <c r="B14" s="5" t="s">
        <v>56</v>
      </c>
      <c r="C14" s="6" t="s">
        <v>31</v>
      </c>
      <c r="F14" s="16" t="s">
        <v>2825</v>
      </c>
      <c r="G14" s="17" t="s">
        <v>2826</v>
      </c>
      <c r="H14" s="1" t="s">
        <v>2765</v>
      </c>
      <c r="I14" t="s">
        <v>3674</v>
      </c>
    </row>
    <row r="15" spans="1:9">
      <c r="A15" s="4" t="s">
        <v>57</v>
      </c>
      <c r="B15" s="5" t="s">
        <v>58</v>
      </c>
      <c r="C15" s="6"/>
      <c r="F15" s="16" t="s">
        <v>2827</v>
      </c>
      <c r="G15" s="17" t="s">
        <v>2828</v>
      </c>
      <c r="H15" s="1" t="s">
        <v>2767</v>
      </c>
      <c r="I15" t="s">
        <v>3716</v>
      </c>
    </row>
    <row r="16" spans="1:9">
      <c r="A16" s="4" t="s">
        <v>59</v>
      </c>
      <c r="B16" s="5" t="s">
        <v>60</v>
      </c>
      <c r="C16" s="6" t="s">
        <v>31</v>
      </c>
      <c r="F16" s="16" t="s">
        <v>2829</v>
      </c>
      <c r="G16" s="17" t="s">
        <v>2830</v>
      </c>
      <c r="H16" s="1" t="s">
        <v>2768</v>
      </c>
      <c r="I16" s="1" t="s">
        <v>3693</v>
      </c>
    </row>
    <row r="17" spans="1:9">
      <c r="A17" s="4" t="s">
        <v>61</v>
      </c>
      <c r="B17" s="5" t="s">
        <v>62</v>
      </c>
      <c r="C17" s="6"/>
      <c r="F17" s="16" t="s">
        <v>2831</v>
      </c>
      <c r="G17" s="17" t="s">
        <v>2832</v>
      </c>
      <c r="H17" s="1" t="s">
        <v>2766</v>
      </c>
      <c r="I17" t="s">
        <v>3694</v>
      </c>
    </row>
    <row r="18" spans="1:9">
      <c r="A18" s="4" t="s">
        <v>63</v>
      </c>
      <c r="B18" s="5" t="s">
        <v>64</v>
      </c>
      <c r="C18" s="6"/>
      <c r="F18" s="16" t="s">
        <v>2833</v>
      </c>
      <c r="G18" s="17" t="s">
        <v>2834</v>
      </c>
      <c r="H18" s="1" t="s">
        <v>2760</v>
      </c>
      <c r="I18" t="s">
        <v>3670</v>
      </c>
    </row>
    <row r="19" spans="1:9">
      <c r="A19" s="4" t="s">
        <v>65</v>
      </c>
      <c r="B19" s="5" t="s">
        <v>66</v>
      </c>
      <c r="C19" s="6"/>
      <c r="F19" s="16" t="s">
        <v>2835</v>
      </c>
      <c r="G19" s="17" t="s">
        <v>2836</v>
      </c>
      <c r="H19" s="1" t="s">
        <v>2789</v>
      </c>
      <c r="I19" t="s">
        <v>3688</v>
      </c>
    </row>
    <row r="20" spans="1:9">
      <c r="A20" s="4" t="s">
        <v>67</v>
      </c>
      <c r="B20" s="5" t="s">
        <v>68</v>
      </c>
      <c r="C20" s="6"/>
      <c r="F20" s="16" t="s">
        <v>2837</v>
      </c>
      <c r="G20" s="17" t="s">
        <v>2838</v>
      </c>
      <c r="H20" s="1" t="s">
        <v>2761</v>
      </c>
      <c r="I20" s="1" t="s">
        <v>3705</v>
      </c>
    </row>
    <row r="21" spans="1:9">
      <c r="A21" s="4" t="s">
        <v>69</v>
      </c>
      <c r="B21" s="5" t="s">
        <v>70</v>
      </c>
      <c r="C21" s="6"/>
      <c r="F21" s="16" t="s">
        <v>2839</v>
      </c>
      <c r="G21" s="17" t="s">
        <v>2840</v>
      </c>
      <c r="H21" s="1" t="s">
        <v>2798</v>
      </c>
      <c r="I21" s="1" t="s">
        <v>3699</v>
      </c>
    </row>
    <row r="22" spans="1:9">
      <c r="A22" s="4" t="s">
        <v>71</v>
      </c>
      <c r="B22" s="5" t="s">
        <v>72</v>
      </c>
      <c r="C22" s="6"/>
      <c r="F22" s="16" t="s">
        <v>2841</v>
      </c>
      <c r="G22" s="17" t="s">
        <v>2842</v>
      </c>
      <c r="H22" s="1" t="s">
        <v>2799</v>
      </c>
      <c r="I22" s="1" t="s">
        <v>3700</v>
      </c>
    </row>
    <row r="23" spans="1:9">
      <c r="A23" s="4" t="s">
        <v>73</v>
      </c>
      <c r="B23" s="5" t="s">
        <v>74</v>
      </c>
      <c r="C23" s="6"/>
      <c r="F23" s="16" t="s">
        <v>2843</v>
      </c>
      <c r="G23" s="17" t="s">
        <v>2844</v>
      </c>
      <c r="H23" s="1" t="s">
        <v>2800</v>
      </c>
      <c r="I23" s="1" t="s">
        <v>3701</v>
      </c>
    </row>
    <row r="24" spans="1:9">
      <c r="A24" s="4" t="s">
        <v>75</v>
      </c>
      <c r="B24" s="5" t="s">
        <v>76</v>
      </c>
      <c r="C24" s="6"/>
      <c r="F24" s="16" t="s">
        <v>2845</v>
      </c>
      <c r="G24" s="17" t="s">
        <v>2846</v>
      </c>
      <c r="H24" s="1" t="s">
        <v>2801</v>
      </c>
      <c r="I24" s="1" t="s">
        <v>3702</v>
      </c>
    </row>
    <row r="25" spans="1:9">
      <c r="A25" s="4" t="s">
        <v>77</v>
      </c>
      <c r="B25" s="5" t="s">
        <v>78</v>
      </c>
      <c r="C25" s="6"/>
      <c r="F25" s="16" t="s">
        <v>2847</v>
      </c>
      <c r="G25" s="17" t="s">
        <v>2848</v>
      </c>
      <c r="H25" s="1" t="s">
        <v>2802</v>
      </c>
      <c r="I25" s="1" t="s">
        <v>3703</v>
      </c>
    </row>
    <row r="26" spans="1:9">
      <c r="A26" s="4" t="s">
        <v>79</v>
      </c>
      <c r="B26" s="5" t="s">
        <v>80</v>
      </c>
      <c r="C26" s="6"/>
      <c r="F26" s="16" t="s">
        <v>2849</v>
      </c>
      <c r="G26" s="17" t="s">
        <v>2850</v>
      </c>
      <c r="H26" s="1" t="s">
        <v>2803</v>
      </c>
      <c r="I26" s="1" t="s">
        <v>3704</v>
      </c>
    </row>
    <row r="27" spans="1:9">
      <c r="A27" s="4" t="s">
        <v>81</v>
      </c>
      <c r="B27" s="5" t="s">
        <v>82</v>
      </c>
      <c r="C27" s="6"/>
      <c r="F27" s="16" t="s">
        <v>2851</v>
      </c>
      <c r="G27" s="17" t="s">
        <v>2852</v>
      </c>
      <c r="H27" s="1" t="s">
        <v>2770</v>
      </c>
      <c r="I27" t="s">
        <v>3675</v>
      </c>
    </row>
    <row r="28" spans="1:9">
      <c r="A28" s="4" t="s">
        <v>83</v>
      </c>
      <c r="B28" s="5" t="s">
        <v>84</v>
      </c>
      <c r="C28" s="6"/>
      <c r="F28" s="16" t="s">
        <v>2853</v>
      </c>
      <c r="G28" s="17" t="s">
        <v>2854</v>
      </c>
      <c r="H28" s="1" t="s">
        <v>2771</v>
      </c>
      <c r="I28" t="s">
        <v>3676</v>
      </c>
    </row>
    <row r="29" spans="1:9">
      <c r="A29" s="4" t="s">
        <v>85</v>
      </c>
      <c r="B29" s="5" t="s">
        <v>86</v>
      </c>
      <c r="C29" s="6"/>
      <c r="F29" s="16" t="s">
        <v>2855</v>
      </c>
      <c r="G29" s="17" t="s">
        <v>2856</v>
      </c>
      <c r="H29" s="1" t="s">
        <v>2772</v>
      </c>
      <c r="I29" t="s">
        <v>3677</v>
      </c>
    </row>
    <row r="30" spans="1:9">
      <c r="A30" s="4" t="s">
        <v>87</v>
      </c>
      <c r="B30" s="5" t="s">
        <v>88</v>
      </c>
      <c r="C30" s="6" t="s">
        <v>31</v>
      </c>
      <c r="F30" s="16" t="s">
        <v>2857</v>
      </c>
      <c r="G30" s="17" t="s">
        <v>2858</v>
      </c>
      <c r="H30" s="1" t="s">
        <v>2774</v>
      </c>
      <c r="I30" t="s">
        <v>3678</v>
      </c>
    </row>
    <row r="31" spans="1:9">
      <c r="A31" s="4" t="s">
        <v>89</v>
      </c>
      <c r="B31" s="5" t="s">
        <v>90</v>
      </c>
      <c r="C31" s="6"/>
      <c r="F31" s="16" t="s">
        <v>2859</v>
      </c>
      <c r="G31" s="17" t="s">
        <v>2860</v>
      </c>
      <c r="H31" s="1" t="s">
        <v>2775</v>
      </c>
      <c r="I31" t="s">
        <v>3679</v>
      </c>
    </row>
    <row r="32" spans="1:9">
      <c r="A32" s="4" t="s">
        <v>91</v>
      </c>
      <c r="B32" s="5" t="s">
        <v>92</v>
      </c>
      <c r="C32" s="6"/>
      <c r="F32" s="16" t="s">
        <v>2861</v>
      </c>
      <c r="G32" s="17" t="s">
        <v>2862</v>
      </c>
      <c r="H32" s="1" t="s">
        <v>2776</v>
      </c>
      <c r="I32" t="s">
        <v>3680</v>
      </c>
    </row>
    <row r="33" spans="1:9">
      <c r="A33" s="4" t="s">
        <v>93</v>
      </c>
      <c r="B33" s="5" t="s">
        <v>94</v>
      </c>
      <c r="C33" s="6" t="s">
        <v>31</v>
      </c>
      <c r="F33" s="16" t="s">
        <v>2863</v>
      </c>
      <c r="G33" s="17" t="s">
        <v>2864</v>
      </c>
      <c r="H33" s="1" t="s">
        <v>2777</v>
      </c>
      <c r="I33" t="s">
        <v>3681</v>
      </c>
    </row>
    <row r="34" spans="1:9">
      <c r="A34" s="4" t="s">
        <v>95</v>
      </c>
      <c r="B34" s="5" t="s">
        <v>96</v>
      </c>
      <c r="C34" s="6"/>
      <c r="F34" s="16" t="s">
        <v>2865</v>
      </c>
      <c r="G34" s="17" t="s">
        <v>2866</v>
      </c>
      <c r="H34" s="1" t="s">
        <v>2778</v>
      </c>
      <c r="I34" t="s">
        <v>3678</v>
      </c>
    </row>
    <row r="35" spans="1:9">
      <c r="A35" s="4" t="s">
        <v>97</v>
      </c>
      <c r="B35" s="5" t="s">
        <v>98</v>
      </c>
      <c r="C35" s="6"/>
      <c r="F35" s="16" t="s">
        <v>2867</v>
      </c>
      <c r="G35" s="17" t="s">
        <v>2868</v>
      </c>
      <c r="H35" s="1" t="s">
        <v>3583</v>
      </c>
      <c r="I35" t="s">
        <v>3680</v>
      </c>
    </row>
    <row r="36" spans="1:9">
      <c r="A36" s="4" t="s">
        <v>99</v>
      </c>
      <c r="B36" s="5" t="s">
        <v>100</v>
      </c>
      <c r="C36" s="6"/>
      <c r="F36" s="16" t="s">
        <v>2869</v>
      </c>
      <c r="G36" s="17" t="s">
        <v>2870</v>
      </c>
      <c r="H36" s="1" t="s">
        <v>2773</v>
      </c>
      <c r="I36" t="s">
        <v>3678</v>
      </c>
    </row>
    <row r="37" spans="1:9">
      <c r="A37" s="4" t="s">
        <v>101</v>
      </c>
      <c r="B37" s="5" t="s">
        <v>102</v>
      </c>
      <c r="C37" s="6"/>
      <c r="F37" s="16" t="s">
        <v>2871</v>
      </c>
      <c r="G37" s="17" t="s">
        <v>2872</v>
      </c>
      <c r="H37" s="1" t="s">
        <v>3598</v>
      </c>
      <c r="I37" t="s">
        <v>3706</v>
      </c>
    </row>
    <row r="38" spans="1:9">
      <c r="A38" s="4" t="s">
        <v>103</v>
      </c>
      <c r="B38" s="5" t="s">
        <v>104</v>
      </c>
      <c r="C38" s="6"/>
      <c r="F38" s="16" t="s">
        <v>2873</v>
      </c>
      <c r="G38" s="17" t="s">
        <v>2874</v>
      </c>
      <c r="H38" s="1" t="s">
        <v>2790</v>
      </c>
      <c r="I38" t="s">
        <v>3707</v>
      </c>
    </row>
    <row r="39" spans="1:9">
      <c r="A39" s="4" t="s">
        <v>105</v>
      </c>
      <c r="B39" s="5" t="s">
        <v>106</v>
      </c>
      <c r="C39" s="6"/>
      <c r="F39" s="16" t="s">
        <v>2875</v>
      </c>
      <c r="G39" s="17" t="s">
        <v>2876</v>
      </c>
      <c r="H39" s="1" t="s">
        <v>2779</v>
      </c>
      <c r="I39" t="s">
        <v>3708</v>
      </c>
    </row>
    <row r="40" spans="1:9">
      <c r="A40" s="4" t="s">
        <v>107</v>
      </c>
      <c r="B40" s="5" t="s">
        <v>108</v>
      </c>
      <c r="C40" s="6"/>
      <c r="F40" s="16" t="s">
        <v>2877</v>
      </c>
      <c r="G40" s="17" t="s">
        <v>2878</v>
      </c>
      <c r="H40" s="1" t="s">
        <v>3602</v>
      </c>
      <c r="I40" t="s">
        <v>3709</v>
      </c>
    </row>
    <row r="41" spans="1:9">
      <c r="A41" s="4" t="s">
        <v>109</v>
      </c>
      <c r="B41" s="5" t="s">
        <v>110</v>
      </c>
      <c r="C41" s="6" t="s">
        <v>31</v>
      </c>
      <c r="F41" s="16" t="s">
        <v>2879</v>
      </c>
      <c r="G41" s="17" t="s">
        <v>2880</v>
      </c>
      <c r="H41" s="1" t="s">
        <v>2791</v>
      </c>
      <c r="I41" t="s">
        <v>3710</v>
      </c>
    </row>
    <row r="42" spans="1:9">
      <c r="A42" s="4" t="s">
        <v>111</v>
      </c>
      <c r="B42" s="5" t="s">
        <v>112</v>
      </c>
      <c r="C42" s="6" t="s">
        <v>31</v>
      </c>
      <c r="F42" s="16" t="s">
        <v>2757</v>
      </c>
      <c r="G42" s="17" t="s">
        <v>2881</v>
      </c>
      <c r="H42" s="1" t="s">
        <v>2794</v>
      </c>
      <c r="I42" t="s">
        <v>3711</v>
      </c>
    </row>
    <row r="43" spans="1:9">
      <c r="A43" s="4" t="s">
        <v>113</v>
      </c>
      <c r="B43" s="5" t="s">
        <v>114</v>
      </c>
      <c r="C43" s="6"/>
      <c r="F43" s="16" t="s">
        <v>2882</v>
      </c>
      <c r="G43" s="17" t="s">
        <v>2883</v>
      </c>
      <c r="H43" s="1" t="s">
        <v>3606</v>
      </c>
      <c r="I43" t="s">
        <v>3717</v>
      </c>
    </row>
    <row r="44" spans="1:9">
      <c r="A44" s="4" t="s">
        <v>115</v>
      </c>
      <c r="B44" s="5" t="s">
        <v>116</v>
      </c>
      <c r="C44" s="6"/>
      <c r="F44" s="16" t="s">
        <v>2884</v>
      </c>
      <c r="G44" s="17" t="s">
        <v>2885</v>
      </c>
      <c r="H44" s="1" t="s">
        <v>3614</v>
      </c>
      <c r="I44" t="s">
        <v>3719</v>
      </c>
    </row>
    <row r="45" spans="1:9">
      <c r="A45" s="4" t="s">
        <v>117</v>
      </c>
      <c r="B45" s="5" t="s">
        <v>118</v>
      </c>
      <c r="C45" s="6"/>
      <c r="F45" s="16" t="s">
        <v>2886</v>
      </c>
      <c r="G45" s="17" t="s">
        <v>2887</v>
      </c>
      <c r="H45" s="1" t="s">
        <v>2780</v>
      </c>
      <c r="I45" t="s">
        <v>3682</v>
      </c>
    </row>
    <row r="46" spans="1:9">
      <c r="A46" s="4" t="s">
        <v>119</v>
      </c>
      <c r="B46" s="5" t="s">
        <v>120</v>
      </c>
      <c r="C46" s="6"/>
      <c r="F46" s="16" t="s">
        <v>2769</v>
      </c>
      <c r="G46" s="17" t="s">
        <v>2888</v>
      </c>
      <c r="H46" s="1" t="s">
        <v>2783</v>
      </c>
      <c r="I46" t="s">
        <v>3685</v>
      </c>
    </row>
    <row r="47" spans="1:9">
      <c r="A47" s="4" t="s">
        <v>121</v>
      </c>
      <c r="B47" s="5" t="s">
        <v>122</v>
      </c>
      <c r="C47" s="6"/>
      <c r="F47" s="16" t="s">
        <v>2889</v>
      </c>
      <c r="G47" s="17" t="s">
        <v>2890</v>
      </c>
      <c r="H47" s="1" t="s">
        <v>2781</v>
      </c>
      <c r="I47" t="s">
        <v>3683</v>
      </c>
    </row>
    <row r="48" spans="1:9">
      <c r="A48" s="4" t="s">
        <v>123</v>
      </c>
      <c r="B48" s="5" t="s">
        <v>124</v>
      </c>
      <c r="C48" s="6"/>
      <c r="F48" s="16" t="s">
        <v>2891</v>
      </c>
      <c r="G48" s="17" t="s">
        <v>2892</v>
      </c>
      <c r="H48" s="1" t="s">
        <v>2782</v>
      </c>
      <c r="I48" t="s">
        <v>3684</v>
      </c>
    </row>
    <row r="49" spans="1:9">
      <c r="A49" s="4" t="s">
        <v>125</v>
      </c>
      <c r="B49" s="5" t="s">
        <v>126</v>
      </c>
      <c r="C49" s="6"/>
      <c r="F49" s="16" t="s">
        <v>2893</v>
      </c>
      <c r="G49" s="17" t="s">
        <v>2894</v>
      </c>
      <c r="H49" s="1" t="s">
        <v>2784</v>
      </c>
      <c r="I49" t="s">
        <v>3686</v>
      </c>
    </row>
    <row r="50" spans="1:9">
      <c r="A50" s="4" t="s">
        <v>127</v>
      </c>
      <c r="B50" s="5" t="s">
        <v>128</v>
      </c>
      <c r="C50" s="6"/>
      <c r="F50" s="16" t="s">
        <v>2895</v>
      </c>
      <c r="G50" s="17" t="s">
        <v>2896</v>
      </c>
      <c r="H50" s="1" t="s">
        <v>2785</v>
      </c>
      <c r="I50" t="s">
        <v>3686</v>
      </c>
    </row>
    <row r="51" spans="1:9">
      <c r="A51" s="4" t="s">
        <v>129</v>
      </c>
      <c r="B51" s="5" t="s">
        <v>130</v>
      </c>
      <c r="C51" s="6"/>
      <c r="F51" s="16" t="s">
        <v>2897</v>
      </c>
      <c r="G51" s="17" t="s">
        <v>2898</v>
      </c>
      <c r="H51" s="1" t="s">
        <v>2786</v>
      </c>
      <c r="I51" t="s">
        <v>3686</v>
      </c>
    </row>
    <row r="52" spans="1:9">
      <c r="A52" s="4" t="s">
        <v>131</v>
      </c>
      <c r="B52" s="5" t="s">
        <v>132</v>
      </c>
      <c r="C52" s="6"/>
      <c r="F52" s="16" t="s">
        <v>2899</v>
      </c>
      <c r="G52" s="17" t="s">
        <v>2900</v>
      </c>
      <c r="H52" s="1" t="s">
        <v>2787</v>
      </c>
      <c r="I52" t="s">
        <v>3689</v>
      </c>
    </row>
    <row r="53" spans="1:9">
      <c r="A53" s="4" t="s">
        <v>133</v>
      </c>
      <c r="B53" s="5" t="s">
        <v>134</v>
      </c>
      <c r="C53" s="6"/>
      <c r="F53" s="16" t="s">
        <v>2901</v>
      </c>
      <c r="G53" s="17" t="s">
        <v>2902</v>
      </c>
      <c r="H53" s="1" t="s">
        <v>2792</v>
      </c>
      <c r="I53" t="s">
        <v>3689</v>
      </c>
    </row>
    <row r="54" spans="1:9">
      <c r="A54" s="4" t="s">
        <v>135</v>
      </c>
      <c r="B54" s="5" t="s">
        <v>136</v>
      </c>
      <c r="C54" s="6"/>
      <c r="F54" s="16" t="s">
        <v>2903</v>
      </c>
      <c r="G54" s="17" t="s">
        <v>2904</v>
      </c>
      <c r="H54" s="1" t="s">
        <v>2793</v>
      </c>
      <c r="I54" t="s">
        <v>3689</v>
      </c>
    </row>
    <row r="55" spans="1:9">
      <c r="A55" s="4" t="s">
        <v>137</v>
      </c>
      <c r="B55" s="5" t="s">
        <v>138</v>
      </c>
      <c r="C55" s="6"/>
      <c r="F55" s="16" t="s">
        <v>2905</v>
      </c>
      <c r="G55" s="17" t="s">
        <v>2906</v>
      </c>
    </row>
    <row r="56" spans="1:9">
      <c r="A56" s="4" t="s">
        <v>139</v>
      </c>
      <c r="B56" s="5" t="s">
        <v>140</v>
      </c>
      <c r="C56" s="6"/>
      <c r="F56" s="16" t="s">
        <v>2758</v>
      </c>
      <c r="G56" s="17" t="s">
        <v>3650</v>
      </c>
    </row>
    <row r="57" spans="1:9">
      <c r="A57" s="4" t="s">
        <v>141</v>
      </c>
      <c r="B57" s="5" t="s">
        <v>142</v>
      </c>
      <c r="C57" s="6"/>
      <c r="F57" s="16" t="s">
        <v>2907</v>
      </c>
      <c r="G57" s="17" t="s">
        <v>2908</v>
      </c>
    </row>
    <row r="58" spans="1:9">
      <c r="A58" s="4" t="s">
        <v>143</v>
      </c>
      <c r="B58" s="5" t="s">
        <v>144</v>
      </c>
      <c r="C58" s="6"/>
      <c r="F58" s="16" t="s">
        <v>2909</v>
      </c>
      <c r="G58" s="17" t="s">
        <v>2910</v>
      </c>
    </row>
    <row r="59" spans="1:9">
      <c r="A59" s="4" t="s">
        <v>145</v>
      </c>
      <c r="B59" s="5" t="s">
        <v>146</v>
      </c>
      <c r="C59" s="6"/>
      <c r="F59" s="16" t="s">
        <v>2911</v>
      </c>
      <c r="G59" s="17" t="s">
        <v>2912</v>
      </c>
    </row>
    <row r="60" spans="1:9">
      <c r="A60" s="4" t="s">
        <v>147</v>
      </c>
      <c r="B60" s="5" t="s">
        <v>148</v>
      </c>
      <c r="C60" s="6"/>
      <c r="F60" s="16" t="s">
        <v>2913</v>
      </c>
      <c r="G60" s="17" t="s">
        <v>2914</v>
      </c>
    </row>
    <row r="61" spans="1:9">
      <c r="A61" s="4" t="s">
        <v>149</v>
      </c>
      <c r="B61" s="5" t="s">
        <v>150</v>
      </c>
      <c r="C61" s="6"/>
      <c r="F61" s="16" t="s">
        <v>2915</v>
      </c>
      <c r="G61" s="17" t="s">
        <v>2916</v>
      </c>
    </row>
    <row r="62" spans="1:9">
      <c r="A62" s="4" t="s">
        <v>151</v>
      </c>
      <c r="B62" s="5" t="s">
        <v>152</v>
      </c>
      <c r="C62" s="6"/>
      <c r="F62" s="16" t="s">
        <v>2788</v>
      </c>
      <c r="G62" s="17" t="s">
        <v>3651</v>
      </c>
    </row>
    <row r="63" spans="1:9">
      <c r="A63" s="4" t="s">
        <v>153</v>
      </c>
      <c r="B63" s="5" t="s">
        <v>154</v>
      </c>
      <c r="C63" s="6"/>
      <c r="F63" s="16" t="s">
        <v>2917</v>
      </c>
      <c r="G63" s="17" t="s">
        <v>2918</v>
      </c>
    </row>
    <row r="64" spans="1:9">
      <c r="A64" s="4" t="s">
        <v>155</v>
      </c>
      <c r="B64" s="5" t="s">
        <v>156</v>
      </c>
      <c r="C64" s="6"/>
      <c r="F64" s="16" t="s">
        <v>2759</v>
      </c>
      <c r="G64" s="17" t="s">
        <v>3652</v>
      </c>
    </row>
    <row r="65" spans="1:7">
      <c r="A65" s="4" t="s">
        <v>157</v>
      </c>
      <c r="B65" s="5" t="s">
        <v>158</v>
      </c>
      <c r="C65" s="6"/>
      <c r="F65" s="16" t="s">
        <v>2919</v>
      </c>
      <c r="G65" s="17" t="s">
        <v>2920</v>
      </c>
    </row>
    <row r="66" spans="1:7">
      <c r="A66" s="4" t="s">
        <v>159</v>
      </c>
      <c r="B66" s="5" t="s">
        <v>160</v>
      </c>
      <c r="C66" s="6"/>
      <c r="F66" s="16" t="s">
        <v>2921</v>
      </c>
      <c r="G66" s="17" t="s">
        <v>2922</v>
      </c>
    </row>
    <row r="67" spans="1:7">
      <c r="A67" s="4" t="s">
        <v>161</v>
      </c>
      <c r="B67" s="5" t="s">
        <v>162</v>
      </c>
      <c r="C67" s="6"/>
      <c r="F67" s="16" t="s">
        <v>2923</v>
      </c>
      <c r="G67" s="17" t="s">
        <v>2924</v>
      </c>
    </row>
    <row r="68" spans="1:7">
      <c r="A68" s="4" t="s">
        <v>163</v>
      </c>
      <c r="B68" s="5" t="s">
        <v>164</v>
      </c>
      <c r="C68" s="6"/>
      <c r="F68" s="16" t="s">
        <v>2925</v>
      </c>
      <c r="G68" s="17" t="s">
        <v>2926</v>
      </c>
    </row>
    <row r="69" spans="1:7">
      <c r="A69" s="4" t="s">
        <v>165</v>
      </c>
      <c r="B69" s="5" t="s">
        <v>166</v>
      </c>
      <c r="C69" s="6"/>
      <c r="F69" s="16" t="s">
        <v>2927</v>
      </c>
      <c r="G69" s="17" t="s">
        <v>2928</v>
      </c>
    </row>
    <row r="70" spans="1:7">
      <c r="A70" s="4" t="s">
        <v>167</v>
      </c>
      <c r="B70" s="5" t="s">
        <v>168</v>
      </c>
      <c r="C70" s="6"/>
      <c r="F70" s="16" t="s">
        <v>2929</v>
      </c>
      <c r="G70" s="17" t="s">
        <v>2930</v>
      </c>
    </row>
    <row r="71" spans="1:7">
      <c r="A71" s="4" t="s">
        <v>169</v>
      </c>
      <c r="B71" s="5" t="s">
        <v>170</v>
      </c>
      <c r="C71" s="6"/>
      <c r="F71" s="16" t="s">
        <v>2931</v>
      </c>
      <c r="G71" s="17" t="s">
        <v>3653</v>
      </c>
    </row>
    <row r="72" spans="1:7">
      <c r="A72" s="4" t="s">
        <v>171</v>
      </c>
      <c r="B72" s="5" t="s">
        <v>172</v>
      </c>
      <c r="C72" s="6"/>
      <c r="F72" s="16" t="s">
        <v>2932</v>
      </c>
      <c r="G72" s="17" t="s">
        <v>2933</v>
      </c>
    </row>
    <row r="73" spans="1:7">
      <c r="A73" s="4" t="s">
        <v>173</v>
      </c>
      <c r="B73" s="5" t="s">
        <v>174</v>
      </c>
      <c r="C73" s="6"/>
      <c r="F73" s="16" t="s">
        <v>2934</v>
      </c>
      <c r="G73" s="17" t="s">
        <v>2935</v>
      </c>
    </row>
    <row r="74" spans="1:7">
      <c r="A74" s="4" t="s">
        <v>175</v>
      </c>
      <c r="B74" s="5" t="s">
        <v>176</v>
      </c>
      <c r="C74" s="6"/>
      <c r="F74" s="16" t="s">
        <v>2936</v>
      </c>
      <c r="G74" s="17" t="s">
        <v>2937</v>
      </c>
    </row>
    <row r="75" spans="1:7">
      <c r="A75" s="4" t="s">
        <v>177</v>
      </c>
      <c r="B75" s="5" t="s">
        <v>178</v>
      </c>
      <c r="C75" s="6"/>
      <c r="F75" s="16" t="s">
        <v>2938</v>
      </c>
      <c r="G75" s="17" t="s">
        <v>2939</v>
      </c>
    </row>
    <row r="76" spans="1:7">
      <c r="A76" s="4" t="s">
        <v>179</v>
      </c>
      <c r="B76" s="5" t="s">
        <v>180</v>
      </c>
      <c r="C76" s="6"/>
      <c r="F76" s="16" t="s">
        <v>2762</v>
      </c>
      <c r="G76" s="17" t="s">
        <v>3654</v>
      </c>
    </row>
    <row r="77" spans="1:7">
      <c r="A77" s="4" t="s">
        <v>181</v>
      </c>
      <c r="B77" s="5" t="s">
        <v>182</v>
      </c>
      <c r="C77" s="6" t="s">
        <v>31</v>
      </c>
      <c r="F77" s="16" t="s">
        <v>2795</v>
      </c>
      <c r="G77" s="17" t="s">
        <v>2940</v>
      </c>
    </row>
    <row r="78" spans="1:7">
      <c r="A78" s="4" t="s">
        <v>183</v>
      </c>
      <c r="B78" s="5" t="s">
        <v>184</v>
      </c>
      <c r="C78" s="6" t="s">
        <v>31</v>
      </c>
      <c r="F78" s="16" t="s">
        <v>2763</v>
      </c>
      <c r="G78" s="17" t="s">
        <v>3655</v>
      </c>
    </row>
    <row r="79" spans="1:7">
      <c r="A79" s="4" t="s">
        <v>185</v>
      </c>
      <c r="B79" s="5" t="s">
        <v>186</v>
      </c>
      <c r="C79" s="6" t="s">
        <v>31</v>
      </c>
      <c r="F79" s="16" t="s">
        <v>2796</v>
      </c>
      <c r="G79" s="17" t="s">
        <v>2941</v>
      </c>
    </row>
    <row r="80" spans="1:7">
      <c r="A80" s="4" t="s">
        <v>187</v>
      </c>
      <c r="B80" s="5" t="s">
        <v>188</v>
      </c>
      <c r="C80" s="6"/>
      <c r="F80" s="16" t="s">
        <v>2764</v>
      </c>
      <c r="G80" s="17" t="s">
        <v>3656</v>
      </c>
    </row>
    <row r="81" spans="1:7">
      <c r="A81" s="4" t="s">
        <v>189</v>
      </c>
      <c r="B81" s="5" t="s">
        <v>190</v>
      </c>
      <c r="C81" s="6"/>
      <c r="F81" s="16" t="s">
        <v>2797</v>
      </c>
      <c r="G81" s="17" t="s">
        <v>2942</v>
      </c>
    </row>
    <row r="82" spans="1:7">
      <c r="A82" s="4" t="s">
        <v>191</v>
      </c>
      <c r="B82" s="5" t="s">
        <v>192</v>
      </c>
      <c r="C82" s="6"/>
      <c r="F82" s="16" t="s">
        <v>2765</v>
      </c>
      <c r="G82" s="17" t="s">
        <v>3657</v>
      </c>
    </row>
    <row r="83" spans="1:7">
      <c r="A83" s="4" t="s">
        <v>193</v>
      </c>
      <c r="B83" s="5" t="s">
        <v>194</v>
      </c>
      <c r="C83" s="6"/>
      <c r="F83" s="16" t="s">
        <v>2943</v>
      </c>
      <c r="G83" s="17" t="s">
        <v>2944</v>
      </c>
    </row>
    <row r="84" spans="1:7">
      <c r="A84" s="4" t="s">
        <v>195</v>
      </c>
      <c r="B84" s="5" t="s">
        <v>196</v>
      </c>
      <c r="C84" s="6"/>
      <c r="F84" s="16" t="s">
        <v>2945</v>
      </c>
      <c r="G84" s="17" t="s">
        <v>2946</v>
      </c>
    </row>
    <row r="85" spans="1:7">
      <c r="A85" s="4" t="s">
        <v>197</v>
      </c>
      <c r="B85" s="5" t="s">
        <v>198</v>
      </c>
      <c r="C85" s="6"/>
      <c r="F85" s="16" t="s">
        <v>2947</v>
      </c>
      <c r="G85" s="17" t="s">
        <v>2948</v>
      </c>
    </row>
    <row r="86" spans="1:7">
      <c r="A86" s="4" t="s">
        <v>199</v>
      </c>
      <c r="B86" s="5" t="s">
        <v>200</v>
      </c>
      <c r="C86" s="6"/>
      <c r="F86" s="16" t="s">
        <v>2949</v>
      </c>
      <c r="G86" s="17" t="s">
        <v>2950</v>
      </c>
    </row>
    <row r="87" spans="1:7">
      <c r="A87" s="4" t="s">
        <v>201</v>
      </c>
      <c r="B87" s="5" t="s">
        <v>202</v>
      </c>
      <c r="C87" s="6"/>
      <c r="F87" s="16" t="s">
        <v>2951</v>
      </c>
      <c r="G87" s="17" t="s">
        <v>2952</v>
      </c>
    </row>
    <row r="88" spans="1:7">
      <c r="A88" s="4" t="s">
        <v>203</v>
      </c>
      <c r="B88" s="5" t="s">
        <v>204</v>
      </c>
      <c r="C88" s="6"/>
      <c r="F88" s="16" t="s">
        <v>2953</v>
      </c>
      <c r="G88" s="17" t="s">
        <v>2954</v>
      </c>
    </row>
    <row r="89" spans="1:7">
      <c r="A89" s="4" t="s">
        <v>205</v>
      </c>
      <c r="B89" s="5" t="s">
        <v>206</v>
      </c>
      <c r="C89" s="6"/>
      <c r="F89" s="16" t="s">
        <v>2955</v>
      </c>
      <c r="G89" s="17" t="s">
        <v>2956</v>
      </c>
    </row>
    <row r="90" spans="1:7">
      <c r="A90" s="4" t="s">
        <v>207</v>
      </c>
      <c r="B90" s="5" t="s">
        <v>208</v>
      </c>
      <c r="C90" s="6" t="s">
        <v>31</v>
      </c>
      <c r="F90" s="16" t="s">
        <v>2957</v>
      </c>
      <c r="G90" s="17" t="s">
        <v>2958</v>
      </c>
    </row>
    <row r="91" spans="1:7">
      <c r="A91" s="4" t="s">
        <v>209</v>
      </c>
      <c r="B91" s="5" t="s">
        <v>210</v>
      </c>
      <c r="C91" s="6" t="s">
        <v>31</v>
      </c>
      <c r="F91" s="16" t="s">
        <v>2959</v>
      </c>
      <c r="G91" s="17" t="s">
        <v>2960</v>
      </c>
    </row>
    <row r="92" spans="1:7">
      <c r="A92" s="4" t="s">
        <v>211</v>
      </c>
      <c r="B92" s="5" t="s">
        <v>212</v>
      </c>
      <c r="C92" s="6"/>
      <c r="F92" s="16" t="s">
        <v>2961</v>
      </c>
      <c r="G92" s="17" t="s">
        <v>2962</v>
      </c>
    </row>
    <row r="93" spans="1:7">
      <c r="A93" s="4" t="s">
        <v>213</v>
      </c>
      <c r="B93" s="5" t="s">
        <v>214</v>
      </c>
      <c r="C93" s="6"/>
      <c r="F93" s="16" t="s">
        <v>2767</v>
      </c>
      <c r="G93" s="17" t="s">
        <v>3658</v>
      </c>
    </row>
    <row r="94" spans="1:7">
      <c r="A94" s="4" t="s">
        <v>215</v>
      </c>
      <c r="B94" s="5" t="s">
        <v>216</v>
      </c>
      <c r="C94" s="6"/>
      <c r="F94" s="16" t="s">
        <v>2963</v>
      </c>
      <c r="G94" s="17" t="s">
        <v>2964</v>
      </c>
    </row>
    <row r="95" spans="1:7">
      <c r="A95" s="4" t="s">
        <v>217</v>
      </c>
      <c r="B95" s="5" t="s">
        <v>218</v>
      </c>
      <c r="C95" s="6" t="s">
        <v>31</v>
      </c>
      <c r="F95" s="16" t="s">
        <v>2965</v>
      </c>
      <c r="G95" s="17" t="s">
        <v>2966</v>
      </c>
    </row>
    <row r="96" spans="1:7">
      <c r="A96" s="4" t="s">
        <v>219</v>
      </c>
      <c r="B96" s="5" t="s">
        <v>220</v>
      </c>
      <c r="C96" s="6"/>
      <c r="F96" s="16" t="s">
        <v>2967</v>
      </c>
      <c r="G96" s="17" t="s">
        <v>2968</v>
      </c>
    </row>
    <row r="97" spans="1:7">
      <c r="A97" s="4" t="s">
        <v>221</v>
      </c>
      <c r="B97" s="5" t="s">
        <v>222</v>
      </c>
      <c r="C97" s="6"/>
      <c r="F97" s="16" t="s">
        <v>2969</v>
      </c>
      <c r="G97" s="17" t="s">
        <v>2970</v>
      </c>
    </row>
    <row r="98" spans="1:7">
      <c r="A98" s="4" t="s">
        <v>223</v>
      </c>
      <c r="B98" s="5" t="s">
        <v>224</v>
      </c>
      <c r="C98" s="6"/>
      <c r="F98" s="16" t="s">
        <v>2971</v>
      </c>
      <c r="G98" s="17" t="s">
        <v>2972</v>
      </c>
    </row>
    <row r="99" spans="1:7">
      <c r="A99" s="4" t="s">
        <v>225</v>
      </c>
      <c r="B99" s="5" t="s">
        <v>226</v>
      </c>
      <c r="C99" s="6"/>
      <c r="F99" s="16" t="s">
        <v>2973</v>
      </c>
      <c r="G99" s="17" t="s">
        <v>2974</v>
      </c>
    </row>
    <row r="100" spans="1:7">
      <c r="A100" s="4" t="s">
        <v>227</v>
      </c>
      <c r="B100" s="5" t="s">
        <v>228</v>
      </c>
      <c r="C100" s="6"/>
      <c r="F100" s="16" t="s">
        <v>2768</v>
      </c>
      <c r="G100" s="17" t="s">
        <v>3659</v>
      </c>
    </row>
    <row r="101" spans="1:7">
      <c r="A101" s="4" t="s">
        <v>229</v>
      </c>
      <c r="B101" s="5" t="s">
        <v>230</v>
      </c>
      <c r="C101" s="6"/>
      <c r="F101" s="16" t="s">
        <v>2975</v>
      </c>
      <c r="G101" s="17" t="s">
        <v>2976</v>
      </c>
    </row>
    <row r="102" spans="1:7">
      <c r="A102" s="4" t="s">
        <v>231</v>
      </c>
      <c r="B102" s="5" t="s">
        <v>232</v>
      </c>
      <c r="C102" s="6" t="s">
        <v>31</v>
      </c>
      <c r="F102" s="16" t="s">
        <v>2977</v>
      </c>
      <c r="G102" s="17" t="s">
        <v>2978</v>
      </c>
    </row>
    <row r="103" spans="1:7">
      <c r="A103" s="4" t="s">
        <v>233</v>
      </c>
      <c r="B103" s="5" t="s">
        <v>234</v>
      </c>
      <c r="C103" s="6"/>
      <c r="F103" s="16" t="s">
        <v>2766</v>
      </c>
      <c r="G103" s="17" t="s">
        <v>3660</v>
      </c>
    </row>
    <row r="104" spans="1:7">
      <c r="A104" s="4" t="s">
        <v>235</v>
      </c>
      <c r="B104" s="5" t="s">
        <v>236</v>
      </c>
      <c r="C104" s="6"/>
      <c r="F104" s="16" t="s">
        <v>2979</v>
      </c>
      <c r="G104" s="17" t="s">
        <v>2980</v>
      </c>
    </row>
    <row r="105" spans="1:7">
      <c r="A105" s="4" t="s">
        <v>237</v>
      </c>
      <c r="B105" s="5" t="s">
        <v>238</v>
      </c>
      <c r="C105" s="6"/>
      <c r="F105" s="16" t="s">
        <v>2981</v>
      </c>
      <c r="G105" s="17" t="s">
        <v>2982</v>
      </c>
    </row>
    <row r="106" spans="1:7">
      <c r="A106" s="4" t="s">
        <v>239</v>
      </c>
      <c r="B106" s="5" t="s">
        <v>240</v>
      </c>
      <c r="C106" s="6" t="s">
        <v>241</v>
      </c>
      <c r="F106" s="16" t="s">
        <v>2983</v>
      </c>
      <c r="G106" s="17" t="s">
        <v>2984</v>
      </c>
    </row>
    <row r="107" spans="1:7">
      <c r="A107" s="4" t="s">
        <v>242</v>
      </c>
      <c r="B107" s="5" t="s">
        <v>243</v>
      </c>
      <c r="C107" s="6"/>
      <c r="F107" s="16" t="s">
        <v>2985</v>
      </c>
      <c r="G107" s="17" t="s">
        <v>2986</v>
      </c>
    </row>
    <row r="108" spans="1:7">
      <c r="A108" s="4" t="s">
        <v>244</v>
      </c>
      <c r="B108" s="5" t="s">
        <v>245</v>
      </c>
      <c r="C108" s="6"/>
      <c r="F108" s="16" t="s">
        <v>2987</v>
      </c>
      <c r="G108" s="17" t="s">
        <v>2988</v>
      </c>
    </row>
    <row r="109" spans="1:7">
      <c r="A109" s="4" t="s">
        <v>246</v>
      </c>
      <c r="B109" s="5" t="s">
        <v>247</v>
      </c>
      <c r="C109" s="6"/>
      <c r="F109" s="16" t="s">
        <v>2989</v>
      </c>
      <c r="G109" s="17" t="s">
        <v>2990</v>
      </c>
    </row>
    <row r="110" spans="1:7">
      <c r="A110" s="4" t="s">
        <v>248</v>
      </c>
      <c r="B110" s="5" t="s">
        <v>249</v>
      </c>
      <c r="C110" s="6"/>
      <c r="F110" s="16" t="s">
        <v>2991</v>
      </c>
      <c r="G110" s="17" t="s">
        <v>2992</v>
      </c>
    </row>
    <row r="111" spans="1:7">
      <c r="A111" s="4" t="s">
        <v>250</v>
      </c>
      <c r="B111" s="5" t="s">
        <v>251</v>
      </c>
      <c r="C111" s="6" t="s">
        <v>31</v>
      </c>
      <c r="F111" s="16" t="s">
        <v>2993</v>
      </c>
      <c r="G111" s="17" t="s">
        <v>2994</v>
      </c>
    </row>
    <row r="112" spans="1:7">
      <c r="A112" s="4" t="s">
        <v>252</v>
      </c>
      <c r="B112" s="5" t="s">
        <v>253</v>
      </c>
      <c r="C112" s="6" t="s">
        <v>31</v>
      </c>
      <c r="F112" s="16" t="s">
        <v>2995</v>
      </c>
      <c r="G112" s="17" t="s">
        <v>2996</v>
      </c>
    </row>
    <row r="113" spans="1:7">
      <c r="A113" s="4" t="s">
        <v>254</v>
      </c>
      <c r="B113" s="5" t="s">
        <v>255</v>
      </c>
      <c r="C113" s="6"/>
      <c r="F113" s="16" t="s">
        <v>2997</v>
      </c>
      <c r="G113" s="17" t="s">
        <v>2998</v>
      </c>
    </row>
    <row r="114" spans="1:7">
      <c r="A114" s="4" t="s">
        <v>256</v>
      </c>
      <c r="B114" s="5" t="s">
        <v>257</v>
      </c>
      <c r="C114" s="6"/>
      <c r="F114" s="16" t="s">
        <v>2999</v>
      </c>
      <c r="G114" s="17" t="s">
        <v>3000</v>
      </c>
    </row>
    <row r="115" spans="1:7">
      <c r="A115" s="4" t="s">
        <v>258</v>
      </c>
      <c r="B115" s="5" t="s">
        <v>259</v>
      </c>
      <c r="C115" s="6"/>
      <c r="F115" s="16" t="s">
        <v>3001</v>
      </c>
      <c r="G115" s="17" t="s">
        <v>3002</v>
      </c>
    </row>
    <row r="116" spans="1:7">
      <c r="A116" s="4" t="s">
        <v>260</v>
      </c>
      <c r="B116" s="5" t="s">
        <v>261</v>
      </c>
      <c r="C116" s="6"/>
      <c r="F116" s="16" t="s">
        <v>3003</v>
      </c>
      <c r="G116" s="17" t="s">
        <v>3004</v>
      </c>
    </row>
    <row r="117" spans="1:7">
      <c r="A117" s="4" t="s">
        <v>262</v>
      </c>
      <c r="B117" s="5" t="s">
        <v>263</v>
      </c>
      <c r="C117" s="6"/>
      <c r="F117" s="16" t="s">
        <v>3005</v>
      </c>
      <c r="G117" s="17" t="s">
        <v>3006</v>
      </c>
    </row>
    <row r="118" spans="1:7">
      <c r="A118" s="4" t="s">
        <v>264</v>
      </c>
      <c r="B118" s="5" t="s">
        <v>265</v>
      </c>
      <c r="C118" s="6" t="s">
        <v>31</v>
      </c>
      <c r="F118" s="16" t="s">
        <v>3007</v>
      </c>
      <c r="G118" s="17" t="s">
        <v>3008</v>
      </c>
    </row>
    <row r="119" spans="1:7">
      <c r="A119" s="4" t="s">
        <v>266</v>
      </c>
      <c r="B119" s="5" t="s">
        <v>267</v>
      </c>
      <c r="C119" s="6"/>
      <c r="F119" s="16" t="s">
        <v>3009</v>
      </c>
      <c r="G119" s="17" t="s">
        <v>3010</v>
      </c>
    </row>
    <row r="120" spans="1:7">
      <c r="A120" s="4" t="s">
        <v>268</v>
      </c>
      <c r="B120" s="5" t="s">
        <v>269</v>
      </c>
      <c r="C120" s="6"/>
      <c r="F120" s="16" t="s">
        <v>3011</v>
      </c>
      <c r="G120" s="17" t="s">
        <v>3012</v>
      </c>
    </row>
    <row r="121" spans="1:7">
      <c r="A121" s="4" t="s">
        <v>270</v>
      </c>
      <c r="B121" s="5" t="s">
        <v>271</v>
      </c>
      <c r="C121" s="6"/>
      <c r="F121" s="16" t="s">
        <v>3013</v>
      </c>
      <c r="G121" s="17" t="s">
        <v>3014</v>
      </c>
    </row>
    <row r="122" spans="1:7">
      <c r="A122" s="4" t="s">
        <v>272</v>
      </c>
      <c r="B122" s="5" t="s">
        <v>273</v>
      </c>
      <c r="C122" s="6"/>
      <c r="F122" s="16" t="s">
        <v>3015</v>
      </c>
      <c r="G122" s="17" t="s">
        <v>3016</v>
      </c>
    </row>
    <row r="123" spans="1:7">
      <c r="A123" s="4" t="s">
        <v>274</v>
      </c>
      <c r="B123" s="5" t="s">
        <v>275</v>
      </c>
      <c r="C123" s="6" t="s">
        <v>31</v>
      </c>
      <c r="F123" s="16" t="s">
        <v>3017</v>
      </c>
      <c r="G123" s="17" t="s">
        <v>3018</v>
      </c>
    </row>
    <row r="124" spans="1:7">
      <c r="A124" s="4" t="s">
        <v>276</v>
      </c>
      <c r="B124" s="5" t="s">
        <v>277</v>
      </c>
      <c r="C124" s="6"/>
      <c r="F124" s="16" t="s">
        <v>3019</v>
      </c>
      <c r="G124" s="17" t="s">
        <v>3020</v>
      </c>
    </row>
    <row r="125" spans="1:7">
      <c r="A125" s="4" t="s">
        <v>278</v>
      </c>
      <c r="B125" s="5" t="s">
        <v>279</v>
      </c>
      <c r="C125" s="6"/>
      <c r="F125" s="16" t="s">
        <v>3021</v>
      </c>
      <c r="G125" s="17" t="s">
        <v>3022</v>
      </c>
    </row>
    <row r="126" spans="1:7">
      <c r="A126" s="4" t="s">
        <v>280</v>
      </c>
      <c r="B126" s="5" t="s">
        <v>281</v>
      </c>
      <c r="C126" s="6" t="s">
        <v>31</v>
      </c>
      <c r="F126" s="16" t="s">
        <v>3023</v>
      </c>
      <c r="G126" s="17" t="s">
        <v>3024</v>
      </c>
    </row>
    <row r="127" spans="1:7">
      <c r="A127" s="4" t="s">
        <v>282</v>
      </c>
      <c r="B127" s="5" t="s">
        <v>283</v>
      </c>
      <c r="C127" s="6" t="s">
        <v>241</v>
      </c>
      <c r="F127" s="16" t="s">
        <v>3025</v>
      </c>
      <c r="G127" s="17" t="s">
        <v>3026</v>
      </c>
    </row>
    <row r="128" spans="1:7">
      <c r="A128" s="4" t="s">
        <v>284</v>
      </c>
      <c r="B128" s="5" t="s">
        <v>285</v>
      </c>
      <c r="C128" s="6"/>
      <c r="F128" s="16" t="s">
        <v>3027</v>
      </c>
      <c r="G128" s="17" t="s">
        <v>3028</v>
      </c>
    </row>
    <row r="129" spans="1:7">
      <c r="A129" s="4" t="s">
        <v>286</v>
      </c>
      <c r="B129" s="5" t="s">
        <v>287</v>
      </c>
      <c r="C129" s="6"/>
      <c r="F129" s="16" t="s">
        <v>3029</v>
      </c>
      <c r="G129" s="17" t="s">
        <v>3030</v>
      </c>
    </row>
    <row r="130" spans="1:7">
      <c r="A130" s="4" t="s">
        <v>288</v>
      </c>
      <c r="B130" s="5" t="s">
        <v>289</v>
      </c>
      <c r="C130" s="6" t="s">
        <v>241</v>
      </c>
      <c r="F130" s="16" t="s">
        <v>3031</v>
      </c>
      <c r="G130" s="17" t="s">
        <v>3032</v>
      </c>
    </row>
    <row r="131" spans="1:7">
      <c r="A131" s="4" t="s">
        <v>290</v>
      </c>
      <c r="B131" s="5" t="s">
        <v>291</v>
      </c>
      <c r="C131" s="6"/>
      <c r="F131" s="16" t="s">
        <v>2760</v>
      </c>
      <c r="G131" s="17" t="s">
        <v>3033</v>
      </c>
    </row>
    <row r="132" spans="1:7">
      <c r="A132" s="4" t="s">
        <v>292</v>
      </c>
      <c r="B132" s="5" t="s">
        <v>293</v>
      </c>
      <c r="C132" s="6" t="s">
        <v>241</v>
      </c>
      <c r="F132" s="16" t="s">
        <v>3034</v>
      </c>
      <c r="G132" s="17" t="s">
        <v>3035</v>
      </c>
    </row>
    <row r="133" spans="1:7">
      <c r="A133" s="4" t="s">
        <v>294</v>
      </c>
      <c r="B133" s="5" t="s">
        <v>295</v>
      </c>
      <c r="C133" s="6"/>
      <c r="F133" s="16" t="s">
        <v>2789</v>
      </c>
      <c r="G133" s="17" t="s">
        <v>3036</v>
      </c>
    </row>
    <row r="134" spans="1:7">
      <c r="A134" s="4" t="s">
        <v>296</v>
      </c>
      <c r="B134" s="5" t="s">
        <v>297</v>
      </c>
      <c r="C134" s="6"/>
      <c r="F134" s="16" t="s">
        <v>2761</v>
      </c>
      <c r="G134" s="17" t="s">
        <v>3037</v>
      </c>
    </row>
    <row r="135" spans="1:7">
      <c r="A135" s="4" t="s">
        <v>298</v>
      </c>
      <c r="B135" s="5" t="s">
        <v>299</v>
      </c>
      <c r="C135" s="6" t="s">
        <v>241</v>
      </c>
      <c r="F135" s="16" t="s">
        <v>3038</v>
      </c>
      <c r="G135" s="17" t="s">
        <v>3039</v>
      </c>
    </row>
    <row r="136" spans="1:7">
      <c r="A136" s="4" t="s">
        <v>300</v>
      </c>
      <c r="B136" s="5" t="s">
        <v>301</v>
      </c>
      <c r="C136" s="6"/>
      <c r="F136" s="16" t="s">
        <v>3040</v>
      </c>
      <c r="G136" s="17" t="s">
        <v>3041</v>
      </c>
    </row>
    <row r="137" spans="1:7">
      <c r="A137" s="4" t="s">
        <v>302</v>
      </c>
      <c r="B137" s="5" t="s">
        <v>303</v>
      </c>
      <c r="C137" s="6"/>
      <c r="F137" s="16" t="s">
        <v>3042</v>
      </c>
      <c r="G137" s="17" t="s">
        <v>365</v>
      </c>
    </row>
    <row r="138" spans="1:7">
      <c r="A138" s="4" t="s">
        <v>304</v>
      </c>
      <c r="B138" s="5" t="s">
        <v>305</v>
      </c>
      <c r="C138" s="6"/>
      <c r="F138" s="16" t="s">
        <v>3043</v>
      </c>
      <c r="G138" s="17" t="s">
        <v>3044</v>
      </c>
    </row>
    <row r="139" spans="1:7">
      <c r="A139" s="4" t="s">
        <v>306</v>
      </c>
      <c r="B139" s="5" t="s">
        <v>307</v>
      </c>
      <c r="C139" s="6"/>
      <c r="F139" s="16" t="s">
        <v>3045</v>
      </c>
      <c r="G139" s="17" t="s">
        <v>3046</v>
      </c>
    </row>
    <row r="140" spans="1:7">
      <c r="A140" s="4" t="s">
        <v>308</v>
      </c>
      <c r="B140" s="5" t="s">
        <v>309</v>
      </c>
      <c r="C140" s="6"/>
      <c r="F140" s="16" t="s">
        <v>3047</v>
      </c>
      <c r="G140" s="17" t="s">
        <v>3048</v>
      </c>
    </row>
    <row r="141" spans="1:7">
      <c r="A141" s="4" t="s">
        <v>310</v>
      </c>
      <c r="B141" s="5" t="s">
        <v>311</v>
      </c>
      <c r="C141" s="6"/>
      <c r="F141" s="16" t="s">
        <v>3049</v>
      </c>
      <c r="G141" s="17" t="s">
        <v>3050</v>
      </c>
    </row>
    <row r="142" spans="1:7">
      <c r="A142" s="4" t="s">
        <v>312</v>
      </c>
      <c r="B142" s="5" t="s">
        <v>313</v>
      </c>
      <c r="C142" s="6"/>
      <c r="F142" s="16" t="s">
        <v>3051</v>
      </c>
      <c r="G142" s="17" t="s">
        <v>3052</v>
      </c>
    </row>
    <row r="143" spans="1:7">
      <c r="A143" s="4" t="s">
        <v>314</v>
      </c>
      <c r="B143" s="5" t="s">
        <v>315</v>
      </c>
      <c r="C143" s="6"/>
      <c r="F143" s="16" t="s">
        <v>3053</v>
      </c>
      <c r="G143" s="17" t="s">
        <v>3054</v>
      </c>
    </row>
    <row r="144" spans="1:7">
      <c r="A144" s="4" t="s">
        <v>316</v>
      </c>
      <c r="B144" s="5" t="s">
        <v>317</v>
      </c>
      <c r="C144" s="6"/>
      <c r="F144" s="16" t="s">
        <v>2798</v>
      </c>
      <c r="G144" s="17" t="s">
        <v>3661</v>
      </c>
    </row>
    <row r="145" spans="1:7">
      <c r="A145" s="4" t="s">
        <v>318</v>
      </c>
      <c r="B145" s="5" t="s">
        <v>319</v>
      </c>
      <c r="C145" s="6" t="s">
        <v>31</v>
      </c>
      <c r="F145" s="16" t="s">
        <v>2799</v>
      </c>
      <c r="G145" s="17" t="s">
        <v>3662</v>
      </c>
    </row>
    <row r="146" spans="1:7">
      <c r="A146" s="4" t="s">
        <v>320</v>
      </c>
      <c r="B146" s="5" t="s">
        <v>321</v>
      </c>
      <c r="C146" s="6"/>
      <c r="F146" s="16" t="s">
        <v>3055</v>
      </c>
      <c r="G146" s="17" t="s">
        <v>3056</v>
      </c>
    </row>
    <row r="147" spans="1:7">
      <c r="A147" s="4" t="s">
        <v>322</v>
      </c>
      <c r="B147" s="5" t="s">
        <v>323</v>
      </c>
      <c r="C147" s="6"/>
      <c r="F147" s="16" t="s">
        <v>3057</v>
      </c>
      <c r="G147" s="17" t="s">
        <v>3058</v>
      </c>
    </row>
    <row r="148" spans="1:7">
      <c r="A148" s="4" t="s">
        <v>324</v>
      </c>
      <c r="B148" s="5" t="s">
        <v>325</v>
      </c>
      <c r="C148" s="6"/>
      <c r="F148" s="16" t="s">
        <v>2800</v>
      </c>
      <c r="G148" s="17" t="s">
        <v>3663</v>
      </c>
    </row>
    <row r="149" spans="1:7">
      <c r="A149" s="4" t="s">
        <v>326</v>
      </c>
      <c r="B149" s="5" t="s">
        <v>327</v>
      </c>
      <c r="C149" s="6"/>
      <c r="F149" s="16" t="s">
        <v>2801</v>
      </c>
      <c r="G149" s="17" t="s">
        <v>3664</v>
      </c>
    </row>
    <row r="150" spans="1:7">
      <c r="A150" s="4" t="s">
        <v>328</v>
      </c>
      <c r="B150" s="5" t="s">
        <v>329</v>
      </c>
      <c r="C150" s="6"/>
      <c r="F150" s="16" t="s">
        <v>2802</v>
      </c>
      <c r="G150" s="17" t="s">
        <v>3665</v>
      </c>
    </row>
    <row r="151" spans="1:7">
      <c r="A151" s="4" t="s">
        <v>330</v>
      </c>
      <c r="B151" s="5" t="s">
        <v>331</v>
      </c>
      <c r="C151" s="6" t="s">
        <v>44</v>
      </c>
      <c r="F151" s="16" t="s">
        <v>2803</v>
      </c>
      <c r="G151" s="17" t="s">
        <v>3666</v>
      </c>
    </row>
    <row r="152" spans="1:7">
      <c r="A152" s="4" t="s">
        <v>332</v>
      </c>
      <c r="B152" s="5" t="s">
        <v>333</v>
      </c>
      <c r="C152" s="6" t="s">
        <v>44</v>
      </c>
      <c r="F152" s="16" t="s">
        <v>3059</v>
      </c>
      <c r="G152" s="17" t="s">
        <v>3060</v>
      </c>
    </row>
    <row r="153" spans="1:7">
      <c r="A153" s="4" t="s">
        <v>334</v>
      </c>
      <c r="B153" s="5" t="s">
        <v>335</v>
      </c>
      <c r="C153" s="6" t="s">
        <v>44</v>
      </c>
      <c r="F153" s="16" t="s">
        <v>3061</v>
      </c>
      <c r="G153" s="17" t="s">
        <v>3062</v>
      </c>
    </row>
    <row r="154" spans="1:7">
      <c r="A154" s="4" t="s">
        <v>336</v>
      </c>
      <c r="B154" s="5" t="s">
        <v>337</v>
      </c>
      <c r="C154" s="6" t="s">
        <v>338</v>
      </c>
      <c r="F154" s="16" t="s">
        <v>3063</v>
      </c>
      <c r="G154" s="17" t="s">
        <v>3064</v>
      </c>
    </row>
    <row r="155" spans="1:7">
      <c r="A155" s="4" t="s">
        <v>2</v>
      </c>
      <c r="B155" s="5" t="s">
        <v>339</v>
      </c>
      <c r="C155" s="6" t="s">
        <v>340</v>
      </c>
      <c r="F155" s="16" t="s">
        <v>3065</v>
      </c>
      <c r="G155" s="17" t="s">
        <v>3066</v>
      </c>
    </row>
    <row r="156" spans="1:7">
      <c r="A156" s="4" t="s">
        <v>341</v>
      </c>
      <c r="B156" s="5" t="s">
        <v>342</v>
      </c>
      <c r="C156" s="6" t="s">
        <v>343</v>
      </c>
      <c r="F156" s="16" t="s">
        <v>3067</v>
      </c>
      <c r="G156" s="17" t="s">
        <v>3068</v>
      </c>
    </row>
    <row r="157" spans="1:7">
      <c r="A157" s="4" t="s">
        <v>344</v>
      </c>
      <c r="B157" s="5" t="s">
        <v>345</v>
      </c>
      <c r="C157" s="6" t="s">
        <v>31</v>
      </c>
      <c r="F157" s="16" t="s">
        <v>3069</v>
      </c>
      <c r="G157" s="17" t="s">
        <v>3070</v>
      </c>
    </row>
    <row r="158" spans="1:7">
      <c r="A158" s="4" t="s">
        <v>346</v>
      </c>
      <c r="B158" s="5" t="s">
        <v>347</v>
      </c>
      <c r="C158" s="6" t="s">
        <v>348</v>
      </c>
      <c r="F158" s="16" t="s">
        <v>3071</v>
      </c>
      <c r="G158" s="17" t="s">
        <v>3039</v>
      </c>
    </row>
    <row r="159" spans="1:7">
      <c r="A159" s="4" t="s">
        <v>349</v>
      </c>
      <c r="B159" s="5" t="s">
        <v>350</v>
      </c>
      <c r="C159" s="6" t="s">
        <v>348</v>
      </c>
      <c r="F159" s="16" t="s">
        <v>3072</v>
      </c>
      <c r="G159" s="17" t="s">
        <v>3073</v>
      </c>
    </row>
    <row r="160" spans="1:7">
      <c r="A160" s="4" t="s">
        <v>351</v>
      </c>
      <c r="B160" s="5" t="s">
        <v>352</v>
      </c>
      <c r="C160" s="6" t="s">
        <v>31</v>
      </c>
      <c r="F160" s="16" t="s">
        <v>3074</v>
      </c>
      <c r="G160" s="17" t="s">
        <v>3075</v>
      </c>
    </row>
    <row r="161" spans="1:7">
      <c r="A161" s="4" t="s">
        <v>353</v>
      </c>
      <c r="B161" s="5" t="s">
        <v>354</v>
      </c>
      <c r="C161" s="6" t="s">
        <v>31</v>
      </c>
      <c r="F161" s="16" t="s">
        <v>3076</v>
      </c>
      <c r="G161" s="17" t="s">
        <v>3077</v>
      </c>
    </row>
    <row r="162" spans="1:7">
      <c r="A162" s="4" t="s">
        <v>355</v>
      </c>
      <c r="B162" s="5" t="s">
        <v>356</v>
      </c>
      <c r="C162" s="6" t="s">
        <v>31</v>
      </c>
      <c r="F162" s="16" t="s">
        <v>3078</v>
      </c>
      <c r="G162" s="17" t="s">
        <v>3079</v>
      </c>
    </row>
    <row r="163" spans="1:7">
      <c r="A163" s="4" t="s">
        <v>357</v>
      </c>
      <c r="B163" s="5" t="s">
        <v>358</v>
      </c>
      <c r="C163" s="6" t="s">
        <v>31</v>
      </c>
      <c r="F163" s="16" t="s">
        <v>3080</v>
      </c>
      <c r="G163" s="17" t="s">
        <v>3081</v>
      </c>
    </row>
    <row r="164" spans="1:7">
      <c r="A164" s="4" t="s">
        <v>359</v>
      </c>
      <c r="B164" s="5" t="s">
        <v>360</v>
      </c>
      <c r="C164" s="6" t="s">
        <v>348</v>
      </c>
      <c r="F164" s="16" t="s">
        <v>3082</v>
      </c>
      <c r="G164" s="17" t="s">
        <v>3083</v>
      </c>
    </row>
    <row r="165" spans="1:7">
      <c r="A165" s="4" t="s">
        <v>361</v>
      </c>
      <c r="B165" s="5" t="s">
        <v>362</v>
      </c>
      <c r="C165" s="6" t="s">
        <v>363</v>
      </c>
      <c r="F165" s="16" t="s">
        <v>3084</v>
      </c>
      <c r="G165" s="17" t="s">
        <v>3085</v>
      </c>
    </row>
    <row r="166" spans="1:7">
      <c r="A166" s="4" t="s">
        <v>364</v>
      </c>
      <c r="B166" s="5" t="s">
        <v>365</v>
      </c>
      <c r="C166" s="6" t="s">
        <v>363</v>
      </c>
      <c r="F166" s="16" t="s">
        <v>3086</v>
      </c>
      <c r="G166" s="17" t="s">
        <v>3087</v>
      </c>
    </row>
    <row r="167" spans="1:7">
      <c r="A167" s="4" t="s">
        <v>4</v>
      </c>
      <c r="B167" s="5" t="s">
        <v>366</v>
      </c>
      <c r="C167" s="6" t="s">
        <v>367</v>
      </c>
      <c r="F167" s="16" t="s">
        <v>3088</v>
      </c>
      <c r="G167" s="17" t="s">
        <v>3089</v>
      </c>
    </row>
    <row r="168" spans="1:7">
      <c r="A168" s="4" t="s">
        <v>368</v>
      </c>
      <c r="B168" s="5" t="s">
        <v>369</v>
      </c>
      <c r="C168" s="6" t="s">
        <v>44</v>
      </c>
      <c r="F168" s="16" t="s">
        <v>3090</v>
      </c>
      <c r="G168" s="17" t="s">
        <v>3091</v>
      </c>
    </row>
    <row r="169" spans="1:7">
      <c r="A169" s="4" t="s">
        <v>370</v>
      </c>
      <c r="B169" s="5" t="s">
        <v>371</v>
      </c>
      <c r="C169" s="6" t="s">
        <v>31</v>
      </c>
      <c r="F169" s="16" t="s">
        <v>3092</v>
      </c>
      <c r="G169" s="17" t="s">
        <v>3093</v>
      </c>
    </row>
    <row r="170" spans="1:7">
      <c r="A170" s="4" t="s">
        <v>372</v>
      </c>
      <c r="B170" s="5" t="s">
        <v>373</v>
      </c>
      <c r="C170" s="6" t="s">
        <v>44</v>
      </c>
      <c r="F170" s="16" t="s">
        <v>3094</v>
      </c>
      <c r="G170" s="17" t="s">
        <v>3095</v>
      </c>
    </row>
    <row r="171" spans="1:7">
      <c r="A171" s="4" t="s">
        <v>374</v>
      </c>
      <c r="B171" s="5" t="s">
        <v>375</v>
      </c>
      <c r="C171" s="6" t="s">
        <v>31</v>
      </c>
      <c r="F171" s="16" t="s">
        <v>3096</v>
      </c>
      <c r="G171" s="17" t="s">
        <v>3097</v>
      </c>
    </row>
    <row r="172" spans="1:7">
      <c r="A172" s="4" t="s">
        <v>376</v>
      </c>
      <c r="B172" s="5" t="s">
        <v>377</v>
      </c>
      <c r="C172" s="6" t="s">
        <v>31</v>
      </c>
      <c r="F172" s="16" t="s">
        <v>3098</v>
      </c>
      <c r="G172" s="17" t="s">
        <v>3099</v>
      </c>
    </row>
    <row r="173" spans="1:7">
      <c r="A173" s="4" t="s">
        <v>378</v>
      </c>
      <c r="B173" s="5" t="s">
        <v>379</v>
      </c>
      <c r="C173" s="6" t="s">
        <v>31</v>
      </c>
      <c r="F173" s="16" t="s">
        <v>3100</v>
      </c>
      <c r="G173" s="17" t="s">
        <v>3101</v>
      </c>
    </row>
    <row r="174" spans="1:7">
      <c r="A174" s="4" t="s">
        <v>380</v>
      </c>
      <c r="B174" s="5" t="s">
        <v>381</v>
      </c>
      <c r="C174" s="6" t="s">
        <v>31</v>
      </c>
      <c r="F174" s="16" t="s">
        <v>3102</v>
      </c>
      <c r="G174" s="17" t="s">
        <v>3103</v>
      </c>
    </row>
    <row r="175" spans="1:7">
      <c r="A175" s="4" t="s">
        <v>382</v>
      </c>
      <c r="B175" s="5" t="s">
        <v>383</v>
      </c>
      <c r="C175" s="6" t="s">
        <v>31</v>
      </c>
      <c r="F175" s="16" t="s">
        <v>3104</v>
      </c>
      <c r="G175" s="17" t="s">
        <v>3105</v>
      </c>
    </row>
    <row r="176" spans="1:7">
      <c r="A176" s="4" t="s">
        <v>384</v>
      </c>
      <c r="B176" s="5" t="s">
        <v>385</v>
      </c>
      <c r="C176" s="6" t="s">
        <v>44</v>
      </c>
      <c r="F176" s="16" t="s">
        <v>3106</v>
      </c>
      <c r="G176" s="17" t="s">
        <v>3107</v>
      </c>
    </row>
    <row r="177" spans="1:7">
      <c r="A177" s="4" t="s">
        <v>386</v>
      </c>
      <c r="B177" s="5" t="s">
        <v>387</v>
      </c>
      <c r="C177" s="6" t="s">
        <v>44</v>
      </c>
      <c r="F177" s="16" t="s">
        <v>3108</v>
      </c>
      <c r="G177" s="17" t="s">
        <v>3109</v>
      </c>
    </row>
    <row r="178" spans="1:7">
      <c r="A178" s="4" t="s">
        <v>388</v>
      </c>
      <c r="B178" s="5" t="s">
        <v>389</v>
      </c>
      <c r="C178" s="6" t="s">
        <v>31</v>
      </c>
      <c r="F178" s="16" t="s">
        <v>3110</v>
      </c>
      <c r="G178" s="17" t="s">
        <v>3111</v>
      </c>
    </row>
    <row r="179" spans="1:7">
      <c r="A179" s="4" t="s">
        <v>390</v>
      </c>
      <c r="B179" s="5" t="s">
        <v>391</v>
      </c>
      <c r="C179" s="6" t="s">
        <v>31</v>
      </c>
      <c r="F179" s="16" t="s">
        <v>3112</v>
      </c>
      <c r="G179" s="17" t="s">
        <v>3113</v>
      </c>
    </row>
    <row r="180" spans="1:7">
      <c r="A180" s="4" t="s">
        <v>392</v>
      </c>
      <c r="B180" s="5" t="s">
        <v>393</v>
      </c>
      <c r="C180" s="6" t="s">
        <v>31</v>
      </c>
      <c r="F180" s="16" t="s">
        <v>3114</v>
      </c>
      <c r="G180" s="17" t="s">
        <v>3115</v>
      </c>
    </row>
    <row r="181" spans="1:7">
      <c r="A181" s="4" t="s">
        <v>394</v>
      </c>
      <c r="B181" s="5" t="s">
        <v>395</v>
      </c>
      <c r="C181" s="6" t="s">
        <v>340</v>
      </c>
      <c r="F181" s="16" t="s">
        <v>3116</v>
      </c>
      <c r="G181" s="17" t="s">
        <v>3117</v>
      </c>
    </row>
    <row r="182" spans="1:7">
      <c r="A182" s="4" t="s">
        <v>396</v>
      </c>
      <c r="B182" s="5" t="s">
        <v>397</v>
      </c>
      <c r="C182" s="6" t="s">
        <v>340</v>
      </c>
      <c r="F182" s="16" t="s">
        <v>3118</v>
      </c>
      <c r="G182" s="17" t="s">
        <v>3119</v>
      </c>
    </row>
    <row r="183" spans="1:7">
      <c r="A183" s="4" t="s">
        <v>398</v>
      </c>
      <c r="B183" s="5" t="s">
        <v>399</v>
      </c>
      <c r="C183" s="6" t="s">
        <v>340</v>
      </c>
      <c r="F183" s="16" t="s">
        <v>3120</v>
      </c>
      <c r="G183" s="17" t="s">
        <v>3121</v>
      </c>
    </row>
    <row r="184" spans="1:7">
      <c r="A184" s="4" t="s">
        <v>400</v>
      </c>
      <c r="B184" s="5" t="s">
        <v>401</v>
      </c>
      <c r="C184" s="6" t="s">
        <v>31</v>
      </c>
      <c r="F184" s="16" t="s">
        <v>3122</v>
      </c>
      <c r="G184" s="17" t="s">
        <v>3123</v>
      </c>
    </row>
    <row r="185" spans="1:7">
      <c r="A185" s="4" t="s">
        <v>402</v>
      </c>
      <c r="B185" s="5" t="s">
        <v>403</v>
      </c>
      <c r="C185" s="6" t="s">
        <v>404</v>
      </c>
      <c r="F185" s="16" t="s">
        <v>3124</v>
      </c>
      <c r="G185" s="17" t="s">
        <v>3125</v>
      </c>
    </row>
    <row r="186" spans="1:7">
      <c r="A186" s="4" t="s">
        <v>405</v>
      </c>
      <c r="B186" s="5" t="s">
        <v>406</v>
      </c>
      <c r="C186" s="6"/>
      <c r="F186" s="16" t="s">
        <v>3126</v>
      </c>
      <c r="G186" s="17" t="s">
        <v>3127</v>
      </c>
    </row>
    <row r="187" spans="1:7">
      <c r="A187" s="4" t="s">
        <v>407</v>
      </c>
      <c r="B187" s="5" t="s">
        <v>408</v>
      </c>
      <c r="C187" s="6" t="s">
        <v>404</v>
      </c>
      <c r="F187" s="16" t="s">
        <v>3128</v>
      </c>
      <c r="G187" s="17" t="s">
        <v>3129</v>
      </c>
    </row>
    <row r="188" spans="1:7">
      <c r="A188" s="4" t="s">
        <v>409</v>
      </c>
      <c r="B188" s="5" t="s">
        <v>410</v>
      </c>
      <c r="C188" s="6" t="s">
        <v>404</v>
      </c>
      <c r="F188" s="16" t="s">
        <v>3130</v>
      </c>
      <c r="G188" s="17" t="s">
        <v>3131</v>
      </c>
    </row>
    <row r="189" spans="1:7">
      <c r="A189" s="4" t="s">
        <v>411</v>
      </c>
      <c r="B189" s="5" t="s">
        <v>412</v>
      </c>
      <c r="C189" s="6" t="s">
        <v>31</v>
      </c>
      <c r="F189" s="16" t="s">
        <v>3132</v>
      </c>
      <c r="G189" s="17" t="s">
        <v>3133</v>
      </c>
    </row>
    <row r="190" spans="1:7">
      <c r="A190" s="4" t="s">
        <v>413</v>
      </c>
      <c r="B190" s="5" t="s">
        <v>414</v>
      </c>
      <c r="C190" s="6"/>
      <c r="F190" s="16" t="s">
        <v>3134</v>
      </c>
      <c r="G190" s="17" t="s">
        <v>3135</v>
      </c>
    </row>
    <row r="191" spans="1:7">
      <c r="A191" s="4" t="s">
        <v>415</v>
      </c>
      <c r="B191" s="5" t="s">
        <v>416</v>
      </c>
      <c r="C191" s="6"/>
      <c r="F191" s="16" t="s">
        <v>3136</v>
      </c>
      <c r="G191" s="17" t="s">
        <v>3137</v>
      </c>
    </row>
    <row r="192" spans="1:7">
      <c r="A192" s="4" t="s">
        <v>417</v>
      </c>
      <c r="B192" s="5" t="s">
        <v>418</v>
      </c>
      <c r="C192" s="6"/>
      <c r="F192" s="16" t="s">
        <v>3138</v>
      </c>
      <c r="G192" s="17" t="s">
        <v>3139</v>
      </c>
    </row>
    <row r="193" spans="1:7">
      <c r="A193" s="4" t="s">
        <v>419</v>
      </c>
      <c r="B193" s="5" t="s">
        <v>420</v>
      </c>
      <c r="C193" s="6" t="s">
        <v>404</v>
      </c>
      <c r="F193" s="16" t="s">
        <v>3140</v>
      </c>
      <c r="G193" s="17" t="s">
        <v>3141</v>
      </c>
    </row>
    <row r="194" spans="1:7">
      <c r="A194" s="4" t="s">
        <v>5</v>
      </c>
      <c r="B194" s="5" t="s">
        <v>421</v>
      </c>
      <c r="C194" s="6" t="s">
        <v>404</v>
      </c>
      <c r="F194" s="16" t="s">
        <v>3142</v>
      </c>
      <c r="G194" s="17" t="s">
        <v>3143</v>
      </c>
    </row>
    <row r="195" spans="1:7">
      <c r="A195" s="4" t="s">
        <v>422</v>
      </c>
      <c r="B195" s="5" t="s">
        <v>423</v>
      </c>
      <c r="C195" s="6"/>
      <c r="F195" s="16" t="s">
        <v>3144</v>
      </c>
      <c r="G195" s="17" t="s">
        <v>3145</v>
      </c>
    </row>
    <row r="196" spans="1:7">
      <c r="A196" s="4" t="s">
        <v>424</v>
      </c>
      <c r="B196" s="5" t="s">
        <v>425</v>
      </c>
      <c r="C196" s="6" t="s">
        <v>404</v>
      </c>
      <c r="F196" s="16" t="s">
        <v>3146</v>
      </c>
      <c r="G196" s="17" t="s">
        <v>3147</v>
      </c>
    </row>
    <row r="197" spans="1:7">
      <c r="A197" s="4" t="s">
        <v>426</v>
      </c>
      <c r="B197" s="5" t="s">
        <v>427</v>
      </c>
      <c r="C197" s="6" t="s">
        <v>31</v>
      </c>
      <c r="F197" s="16" t="s">
        <v>3148</v>
      </c>
      <c r="G197" s="17" t="s">
        <v>3149</v>
      </c>
    </row>
    <row r="198" spans="1:7">
      <c r="A198" s="4" t="s">
        <v>428</v>
      </c>
      <c r="B198" s="5" t="s">
        <v>429</v>
      </c>
      <c r="C198" s="6" t="s">
        <v>404</v>
      </c>
      <c r="F198" s="16" t="s">
        <v>3150</v>
      </c>
      <c r="G198" s="17" t="s">
        <v>3151</v>
      </c>
    </row>
    <row r="199" spans="1:7">
      <c r="A199" s="4" t="s">
        <v>430</v>
      </c>
      <c r="B199" s="5" t="s">
        <v>431</v>
      </c>
      <c r="C199" s="6" t="s">
        <v>404</v>
      </c>
      <c r="F199" s="16" t="s">
        <v>3152</v>
      </c>
      <c r="G199" s="17" t="s">
        <v>3153</v>
      </c>
    </row>
    <row r="200" spans="1:7">
      <c r="A200" s="4" t="s">
        <v>432</v>
      </c>
      <c r="B200" s="5" t="s">
        <v>433</v>
      </c>
      <c r="C200" s="6" t="s">
        <v>404</v>
      </c>
      <c r="F200" s="16" t="s">
        <v>3154</v>
      </c>
      <c r="G200" s="17" t="s">
        <v>3155</v>
      </c>
    </row>
    <row r="201" spans="1:7">
      <c r="A201" s="4" t="s">
        <v>434</v>
      </c>
      <c r="B201" s="5" t="s">
        <v>435</v>
      </c>
      <c r="C201" s="6"/>
      <c r="F201" s="16" t="s">
        <v>3156</v>
      </c>
      <c r="G201" s="17" t="s">
        <v>3157</v>
      </c>
    </row>
    <row r="202" spans="1:7">
      <c r="A202" s="4" t="s">
        <v>436</v>
      </c>
      <c r="B202" s="5" t="s">
        <v>437</v>
      </c>
      <c r="C202" s="6" t="s">
        <v>340</v>
      </c>
      <c r="F202" s="16" t="s">
        <v>3158</v>
      </c>
      <c r="G202" s="17" t="s">
        <v>3159</v>
      </c>
    </row>
    <row r="203" spans="1:7">
      <c r="A203" s="4" t="s">
        <v>438</v>
      </c>
      <c r="B203" s="5" t="s">
        <v>439</v>
      </c>
      <c r="C203" s="6"/>
      <c r="F203" s="16" t="s">
        <v>3160</v>
      </c>
      <c r="G203" s="17" t="s">
        <v>3161</v>
      </c>
    </row>
    <row r="204" spans="1:7">
      <c r="A204" s="4" t="s">
        <v>440</v>
      </c>
      <c r="B204" s="5" t="s">
        <v>441</v>
      </c>
      <c r="C204" s="6" t="s">
        <v>340</v>
      </c>
      <c r="F204" s="16" t="s">
        <v>3162</v>
      </c>
      <c r="G204" s="17" t="s">
        <v>3163</v>
      </c>
    </row>
    <row r="205" spans="1:7">
      <c r="A205" s="4" t="s">
        <v>442</v>
      </c>
      <c r="B205" s="5" t="s">
        <v>443</v>
      </c>
      <c r="C205" s="6" t="s">
        <v>340</v>
      </c>
      <c r="F205" s="16" t="s">
        <v>3164</v>
      </c>
      <c r="G205" s="17" t="s">
        <v>3165</v>
      </c>
    </row>
    <row r="206" spans="1:7">
      <c r="A206" s="4" t="s">
        <v>444</v>
      </c>
      <c r="B206" s="5" t="s">
        <v>445</v>
      </c>
      <c r="C206" s="6"/>
      <c r="F206" s="16" t="s">
        <v>3166</v>
      </c>
      <c r="G206" s="17" t="s">
        <v>3167</v>
      </c>
    </row>
    <row r="207" spans="1:7">
      <c r="A207" s="4" t="s">
        <v>446</v>
      </c>
      <c r="B207" s="5" t="s">
        <v>447</v>
      </c>
      <c r="C207" s="6" t="s">
        <v>340</v>
      </c>
      <c r="F207" s="16" t="s">
        <v>3168</v>
      </c>
      <c r="G207" s="17" t="s">
        <v>3169</v>
      </c>
    </row>
    <row r="208" spans="1:7">
      <c r="A208" s="4" t="s">
        <v>448</v>
      </c>
      <c r="B208" s="5" t="s">
        <v>449</v>
      </c>
      <c r="C208" s="6"/>
      <c r="F208" s="16" t="s">
        <v>3170</v>
      </c>
      <c r="G208" s="17" t="s">
        <v>3171</v>
      </c>
    </row>
    <row r="209" spans="1:7">
      <c r="A209" s="4" t="s">
        <v>450</v>
      </c>
      <c r="B209" s="5" t="s">
        <v>451</v>
      </c>
      <c r="C209" s="6" t="s">
        <v>340</v>
      </c>
      <c r="F209" s="16" t="s">
        <v>3172</v>
      </c>
      <c r="G209" s="17" t="s">
        <v>3173</v>
      </c>
    </row>
    <row r="210" spans="1:7">
      <c r="A210" s="4" t="s">
        <v>452</v>
      </c>
      <c r="B210" s="5" t="s">
        <v>453</v>
      </c>
      <c r="C210" s="6"/>
      <c r="F210" s="16" t="s">
        <v>3174</v>
      </c>
      <c r="G210" s="17" t="s">
        <v>3175</v>
      </c>
    </row>
    <row r="211" spans="1:7">
      <c r="A211" s="4" t="s">
        <v>454</v>
      </c>
      <c r="B211" s="5" t="s">
        <v>455</v>
      </c>
      <c r="C211" s="6" t="s">
        <v>44</v>
      </c>
      <c r="F211" s="16" t="s">
        <v>3176</v>
      </c>
      <c r="G211" s="17" t="s">
        <v>3177</v>
      </c>
    </row>
    <row r="212" spans="1:7">
      <c r="A212" s="4" t="s">
        <v>6</v>
      </c>
      <c r="B212" s="5" t="s">
        <v>456</v>
      </c>
      <c r="C212" s="6" t="s">
        <v>457</v>
      </c>
      <c r="F212" s="16" t="s">
        <v>3178</v>
      </c>
      <c r="G212" s="17" t="s">
        <v>3179</v>
      </c>
    </row>
    <row r="213" spans="1:7">
      <c r="A213" s="4" t="s">
        <v>458</v>
      </c>
      <c r="B213" s="5" t="s">
        <v>459</v>
      </c>
      <c r="C213" s="6" t="s">
        <v>457</v>
      </c>
      <c r="F213" s="16" t="s">
        <v>3180</v>
      </c>
      <c r="G213" s="17" t="s">
        <v>3181</v>
      </c>
    </row>
    <row r="214" spans="1:7">
      <c r="A214" s="4" t="s">
        <v>25</v>
      </c>
      <c r="B214" s="5" t="s">
        <v>460</v>
      </c>
      <c r="C214" s="6" t="s">
        <v>461</v>
      </c>
      <c r="F214" s="16" t="s">
        <v>3182</v>
      </c>
      <c r="G214" s="17" t="s">
        <v>3183</v>
      </c>
    </row>
    <row r="215" spans="1:7">
      <c r="A215" s="4" t="s">
        <v>462</v>
      </c>
      <c r="B215" s="5" t="s">
        <v>463</v>
      </c>
      <c r="C215" s="6" t="s">
        <v>457</v>
      </c>
      <c r="F215" s="16" t="s">
        <v>3184</v>
      </c>
      <c r="G215" s="17" t="s">
        <v>3185</v>
      </c>
    </row>
    <row r="216" spans="1:7">
      <c r="A216" s="4" t="s">
        <v>464</v>
      </c>
      <c r="B216" s="5" t="s">
        <v>465</v>
      </c>
      <c r="C216" s="6" t="s">
        <v>457</v>
      </c>
      <c r="F216" s="16" t="s">
        <v>3186</v>
      </c>
      <c r="G216" s="17" t="s">
        <v>3187</v>
      </c>
    </row>
    <row r="217" spans="1:7">
      <c r="A217" s="4" t="s">
        <v>466</v>
      </c>
      <c r="B217" s="5" t="s">
        <v>467</v>
      </c>
      <c r="C217" s="6" t="s">
        <v>457</v>
      </c>
      <c r="F217" s="16" t="s">
        <v>3188</v>
      </c>
      <c r="G217" s="17" t="s">
        <v>3189</v>
      </c>
    </row>
    <row r="218" spans="1:7">
      <c r="A218" s="4" t="s">
        <v>468</v>
      </c>
      <c r="B218" s="5" t="s">
        <v>469</v>
      </c>
      <c r="C218" s="6" t="s">
        <v>457</v>
      </c>
      <c r="F218" s="16" t="s">
        <v>3190</v>
      </c>
      <c r="G218" s="17" t="s">
        <v>3191</v>
      </c>
    </row>
    <row r="219" spans="1:7">
      <c r="A219" s="4" t="s">
        <v>470</v>
      </c>
      <c r="B219" s="5" t="s">
        <v>471</v>
      </c>
      <c r="C219" s="6" t="s">
        <v>457</v>
      </c>
      <c r="F219" s="16" t="s">
        <v>3192</v>
      </c>
      <c r="G219" s="17" t="s">
        <v>3193</v>
      </c>
    </row>
    <row r="220" spans="1:7">
      <c r="A220" s="4" t="s">
        <v>472</v>
      </c>
      <c r="B220" s="5" t="s">
        <v>473</v>
      </c>
      <c r="C220" s="6" t="s">
        <v>457</v>
      </c>
      <c r="F220" s="16" t="s">
        <v>3194</v>
      </c>
      <c r="G220" s="17" t="s">
        <v>3195</v>
      </c>
    </row>
    <row r="221" spans="1:7">
      <c r="A221" s="4" t="s">
        <v>474</v>
      </c>
      <c r="B221" s="5" t="s">
        <v>475</v>
      </c>
      <c r="C221" s="6" t="s">
        <v>457</v>
      </c>
      <c r="F221" s="16" t="s">
        <v>3196</v>
      </c>
      <c r="G221" s="17" t="s">
        <v>3197</v>
      </c>
    </row>
    <row r="222" spans="1:7">
      <c r="A222" s="4" t="s">
        <v>476</v>
      </c>
      <c r="B222" s="5" t="s">
        <v>477</v>
      </c>
      <c r="C222" s="6" t="s">
        <v>457</v>
      </c>
      <c r="F222" s="16" t="s">
        <v>3198</v>
      </c>
      <c r="G222" s="17" t="s">
        <v>3199</v>
      </c>
    </row>
    <row r="223" spans="1:7">
      <c r="A223" s="4" t="s">
        <v>478</v>
      </c>
      <c r="B223" s="5" t="s">
        <v>479</v>
      </c>
      <c r="C223" s="6" t="s">
        <v>457</v>
      </c>
      <c r="F223" s="16" t="s">
        <v>3200</v>
      </c>
      <c r="G223" s="17" t="s">
        <v>3201</v>
      </c>
    </row>
    <row r="224" spans="1:7">
      <c r="A224" s="4" t="s">
        <v>480</v>
      </c>
      <c r="B224" s="5" t="s">
        <v>481</v>
      </c>
      <c r="C224" s="6" t="s">
        <v>457</v>
      </c>
      <c r="F224" s="16" t="s">
        <v>3202</v>
      </c>
      <c r="G224" s="17" t="s">
        <v>3203</v>
      </c>
    </row>
    <row r="225" spans="1:7">
      <c r="A225" s="4" t="s">
        <v>482</v>
      </c>
      <c r="B225" s="5" t="s">
        <v>483</v>
      </c>
      <c r="C225" s="6" t="s">
        <v>457</v>
      </c>
      <c r="F225" s="16" t="s">
        <v>3204</v>
      </c>
      <c r="G225" s="17" t="s">
        <v>3205</v>
      </c>
    </row>
    <row r="226" spans="1:7">
      <c r="A226" s="4" t="s">
        <v>484</v>
      </c>
      <c r="B226" s="5" t="s">
        <v>485</v>
      </c>
      <c r="C226" s="6" t="s">
        <v>457</v>
      </c>
      <c r="F226" s="16" t="s">
        <v>3206</v>
      </c>
      <c r="G226" s="17" t="s">
        <v>3207</v>
      </c>
    </row>
    <row r="227" spans="1:7">
      <c r="A227" s="4" t="s">
        <v>486</v>
      </c>
      <c r="B227" s="5" t="s">
        <v>487</v>
      </c>
      <c r="C227" s="6" t="s">
        <v>457</v>
      </c>
      <c r="F227" s="16" t="s">
        <v>3208</v>
      </c>
      <c r="G227" s="17" t="s">
        <v>3209</v>
      </c>
    </row>
    <row r="228" spans="1:7">
      <c r="A228" s="4" t="s">
        <v>488</v>
      </c>
      <c r="B228" s="5" t="s">
        <v>489</v>
      </c>
      <c r="C228" s="6"/>
      <c r="F228" s="16" t="s">
        <v>3210</v>
      </c>
      <c r="G228" s="17" t="s">
        <v>3211</v>
      </c>
    </row>
    <row r="229" spans="1:7">
      <c r="A229" s="4" t="s">
        <v>490</v>
      </c>
      <c r="B229" s="5" t="s">
        <v>491</v>
      </c>
      <c r="C229" s="6" t="s">
        <v>348</v>
      </c>
      <c r="F229" s="16" t="s">
        <v>3212</v>
      </c>
      <c r="G229" s="17" t="s">
        <v>3213</v>
      </c>
    </row>
    <row r="230" spans="1:7">
      <c r="A230" s="4" t="s">
        <v>492</v>
      </c>
      <c r="B230" s="5" t="s">
        <v>493</v>
      </c>
      <c r="C230" s="6" t="s">
        <v>404</v>
      </c>
      <c r="F230" s="16" t="s">
        <v>3214</v>
      </c>
      <c r="G230" s="17" t="s">
        <v>3215</v>
      </c>
    </row>
    <row r="231" spans="1:7">
      <c r="A231" s="4" t="s">
        <v>494</v>
      </c>
      <c r="B231" s="5" t="s">
        <v>495</v>
      </c>
      <c r="C231" s="6" t="s">
        <v>340</v>
      </c>
      <c r="F231" s="16" t="s">
        <v>3216</v>
      </c>
      <c r="G231" s="17" t="s">
        <v>3217</v>
      </c>
    </row>
    <row r="232" spans="1:7">
      <c r="A232" s="4" t="s">
        <v>496</v>
      </c>
      <c r="B232" s="5" t="s">
        <v>497</v>
      </c>
      <c r="C232" s="6" t="s">
        <v>457</v>
      </c>
      <c r="F232" s="16" t="s">
        <v>3218</v>
      </c>
      <c r="G232" s="17" t="s">
        <v>3219</v>
      </c>
    </row>
    <row r="233" spans="1:7">
      <c r="A233" s="4" t="s">
        <v>498</v>
      </c>
      <c r="B233" s="5" t="s">
        <v>499</v>
      </c>
      <c r="C233" s="6" t="s">
        <v>44</v>
      </c>
      <c r="F233" s="16" t="s">
        <v>3220</v>
      </c>
      <c r="G233" s="17" t="s">
        <v>2808</v>
      </c>
    </row>
    <row r="234" spans="1:7">
      <c r="A234" s="4" t="s">
        <v>500</v>
      </c>
      <c r="B234" s="5" t="s">
        <v>501</v>
      </c>
      <c r="C234" s="6" t="s">
        <v>44</v>
      </c>
      <c r="F234" s="16" t="s">
        <v>3221</v>
      </c>
      <c r="G234" s="17" t="s">
        <v>3222</v>
      </c>
    </row>
    <row r="235" spans="1:7">
      <c r="A235" s="4" t="s">
        <v>502</v>
      </c>
      <c r="B235" s="5" t="s">
        <v>503</v>
      </c>
      <c r="C235" s="6" t="s">
        <v>241</v>
      </c>
      <c r="F235" s="16" t="s">
        <v>3223</v>
      </c>
      <c r="G235" s="17" t="s">
        <v>3224</v>
      </c>
    </row>
    <row r="236" spans="1:7">
      <c r="A236" s="4" t="s">
        <v>504</v>
      </c>
      <c r="B236" s="5" t="s">
        <v>505</v>
      </c>
      <c r="C236" s="6"/>
      <c r="F236" s="16" t="s">
        <v>3225</v>
      </c>
      <c r="G236" s="17" t="s">
        <v>3226</v>
      </c>
    </row>
    <row r="237" spans="1:7">
      <c r="A237" s="4" t="s">
        <v>506</v>
      </c>
      <c r="B237" s="5" t="s">
        <v>507</v>
      </c>
      <c r="C237" s="6"/>
      <c r="F237" s="16" t="s">
        <v>3227</v>
      </c>
      <c r="G237" s="17" t="s">
        <v>3228</v>
      </c>
    </row>
    <row r="238" spans="1:7">
      <c r="A238" s="4" t="s">
        <v>508</v>
      </c>
      <c r="B238" s="5" t="s">
        <v>509</v>
      </c>
      <c r="C238" s="6" t="s">
        <v>31</v>
      </c>
      <c r="F238" s="16" t="s">
        <v>3229</v>
      </c>
      <c r="G238" s="17" t="s">
        <v>3230</v>
      </c>
    </row>
    <row r="239" spans="1:7">
      <c r="A239" s="4" t="s">
        <v>510</v>
      </c>
      <c r="B239" s="5" t="s">
        <v>511</v>
      </c>
      <c r="C239" s="6" t="s">
        <v>338</v>
      </c>
      <c r="F239" s="16" t="s">
        <v>3231</v>
      </c>
      <c r="G239" s="17" t="s">
        <v>3232</v>
      </c>
    </row>
    <row r="240" spans="1:7">
      <c r="A240" s="4" t="s">
        <v>512</v>
      </c>
      <c r="B240" s="5" t="s">
        <v>513</v>
      </c>
      <c r="C240" s="6"/>
      <c r="F240" s="16" t="s">
        <v>3233</v>
      </c>
      <c r="G240" s="17" t="s">
        <v>3234</v>
      </c>
    </row>
    <row r="241" spans="1:7">
      <c r="A241" s="4" t="s">
        <v>514</v>
      </c>
      <c r="B241" s="5" t="s">
        <v>515</v>
      </c>
      <c r="C241" s="6" t="s">
        <v>241</v>
      </c>
      <c r="F241" s="16" t="s">
        <v>3235</v>
      </c>
      <c r="G241" s="17" t="s">
        <v>3236</v>
      </c>
    </row>
    <row r="242" spans="1:7">
      <c r="A242" s="4" t="s">
        <v>516</v>
      </c>
      <c r="B242" s="5" t="s">
        <v>517</v>
      </c>
      <c r="C242" s="6" t="s">
        <v>241</v>
      </c>
      <c r="F242" s="16" t="s">
        <v>3237</v>
      </c>
      <c r="G242" s="17" t="s">
        <v>3238</v>
      </c>
    </row>
    <row r="243" spans="1:7">
      <c r="A243" s="4" t="s">
        <v>518</v>
      </c>
      <c r="B243" s="5" t="s">
        <v>519</v>
      </c>
      <c r="C243" s="6" t="s">
        <v>241</v>
      </c>
      <c r="F243" s="16" t="s">
        <v>3239</v>
      </c>
      <c r="G243" s="17" t="s">
        <v>3240</v>
      </c>
    </row>
    <row r="244" spans="1:7">
      <c r="A244" s="4" t="s">
        <v>520</v>
      </c>
      <c r="B244" s="5" t="s">
        <v>521</v>
      </c>
      <c r="C244" s="6" t="s">
        <v>31</v>
      </c>
      <c r="F244" s="16" t="s">
        <v>3241</v>
      </c>
      <c r="G244" s="17" t="s">
        <v>3242</v>
      </c>
    </row>
    <row r="245" spans="1:7">
      <c r="A245" s="4" t="s">
        <v>522</v>
      </c>
      <c r="B245" s="5" t="s">
        <v>523</v>
      </c>
      <c r="C245" s="6" t="s">
        <v>241</v>
      </c>
      <c r="F245" s="16" t="s">
        <v>3243</v>
      </c>
      <c r="G245" s="17" t="s">
        <v>3244</v>
      </c>
    </row>
    <row r="246" spans="1:7">
      <c r="A246" s="4" t="s">
        <v>524</v>
      </c>
      <c r="B246" s="5" t="s">
        <v>525</v>
      </c>
      <c r="C246" s="6" t="s">
        <v>241</v>
      </c>
      <c r="F246" s="16" t="s">
        <v>3245</v>
      </c>
      <c r="G246" s="17" t="s">
        <v>3246</v>
      </c>
    </row>
    <row r="247" spans="1:7">
      <c r="A247" s="4" t="s">
        <v>526</v>
      </c>
      <c r="B247" s="5" t="s">
        <v>527</v>
      </c>
      <c r="C247" s="6" t="s">
        <v>528</v>
      </c>
      <c r="F247" s="16" t="s">
        <v>3247</v>
      </c>
      <c r="G247" s="17" t="s">
        <v>3248</v>
      </c>
    </row>
    <row r="248" spans="1:7">
      <c r="A248" s="4" t="s">
        <v>529</v>
      </c>
      <c r="B248" s="5" t="s">
        <v>530</v>
      </c>
      <c r="C248" s="6" t="s">
        <v>528</v>
      </c>
      <c r="F248" s="16" t="s">
        <v>3249</v>
      </c>
      <c r="G248" s="17" t="s">
        <v>3250</v>
      </c>
    </row>
    <row r="249" spans="1:7">
      <c r="A249" s="4" t="s">
        <v>531</v>
      </c>
      <c r="B249" s="5" t="s">
        <v>532</v>
      </c>
      <c r="C249" s="6"/>
      <c r="F249" s="16" t="s">
        <v>3251</v>
      </c>
      <c r="G249" s="17" t="s">
        <v>3252</v>
      </c>
    </row>
    <row r="250" spans="1:7">
      <c r="A250" s="4" t="s">
        <v>533</v>
      </c>
      <c r="B250" s="5" t="s">
        <v>534</v>
      </c>
      <c r="C250" s="6" t="s">
        <v>241</v>
      </c>
      <c r="F250" s="16" t="s">
        <v>3253</v>
      </c>
      <c r="G250" s="17" t="s">
        <v>3254</v>
      </c>
    </row>
    <row r="251" spans="1:7">
      <c r="A251" s="4" t="s">
        <v>535</v>
      </c>
      <c r="B251" s="5" t="s">
        <v>536</v>
      </c>
      <c r="C251" s="6" t="s">
        <v>241</v>
      </c>
      <c r="F251" s="16" t="s">
        <v>3255</v>
      </c>
      <c r="G251" s="17" t="s">
        <v>3256</v>
      </c>
    </row>
    <row r="252" spans="1:7">
      <c r="A252" s="4" t="s">
        <v>537</v>
      </c>
      <c r="B252" s="5" t="s">
        <v>538</v>
      </c>
      <c r="C252" s="6"/>
      <c r="F252" s="16" t="s">
        <v>3257</v>
      </c>
      <c r="G252" s="17" t="s">
        <v>3258</v>
      </c>
    </row>
    <row r="253" spans="1:7">
      <c r="A253" s="4" t="s">
        <v>539</v>
      </c>
      <c r="B253" s="5" t="s">
        <v>540</v>
      </c>
      <c r="C253" s="6"/>
      <c r="F253" s="16" t="s">
        <v>3259</v>
      </c>
      <c r="G253" s="17" t="s">
        <v>3260</v>
      </c>
    </row>
    <row r="254" spans="1:7">
      <c r="A254" s="4" t="s">
        <v>541</v>
      </c>
      <c r="B254" s="5" t="s">
        <v>542</v>
      </c>
      <c r="C254" s="6" t="s">
        <v>241</v>
      </c>
      <c r="F254" s="16" t="s">
        <v>3261</v>
      </c>
      <c r="G254" s="17" t="s">
        <v>3262</v>
      </c>
    </row>
    <row r="255" spans="1:7">
      <c r="A255" s="4" t="s">
        <v>543</v>
      </c>
      <c r="B255" s="5" t="s">
        <v>544</v>
      </c>
      <c r="C255" s="6" t="s">
        <v>241</v>
      </c>
      <c r="F255" s="16" t="s">
        <v>3263</v>
      </c>
      <c r="G255" s="17" t="s">
        <v>3264</v>
      </c>
    </row>
    <row r="256" spans="1:7">
      <c r="A256" s="4" t="s">
        <v>545</v>
      </c>
      <c r="B256" s="5" t="s">
        <v>546</v>
      </c>
      <c r="C256" s="6"/>
      <c r="F256" s="16" t="s">
        <v>3265</v>
      </c>
      <c r="G256" s="17" t="s">
        <v>3266</v>
      </c>
    </row>
    <row r="257" spans="1:7">
      <c r="A257" s="4" t="s">
        <v>547</v>
      </c>
      <c r="B257" s="5" t="s">
        <v>548</v>
      </c>
      <c r="C257" s="6" t="s">
        <v>241</v>
      </c>
      <c r="F257" s="16" t="s">
        <v>3267</v>
      </c>
      <c r="G257" s="17" t="s">
        <v>3268</v>
      </c>
    </row>
    <row r="258" spans="1:7">
      <c r="A258" s="4" t="s">
        <v>549</v>
      </c>
      <c r="B258" s="5" t="s">
        <v>550</v>
      </c>
      <c r="C258" s="6" t="s">
        <v>241</v>
      </c>
      <c r="F258" s="16" t="s">
        <v>3269</v>
      </c>
      <c r="G258" s="17" t="s">
        <v>3270</v>
      </c>
    </row>
    <row r="259" spans="1:7">
      <c r="A259" s="4" t="s">
        <v>551</v>
      </c>
      <c r="B259" s="5" t="s">
        <v>552</v>
      </c>
      <c r="C259" s="6" t="s">
        <v>241</v>
      </c>
      <c r="F259" s="16" t="s">
        <v>3271</v>
      </c>
      <c r="G259" s="17" t="s">
        <v>3272</v>
      </c>
    </row>
    <row r="260" spans="1:7">
      <c r="A260" s="4" t="s">
        <v>553</v>
      </c>
      <c r="B260" s="5" t="s">
        <v>554</v>
      </c>
      <c r="C260" s="6" t="s">
        <v>241</v>
      </c>
      <c r="F260" s="16" t="s">
        <v>3273</v>
      </c>
      <c r="G260" s="17" t="s">
        <v>3274</v>
      </c>
    </row>
    <row r="261" spans="1:7">
      <c r="A261" s="4" t="s">
        <v>555</v>
      </c>
      <c r="B261" s="5" t="s">
        <v>556</v>
      </c>
      <c r="C261" s="6" t="s">
        <v>241</v>
      </c>
      <c r="F261" s="16" t="s">
        <v>3275</v>
      </c>
      <c r="G261" s="17" t="s">
        <v>3276</v>
      </c>
    </row>
    <row r="262" spans="1:7">
      <c r="A262" s="4" t="s">
        <v>557</v>
      </c>
      <c r="B262" s="5" t="s">
        <v>558</v>
      </c>
      <c r="C262" s="6"/>
      <c r="F262" s="16" t="s">
        <v>3277</v>
      </c>
      <c r="G262" s="17" t="s">
        <v>3278</v>
      </c>
    </row>
    <row r="263" spans="1:7">
      <c r="A263" s="4" t="s">
        <v>559</v>
      </c>
      <c r="B263" s="5" t="s">
        <v>560</v>
      </c>
      <c r="C263" s="6" t="s">
        <v>241</v>
      </c>
      <c r="F263" s="16" t="s">
        <v>3279</v>
      </c>
      <c r="G263" s="17" t="s">
        <v>3280</v>
      </c>
    </row>
    <row r="264" spans="1:7">
      <c r="A264" s="4" t="s">
        <v>561</v>
      </c>
      <c r="B264" s="5" t="s">
        <v>562</v>
      </c>
      <c r="C264" s="6" t="s">
        <v>241</v>
      </c>
      <c r="F264" s="16" t="s">
        <v>3281</v>
      </c>
      <c r="G264" s="17" t="s">
        <v>3282</v>
      </c>
    </row>
    <row r="265" spans="1:7">
      <c r="A265" s="4" t="s">
        <v>563</v>
      </c>
      <c r="B265" s="5" t="s">
        <v>564</v>
      </c>
      <c r="C265" s="6" t="s">
        <v>241</v>
      </c>
      <c r="F265" s="16" t="s">
        <v>3283</v>
      </c>
      <c r="G265" s="17" t="s">
        <v>3284</v>
      </c>
    </row>
    <row r="266" spans="1:7">
      <c r="A266" s="4" t="s">
        <v>565</v>
      </c>
      <c r="B266" s="5" t="s">
        <v>566</v>
      </c>
      <c r="C266" s="6" t="s">
        <v>241</v>
      </c>
      <c r="F266" s="16" t="s">
        <v>3285</v>
      </c>
      <c r="G266" s="17" t="s">
        <v>3286</v>
      </c>
    </row>
    <row r="267" spans="1:7">
      <c r="A267" s="4" t="s">
        <v>567</v>
      </c>
      <c r="B267" s="5" t="s">
        <v>568</v>
      </c>
      <c r="C267" s="6" t="s">
        <v>31</v>
      </c>
      <c r="F267" s="16" t="s">
        <v>3287</v>
      </c>
      <c r="G267" s="17" t="s">
        <v>3288</v>
      </c>
    </row>
    <row r="268" spans="1:7">
      <c r="A268" s="4" t="s">
        <v>569</v>
      </c>
      <c r="B268" s="5" t="s">
        <v>570</v>
      </c>
      <c r="C268" s="6" t="s">
        <v>241</v>
      </c>
      <c r="F268" s="16" t="s">
        <v>3289</v>
      </c>
      <c r="G268" s="17" t="s">
        <v>3290</v>
      </c>
    </row>
    <row r="269" spans="1:7">
      <c r="A269" s="4" t="s">
        <v>571</v>
      </c>
      <c r="B269" s="5" t="s">
        <v>572</v>
      </c>
      <c r="C269" s="6" t="s">
        <v>241</v>
      </c>
      <c r="F269" s="16" t="s">
        <v>3291</v>
      </c>
      <c r="G269" s="17" t="s">
        <v>3292</v>
      </c>
    </row>
    <row r="270" spans="1:7">
      <c r="A270" s="4" t="s">
        <v>573</v>
      </c>
      <c r="B270" s="5" t="s">
        <v>574</v>
      </c>
      <c r="C270" s="6" t="s">
        <v>241</v>
      </c>
      <c r="F270" s="16" t="s">
        <v>3293</v>
      </c>
      <c r="G270" s="17" t="s">
        <v>3294</v>
      </c>
    </row>
    <row r="271" spans="1:7">
      <c r="A271" s="4" t="s">
        <v>575</v>
      </c>
      <c r="B271" s="5" t="s">
        <v>576</v>
      </c>
      <c r="C271" s="6" t="s">
        <v>31</v>
      </c>
      <c r="F271" s="16" t="s">
        <v>3295</v>
      </c>
      <c r="G271" s="17" t="s">
        <v>3296</v>
      </c>
    </row>
    <row r="272" spans="1:7">
      <c r="A272" s="4" t="s">
        <v>577</v>
      </c>
      <c r="B272" s="5" t="s">
        <v>578</v>
      </c>
      <c r="C272" s="6" t="s">
        <v>241</v>
      </c>
      <c r="F272" s="16" t="s">
        <v>3297</v>
      </c>
      <c r="G272" s="17" t="s">
        <v>3298</v>
      </c>
    </row>
    <row r="273" spans="1:7">
      <c r="A273" s="4" t="s">
        <v>579</v>
      </c>
      <c r="B273" s="5" t="s">
        <v>580</v>
      </c>
      <c r="C273" s="6" t="s">
        <v>241</v>
      </c>
      <c r="F273" s="16" t="s">
        <v>3299</v>
      </c>
      <c r="G273" s="17" t="s">
        <v>3300</v>
      </c>
    </row>
    <row r="274" spans="1:7">
      <c r="A274" s="4" t="s">
        <v>581</v>
      </c>
      <c r="B274" s="5" t="s">
        <v>582</v>
      </c>
      <c r="C274" s="6" t="s">
        <v>241</v>
      </c>
      <c r="F274" s="16" t="s">
        <v>3301</v>
      </c>
      <c r="G274" s="17" t="s">
        <v>3302</v>
      </c>
    </row>
    <row r="275" spans="1:7">
      <c r="A275" s="4" t="s">
        <v>583</v>
      </c>
      <c r="B275" s="5" t="s">
        <v>584</v>
      </c>
      <c r="C275" s="6"/>
      <c r="F275" s="16" t="s">
        <v>3303</v>
      </c>
      <c r="G275" s="17" t="s">
        <v>3304</v>
      </c>
    </row>
    <row r="276" spans="1:7">
      <c r="A276" s="4" t="s">
        <v>585</v>
      </c>
      <c r="B276" s="5" t="s">
        <v>586</v>
      </c>
      <c r="C276" s="6" t="s">
        <v>241</v>
      </c>
      <c r="F276" s="16" t="s">
        <v>3305</v>
      </c>
      <c r="G276" s="17" t="s">
        <v>3306</v>
      </c>
    </row>
    <row r="277" spans="1:7">
      <c r="A277" s="4" t="s">
        <v>587</v>
      </c>
      <c r="B277" s="5" t="s">
        <v>588</v>
      </c>
      <c r="C277" s="6"/>
      <c r="F277" s="16" t="s">
        <v>3307</v>
      </c>
      <c r="G277" s="17" t="s">
        <v>3308</v>
      </c>
    </row>
    <row r="278" spans="1:7">
      <c r="A278" s="4" t="s">
        <v>589</v>
      </c>
      <c r="B278" s="5" t="s">
        <v>590</v>
      </c>
      <c r="C278" s="6"/>
      <c r="F278" s="16" t="s">
        <v>3309</v>
      </c>
      <c r="G278" s="17" t="s">
        <v>3310</v>
      </c>
    </row>
    <row r="279" spans="1:7">
      <c r="A279" s="4" t="s">
        <v>591</v>
      </c>
      <c r="B279" s="5" t="s">
        <v>592</v>
      </c>
      <c r="C279" s="6"/>
      <c r="F279" s="16" t="s">
        <v>3311</v>
      </c>
      <c r="G279" s="17" t="s">
        <v>3312</v>
      </c>
    </row>
    <row r="280" spans="1:7">
      <c r="A280" s="4" t="s">
        <v>593</v>
      </c>
      <c r="B280" s="5" t="s">
        <v>594</v>
      </c>
      <c r="C280" s="6"/>
      <c r="F280" s="16" t="s">
        <v>3313</v>
      </c>
      <c r="G280" s="17" t="s">
        <v>3314</v>
      </c>
    </row>
    <row r="281" spans="1:7">
      <c r="A281" s="4" t="s">
        <v>595</v>
      </c>
      <c r="B281" s="5" t="s">
        <v>596</v>
      </c>
      <c r="C281" s="6"/>
      <c r="F281" s="16" t="s">
        <v>3315</v>
      </c>
      <c r="G281" s="17" t="s">
        <v>3316</v>
      </c>
    </row>
    <row r="282" spans="1:7">
      <c r="A282" s="4" t="s">
        <v>597</v>
      </c>
      <c r="B282" s="5" t="s">
        <v>598</v>
      </c>
      <c r="C282" s="6" t="s">
        <v>241</v>
      </c>
      <c r="F282" s="16" t="s">
        <v>3317</v>
      </c>
      <c r="G282" s="17" t="s">
        <v>3318</v>
      </c>
    </row>
    <row r="283" spans="1:7">
      <c r="A283" s="4" t="s">
        <v>599</v>
      </c>
      <c r="B283" s="5" t="s">
        <v>600</v>
      </c>
      <c r="C283" s="6" t="s">
        <v>241</v>
      </c>
      <c r="F283" s="16" t="s">
        <v>3319</v>
      </c>
      <c r="G283" s="17" t="s">
        <v>3320</v>
      </c>
    </row>
    <row r="284" spans="1:7">
      <c r="A284" s="4" t="s">
        <v>601</v>
      </c>
      <c r="B284" s="5" t="s">
        <v>602</v>
      </c>
      <c r="C284" s="6" t="s">
        <v>241</v>
      </c>
      <c r="F284" s="16" t="s">
        <v>3321</v>
      </c>
      <c r="G284" s="17" t="s">
        <v>3322</v>
      </c>
    </row>
    <row r="285" spans="1:7">
      <c r="A285" s="4" t="s">
        <v>603</v>
      </c>
      <c r="B285" s="5" t="s">
        <v>604</v>
      </c>
      <c r="C285" s="6" t="s">
        <v>241</v>
      </c>
      <c r="F285" s="16" t="s">
        <v>3323</v>
      </c>
      <c r="G285" s="17" t="s">
        <v>3324</v>
      </c>
    </row>
    <row r="286" spans="1:7">
      <c r="A286" s="4" t="s">
        <v>605</v>
      </c>
      <c r="B286" s="5" t="s">
        <v>606</v>
      </c>
      <c r="C286" s="6" t="s">
        <v>241</v>
      </c>
      <c r="F286" s="16" t="s">
        <v>3325</v>
      </c>
      <c r="G286" s="17" t="s">
        <v>3326</v>
      </c>
    </row>
    <row r="287" spans="1:7">
      <c r="A287" s="4" t="s">
        <v>607</v>
      </c>
      <c r="B287" s="5" t="s">
        <v>608</v>
      </c>
      <c r="C287" s="6"/>
      <c r="F287" s="16" t="s">
        <v>3327</v>
      </c>
      <c r="G287" s="17" t="s">
        <v>3328</v>
      </c>
    </row>
    <row r="288" spans="1:7">
      <c r="A288" s="4" t="s">
        <v>609</v>
      </c>
      <c r="B288" s="5" t="s">
        <v>610</v>
      </c>
      <c r="C288" s="6" t="s">
        <v>241</v>
      </c>
      <c r="F288" s="16" t="s">
        <v>3329</v>
      </c>
      <c r="G288" s="17" t="s">
        <v>3330</v>
      </c>
    </row>
    <row r="289" spans="1:7">
      <c r="A289" s="4" t="s">
        <v>611</v>
      </c>
      <c r="B289" s="5" t="s">
        <v>612</v>
      </c>
      <c r="C289" s="6" t="s">
        <v>241</v>
      </c>
      <c r="F289" s="16" t="s">
        <v>3331</v>
      </c>
      <c r="G289" s="17" t="s">
        <v>3332</v>
      </c>
    </row>
    <row r="290" spans="1:7">
      <c r="A290" s="4" t="s">
        <v>613</v>
      </c>
      <c r="B290" s="5" t="s">
        <v>614</v>
      </c>
      <c r="C290" s="6" t="s">
        <v>241</v>
      </c>
      <c r="F290" s="16" t="s">
        <v>3333</v>
      </c>
      <c r="G290" s="17" t="s">
        <v>3334</v>
      </c>
    </row>
    <row r="291" spans="1:7">
      <c r="A291" s="4" t="s">
        <v>615</v>
      </c>
      <c r="B291" s="5" t="s">
        <v>616</v>
      </c>
      <c r="C291" s="6" t="s">
        <v>241</v>
      </c>
      <c r="F291" s="16" t="s">
        <v>3335</v>
      </c>
      <c r="G291" s="17" t="s">
        <v>3336</v>
      </c>
    </row>
    <row r="292" spans="1:7">
      <c r="A292" s="4" t="s">
        <v>617</v>
      </c>
      <c r="B292" s="5" t="s">
        <v>618</v>
      </c>
      <c r="C292" s="6"/>
      <c r="F292" s="16" t="s">
        <v>3337</v>
      </c>
      <c r="G292" s="17" t="s">
        <v>3338</v>
      </c>
    </row>
    <row r="293" spans="1:7">
      <c r="A293" s="4" t="s">
        <v>619</v>
      </c>
      <c r="B293" s="5" t="s">
        <v>620</v>
      </c>
      <c r="C293" s="6" t="s">
        <v>241</v>
      </c>
      <c r="F293" s="16" t="s">
        <v>3339</v>
      </c>
      <c r="G293" s="17" t="s">
        <v>3340</v>
      </c>
    </row>
    <row r="294" spans="1:7">
      <c r="A294" s="4" t="s">
        <v>621</v>
      </c>
      <c r="B294" s="5" t="s">
        <v>622</v>
      </c>
      <c r="C294" s="6"/>
      <c r="F294" s="16" t="s">
        <v>3341</v>
      </c>
      <c r="G294" s="17" t="s">
        <v>3342</v>
      </c>
    </row>
    <row r="295" spans="1:7">
      <c r="A295" s="4" t="s">
        <v>623</v>
      </c>
      <c r="B295" s="5" t="s">
        <v>624</v>
      </c>
      <c r="C295" s="6"/>
      <c r="F295" s="16" t="s">
        <v>3343</v>
      </c>
      <c r="G295" s="17" t="s">
        <v>3344</v>
      </c>
    </row>
    <row r="296" spans="1:7">
      <c r="A296" s="4" t="s">
        <v>625</v>
      </c>
      <c r="B296" s="5" t="s">
        <v>626</v>
      </c>
      <c r="C296" s="6" t="s">
        <v>31</v>
      </c>
      <c r="F296" s="16" t="s">
        <v>3345</v>
      </c>
      <c r="G296" s="17" t="s">
        <v>3346</v>
      </c>
    </row>
    <row r="297" spans="1:7">
      <c r="A297" s="4" t="s">
        <v>627</v>
      </c>
      <c r="B297" s="5" t="s">
        <v>628</v>
      </c>
      <c r="C297" s="6"/>
      <c r="F297" s="16" t="s">
        <v>3347</v>
      </c>
      <c r="G297" s="17" t="s">
        <v>3348</v>
      </c>
    </row>
    <row r="298" spans="1:7">
      <c r="A298" s="4" t="s">
        <v>629</v>
      </c>
      <c r="B298" s="5" t="s">
        <v>630</v>
      </c>
      <c r="C298" s="6"/>
      <c r="F298" s="16" t="s">
        <v>3349</v>
      </c>
      <c r="G298" s="17" t="s">
        <v>3350</v>
      </c>
    </row>
    <row r="299" spans="1:7">
      <c r="A299" s="4" t="s">
        <v>631</v>
      </c>
      <c r="B299" s="5" t="s">
        <v>632</v>
      </c>
      <c r="C299" s="6" t="s">
        <v>31</v>
      </c>
      <c r="F299" s="16" t="s">
        <v>3351</v>
      </c>
      <c r="G299" s="17" t="s">
        <v>3352</v>
      </c>
    </row>
    <row r="300" spans="1:7">
      <c r="A300" s="4" t="s">
        <v>633</v>
      </c>
      <c r="B300" s="5" t="s">
        <v>634</v>
      </c>
      <c r="C300" s="6"/>
      <c r="F300" s="16" t="s">
        <v>3353</v>
      </c>
      <c r="G300" s="17" t="s">
        <v>3354</v>
      </c>
    </row>
    <row r="301" spans="1:7">
      <c r="A301" s="4" t="s">
        <v>635</v>
      </c>
      <c r="B301" s="5" t="s">
        <v>636</v>
      </c>
      <c r="C301" s="6" t="s">
        <v>241</v>
      </c>
      <c r="F301" s="16" t="s">
        <v>3355</v>
      </c>
      <c r="G301" s="17" t="s">
        <v>3356</v>
      </c>
    </row>
    <row r="302" spans="1:7">
      <c r="A302" s="4" t="s">
        <v>637</v>
      </c>
      <c r="B302" s="5" t="s">
        <v>638</v>
      </c>
      <c r="C302" s="6"/>
      <c r="F302" s="16" t="s">
        <v>3357</v>
      </c>
      <c r="G302" s="17" t="s">
        <v>3358</v>
      </c>
    </row>
    <row r="303" spans="1:7">
      <c r="A303" s="4" t="s">
        <v>639</v>
      </c>
      <c r="B303" s="5" t="s">
        <v>640</v>
      </c>
      <c r="C303" s="6"/>
      <c r="F303" s="16" t="s">
        <v>3359</v>
      </c>
      <c r="G303" s="17" t="s">
        <v>3360</v>
      </c>
    </row>
    <row r="304" spans="1:7">
      <c r="A304" s="4" t="s">
        <v>641</v>
      </c>
      <c r="B304" s="5" t="s">
        <v>642</v>
      </c>
      <c r="C304" s="6" t="s">
        <v>241</v>
      </c>
      <c r="F304" s="16" t="s">
        <v>3361</v>
      </c>
      <c r="G304" s="17" t="s">
        <v>3362</v>
      </c>
    </row>
    <row r="305" spans="1:7">
      <c r="A305" s="4" t="s">
        <v>643</v>
      </c>
      <c r="B305" s="5" t="s">
        <v>644</v>
      </c>
      <c r="C305" s="6"/>
      <c r="F305" s="16" t="s">
        <v>3363</v>
      </c>
      <c r="G305" s="17" t="s">
        <v>3364</v>
      </c>
    </row>
    <row r="306" spans="1:7">
      <c r="A306" s="4" t="s">
        <v>645</v>
      </c>
      <c r="B306" s="5" t="s">
        <v>646</v>
      </c>
      <c r="C306" s="6"/>
      <c r="F306" s="16" t="s">
        <v>3365</v>
      </c>
      <c r="G306" s="17" t="s">
        <v>3366</v>
      </c>
    </row>
    <row r="307" spans="1:7">
      <c r="A307" s="4" t="s">
        <v>647</v>
      </c>
      <c r="B307" s="5" t="s">
        <v>648</v>
      </c>
      <c r="C307" s="6"/>
      <c r="F307" s="16" t="s">
        <v>3367</v>
      </c>
      <c r="G307" s="17" t="s">
        <v>3368</v>
      </c>
    </row>
    <row r="308" spans="1:7">
      <c r="A308" s="4" t="s">
        <v>649</v>
      </c>
      <c r="B308" s="5" t="s">
        <v>650</v>
      </c>
      <c r="C308" s="6"/>
      <c r="F308" s="16" t="s">
        <v>3369</v>
      </c>
      <c r="G308" s="17" t="s">
        <v>3370</v>
      </c>
    </row>
    <row r="309" spans="1:7">
      <c r="A309" s="4" t="s">
        <v>651</v>
      </c>
      <c r="B309" s="5" t="s">
        <v>652</v>
      </c>
      <c r="C309" s="6"/>
      <c r="F309" s="16" t="s">
        <v>3371</v>
      </c>
      <c r="G309" s="17" t="s">
        <v>3372</v>
      </c>
    </row>
    <row r="310" spans="1:7">
      <c r="A310" s="4" t="s">
        <v>653</v>
      </c>
      <c r="B310" s="5" t="s">
        <v>654</v>
      </c>
      <c r="C310" s="6"/>
      <c r="F310" s="16" t="s">
        <v>3373</v>
      </c>
      <c r="G310" s="17" t="s">
        <v>3374</v>
      </c>
    </row>
    <row r="311" spans="1:7">
      <c r="A311" s="4" t="s">
        <v>655</v>
      </c>
      <c r="B311" s="5" t="s">
        <v>656</v>
      </c>
      <c r="C311" s="6"/>
      <c r="F311" s="16" t="s">
        <v>3375</v>
      </c>
      <c r="G311" s="17" t="s">
        <v>3376</v>
      </c>
    </row>
    <row r="312" spans="1:7">
      <c r="A312" s="4" t="s">
        <v>657</v>
      </c>
      <c r="B312" s="5" t="s">
        <v>658</v>
      </c>
      <c r="C312" s="6"/>
      <c r="F312" s="16" t="s">
        <v>3377</v>
      </c>
      <c r="G312" s="17" t="s">
        <v>3378</v>
      </c>
    </row>
    <row r="313" spans="1:7">
      <c r="A313" s="4" t="s">
        <v>659</v>
      </c>
      <c r="B313" s="5" t="s">
        <v>660</v>
      </c>
      <c r="C313" s="6" t="s">
        <v>31</v>
      </c>
      <c r="F313" s="16" t="s">
        <v>3379</v>
      </c>
      <c r="G313" s="17" t="s">
        <v>3380</v>
      </c>
    </row>
    <row r="314" spans="1:7">
      <c r="A314" s="4" t="s">
        <v>661</v>
      </c>
      <c r="B314" s="5" t="s">
        <v>662</v>
      </c>
      <c r="C314" s="6" t="s">
        <v>241</v>
      </c>
      <c r="F314" s="16" t="s">
        <v>3381</v>
      </c>
      <c r="G314" s="17" t="s">
        <v>3382</v>
      </c>
    </row>
    <row r="315" spans="1:7">
      <c r="A315" s="4" t="s">
        <v>663</v>
      </c>
      <c r="B315" s="5" t="s">
        <v>664</v>
      </c>
      <c r="C315" s="6" t="s">
        <v>241</v>
      </c>
      <c r="F315" s="16" t="s">
        <v>3383</v>
      </c>
      <c r="G315" s="17" t="s">
        <v>3384</v>
      </c>
    </row>
    <row r="316" spans="1:7">
      <c r="A316" s="4" t="s">
        <v>665</v>
      </c>
      <c r="B316" s="5" t="s">
        <v>666</v>
      </c>
      <c r="C316" s="6" t="s">
        <v>31</v>
      </c>
      <c r="F316" s="16" t="s">
        <v>3385</v>
      </c>
      <c r="G316" s="17" t="s">
        <v>3386</v>
      </c>
    </row>
    <row r="317" spans="1:7">
      <c r="A317" s="4" t="s">
        <v>667</v>
      </c>
      <c r="B317" s="5" t="s">
        <v>668</v>
      </c>
      <c r="C317" s="6"/>
      <c r="F317" s="16" t="s">
        <v>3387</v>
      </c>
      <c r="G317" s="17" t="s">
        <v>3388</v>
      </c>
    </row>
    <row r="318" spans="1:7">
      <c r="A318" s="4" t="s">
        <v>669</v>
      </c>
      <c r="B318" s="5" t="s">
        <v>670</v>
      </c>
      <c r="C318" s="6"/>
      <c r="F318" s="16" t="s">
        <v>3389</v>
      </c>
      <c r="G318" s="17" t="s">
        <v>3390</v>
      </c>
    </row>
    <row r="319" spans="1:7">
      <c r="A319" s="4" t="s">
        <v>671</v>
      </c>
      <c r="B319" s="5" t="s">
        <v>668</v>
      </c>
      <c r="C319" s="6"/>
      <c r="F319" s="16" t="s">
        <v>3391</v>
      </c>
      <c r="G319" s="17" t="s">
        <v>3392</v>
      </c>
    </row>
    <row r="320" spans="1:7">
      <c r="A320" s="4" t="s">
        <v>672</v>
      </c>
      <c r="B320" s="5" t="s">
        <v>673</v>
      </c>
      <c r="C320" s="6"/>
      <c r="F320" s="16" t="s">
        <v>3393</v>
      </c>
      <c r="G320" s="17" t="s">
        <v>3394</v>
      </c>
    </row>
    <row r="321" spans="1:7">
      <c r="A321" s="4" t="s">
        <v>674</v>
      </c>
      <c r="B321" s="5" t="s">
        <v>675</v>
      </c>
      <c r="C321" s="6"/>
      <c r="F321" s="16" t="s">
        <v>3395</v>
      </c>
      <c r="G321" s="17" t="s">
        <v>3396</v>
      </c>
    </row>
    <row r="322" spans="1:7">
      <c r="A322" s="4" t="s">
        <v>676</v>
      </c>
      <c r="B322" s="5" t="s">
        <v>677</v>
      </c>
      <c r="C322" s="6"/>
      <c r="F322" s="16" t="s">
        <v>3397</v>
      </c>
      <c r="G322" s="17" t="s">
        <v>3398</v>
      </c>
    </row>
    <row r="323" spans="1:7">
      <c r="A323" s="4" t="s">
        <v>678</v>
      </c>
      <c r="B323" s="5" t="s">
        <v>679</v>
      </c>
      <c r="C323" s="6" t="s">
        <v>241</v>
      </c>
      <c r="F323" s="16" t="s">
        <v>3399</v>
      </c>
      <c r="G323" s="17" t="s">
        <v>3400</v>
      </c>
    </row>
    <row r="324" spans="1:7">
      <c r="A324" s="4" t="s">
        <v>680</v>
      </c>
      <c r="B324" s="5" t="s">
        <v>681</v>
      </c>
      <c r="C324" s="6"/>
      <c r="F324" s="16" t="s">
        <v>3401</v>
      </c>
      <c r="G324" s="17" t="s">
        <v>3402</v>
      </c>
    </row>
    <row r="325" spans="1:7">
      <c r="A325" s="4" t="s">
        <v>682</v>
      </c>
      <c r="B325" s="5" t="s">
        <v>683</v>
      </c>
      <c r="C325" s="6"/>
      <c r="F325" s="16" t="s">
        <v>3403</v>
      </c>
      <c r="G325" s="17" t="s">
        <v>3404</v>
      </c>
    </row>
    <row r="326" spans="1:7">
      <c r="A326" s="4" t="s">
        <v>684</v>
      </c>
      <c r="B326" s="5" t="s">
        <v>685</v>
      </c>
      <c r="C326" s="6"/>
      <c r="F326" s="16" t="s">
        <v>3405</v>
      </c>
      <c r="G326" s="17" t="s">
        <v>3406</v>
      </c>
    </row>
    <row r="327" spans="1:7">
      <c r="A327" s="4" t="s">
        <v>686</v>
      </c>
      <c r="B327" s="5" t="s">
        <v>687</v>
      </c>
      <c r="C327" s="6"/>
      <c r="F327" s="16" t="s">
        <v>3407</v>
      </c>
      <c r="G327" s="17" t="s">
        <v>3408</v>
      </c>
    </row>
    <row r="328" spans="1:7">
      <c r="A328" s="4" t="s">
        <v>688</v>
      </c>
      <c r="B328" s="5" t="s">
        <v>689</v>
      </c>
      <c r="C328" s="6"/>
      <c r="F328" s="16" t="s">
        <v>3409</v>
      </c>
      <c r="G328" s="17" t="s">
        <v>3410</v>
      </c>
    </row>
    <row r="329" spans="1:7">
      <c r="A329" s="4" t="s">
        <v>690</v>
      </c>
      <c r="B329" s="5" t="s">
        <v>691</v>
      </c>
      <c r="C329" s="6"/>
      <c r="F329" s="16" t="s">
        <v>3411</v>
      </c>
      <c r="G329" s="17" t="s">
        <v>3412</v>
      </c>
    </row>
    <row r="330" spans="1:7">
      <c r="A330" s="4" t="s">
        <v>692</v>
      </c>
      <c r="B330" s="5" t="s">
        <v>693</v>
      </c>
      <c r="C330" s="6" t="s">
        <v>31</v>
      </c>
      <c r="F330" s="16" t="s">
        <v>3413</v>
      </c>
      <c r="G330" s="17" t="s">
        <v>3414</v>
      </c>
    </row>
    <row r="331" spans="1:7">
      <c r="A331" s="4" t="s">
        <v>694</v>
      </c>
      <c r="B331" s="5" t="s">
        <v>695</v>
      </c>
      <c r="C331" s="6" t="s">
        <v>31</v>
      </c>
      <c r="F331" s="16" t="s">
        <v>3415</v>
      </c>
      <c r="G331" s="17" t="s">
        <v>3416</v>
      </c>
    </row>
    <row r="332" spans="1:7">
      <c r="A332" s="4" t="s">
        <v>696</v>
      </c>
      <c r="B332" s="5" t="s">
        <v>697</v>
      </c>
      <c r="C332" s="6" t="s">
        <v>31</v>
      </c>
      <c r="F332" s="16" t="s">
        <v>3417</v>
      </c>
      <c r="G332" s="17" t="s">
        <v>3418</v>
      </c>
    </row>
    <row r="333" spans="1:7">
      <c r="A333" s="4" t="s">
        <v>698</v>
      </c>
      <c r="B333" s="5" t="s">
        <v>699</v>
      </c>
      <c r="C333" s="6" t="s">
        <v>241</v>
      </c>
      <c r="F333" s="16" t="s">
        <v>3419</v>
      </c>
      <c r="G333" s="17" t="s">
        <v>3420</v>
      </c>
    </row>
    <row r="334" spans="1:7">
      <c r="A334" s="4" t="s">
        <v>700</v>
      </c>
      <c r="B334" s="5" t="s">
        <v>701</v>
      </c>
      <c r="C334" s="6"/>
      <c r="F334" s="16" t="s">
        <v>3421</v>
      </c>
      <c r="G334" s="17" t="s">
        <v>3422</v>
      </c>
    </row>
    <row r="335" spans="1:7">
      <c r="A335" s="4" t="s">
        <v>702</v>
      </c>
      <c r="B335" s="5" t="s">
        <v>703</v>
      </c>
      <c r="C335" s="6"/>
      <c r="F335" s="16" t="s">
        <v>3423</v>
      </c>
      <c r="G335" s="17" t="s">
        <v>3424</v>
      </c>
    </row>
    <row r="336" spans="1:7">
      <c r="A336" s="4" t="s">
        <v>704</v>
      </c>
      <c r="B336" s="5" t="s">
        <v>705</v>
      </c>
      <c r="C336" s="6"/>
      <c r="F336" s="16" t="s">
        <v>3425</v>
      </c>
      <c r="G336" s="17" t="s">
        <v>3426</v>
      </c>
    </row>
    <row r="337" spans="1:7">
      <c r="A337" s="4" t="s">
        <v>706</v>
      </c>
      <c r="B337" s="5" t="s">
        <v>707</v>
      </c>
      <c r="C337" s="6"/>
      <c r="F337" s="16" t="s">
        <v>3427</v>
      </c>
      <c r="G337" s="17" t="s">
        <v>3428</v>
      </c>
    </row>
    <row r="338" spans="1:7">
      <c r="A338" s="4" t="s">
        <v>708</v>
      </c>
      <c r="B338" s="5" t="s">
        <v>709</v>
      </c>
      <c r="C338" s="6"/>
      <c r="F338" s="16" t="s">
        <v>3429</v>
      </c>
      <c r="G338" s="17" t="s">
        <v>3430</v>
      </c>
    </row>
    <row r="339" spans="1:7">
      <c r="A339" s="4" t="s">
        <v>710</v>
      </c>
      <c r="B339" s="5" t="s">
        <v>711</v>
      </c>
      <c r="C339" s="6"/>
      <c r="F339" s="16" t="s">
        <v>3431</v>
      </c>
      <c r="G339" s="17" t="s">
        <v>3432</v>
      </c>
    </row>
    <row r="340" spans="1:7">
      <c r="A340" s="4" t="s">
        <v>712</v>
      </c>
      <c r="B340" s="5" t="s">
        <v>713</v>
      </c>
      <c r="C340" s="6"/>
      <c r="F340" s="16" t="s">
        <v>3433</v>
      </c>
      <c r="G340" s="17" t="s">
        <v>3434</v>
      </c>
    </row>
    <row r="341" spans="1:7">
      <c r="A341" s="4" t="s">
        <v>714</v>
      </c>
      <c r="B341" s="5" t="s">
        <v>715</v>
      </c>
      <c r="C341" s="6"/>
      <c r="F341" s="16" t="s">
        <v>3435</v>
      </c>
      <c r="G341" s="17" t="s">
        <v>3436</v>
      </c>
    </row>
    <row r="342" spans="1:7">
      <c r="A342" s="4" t="s">
        <v>716</v>
      </c>
      <c r="B342" s="5" t="s">
        <v>717</v>
      </c>
      <c r="C342" s="6"/>
      <c r="F342" s="16" t="s">
        <v>3437</v>
      </c>
      <c r="G342" s="17" t="s">
        <v>3438</v>
      </c>
    </row>
    <row r="343" spans="1:7">
      <c r="A343" s="4" t="s">
        <v>718</v>
      </c>
      <c r="B343" s="5" t="s">
        <v>719</v>
      </c>
      <c r="C343" s="6"/>
      <c r="F343" s="16" t="s">
        <v>3439</v>
      </c>
      <c r="G343" s="17" t="s">
        <v>3440</v>
      </c>
    </row>
    <row r="344" spans="1:7">
      <c r="A344" s="4" t="s">
        <v>720</v>
      </c>
      <c r="B344" s="5" t="s">
        <v>721</v>
      </c>
      <c r="C344" s="6"/>
      <c r="F344" s="16" t="s">
        <v>3441</v>
      </c>
      <c r="G344" s="17" t="s">
        <v>3442</v>
      </c>
    </row>
    <row r="345" spans="1:7">
      <c r="A345" s="4" t="s">
        <v>722</v>
      </c>
      <c r="B345" s="5" t="s">
        <v>723</v>
      </c>
      <c r="C345" s="6"/>
      <c r="F345" s="16" t="s">
        <v>3443</v>
      </c>
      <c r="G345" s="17" t="s">
        <v>3444</v>
      </c>
    </row>
    <row r="346" spans="1:7">
      <c r="A346" s="4" t="s">
        <v>724</v>
      </c>
      <c r="B346" s="5" t="s">
        <v>725</v>
      </c>
      <c r="C346" s="6"/>
      <c r="F346" s="16" t="s">
        <v>3445</v>
      </c>
      <c r="G346" s="17" t="s">
        <v>3446</v>
      </c>
    </row>
    <row r="347" spans="1:7">
      <c r="A347" s="4" t="s">
        <v>726</v>
      </c>
      <c r="B347" s="5" t="s">
        <v>727</v>
      </c>
      <c r="C347" s="6"/>
      <c r="F347" s="16" t="s">
        <v>3447</v>
      </c>
      <c r="G347" s="17" t="s">
        <v>3448</v>
      </c>
    </row>
    <row r="348" spans="1:7">
      <c r="A348" s="4" t="s">
        <v>728</v>
      </c>
      <c r="B348" s="5" t="s">
        <v>729</v>
      </c>
      <c r="C348" s="6"/>
      <c r="F348" s="16" t="s">
        <v>3449</v>
      </c>
      <c r="G348" s="17" t="s">
        <v>3450</v>
      </c>
    </row>
    <row r="349" spans="1:7">
      <c r="A349" s="4" t="s">
        <v>730</v>
      </c>
      <c r="B349" s="5" t="s">
        <v>731</v>
      </c>
      <c r="C349" s="6"/>
      <c r="F349" s="16" t="s">
        <v>3451</v>
      </c>
      <c r="G349" s="17" t="s">
        <v>3452</v>
      </c>
    </row>
    <row r="350" spans="1:7">
      <c r="A350" s="4" t="s">
        <v>732</v>
      </c>
      <c r="B350" s="5" t="s">
        <v>733</v>
      </c>
      <c r="C350" s="6"/>
      <c r="F350" s="16" t="s">
        <v>3453</v>
      </c>
      <c r="G350" s="17" t="s">
        <v>3454</v>
      </c>
    </row>
    <row r="351" spans="1:7">
      <c r="A351" s="4" t="s">
        <v>734</v>
      </c>
      <c r="B351" s="5" t="s">
        <v>735</v>
      </c>
      <c r="C351" s="6" t="s">
        <v>31</v>
      </c>
      <c r="F351" s="16" t="s">
        <v>3455</v>
      </c>
      <c r="G351" s="17" t="s">
        <v>3456</v>
      </c>
    </row>
    <row r="352" spans="1:7">
      <c r="A352" s="4" t="s">
        <v>736</v>
      </c>
      <c r="B352" s="5" t="s">
        <v>737</v>
      </c>
      <c r="C352" s="6"/>
      <c r="F352" s="16" t="s">
        <v>3457</v>
      </c>
      <c r="G352" s="17" t="s">
        <v>3458</v>
      </c>
    </row>
    <row r="353" spans="1:7">
      <c r="A353" s="4" t="s">
        <v>738</v>
      </c>
      <c r="B353" s="5" t="s">
        <v>739</v>
      </c>
      <c r="C353" s="6"/>
      <c r="F353" s="16" t="s">
        <v>3459</v>
      </c>
      <c r="G353" s="17" t="s">
        <v>3460</v>
      </c>
    </row>
    <row r="354" spans="1:7">
      <c r="A354" s="4" t="s">
        <v>740</v>
      </c>
      <c r="B354" s="5" t="s">
        <v>741</v>
      </c>
      <c r="C354" s="6"/>
      <c r="F354" s="16" t="s">
        <v>3461</v>
      </c>
      <c r="G354" s="17" t="s">
        <v>3462</v>
      </c>
    </row>
    <row r="355" spans="1:7">
      <c r="A355" s="4" t="s">
        <v>742</v>
      </c>
      <c r="B355" s="5" t="s">
        <v>743</v>
      </c>
      <c r="C355" s="6"/>
      <c r="F355" s="16" t="s">
        <v>3463</v>
      </c>
      <c r="G355" s="17" t="s">
        <v>3464</v>
      </c>
    </row>
    <row r="356" spans="1:7">
      <c r="A356" s="4" t="s">
        <v>744</v>
      </c>
      <c r="B356" s="5" t="s">
        <v>745</v>
      </c>
      <c r="C356" s="6"/>
      <c r="F356" s="16" t="s">
        <v>3465</v>
      </c>
      <c r="G356" s="17" t="s">
        <v>3466</v>
      </c>
    </row>
    <row r="357" spans="1:7">
      <c r="A357" s="4" t="s">
        <v>746</v>
      </c>
      <c r="B357" s="5" t="s">
        <v>747</v>
      </c>
      <c r="C357" s="6" t="s">
        <v>31</v>
      </c>
      <c r="F357" s="16" t="s">
        <v>3467</v>
      </c>
      <c r="G357" s="17" t="s">
        <v>3468</v>
      </c>
    </row>
    <row r="358" spans="1:7">
      <c r="A358" s="4" t="s">
        <v>748</v>
      </c>
      <c r="B358" s="5" t="s">
        <v>749</v>
      </c>
      <c r="C358" s="6" t="s">
        <v>31</v>
      </c>
      <c r="F358" s="16" t="s">
        <v>3469</v>
      </c>
      <c r="G358" s="17" t="s">
        <v>3470</v>
      </c>
    </row>
    <row r="359" spans="1:7">
      <c r="A359" s="4" t="s">
        <v>750</v>
      </c>
      <c r="B359" s="5" t="s">
        <v>751</v>
      </c>
      <c r="C359" s="6" t="s">
        <v>31</v>
      </c>
      <c r="F359" s="16" t="s">
        <v>3471</v>
      </c>
      <c r="G359" s="17" t="s">
        <v>3472</v>
      </c>
    </row>
    <row r="360" spans="1:7">
      <c r="A360" s="4" t="s">
        <v>752</v>
      </c>
      <c r="B360" s="5" t="s">
        <v>753</v>
      </c>
      <c r="C360" s="6"/>
      <c r="F360" s="16" t="s">
        <v>3473</v>
      </c>
      <c r="G360" s="17" t="s">
        <v>3474</v>
      </c>
    </row>
    <row r="361" spans="1:7">
      <c r="A361" s="4" t="s">
        <v>754</v>
      </c>
      <c r="B361" s="5" t="s">
        <v>755</v>
      </c>
      <c r="C361" s="6"/>
      <c r="F361" s="16" t="s">
        <v>3475</v>
      </c>
      <c r="G361" s="17" t="s">
        <v>3476</v>
      </c>
    </row>
    <row r="362" spans="1:7">
      <c r="A362" s="4" t="s">
        <v>756</v>
      </c>
      <c r="B362" s="5" t="s">
        <v>757</v>
      </c>
      <c r="C362" s="6"/>
      <c r="F362" s="16" t="s">
        <v>3477</v>
      </c>
      <c r="G362" s="17" t="s">
        <v>3478</v>
      </c>
    </row>
    <row r="363" spans="1:7">
      <c r="A363" s="4" t="s">
        <v>758</v>
      </c>
      <c r="B363" s="5" t="s">
        <v>759</v>
      </c>
      <c r="C363" s="6"/>
      <c r="F363" s="16" t="s">
        <v>3479</v>
      </c>
      <c r="G363" s="17" t="s">
        <v>3480</v>
      </c>
    </row>
    <row r="364" spans="1:7">
      <c r="A364" s="4" t="s">
        <v>760</v>
      </c>
      <c r="B364" s="5" t="s">
        <v>761</v>
      </c>
      <c r="C364" s="6"/>
      <c r="F364" s="16" t="s">
        <v>3481</v>
      </c>
      <c r="G364" s="17" t="s">
        <v>3482</v>
      </c>
    </row>
    <row r="365" spans="1:7">
      <c r="A365" s="4" t="s">
        <v>762</v>
      </c>
      <c r="B365" s="5" t="s">
        <v>763</v>
      </c>
      <c r="C365" s="6"/>
      <c r="F365" s="16" t="s">
        <v>3483</v>
      </c>
      <c r="G365" s="17" t="s">
        <v>3484</v>
      </c>
    </row>
    <row r="366" spans="1:7">
      <c r="A366" s="4" t="s">
        <v>764</v>
      </c>
      <c r="B366" s="5" t="s">
        <v>765</v>
      </c>
      <c r="C366" s="6"/>
      <c r="F366" s="16" t="s">
        <v>3485</v>
      </c>
      <c r="G366" s="17" t="s">
        <v>3486</v>
      </c>
    </row>
    <row r="367" spans="1:7">
      <c r="A367" s="4" t="s">
        <v>766</v>
      </c>
      <c r="B367" s="5" t="s">
        <v>767</v>
      </c>
      <c r="C367" s="6"/>
      <c r="F367" s="16" t="s">
        <v>3487</v>
      </c>
      <c r="G367" s="17" t="s">
        <v>3488</v>
      </c>
    </row>
    <row r="368" spans="1:7">
      <c r="A368" s="4" t="s">
        <v>768</v>
      </c>
      <c r="B368" s="5" t="s">
        <v>769</v>
      </c>
      <c r="C368" s="6"/>
      <c r="F368" s="16" t="s">
        <v>3489</v>
      </c>
      <c r="G368" s="17" t="s">
        <v>3490</v>
      </c>
    </row>
    <row r="369" spans="1:7">
      <c r="A369" s="4" t="s">
        <v>770</v>
      </c>
      <c r="B369" s="5" t="s">
        <v>771</v>
      </c>
      <c r="C369" s="6"/>
      <c r="F369" s="16" t="s">
        <v>3491</v>
      </c>
      <c r="G369" s="17" t="s">
        <v>3492</v>
      </c>
    </row>
    <row r="370" spans="1:7">
      <c r="A370" s="4" t="s">
        <v>772</v>
      </c>
      <c r="B370" s="5" t="s">
        <v>773</v>
      </c>
      <c r="C370" s="6" t="s">
        <v>31</v>
      </c>
      <c r="F370" s="16" t="s">
        <v>3493</v>
      </c>
      <c r="G370" s="17" t="s">
        <v>3494</v>
      </c>
    </row>
    <row r="371" spans="1:7">
      <c r="A371" s="4" t="s">
        <v>774</v>
      </c>
      <c r="B371" s="5" t="s">
        <v>775</v>
      </c>
      <c r="C371" s="6"/>
      <c r="F371" s="16" t="s">
        <v>3495</v>
      </c>
      <c r="G371" s="17" t="s">
        <v>3496</v>
      </c>
    </row>
    <row r="372" spans="1:7">
      <c r="A372" s="4" t="s">
        <v>776</v>
      </c>
      <c r="B372" s="5" t="s">
        <v>777</v>
      </c>
      <c r="C372" s="6"/>
      <c r="F372" s="16" t="s">
        <v>3497</v>
      </c>
      <c r="G372" s="17" t="s">
        <v>3498</v>
      </c>
    </row>
    <row r="373" spans="1:7">
      <c r="A373" s="4" t="s">
        <v>778</v>
      </c>
      <c r="B373" s="5" t="s">
        <v>779</v>
      </c>
      <c r="C373" s="6"/>
      <c r="F373" s="16" t="s">
        <v>3499</v>
      </c>
      <c r="G373" s="17" t="s">
        <v>3500</v>
      </c>
    </row>
    <row r="374" spans="1:7">
      <c r="A374" s="4" t="s">
        <v>780</v>
      </c>
      <c r="B374" s="5" t="s">
        <v>781</v>
      </c>
      <c r="C374" s="6"/>
      <c r="F374" s="16" t="s">
        <v>3501</v>
      </c>
      <c r="G374" s="17" t="s">
        <v>3502</v>
      </c>
    </row>
    <row r="375" spans="1:7">
      <c r="A375" s="4" t="s">
        <v>782</v>
      </c>
      <c r="B375" s="5" t="s">
        <v>783</v>
      </c>
      <c r="C375" s="6"/>
      <c r="F375" s="16" t="s">
        <v>3503</v>
      </c>
      <c r="G375" s="17" t="s">
        <v>3504</v>
      </c>
    </row>
    <row r="376" spans="1:7">
      <c r="A376" s="4" t="s">
        <v>784</v>
      </c>
      <c r="B376" s="5" t="s">
        <v>785</v>
      </c>
      <c r="C376" s="6"/>
      <c r="F376" s="16" t="s">
        <v>3505</v>
      </c>
      <c r="G376" s="17" t="s">
        <v>3506</v>
      </c>
    </row>
    <row r="377" spans="1:7">
      <c r="A377" s="4" t="s">
        <v>786</v>
      </c>
      <c r="B377" s="5" t="s">
        <v>787</v>
      </c>
      <c r="C377" s="6"/>
      <c r="F377" s="16" t="s">
        <v>3507</v>
      </c>
      <c r="G377" s="17" t="s">
        <v>3508</v>
      </c>
    </row>
    <row r="378" spans="1:7">
      <c r="A378" s="4" t="s">
        <v>788</v>
      </c>
      <c r="B378" s="5" t="s">
        <v>789</v>
      </c>
      <c r="C378" s="6"/>
      <c r="F378" s="16" t="s">
        <v>3509</v>
      </c>
      <c r="G378" s="17" t="s">
        <v>3510</v>
      </c>
    </row>
    <row r="379" spans="1:7">
      <c r="A379" s="4" t="s">
        <v>790</v>
      </c>
      <c r="B379" s="5" t="s">
        <v>791</v>
      </c>
      <c r="C379" s="6"/>
      <c r="F379" s="16" t="s">
        <v>3511</v>
      </c>
      <c r="G379" s="17" t="s">
        <v>3512</v>
      </c>
    </row>
    <row r="380" spans="1:7">
      <c r="A380" s="4" t="s">
        <v>792</v>
      </c>
      <c r="B380" s="5" t="s">
        <v>793</v>
      </c>
      <c r="C380" s="6"/>
      <c r="F380" s="16" t="s">
        <v>3513</v>
      </c>
      <c r="G380" s="17" t="s">
        <v>3514</v>
      </c>
    </row>
    <row r="381" spans="1:7">
      <c r="A381" s="4" t="s">
        <v>794</v>
      </c>
      <c r="B381" s="5" t="s">
        <v>795</v>
      </c>
      <c r="C381" s="6"/>
      <c r="F381" s="16" t="s">
        <v>3515</v>
      </c>
      <c r="G381" s="17" t="s">
        <v>3516</v>
      </c>
    </row>
    <row r="382" spans="1:7">
      <c r="A382" s="4" t="s">
        <v>796</v>
      </c>
      <c r="B382" s="5" t="s">
        <v>797</v>
      </c>
      <c r="C382" s="6"/>
      <c r="F382" s="16" t="s">
        <v>3517</v>
      </c>
      <c r="G382" s="17" t="s">
        <v>3518</v>
      </c>
    </row>
    <row r="383" spans="1:7">
      <c r="A383" s="4" t="s">
        <v>798</v>
      </c>
      <c r="B383" s="5" t="s">
        <v>799</v>
      </c>
      <c r="C383" s="6"/>
      <c r="F383" s="16" t="s">
        <v>3519</v>
      </c>
      <c r="G383" s="17" t="s">
        <v>3520</v>
      </c>
    </row>
    <row r="384" spans="1:7">
      <c r="A384" s="4" t="s">
        <v>800</v>
      </c>
      <c r="B384" s="5" t="s">
        <v>801</v>
      </c>
      <c r="C384" s="6" t="s">
        <v>241</v>
      </c>
      <c r="F384" s="16" t="s">
        <v>3521</v>
      </c>
      <c r="G384" s="17" t="s">
        <v>3522</v>
      </c>
    </row>
    <row r="385" spans="1:7">
      <c r="A385" s="4" t="s">
        <v>802</v>
      </c>
      <c r="B385" s="5" t="s">
        <v>803</v>
      </c>
      <c r="C385" s="6" t="s">
        <v>31</v>
      </c>
      <c r="F385" s="16" t="s">
        <v>3523</v>
      </c>
      <c r="G385" s="17" t="s">
        <v>3524</v>
      </c>
    </row>
    <row r="386" spans="1:7">
      <c r="A386" s="4" t="s">
        <v>804</v>
      </c>
      <c r="B386" s="5" t="s">
        <v>805</v>
      </c>
      <c r="C386" s="6"/>
      <c r="F386" s="16" t="s">
        <v>3525</v>
      </c>
      <c r="G386" s="17" t="s">
        <v>3526</v>
      </c>
    </row>
    <row r="387" spans="1:7">
      <c r="A387" s="4" t="s">
        <v>806</v>
      </c>
      <c r="B387" s="5" t="s">
        <v>807</v>
      </c>
      <c r="C387" s="6" t="s">
        <v>31</v>
      </c>
      <c r="F387" s="16" t="s">
        <v>3527</v>
      </c>
      <c r="G387" s="17" t="s">
        <v>3528</v>
      </c>
    </row>
    <row r="388" spans="1:7">
      <c r="A388" s="4" t="s">
        <v>808</v>
      </c>
      <c r="B388" s="5" t="s">
        <v>809</v>
      </c>
      <c r="C388" s="6"/>
      <c r="F388" s="16" t="s">
        <v>3529</v>
      </c>
      <c r="G388" s="17" t="s">
        <v>3530</v>
      </c>
    </row>
    <row r="389" spans="1:7">
      <c r="A389" s="4" t="s">
        <v>810</v>
      </c>
      <c r="B389" s="5" t="s">
        <v>811</v>
      </c>
      <c r="C389" s="6"/>
      <c r="F389" s="16" t="s">
        <v>3531</v>
      </c>
      <c r="G389" s="17" t="s">
        <v>3532</v>
      </c>
    </row>
    <row r="390" spans="1:7">
      <c r="A390" s="4" t="s">
        <v>812</v>
      </c>
      <c r="B390" s="5" t="s">
        <v>813</v>
      </c>
      <c r="C390" s="6" t="s">
        <v>31</v>
      </c>
      <c r="F390" s="16" t="s">
        <v>3533</v>
      </c>
      <c r="G390" s="17" t="s">
        <v>3534</v>
      </c>
    </row>
    <row r="391" spans="1:7">
      <c r="A391" s="4" t="s">
        <v>814</v>
      </c>
      <c r="B391" s="5" t="s">
        <v>815</v>
      </c>
      <c r="C391" s="6"/>
      <c r="F391" s="16" t="s">
        <v>3535</v>
      </c>
      <c r="G391" s="17" t="s">
        <v>3536</v>
      </c>
    </row>
    <row r="392" spans="1:7">
      <c r="A392" s="4" t="s">
        <v>816</v>
      </c>
      <c r="B392" s="5" t="s">
        <v>817</v>
      </c>
      <c r="C392" s="6" t="s">
        <v>31</v>
      </c>
      <c r="F392" s="16" t="s">
        <v>3537</v>
      </c>
      <c r="G392" s="17" t="s">
        <v>3538</v>
      </c>
    </row>
    <row r="393" spans="1:7">
      <c r="A393" s="4" t="s">
        <v>818</v>
      </c>
      <c r="B393" s="5" t="s">
        <v>819</v>
      </c>
      <c r="C393" s="6"/>
      <c r="F393" s="16" t="s">
        <v>3539</v>
      </c>
      <c r="G393" s="17" t="s">
        <v>3540</v>
      </c>
    </row>
    <row r="394" spans="1:7">
      <c r="A394" s="4" t="s">
        <v>820</v>
      </c>
      <c r="B394" s="5" t="s">
        <v>821</v>
      </c>
      <c r="C394" s="6" t="s">
        <v>31</v>
      </c>
      <c r="F394" s="16" t="s">
        <v>3541</v>
      </c>
      <c r="G394" s="17" t="s">
        <v>3542</v>
      </c>
    </row>
    <row r="395" spans="1:7">
      <c r="A395" s="4" t="s">
        <v>822</v>
      </c>
      <c r="B395" s="5" t="s">
        <v>823</v>
      </c>
      <c r="C395" s="6"/>
      <c r="F395" s="16" t="s">
        <v>3543</v>
      </c>
      <c r="G395" s="17" t="s">
        <v>3544</v>
      </c>
    </row>
    <row r="396" spans="1:7">
      <c r="A396" s="4" t="s">
        <v>824</v>
      </c>
      <c r="B396" s="5" t="s">
        <v>825</v>
      </c>
      <c r="C396" s="6"/>
      <c r="F396" s="16" t="s">
        <v>3545</v>
      </c>
      <c r="G396" s="17" t="s">
        <v>3546</v>
      </c>
    </row>
    <row r="397" spans="1:7">
      <c r="A397" s="4" t="s">
        <v>826</v>
      </c>
      <c r="B397" s="5" t="s">
        <v>827</v>
      </c>
      <c r="C397" s="6"/>
      <c r="F397" s="16" t="s">
        <v>3547</v>
      </c>
      <c r="G397" s="17" t="s">
        <v>3548</v>
      </c>
    </row>
    <row r="398" spans="1:7">
      <c r="A398" s="4" t="s">
        <v>828</v>
      </c>
      <c r="B398" s="5" t="s">
        <v>829</v>
      </c>
      <c r="C398" s="6"/>
      <c r="F398" s="16" t="s">
        <v>3549</v>
      </c>
      <c r="G398" s="17" t="s">
        <v>3550</v>
      </c>
    </row>
    <row r="399" spans="1:7">
      <c r="A399" s="4" t="s">
        <v>830</v>
      </c>
      <c r="B399" s="5" t="s">
        <v>831</v>
      </c>
      <c r="C399" s="6"/>
      <c r="F399" s="16" t="s">
        <v>3551</v>
      </c>
      <c r="G399" s="17" t="s">
        <v>3552</v>
      </c>
    </row>
    <row r="400" spans="1:7">
      <c r="A400" s="4" t="s">
        <v>832</v>
      </c>
      <c r="B400" s="5" t="s">
        <v>833</v>
      </c>
      <c r="C400" s="6"/>
      <c r="F400" s="16" t="s">
        <v>3553</v>
      </c>
      <c r="G400" s="17" t="s">
        <v>3554</v>
      </c>
    </row>
    <row r="401" spans="1:7">
      <c r="A401" s="4" t="s">
        <v>834</v>
      </c>
      <c r="B401" s="5" t="s">
        <v>835</v>
      </c>
      <c r="C401" s="6"/>
      <c r="F401" s="16" t="s">
        <v>3555</v>
      </c>
      <c r="G401" s="17" t="s">
        <v>3556</v>
      </c>
    </row>
    <row r="402" spans="1:7">
      <c r="A402" s="4" t="s">
        <v>836</v>
      </c>
      <c r="B402" s="5" t="s">
        <v>837</v>
      </c>
      <c r="C402" s="6" t="s">
        <v>31</v>
      </c>
      <c r="F402" s="16" t="s">
        <v>3557</v>
      </c>
      <c r="G402" s="17" t="s">
        <v>3558</v>
      </c>
    </row>
    <row r="403" spans="1:7">
      <c r="A403" s="4" t="s">
        <v>838</v>
      </c>
      <c r="B403" s="5" t="s">
        <v>839</v>
      </c>
      <c r="C403" s="6"/>
      <c r="F403" s="16" t="s">
        <v>3559</v>
      </c>
      <c r="G403" s="17" t="s">
        <v>3560</v>
      </c>
    </row>
    <row r="404" spans="1:7">
      <c r="A404" s="4" t="s">
        <v>840</v>
      </c>
      <c r="B404" s="5" t="s">
        <v>841</v>
      </c>
      <c r="C404" s="6" t="s">
        <v>31</v>
      </c>
      <c r="F404" s="16" t="s">
        <v>3561</v>
      </c>
      <c r="G404" s="17" t="s">
        <v>3562</v>
      </c>
    </row>
    <row r="405" spans="1:7">
      <c r="A405" s="4" t="s">
        <v>842</v>
      </c>
      <c r="B405" s="5" t="s">
        <v>843</v>
      </c>
      <c r="C405" s="6"/>
      <c r="F405" s="16" t="s">
        <v>3563</v>
      </c>
      <c r="G405" s="17" t="s">
        <v>3564</v>
      </c>
    </row>
    <row r="406" spans="1:7">
      <c r="A406" s="4" t="s">
        <v>844</v>
      </c>
      <c r="B406" s="5" t="s">
        <v>845</v>
      </c>
      <c r="C406" s="6"/>
      <c r="F406" s="16" t="s">
        <v>3565</v>
      </c>
      <c r="G406" s="17" t="s">
        <v>3566</v>
      </c>
    </row>
    <row r="407" spans="1:7">
      <c r="A407" s="4" t="s">
        <v>846</v>
      </c>
      <c r="B407" s="5" t="s">
        <v>847</v>
      </c>
      <c r="C407" s="6" t="s">
        <v>31</v>
      </c>
      <c r="F407" s="16" t="s">
        <v>3567</v>
      </c>
      <c r="G407" s="17" t="s">
        <v>3568</v>
      </c>
    </row>
    <row r="408" spans="1:7">
      <c r="A408" s="4" t="s">
        <v>848</v>
      </c>
      <c r="B408" s="5" t="s">
        <v>849</v>
      </c>
      <c r="C408" s="6"/>
      <c r="F408" s="16" t="s">
        <v>3569</v>
      </c>
      <c r="G408" s="17" t="s">
        <v>3570</v>
      </c>
    </row>
    <row r="409" spans="1:7">
      <c r="A409" s="4" t="s">
        <v>850</v>
      </c>
      <c r="B409" s="5" t="s">
        <v>851</v>
      </c>
      <c r="C409" s="6" t="s">
        <v>31</v>
      </c>
      <c r="F409" s="16" t="s">
        <v>2770</v>
      </c>
      <c r="G409" s="17" t="s">
        <v>3571</v>
      </c>
    </row>
    <row r="410" spans="1:7">
      <c r="A410" s="4" t="s">
        <v>852</v>
      </c>
      <c r="B410" s="5" t="s">
        <v>853</v>
      </c>
      <c r="C410" s="6" t="s">
        <v>31</v>
      </c>
      <c r="F410" s="16" t="s">
        <v>2771</v>
      </c>
      <c r="G410" s="17" t="s">
        <v>3572</v>
      </c>
    </row>
    <row r="411" spans="1:7">
      <c r="A411" s="4" t="s">
        <v>854</v>
      </c>
      <c r="B411" s="5" t="s">
        <v>855</v>
      </c>
      <c r="C411" s="6" t="s">
        <v>31</v>
      </c>
      <c r="F411" s="16" t="s">
        <v>3573</v>
      </c>
      <c r="G411" s="17" t="s">
        <v>3574</v>
      </c>
    </row>
    <row r="412" spans="1:7">
      <c r="A412" s="4" t="s">
        <v>856</v>
      </c>
      <c r="B412" s="5" t="s">
        <v>857</v>
      </c>
      <c r="C412" s="6" t="s">
        <v>31</v>
      </c>
      <c r="F412" s="16" t="s">
        <v>2772</v>
      </c>
      <c r="G412" s="17" t="s">
        <v>3575</v>
      </c>
    </row>
    <row r="413" spans="1:7">
      <c r="A413" s="4" t="s">
        <v>858</v>
      </c>
      <c r="B413" s="5" t="s">
        <v>859</v>
      </c>
      <c r="C413" s="6" t="s">
        <v>31</v>
      </c>
      <c r="F413" s="16" t="s">
        <v>3576</v>
      </c>
      <c r="G413" s="17" t="s">
        <v>3577</v>
      </c>
    </row>
    <row r="414" spans="1:7">
      <c r="A414" s="4" t="s">
        <v>860</v>
      </c>
      <c r="B414" s="5" t="s">
        <v>861</v>
      </c>
      <c r="C414" s="6"/>
      <c r="F414" s="16" t="s">
        <v>2774</v>
      </c>
      <c r="G414" s="17" t="s">
        <v>3578</v>
      </c>
    </row>
    <row r="415" spans="1:7">
      <c r="A415" s="4" t="s">
        <v>862</v>
      </c>
      <c r="B415" s="5" t="s">
        <v>863</v>
      </c>
      <c r="C415" s="6"/>
      <c r="F415" s="16" t="s">
        <v>2775</v>
      </c>
      <c r="G415" s="17" t="s">
        <v>3579</v>
      </c>
    </row>
    <row r="416" spans="1:7">
      <c r="A416" s="4" t="s">
        <v>864</v>
      </c>
      <c r="B416" s="5" t="s">
        <v>865</v>
      </c>
      <c r="C416" s="6"/>
      <c r="F416" s="16" t="s">
        <v>2776</v>
      </c>
      <c r="G416" s="17" t="s">
        <v>3580</v>
      </c>
    </row>
    <row r="417" spans="1:7">
      <c r="A417" s="4" t="s">
        <v>866</v>
      </c>
      <c r="B417" s="5" t="s">
        <v>867</v>
      </c>
      <c r="C417" s="6" t="s">
        <v>31</v>
      </c>
      <c r="F417" s="16" t="s">
        <v>2777</v>
      </c>
      <c r="G417" s="17" t="s">
        <v>3581</v>
      </c>
    </row>
    <row r="418" spans="1:7">
      <c r="A418" s="4" t="s">
        <v>868</v>
      </c>
      <c r="B418" s="5" t="s">
        <v>869</v>
      </c>
      <c r="C418" s="6" t="s">
        <v>31</v>
      </c>
      <c r="F418" s="16" t="s">
        <v>2778</v>
      </c>
      <c r="G418" s="17" t="s">
        <v>3582</v>
      </c>
    </row>
    <row r="419" spans="1:7">
      <c r="A419" s="4" t="s">
        <v>870</v>
      </c>
      <c r="B419" s="5" t="s">
        <v>871</v>
      </c>
      <c r="C419" s="6" t="s">
        <v>31</v>
      </c>
      <c r="F419" s="16" t="s">
        <v>3583</v>
      </c>
      <c r="G419" s="17" t="s">
        <v>3584</v>
      </c>
    </row>
    <row r="420" spans="1:7">
      <c r="A420" s="4" t="s">
        <v>872</v>
      </c>
      <c r="B420" s="5" t="s">
        <v>873</v>
      </c>
      <c r="C420" s="6" t="s">
        <v>31</v>
      </c>
      <c r="F420" s="16" t="s">
        <v>3585</v>
      </c>
      <c r="G420" s="17" t="s">
        <v>3586</v>
      </c>
    </row>
    <row r="421" spans="1:7">
      <c r="A421" s="4" t="s">
        <v>874</v>
      </c>
      <c r="B421" s="5" t="s">
        <v>875</v>
      </c>
      <c r="C421" s="6"/>
      <c r="F421" s="16" t="s">
        <v>3587</v>
      </c>
      <c r="G421" s="17" t="s">
        <v>3588</v>
      </c>
    </row>
    <row r="422" spans="1:7">
      <c r="A422" s="4" t="s">
        <v>876</v>
      </c>
      <c r="B422" s="5" t="s">
        <v>877</v>
      </c>
      <c r="C422" s="6"/>
      <c r="F422" s="16" t="s">
        <v>3589</v>
      </c>
      <c r="G422" s="17" t="s">
        <v>3590</v>
      </c>
    </row>
    <row r="423" spans="1:7">
      <c r="A423" s="4" t="s">
        <v>878</v>
      </c>
      <c r="B423" s="5" t="s">
        <v>879</v>
      </c>
      <c r="C423" s="6"/>
      <c r="F423" s="16" t="s">
        <v>2773</v>
      </c>
      <c r="G423" s="17" t="s">
        <v>3591</v>
      </c>
    </row>
    <row r="424" spans="1:7">
      <c r="A424" s="4" t="s">
        <v>880</v>
      </c>
      <c r="B424" s="5" t="s">
        <v>881</v>
      </c>
      <c r="C424" s="6"/>
      <c r="F424" s="16" t="s">
        <v>3592</v>
      </c>
      <c r="G424" s="17" t="s">
        <v>3593</v>
      </c>
    </row>
    <row r="425" spans="1:7">
      <c r="A425" s="4" t="s">
        <v>882</v>
      </c>
      <c r="B425" s="5" t="s">
        <v>883</v>
      </c>
      <c r="C425" s="6"/>
      <c r="F425" s="16" t="s">
        <v>3594</v>
      </c>
      <c r="G425" s="17" t="s">
        <v>3595</v>
      </c>
    </row>
    <row r="426" spans="1:7">
      <c r="A426" s="4" t="s">
        <v>884</v>
      </c>
      <c r="B426" s="5" t="s">
        <v>885</v>
      </c>
      <c r="C426" s="6"/>
      <c r="F426" s="16" t="s">
        <v>3596</v>
      </c>
      <c r="G426" s="17" t="s">
        <v>3597</v>
      </c>
    </row>
    <row r="427" spans="1:7">
      <c r="A427" s="4" t="s">
        <v>886</v>
      </c>
      <c r="B427" s="5" t="s">
        <v>887</v>
      </c>
      <c r="C427" s="6" t="s">
        <v>31</v>
      </c>
      <c r="F427" s="16" t="s">
        <v>3598</v>
      </c>
      <c r="G427" s="17" t="s">
        <v>3599</v>
      </c>
    </row>
    <row r="428" spans="1:7">
      <c r="A428" s="4" t="s">
        <v>888</v>
      </c>
      <c r="B428" s="5" t="s">
        <v>889</v>
      </c>
      <c r="C428" s="6"/>
      <c r="F428" s="16" t="s">
        <v>2790</v>
      </c>
      <c r="G428" s="17" t="s">
        <v>3600</v>
      </c>
    </row>
    <row r="429" spans="1:7">
      <c r="A429" s="4" t="s">
        <v>890</v>
      </c>
      <c r="B429" s="5" t="s">
        <v>891</v>
      </c>
      <c r="C429" s="6"/>
      <c r="F429" s="16" t="s">
        <v>2779</v>
      </c>
      <c r="G429" s="17" t="s">
        <v>3601</v>
      </c>
    </row>
    <row r="430" spans="1:7">
      <c r="A430" s="4" t="s">
        <v>892</v>
      </c>
      <c r="B430" s="5" t="s">
        <v>893</v>
      </c>
      <c r="C430" s="6"/>
      <c r="F430" s="16" t="s">
        <v>3602</v>
      </c>
      <c r="G430" s="17" t="s">
        <v>3603</v>
      </c>
    </row>
    <row r="431" spans="1:7">
      <c r="A431" s="4" t="s">
        <v>894</v>
      </c>
      <c r="B431" s="5" t="s">
        <v>895</v>
      </c>
      <c r="C431" s="6"/>
      <c r="F431" s="16" t="s">
        <v>2791</v>
      </c>
      <c r="G431" s="17" t="s">
        <v>3604</v>
      </c>
    </row>
    <row r="432" spans="1:7">
      <c r="A432" s="4" t="s">
        <v>896</v>
      </c>
      <c r="B432" s="5" t="s">
        <v>897</v>
      </c>
      <c r="C432" s="6"/>
      <c r="F432" s="16" t="s">
        <v>2794</v>
      </c>
      <c r="G432" s="17" t="s">
        <v>3605</v>
      </c>
    </row>
    <row r="433" spans="1:7">
      <c r="A433" s="4" t="s">
        <v>898</v>
      </c>
      <c r="B433" s="5" t="s">
        <v>899</v>
      </c>
      <c r="C433" s="6"/>
      <c r="F433" s="16" t="s">
        <v>3606</v>
      </c>
      <c r="G433" s="17" t="s">
        <v>3607</v>
      </c>
    </row>
    <row r="434" spans="1:7">
      <c r="A434" s="4" t="s">
        <v>900</v>
      </c>
      <c r="B434" s="5" t="s">
        <v>901</v>
      </c>
      <c r="C434" s="6"/>
      <c r="F434" s="16" t="s">
        <v>3608</v>
      </c>
      <c r="G434" s="17" t="s">
        <v>3609</v>
      </c>
    </row>
    <row r="435" spans="1:7">
      <c r="A435" s="4" t="s">
        <v>902</v>
      </c>
      <c r="B435" s="5" t="s">
        <v>903</v>
      </c>
      <c r="C435" s="6"/>
      <c r="F435" s="16" t="s">
        <v>3610</v>
      </c>
      <c r="G435" s="17" t="s">
        <v>3611</v>
      </c>
    </row>
    <row r="436" spans="1:7">
      <c r="A436" s="4" t="s">
        <v>904</v>
      </c>
      <c r="B436" s="5" t="s">
        <v>905</v>
      </c>
      <c r="C436" s="6"/>
      <c r="F436" s="16" t="s">
        <v>3612</v>
      </c>
      <c r="G436" s="17" t="s">
        <v>3613</v>
      </c>
    </row>
    <row r="437" spans="1:7">
      <c r="A437" s="4" t="s">
        <v>906</v>
      </c>
      <c r="B437" s="5" t="s">
        <v>907</v>
      </c>
      <c r="C437" s="6"/>
      <c r="F437" s="16" t="s">
        <v>3614</v>
      </c>
      <c r="G437" s="17" t="s">
        <v>3615</v>
      </c>
    </row>
    <row r="438" spans="1:7">
      <c r="A438" s="4" t="s">
        <v>908</v>
      </c>
      <c r="B438" s="5" t="s">
        <v>909</v>
      </c>
      <c r="C438" s="6"/>
      <c r="F438" s="16" t="s">
        <v>3616</v>
      </c>
      <c r="G438" s="17" t="s">
        <v>3617</v>
      </c>
    </row>
    <row r="439" spans="1:7">
      <c r="A439" s="4" t="s">
        <v>910</v>
      </c>
      <c r="B439" s="5" t="s">
        <v>911</v>
      </c>
      <c r="C439" s="6"/>
      <c r="F439" s="16" t="s">
        <v>3618</v>
      </c>
      <c r="G439" s="17" t="s">
        <v>3619</v>
      </c>
    </row>
    <row r="440" spans="1:7">
      <c r="A440" s="4" t="s">
        <v>912</v>
      </c>
      <c r="B440" s="5" t="s">
        <v>913</v>
      </c>
      <c r="C440" s="6"/>
      <c r="F440" s="16" t="s">
        <v>3620</v>
      </c>
      <c r="G440" s="17" t="s">
        <v>3621</v>
      </c>
    </row>
    <row r="441" spans="1:7">
      <c r="A441" s="4" t="s">
        <v>914</v>
      </c>
      <c r="B441" s="5" t="s">
        <v>915</v>
      </c>
      <c r="C441" s="6"/>
      <c r="F441" s="16" t="s">
        <v>3622</v>
      </c>
      <c r="G441" s="17" t="s">
        <v>3623</v>
      </c>
    </row>
    <row r="442" spans="1:7">
      <c r="A442" s="4" t="s">
        <v>916</v>
      </c>
      <c r="B442" s="5" t="s">
        <v>917</v>
      </c>
      <c r="C442" s="6" t="s">
        <v>44</v>
      </c>
      <c r="F442" s="16" t="s">
        <v>2780</v>
      </c>
      <c r="G442" s="17" t="s">
        <v>3624</v>
      </c>
    </row>
    <row r="443" spans="1:7">
      <c r="A443" s="4" t="s">
        <v>918</v>
      </c>
      <c r="B443" s="5" t="s">
        <v>919</v>
      </c>
      <c r="C443" s="6"/>
      <c r="F443" s="16" t="s">
        <v>2783</v>
      </c>
      <c r="G443" s="17" t="s">
        <v>3625</v>
      </c>
    </row>
    <row r="444" spans="1:7">
      <c r="A444" s="4" t="s">
        <v>920</v>
      </c>
      <c r="B444" s="5" t="s">
        <v>921</v>
      </c>
      <c r="C444" s="6" t="s">
        <v>31</v>
      </c>
      <c r="F444" s="16" t="s">
        <v>2781</v>
      </c>
      <c r="G444" s="17" t="s">
        <v>3626</v>
      </c>
    </row>
    <row r="445" spans="1:7">
      <c r="A445" s="4" t="s">
        <v>922</v>
      </c>
      <c r="B445" s="5" t="s">
        <v>923</v>
      </c>
      <c r="C445" s="6"/>
      <c r="F445" s="16" t="s">
        <v>2782</v>
      </c>
      <c r="G445" s="17" t="s">
        <v>3627</v>
      </c>
    </row>
    <row r="446" spans="1:7">
      <c r="A446" s="4" t="s">
        <v>924</v>
      </c>
      <c r="B446" s="5" t="s">
        <v>925</v>
      </c>
      <c r="C446" s="6"/>
      <c r="F446" s="16" t="s">
        <v>2784</v>
      </c>
      <c r="G446" s="17" t="s">
        <v>3628</v>
      </c>
    </row>
    <row r="447" spans="1:7">
      <c r="A447" s="4" t="s">
        <v>926</v>
      </c>
      <c r="B447" s="5" t="s">
        <v>927</v>
      </c>
      <c r="C447" s="6"/>
      <c r="F447" s="16" t="s">
        <v>2785</v>
      </c>
      <c r="G447" s="17" t="s">
        <v>3629</v>
      </c>
    </row>
    <row r="448" spans="1:7">
      <c r="A448" s="4" t="s">
        <v>928</v>
      </c>
      <c r="B448" s="5" t="s">
        <v>929</v>
      </c>
      <c r="C448" s="6" t="s">
        <v>31</v>
      </c>
      <c r="F448" s="16" t="s">
        <v>2786</v>
      </c>
      <c r="G448" s="17" t="s">
        <v>3630</v>
      </c>
    </row>
    <row r="449" spans="1:7">
      <c r="A449" s="4" t="s">
        <v>930</v>
      </c>
      <c r="B449" s="5" t="s">
        <v>931</v>
      </c>
      <c r="C449" s="6"/>
      <c r="F449" s="16" t="s">
        <v>3631</v>
      </c>
      <c r="G449" s="17" t="s">
        <v>3632</v>
      </c>
    </row>
    <row r="450" spans="1:7">
      <c r="A450" s="4" t="s">
        <v>932</v>
      </c>
      <c r="B450" s="5" t="s">
        <v>933</v>
      </c>
      <c r="C450" s="6"/>
      <c r="F450" s="16" t="s">
        <v>3633</v>
      </c>
      <c r="G450" s="17" t="s">
        <v>3634</v>
      </c>
    </row>
    <row r="451" spans="1:7">
      <c r="A451" s="4" t="s">
        <v>934</v>
      </c>
      <c r="B451" s="5" t="s">
        <v>935</v>
      </c>
      <c r="C451" s="6"/>
      <c r="F451" s="16" t="s">
        <v>3635</v>
      </c>
      <c r="G451" s="17" t="s">
        <v>3636</v>
      </c>
    </row>
    <row r="452" spans="1:7">
      <c r="A452" s="4" t="s">
        <v>936</v>
      </c>
      <c r="B452" s="5" t="s">
        <v>937</v>
      </c>
      <c r="C452" s="6"/>
      <c r="F452" s="16" t="s">
        <v>3637</v>
      </c>
      <c r="G452" s="17" t="s">
        <v>3638</v>
      </c>
    </row>
    <row r="453" spans="1:7">
      <c r="A453" s="4" t="s">
        <v>938</v>
      </c>
      <c r="B453" s="5" t="s">
        <v>939</v>
      </c>
      <c r="C453" s="6" t="s">
        <v>31</v>
      </c>
      <c r="F453" s="16" t="s">
        <v>3639</v>
      </c>
      <c r="G453" s="17" t="s">
        <v>3640</v>
      </c>
    </row>
    <row r="454" spans="1:7">
      <c r="A454" s="4" t="s">
        <v>940</v>
      </c>
      <c r="B454" s="5" t="s">
        <v>941</v>
      </c>
      <c r="C454" s="6"/>
      <c r="F454" s="16" t="s">
        <v>3641</v>
      </c>
      <c r="G454" s="17" t="s">
        <v>3642</v>
      </c>
    </row>
    <row r="455" spans="1:7">
      <c r="A455" s="4" t="s">
        <v>942</v>
      </c>
      <c r="B455" s="5" t="s">
        <v>943</v>
      </c>
      <c r="C455" s="6"/>
      <c r="F455" s="16" t="s">
        <v>2787</v>
      </c>
      <c r="G455" s="17" t="s">
        <v>3643</v>
      </c>
    </row>
    <row r="456" spans="1:7">
      <c r="A456" s="4" t="s">
        <v>944</v>
      </c>
      <c r="B456" s="5" t="s">
        <v>945</v>
      </c>
      <c r="C456" s="6"/>
      <c r="F456" s="16" t="s">
        <v>2792</v>
      </c>
      <c r="G456" s="17" t="s">
        <v>3644</v>
      </c>
    </row>
    <row r="457" spans="1:7">
      <c r="A457" s="4" t="s">
        <v>946</v>
      </c>
      <c r="B457" s="5" t="s">
        <v>947</v>
      </c>
      <c r="C457" s="6"/>
      <c r="F457" s="16" t="s">
        <v>2793</v>
      </c>
      <c r="G457" s="17" t="s">
        <v>3645</v>
      </c>
    </row>
    <row r="458" spans="1:7">
      <c r="A458" s="4" t="s">
        <v>948</v>
      </c>
      <c r="B458" s="5" t="s">
        <v>949</v>
      </c>
      <c r="C458" s="6" t="s">
        <v>31</v>
      </c>
      <c r="F458" s="16" t="s">
        <v>3646</v>
      </c>
      <c r="G458" s="17" t="s">
        <v>3647</v>
      </c>
    </row>
    <row r="459" spans="1:7">
      <c r="A459" s="4" t="s">
        <v>950</v>
      </c>
      <c r="B459" s="5" t="s">
        <v>951</v>
      </c>
      <c r="C459" s="6" t="s">
        <v>31</v>
      </c>
      <c r="F459" s="16" t="s">
        <v>3648</v>
      </c>
      <c r="G459" s="17" t="s">
        <v>3649</v>
      </c>
    </row>
    <row r="460" spans="1:7">
      <c r="A460" s="4" t="s">
        <v>952</v>
      </c>
      <c r="B460" s="5" t="s">
        <v>953</v>
      </c>
      <c r="C460" s="6" t="s">
        <v>31</v>
      </c>
    </row>
    <row r="461" spans="1:7">
      <c r="A461" s="4" t="s">
        <v>954</v>
      </c>
      <c r="B461" s="5" t="s">
        <v>955</v>
      </c>
      <c r="C461" s="6"/>
    </row>
    <row r="462" spans="1:7">
      <c r="A462" s="4" t="s">
        <v>956</v>
      </c>
      <c r="B462" s="5" t="s">
        <v>957</v>
      </c>
      <c r="C462" s="6"/>
    </row>
    <row r="463" spans="1:7">
      <c r="A463" s="4" t="s">
        <v>958</v>
      </c>
      <c r="B463" s="5" t="s">
        <v>959</v>
      </c>
      <c r="C463" s="6"/>
    </row>
    <row r="464" spans="1:7">
      <c r="A464" s="4" t="s">
        <v>960</v>
      </c>
      <c r="B464" s="5" t="s">
        <v>961</v>
      </c>
      <c r="C464" s="6"/>
    </row>
    <row r="465" spans="1:3">
      <c r="A465" s="4" t="s">
        <v>962</v>
      </c>
      <c r="B465" s="5" t="s">
        <v>963</v>
      </c>
      <c r="C465" s="6" t="s">
        <v>31</v>
      </c>
    </row>
    <row r="466" spans="1:3">
      <c r="A466" s="4" t="s">
        <v>964</v>
      </c>
      <c r="B466" s="5" t="s">
        <v>965</v>
      </c>
      <c r="C466" s="6" t="s">
        <v>31</v>
      </c>
    </row>
    <row r="467" spans="1:3">
      <c r="A467" s="4" t="s">
        <v>966</v>
      </c>
      <c r="B467" s="5" t="s">
        <v>967</v>
      </c>
      <c r="C467" s="6" t="s">
        <v>31</v>
      </c>
    </row>
    <row r="468" spans="1:3">
      <c r="A468" s="4" t="s">
        <v>968</v>
      </c>
      <c r="B468" s="5" t="s">
        <v>969</v>
      </c>
      <c r="C468" s="6" t="s">
        <v>31</v>
      </c>
    </row>
    <row r="469" spans="1:3">
      <c r="A469" s="4" t="s">
        <v>970</v>
      </c>
      <c r="B469" s="5" t="s">
        <v>971</v>
      </c>
      <c r="C469" s="6" t="s">
        <v>31</v>
      </c>
    </row>
    <row r="470" spans="1:3">
      <c r="A470" s="4" t="s">
        <v>972</v>
      </c>
      <c r="B470" s="5" t="s">
        <v>973</v>
      </c>
      <c r="C470" s="6" t="s">
        <v>31</v>
      </c>
    </row>
    <row r="471" spans="1:3">
      <c r="A471" s="4" t="s">
        <v>974</v>
      </c>
      <c r="B471" s="5" t="s">
        <v>975</v>
      </c>
      <c r="C471" s="6" t="s">
        <v>31</v>
      </c>
    </row>
    <row r="472" spans="1:3">
      <c r="A472" s="4" t="s">
        <v>976</v>
      </c>
      <c r="B472" s="5" t="s">
        <v>977</v>
      </c>
      <c r="C472" s="6" t="s">
        <v>31</v>
      </c>
    </row>
    <row r="473" spans="1:3">
      <c r="A473" s="4" t="s">
        <v>978</v>
      </c>
      <c r="B473" s="5" t="s">
        <v>979</v>
      </c>
      <c r="C473" s="6" t="s">
        <v>31</v>
      </c>
    </row>
    <row r="474" spans="1:3">
      <c r="A474" s="4" t="s">
        <v>980</v>
      </c>
      <c r="B474" s="5" t="s">
        <v>981</v>
      </c>
      <c r="C474" s="6" t="s">
        <v>31</v>
      </c>
    </row>
    <row r="475" spans="1:3">
      <c r="A475" s="4" t="s">
        <v>982</v>
      </c>
      <c r="B475" s="5" t="s">
        <v>983</v>
      </c>
      <c r="C475" s="6" t="s">
        <v>31</v>
      </c>
    </row>
    <row r="476" spans="1:3">
      <c r="A476" s="4" t="s">
        <v>984</v>
      </c>
      <c r="B476" s="5" t="s">
        <v>985</v>
      </c>
      <c r="C476" s="6" t="s">
        <v>44</v>
      </c>
    </row>
    <row r="477" spans="1:3">
      <c r="A477" s="4" t="s">
        <v>986</v>
      </c>
      <c r="B477" s="5" t="s">
        <v>987</v>
      </c>
      <c r="C477" s="6" t="s">
        <v>348</v>
      </c>
    </row>
    <row r="478" spans="1:3">
      <c r="A478" s="4" t="s">
        <v>988</v>
      </c>
      <c r="B478" s="5" t="s">
        <v>989</v>
      </c>
      <c r="C478" s="6" t="s">
        <v>44</v>
      </c>
    </row>
    <row r="479" spans="1:3">
      <c r="A479" s="4" t="s">
        <v>990</v>
      </c>
      <c r="B479" s="5" t="s">
        <v>991</v>
      </c>
      <c r="C479" s="6" t="s">
        <v>338</v>
      </c>
    </row>
    <row r="480" spans="1:3">
      <c r="A480" s="4" t="s">
        <v>992</v>
      </c>
      <c r="B480" s="5" t="s">
        <v>993</v>
      </c>
      <c r="C480" s="6" t="s">
        <v>31</v>
      </c>
    </row>
    <row r="481" spans="1:3">
      <c r="A481" s="4" t="s">
        <v>994</v>
      </c>
      <c r="B481" s="5" t="s">
        <v>995</v>
      </c>
      <c r="C481" s="6" t="s">
        <v>31</v>
      </c>
    </row>
    <row r="482" spans="1:3">
      <c r="A482" s="4" t="s">
        <v>996</v>
      </c>
      <c r="B482" s="5" t="s">
        <v>997</v>
      </c>
      <c r="C482" s="6" t="s">
        <v>31</v>
      </c>
    </row>
    <row r="483" spans="1:3">
      <c r="A483" s="4" t="s">
        <v>998</v>
      </c>
      <c r="B483" s="5" t="s">
        <v>999</v>
      </c>
      <c r="C483" s="6" t="s">
        <v>31</v>
      </c>
    </row>
    <row r="484" spans="1:3">
      <c r="A484" s="4" t="s">
        <v>1000</v>
      </c>
      <c r="B484" s="5" t="s">
        <v>1001</v>
      </c>
      <c r="C484" s="6" t="s">
        <v>31</v>
      </c>
    </row>
    <row r="485" spans="1:3">
      <c r="A485" s="4" t="s">
        <v>1002</v>
      </c>
      <c r="B485" s="5" t="s">
        <v>1003</v>
      </c>
      <c r="C485" s="6" t="s">
        <v>44</v>
      </c>
    </row>
    <row r="486" spans="1:3">
      <c r="A486" s="4" t="s">
        <v>1004</v>
      </c>
      <c r="B486" s="5" t="s">
        <v>1005</v>
      </c>
      <c r="C486" s="6" t="s">
        <v>31</v>
      </c>
    </row>
    <row r="487" spans="1:3">
      <c r="A487" s="4" t="s">
        <v>1006</v>
      </c>
      <c r="B487" s="5" t="s">
        <v>1007</v>
      </c>
      <c r="C487" s="6" t="s">
        <v>31</v>
      </c>
    </row>
    <row r="488" spans="1:3">
      <c r="A488" s="4" t="s">
        <v>1008</v>
      </c>
      <c r="B488" s="5" t="s">
        <v>1009</v>
      </c>
      <c r="C488" s="6" t="s">
        <v>31</v>
      </c>
    </row>
    <row r="489" spans="1:3">
      <c r="A489" s="4" t="s">
        <v>1010</v>
      </c>
      <c r="B489" s="5" t="s">
        <v>1011</v>
      </c>
      <c r="C489" s="6" t="s">
        <v>31</v>
      </c>
    </row>
    <row r="490" spans="1:3">
      <c r="A490" s="4" t="s">
        <v>1012</v>
      </c>
      <c r="B490" s="5" t="s">
        <v>1013</v>
      </c>
      <c r="C490" s="6" t="s">
        <v>31</v>
      </c>
    </row>
    <row r="491" spans="1:3">
      <c r="A491" s="4" t="s">
        <v>1014</v>
      </c>
      <c r="B491" s="5" t="s">
        <v>1015</v>
      </c>
      <c r="C491" s="6" t="s">
        <v>31</v>
      </c>
    </row>
    <row r="492" spans="1:3">
      <c r="A492" s="4" t="s">
        <v>1016</v>
      </c>
      <c r="B492" s="5" t="s">
        <v>1017</v>
      </c>
      <c r="C492" s="6" t="s">
        <v>31</v>
      </c>
    </row>
    <row r="493" spans="1:3">
      <c r="A493" s="4" t="s">
        <v>1018</v>
      </c>
      <c r="B493" s="5" t="s">
        <v>1019</v>
      </c>
      <c r="C493" s="6" t="s">
        <v>31</v>
      </c>
    </row>
    <row r="494" spans="1:3">
      <c r="A494" s="4" t="s">
        <v>1020</v>
      </c>
      <c r="B494" s="5" t="s">
        <v>1021</v>
      </c>
      <c r="C494" s="6" t="s">
        <v>31</v>
      </c>
    </row>
    <row r="495" spans="1:3">
      <c r="A495" s="4" t="s">
        <v>1022</v>
      </c>
      <c r="B495" s="5" t="s">
        <v>1023</v>
      </c>
      <c r="C495" s="6" t="s">
        <v>31</v>
      </c>
    </row>
    <row r="496" spans="1:3">
      <c r="A496" s="4" t="s">
        <v>1024</v>
      </c>
      <c r="B496" s="5" t="s">
        <v>1025</v>
      </c>
      <c r="C496" s="6" t="s">
        <v>31</v>
      </c>
    </row>
    <row r="497" spans="1:3">
      <c r="A497" s="4" t="s">
        <v>1026</v>
      </c>
      <c r="B497" s="5" t="s">
        <v>1027</v>
      </c>
      <c r="C497" s="6" t="s">
        <v>31</v>
      </c>
    </row>
    <row r="498" spans="1:3">
      <c r="A498" s="4" t="s">
        <v>1028</v>
      </c>
      <c r="B498" s="5" t="s">
        <v>1029</v>
      </c>
      <c r="C498" s="6" t="s">
        <v>31</v>
      </c>
    </row>
    <row r="499" spans="1:3">
      <c r="A499" s="4" t="s">
        <v>1030</v>
      </c>
      <c r="B499" s="5" t="s">
        <v>1031</v>
      </c>
      <c r="C499" s="6" t="s">
        <v>31</v>
      </c>
    </row>
    <row r="500" spans="1:3">
      <c r="A500" s="4" t="s">
        <v>1032</v>
      </c>
      <c r="B500" s="5" t="s">
        <v>1033</v>
      </c>
      <c r="C500" s="6" t="s">
        <v>31</v>
      </c>
    </row>
    <row r="501" spans="1:3">
      <c r="A501" s="4" t="s">
        <v>1034</v>
      </c>
      <c r="B501" s="5" t="s">
        <v>1035</v>
      </c>
      <c r="C501" s="6" t="s">
        <v>31</v>
      </c>
    </row>
    <row r="502" spans="1:3">
      <c r="A502" s="4" t="s">
        <v>1036</v>
      </c>
      <c r="B502" s="5" t="s">
        <v>1037</v>
      </c>
      <c r="C502" s="6" t="s">
        <v>31</v>
      </c>
    </row>
    <row r="503" spans="1:3">
      <c r="A503" s="4" t="s">
        <v>1038</v>
      </c>
      <c r="B503" s="5" t="s">
        <v>1039</v>
      </c>
      <c r="C503" s="6" t="s">
        <v>31</v>
      </c>
    </row>
    <row r="504" spans="1:3">
      <c r="A504" s="4" t="s">
        <v>1040</v>
      </c>
      <c r="B504" s="5" t="s">
        <v>1041</v>
      </c>
      <c r="C504" s="6" t="s">
        <v>31</v>
      </c>
    </row>
    <row r="505" spans="1:3">
      <c r="A505" s="4" t="s">
        <v>1042</v>
      </c>
      <c r="B505" s="5" t="s">
        <v>1043</v>
      </c>
      <c r="C505" s="6" t="s">
        <v>31</v>
      </c>
    </row>
    <row r="506" spans="1:3">
      <c r="A506" s="4" t="s">
        <v>1044</v>
      </c>
      <c r="B506" s="5" t="s">
        <v>1045</v>
      </c>
      <c r="C506" s="6" t="s">
        <v>31</v>
      </c>
    </row>
    <row r="507" spans="1:3">
      <c r="A507" s="4" t="s">
        <v>1046</v>
      </c>
      <c r="B507" s="5" t="s">
        <v>1047</v>
      </c>
      <c r="C507" s="6" t="s">
        <v>31</v>
      </c>
    </row>
    <row r="508" spans="1:3">
      <c r="A508" s="4" t="s">
        <v>1048</v>
      </c>
      <c r="B508" s="5" t="s">
        <v>1049</v>
      </c>
      <c r="C508" s="6" t="s">
        <v>31</v>
      </c>
    </row>
    <row r="509" spans="1:3">
      <c r="A509" s="4" t="s">
        <v>1050</v>
      </c>
      <c r="B509" s="5" t="s">
        <v>1051</v>
      </c>
      <c r="C509" s="6" t="s">
        <v>31</v>
      </c>
    </row>
    <row r="510" spans="1:3">
      <c r="A510" s="4" t="s">
        <v>1052</v>
      </c>
      <c r="B510" s="5" t="s">
        <v>1053</v>
      </c>
      <c r="C510" s="6" t="s">
        <v>31</v>
      </c>
    </row>
    <row r="511" spans="1:3">
      <c r="A511" s="4" t="s">
        <v>1054</v>
      </c>
      <c r="B511" s="5" t="s">
        <v>1055</v>
      </c>
      <c r="C511" s="6" t="s">
        <v>31</v>
      </c>
    </row>
    <row r="512" spans="1:3">
      <c r="A512" s="4" t="s">
        <v>1056</v>
      </c>
      <c r="B512" s="5" t="s">
        <v>1057</v>
      </c>
      <c r="C512" s="6" t="s">
        <v>31</v>
      </c>
    </row>
    <row r="513" spans="1:3">
      <c r="A513" s="4" t="s">
        <v>1058</v>
      </c>
      <c r="B513" s="5" t="s">
        <v>1059</v>
      </c>
      <c r="C513" s="6" t="s">
        <v>31</v>
      </c>
    </row>
    <row r="514" spans="1:3">
      <c r="A514" s="4" t="s">
        <v>1060</v>
      </c>
      <c r="B514" s="5" t="s">
        <v>1061</v>
      </c>
      <c r="C514" s="6" t="s">
        <v>31</v>
      </c>
    </row>
    <row r="515" spans="1:3">
      <c r="A515" s="4" t="s">
        <v>1062</v>
      </c>
      <c r="B515" s="5" t="s">
        <v>1063</v>
      </c>
      <c r="C515" s="6" t="s">
        <v>31</v>
      </c>
    </row>
    <row r="516" spans="1:3">
      <c r="A516" s="4" t="s">
        <v>1064</v>
      </c>
      <c r="B516" s="5" t="s">
        <v>1065</v>
      </c>
      <c r="C516" s="6" t="s">
        <v>31</v>
      </c>
    </row>
    <row r="517" spans="1:3">
      <c r="A517" s="4" t="s">
        <v>1066</v>
      </c>
      <c r="B517" s="5" t="s">
        <v>1067</v>
      </c>
      <c r="C517" s="6" t="s">
        <v>31</v>
      </c>
    </row>
    <row r="518" spans="1:3">
      <c r="A518" s="4" t="s">
        <v>1068</v>
      </c>
      <c r="B518" s="5" t="s">
        <v>1069</v>
      </c>
      <c r="C518" s="6" t="s">
        <v>31</v>
      </c>
    </row>
    <row r="519" spans="1:3">
      <c r="A519" s="4" t="s">
        <v>1070</v>
      </c>
      <c r="B519" s="5" t="s">
        <v>1071</v>
      </c>
      <c r="C519" s="6" t="s">
        <v>31</v>
      </c>
    </row>
    <row r="520" spans="1:3">
      <c r="A520" s="4" t="s">
        <v>1072</v>
      </c>
      <c r="B520" s="5" t="s">
        <v>1073</v>
      </c>
      <c r="C520" s="6" t="s">
        <v>31</v>
      </c>
    </row>
    <row r="521" spans="1:3">
      <c r="A521" s="4" t="s">
        <v>1074</v>
      </c>
      <c r="B521" s="5" t="s">
        <v>1075</v>
      </c>
      <c r="C521" s="6" t="s">
        <v>31</v>
      </c>
    </row>
    <row r="522" spans="1:3">
      <c r="A522" s="4" t="s">
        <v>1076</v>
      </c>
      <c r="B522" s="5" t="s">
        <v>1077</v>
      </c>
      <c r="C522" s="6" t="s">
        <v>31</v>
      </c>
    </row>
    <row r="523" spans="1:3">
      <c r="A523" s="4" t="s">
        <v>1078</v>
      </c>
      <c r="B523" s="5" t="s">
        <v>1079</v>
      </c>
      <c r="C523" s="6" t="s">
        <v>31</v>
      </c>
    </row>
    <row r="524" spans="1:3">
      <c r="A524" s="4" t="s">
        <v>1080</v>
      </c>
      <c r="B524" s="5" t="s">
        <v>1081</v>
      </c>
      <c r="C524" s="6" t="s">
        <v>31</v>
      </c>
    </row>
    <row r="525" spans="1:3">
      <c r="A525" s="4" t="s">
        <v>1082</v>
      </c>
      <c r="B525" s="5" t="s">
        <v>1083</v>
      </c>
      <c r="C525" s="6" t="s">
        <v>31</v>
      </c>
    </row>
    <row r="526" spans="1:3">
      <c r="A526" s="4" t="s">
        <v>1084</v>
      </c>
      <c r="B526" s="5" t="s">
        <v>1085</v>
      </c>
      <c r="C526" s="6" t="s">
        <v>31</v>
      </c>
    </row>
    <row r="527" spans="1:3">
      <c r="A527" s="4" t="s">
        <v>1086</v>
      </c>
      <c r="B527" s="5" t="s">
        <v>1087</v>
      </c>
      <c r="C527" s="6" t="s">
        <v>31</v>
      </c>
    </row>
    <row r="528" spans="1:3">
      <c r="A528" s="4" t="s">
        <v>1088</v>
      </c>
      <c r="B528" s="5" t="s">
        <v>1089</v>
      </c>
      <c r="C528" s="6" t="s">
        <v>31</v>
      </c>
    </row>
    <row r="529" spans="1:3">
      <c r="A529" s="4" t="s">
        <v>1090</v>
      </c>
      <c r="B529" s="5" t="s">
        <v>1091</v>
      </c>
      <c r="C529" s="6" t="s">
        <v>31</v>
      </c>
    </row>
    <row r="530" spans="1:3">
      <c r="A530" s="4" t="s">
        <v>1092</v>
      </c>
      <c r="B530" s="5" t="s">
        <v>1093</v>
      </c>
      <c r="C530" s="6" t="s">
        <v>31</v>
      </c>
    </row>
    <row r="531" spans="1:3">
      <c r="A531" s="4" t="s">
        <v>1094</v>
      </c>
      <c r="B531" s="5" t="s">
        <v>1095</v>
      </c>
      <c r="C531" s="6" t="s">
        <v>31</v>
      </c>
    </row>
    <row r="532" spans="1:3">
      <c r="A532" s="4" t="s">
        <v>1096</v>
      </c>
      <c r="B532" s="5" t="s">
        <v>1097</v>
      </c>
      <c r="C532" s="6" t="s">
        <v>31</v>
      </c>
    </row>
    <row r="533" spans="1:3">
      <c r="A533" s="4" t="s">
        <v>1098</v>
      </c>
      <c r="B533" s="5" t="s">
        <v>1099</v>
      </c>
      <c r="C533" s="6" t="s">
        <v>31</v>
      </c>
    </row>
    <row r="534" spans="1:3">
      <c r="A534" s="4" t="s">
        <v>1100</v>
      </c>
      <c r="B534" s="5" t="s">
        <v>1101</v>
      </c>
      <c r="C534" s="6" t="s">
        <v>31</v>
      </c>
    </row>
    <row r="535" spans="1:3">
      <c r="A535" s="4" t="s">
        <v>1102</v>
      </c>
      <c r="B535" s="5" t="s">
        <v>1103</v>
      </c>
      <c r="C535" s="6" t="s">
        <v>31</v>
      </c>
    </row>
    <row r="536" spans="1:3">
      <c r="A536" s="4" t="s">
        <v>1104</v>
      </c>
      <c r="B536" s="5" t="s">
        <v>1105</v>
      </c>
      <c r="C536" s="6" t="s">
        <v>31</v>
      </c>
    </row>
    <row r="537" spans="1:3">
      <c r="A537" s="4" t="s">
        <v>1106</v>
      </c>
      <c r="B537" s="5" t="s">
        <v>1107</v>
      </c>
      <c r="C537" s="6" t="s">
        <v>31</v>
      </c>
    </row>
    <row r="538" spans="1:3">
      <c r="A538" s="4" t="s">
        <v>1108</v>
      </c>
      <c r="B538" s="5" t="s">
        <v>1109</v>
      </c>
      <c r="C538" s="6" t="s">
        <v>31</v>
      </c>
    </row>
    <row r="539" spans="1:3">
      <c r="A539" s="4" t="s">
        <v>1110</v>
      </c>
      <c r="B539" s="5" t="s">
        <v>1111</v>
      </c>
      <c r="C539" s="6" t="s">
        <v>31</v>
      </c>
    </row>
    <row r="540" spans="1:3">
      <c r="A540" s="4" t="s">
        <v>1112</v>
      </c>
      <c r="B540" s="5" t="s">
        <v>1113</v>
      </c>
      <c r="C540" s="6" t="s">
        <v>31</v>
      </c>
    </row>
    <row r="541" spans="1:3">
      <c r="A541" s="4" t="s">
        <v>1114</v>
      </c>
      <c r="B541" s="5" t="s">
        <v>1115</v>
      </c>
      <c r="C541" s="6" t="s">
        <v>31</v>
      </c>
    </row>
    <row r="542" spans="1:3">
      <c r="A542" s="4" t="s">
        <v>1116</v>
      </c>
      <c r="B542" s="5" t="s">
        <v>1117</v>
      </c>
      <c r="C542" s="6" t="s">
        <v>31</v>
      </c>
    </row>
    <row r="543" spans="1:3">
      <c r="A543" s="4" t="s">
        <v>1118</v>
      </c>
      <c r="B543" s="5" t="s">
        <v>1119</v>
      </c>
      <c r="C543" s="6" t="s">
        <v>31</v>
      </c>
    </row>
    <row r="544" spans="1:3">
      <c r="A544" s="4" t="s">
        <v>1120</v>
      </c>
      <c r="B544" s="5" t="s">
        <v>1121</v>
      </c>
      <c r="C544" s="6" t="s">
        <v>31</v>
      </c>
    </row>
    <row r="545" spans="1:3">
      <c r="A545" s="4" t="s">
        <v>1122</v>
      </c>
      <c r="B545" s="5" t="s">
        <v>1123</v>
      </c>
      <c r="C545" s="6" t="s">
        <v>31</v>
      </c>
    </row>
    <row r="546" spans="1:3">
      <c r="A546" s="4" t="s">
        <v>1124</v>
      </c>
      <c r="B546" s="5" t="s">
        <v>1125</v>
      </c>
      <c r="C546" s="6" t="s">
        <v>31</v>
      </c>
    </row>
    <row r="547" spans="1:3">
      <c r="A547" s="4" t="s">
        <v>1126</v>
      </c>
      <c r="B547" s="5" t="s">
        <v>1127</v>
      </c>
      <c r="C547" s="6" t="s">
        <v>31</v>
      </c>
    </row>
    <row r="548" spans="1:3">
      <c r="A548" s="4" t="s">
        <v>1128</v>
      </c>
      <c r="B548" s="5" t="s">
        <v>1129</v>
      </c>
      <c r="C548" s="6" t="s">
        <v>31</v>
      </c>
    </row>
    <row r="549" spans="1:3">
      <c r="A549" s="4" t="s">
        <v>1130</v>
      </c>
      <c r="B549" s="5" t="s">
        <v>1131</v>
      </c>
      <c r="C549" s="6" t="s">
        <v>31</v>
      </c>
    </row>
    <row r="550" spans="1:3">
      <c r="A550" s="4" t="s">
        <v>1132</v>
      </c>
      <c r="B550" s="5" t="s">
        <v>1133</v>
      </c>
      <c r="C550" s="6" t="s">
        <v>31</v>
      </c>
    </row>
    <row r="551" spans="1:3">
      <c r="A551" s="4" t="s">
        <v>1134</v>
      </c>
      <c r="B551" s="5" t="s">
        <v>1135</v>
      </c>
      <c r="C551" s="6" t="s">
        <v>31</v>
      </c>
    </row>
    <row r="552" spans="1:3">
      <c r="A552" s="4" t="s">
        <v>1136</v>
      </c>
      <c r="B552" s="5" t="s">
        <v>1137</v>
      </c>
      <c r="C552" s="6" t="s">
        <v>31</v>
      </c>
    </row>
    <row r="553" spans="1:3">
      <c r="A553" s="4" t="s">
        <v>1138</v>
      </c>
      <c r="B553" s="5" t="s">
        <v>1139</v>
      </c>
      <c r="C553" s="6" t="s">
        <v>31</v>
      </c>
    </row>
    <row r="554" spans="1:3">
      <c r="A554" s="4" t="s">
        <v>1140</v>
      </c>
      <c r="B554" s="5" t="s">
        <v>1141</v>
      </c>
      <c r="C554" s="6" t="s">
        <v>31</v>
      </c>
    </row>
    <row r="555" spans="1:3">
      <c r="A555" s="4" t="s">
        <v>1142</v>
      </c>
      <c r="B555" s="5" t="s">
        <v>1143</v>
      </c>
      <c r="C555" s="6" t="s">
        <v>31</v>
      </c>
    </row>
    <row r="556" spans="1:3">
      <c r="A556" s="4" t="s">
        <v>1144</v>
      </c>
      <c r="B556" s="5" t="s">
        <v>1145</v>
      </c>
      <c r="C556" s="6" t="s">
        <v>31</v>
      </c>
    </row>
    <row r="557" spans="1:3">
      <c r="A557" s="4" t="s">
        <v>1146</v>
      </c>
      <c r="B557" s="5" t="s">
        <v>1147</v>
      </c>
      <c r="C557" s="6" t="s">
        <v>31</v>
      </c>
    </row>
    <row r="558" spans="1:3">
      <c r="A558" s="4" t="s">
        <v>1148</v>
      </c>
      <c r="B558" s="5" t="s">
        <v>1149</v>
      </c>
      <c r="C558" s="6" t="s">
        <v>31</v>
      </c>
    </row>
    <row r="559" spans="1:3">
      <c r="A559" s="4" t="s">
        <v>1150</v>
      </c>
      <c r="B559" s="5" t="s">
        <v>1151</v>
      </c>
      <c r="C559" s="6" t="s">
        <v>31</v>
      </c>
    </row>
    <row r="560" spans="1:3">
      <c r="A560" s="4" t="s">
        <v>1152</v>
      </c>
      <c r="B560" s="5" t="s">
        <v>1153</v>
      </c>
      <c r="C560" s="6" t="s">
        <v>31</v>
      </c>
    </row>
    <row r="561" spans="1:3">
      <c r="A561" s="4" t="s">
        <v>1154</v>
      </c>
      <c r="B561" s="5" t="s">
        <v>1155</v>
      </c>
      <c r="C561" s="6" t="s">
        <v>31</v>
      </c>
    </row>
    <row r="562" spans="1:3">
      <c r="A562" s="4" t="s">
        <v>1156</v>
      </c>
      <c r="B562" s="5" t="s">
        <v>1157</v>
      </c>
      <c r="C562" s="6" t="s">
        <v>31</v>
      </c>
    </row>
    <row r="563" spans="1:3">
      <c r="A563" s="4" t="s">
        <v>1158</v>
      </c>
      <c r="B563" s="5" t="s">
        <v>1159</v>
      </c>
      <c r="C563" s="6" t="s">
        <v>31</v>
      </c>
    </row>
    <row r="564" spans="1:3">
      <c r="A564" s="4" t="s">
        <v>1160</v>
      </c>
      <c r="B564" s="5" t="s">
        <v>1161</v>
      </c>
      <c r="C564" s="6" t="s">
        <v>31</v>
      </c>
    </row>
    <row r="565" spans="1:3">
      <c r="A565" s="4" t="s">
        <v>1162</v>
      </c>
      <c r="B565" s="5" t="s">
        <v>1163</v>
      </c>
      <c r="C565" s="6" t="s">
        <v>31</v>
      </c>
    </row>
    <row r="566" spans="1:3">
      <c r="A566" s="4" t="s">
        <v>1164</v>
      </c>
      <c r="B566" s="5" t="s">
        <v>1165</v>
      </c>
      <c r="C566" s="6" t="s">
        <v>31</v>
      </c>
    </row>
    <row r="567" spans="1:3">
      <c r="A567" s="4" t="s">
        <v>1166</v>
      </c>
      <c r="B567" s="5" t="s">
        <v>1167</v>
      </c>
      <c r="C567" s="6" t="s">
        <v>31</v>
      </c>
    </row>
    <row r="568" spans="1:3">
      <c r="A568" s="4" t="s">
        <v>1168</v>
      </c>
      <c r="B568" s="5" t="s">
        <v>1169</v>
      </c>
      <c r="C568" s="6"/>
    </row>
    <row r="569" spans="1:3">
      <c r="A569" s="4" t="s">
        <v>1170</v>
      </c>
      <c r="B569" s="5" t="s">
        <v>1171</v>
      </c>
      <c r="C569" s="6"/>
    </row>
    <row r="570" spans="1:3">
      <c r="A570" s="4" t="s">
        <v>1172</v>
      </c>
      <c r="B570" s="5" t="s">
        <v>1173</v>
      </c>
      <c r="C570" s="6"/>
    </row>
    <row r="571" spans="1:3">
      <c r="A571" s="4" t="s">
        <v>1174</v>
      </c>
      <c r="B571" s="5" t="s">
        <v>1175</v>
      </c>
      <c r="C571" s="6"/>
    </row>
    <row r="572" spans="1:3">
      <c r="A572" s="4" t="s">
        <v>1176</v>
      </c>
      <c r="B572" s="5" t="s">
        <v>1177</v>
      </c>
      <c r="C572" s="6"/>
    </row>
    <row r="573" spans="1:3">
      <c r="A573" s="4" t="s">
        <v>1178</v>
      </c>
      <c r="B573" s="5" t="s">
        <v>1179</v>
      </c>
      <c r="C573" s="6"/>
    </row>
    <row r="574" spans="1:3">
      <c r="A574" s="4" t="s">
        <v>1180</v>
      </c>
      <c r="B574" s="5" t="s">
        <v>1181</v>
      </c>
      <c r="C574" s="6"/>
    </row>
    <row r="575" spans="1:3">
      <c r="A575" s="4" t="s">
        <v>1182</v>
      </c>
      <c r="B575" s="5" t="s">
        <v>1183</v>
      </c>
      <c r="C575" s="6" t="s">
        <v>31</v>
      </c>
    </row>
    <row r="576" spans="1:3">
      <c r="A576" s="4" t="s">
        <v>1184</v>
      </c>
      <c r="B576" s="5" t="s">
        <v>1185</v>
      </c>
      <c r="C576" s="6" t="s">
        <v>31</v>
      </c>
    </row>
    <row r="577" spans="1:3">
      <c r="A577" s="4" t="s">
        <v>1186</v>
      </c>
      <c r="B577" s="5" t="s">
        <v>1187</v>
      </c>
      <c r="C577" s="6" t="s">
        <v>31</v>
      </c>
    </row>
    <row r="578" spans="1:3">
      <c r="A578" s="4" t="s">
        <v>1188</v>
      </c>
      <c r="B578" s="5" t="s">
        <v>1189</v>
      </c>
      <c r="C578" s="6" t="s">
        <v>31</v>
      </c>
    </row>
    <row r="579" spans="1:3">
      <c r="A579" s="4" t="s">
        <v>1190</v>
      </c>
      <c r="B579" s="5" t="s">
        <v>1191</v>
      </c>
      <c r="C579" s="6" t="s">
        <v>31</v>
      </c>
    </row>
    <row r="580" spans="1:3">
      <c r="A580" s="4" t="s">
        <v>1192</v>
      </c>
      <c r="B580" s="5" t="s">
        <v>1193</v>
      </c>
      <c r="C580" s="6" t="s">
        <v>31</v>
      </c>
    </row>
    <row r="581" spans="1:3">
      <c r="A581" s="4" t="s">
        <v>1194</v>
      </c>
      <c r="B581" s="5" t="s">
        <v>1195</v>
      </c>
      <c r="C581" s="6" t="s">
        <v>31</v>
      </c>
    </row>
    <row r="582" spans="1:3">
      <c r="A582" s="4" t="s">
        <v>1196</v>
      </c>
      <c r="B582" s="5" t="s">
        <v>1197</v>
      </c>
      <c r="C582" s="6" t="s">
        <v>31</v>
      </c>
    </row>
    <row r="583" spans="1:3">
      <c r="A583" s="4" t="s">
        <v>1198</v>
      </c>
      <c r="B583" s="5" t="s">
        <v>1199</v>
      </c>
      <c r="C583" s="6"/>
    </row>
    <row r="584" spans="1:3">
      <c r="A584" s="4" t="s">
        <v>1200</v>
      </c>
      <c r="B584" s="5" t="s">
        <v>1201</v>
      </c>
      <c r="C584" s="6" t="s">
        <v>31</v>
      </c>
    </row>
    <row r="585" spans="1:3">
      <c r="A585" s="4" t="s">
        <v>1202</v>
      </c>
      <c r="B585" s="5" t="s">
        <v>1203</v>
      </c>
      <c r="C585" s="6" t="s">
        <v>31</v>
      </c>
    </row>
    <row r="586" spans="1:3">
      <c r="A586" s="4" t="s">
        <v>1204</v>
      </c>
      <c r="B586" s="5" t="s">
        <v>1205</v>
      </c>
      <c r="C586" s="6" t="s">
        <v>31</v>
      </c>
    </row>
    <row r="587" spans="1:3">
      <c r="A587" s="4" t="s">
        <v>1206</v>
      </c>
      <c r="B587" s="5" t="s">
        <v>1207</v>
      </c>
      <c r="C587" s="6" t="s">
        <v>31</v>
      </c>
    </row>
    <row r="588" spans="1:3">
      <c r="A588" s="4" t="s">
        <v>1208</v>
      </c>
      <c r="B588" s="5" t="s">
        <v>1209</v>
      </c>
      <c r="C588" s="6" t="s">
        <v>31</v>
      </c>
    </row>
    <row r="589" spans="1:3">
      <c r="A589" s="4" t="s">
        <v>1210</v>
      </c>
      <c r="B589" s="5" t="s">
        <v>1211</v>
      </c>
      <c r="C589" s="6" t="s">
        <v>31</v>
      </c>
    </row>
    <row r="590" spans="1:3">
      <c r="A590" s="4" t="s">
        <v>1212</v>
      </c>
      <c r="B590" s="5" t="s">
        <v>1213</v>
      </c>
      <c r="C590" s="6" t="s">
        <v>31</v>
      </c>
    </row>
    <row r="591" spans="1:3">
      <c r="A591" s="4" t="s">
        <v>1214</v>
      </c>
      <c r="B591" s="5" t="s">
        <v>1215</v>
      </c>
      <c r="C591" s="6" t="s">
        <v>31</v>
      </c>
    </row>
    <row r="592" spans="1:3">
      <c r="A592" s="4" t="s">
        <v>1216</v>
      </c>
      <c r="B592" s="5" t="s">
        <v>1217</v>
      </c>
      <c r="C592" s="6" t="s">
        <v>31</v>
      </c>
    </row>
    <row r="593" spans="1:3">
      <c r="A593" s="4" t="s">
        <v>1218</v>
      </c>
      <c r="B593" s="5" t="s">
        <v>1219</v>
      </c>
      <c r="C593" s="6" t="s">
        <v>31</v>
      </c>
    </row>
    <row r="594" spans="1:3">
      <c r="A594" s="4" t="s">
        <v>1220</v>
      </c>
      <c r="B594" s="5" t="s">
        <v>1221</v>
      </c>
      <c r="C594" s="6" t="s">
        <v>31</v>
      </c>
    </row>
    <row r="595" spans="1:3">
      <c r="A595" s="4" t="s">
        <v>1222</v>
      </c>
      <c r="B595" s="5" t="s">
        <v>1223</v>
      </c>
      <c r="C595" s="6" t="s">
        <v>31</v>
      </c>
    </row>
    <row r="596" spans="1:3">
      <c r="A596" s="4" t="s">
        <v>1224</v>
      </c>
      <c r="B596" s="5" t="s">
        <v>1225</v>
      </c>
      <c r="C596" s="6" t="s">
        <v>31</v>
      </c>
    </row>
    <row r="597" spans="1:3">
      <c r="A597" s="4" t="s">
        <v>1226</v>
      </c>
      <c r="B597" s="5" t="s">
        <v>1227</v>
      </c>
      <c r="C597" s="6" t="s">
        <v>1228</v>
      </c>
    </row>
    <row r="598" spans="1:3">
      <c r="A598" s="4" t="s">
        <v>1229</v>
      </c>
      <c r="B598" s="5" t="s">
        <v>1230</v>
      </c>
      <c r="C598" s="6" t="s">
        <v>1228</v>
      </c>
    </row>
    <row r="599" spans="1:3">
      <c r="A599" s="4" t="s">
        <v>1231</v>
      </c>
      <c r="B599" s="5" t="s">
        <v>1232</v>
      </c>
      <c r="C599" s="6" t="s">
        <v>1228</v>
      </c>
    </row>
    <row r="600" spans="1:3">
      <c r="A600" s="4" t="s">
        <v>1233</v>
      </c>
      <c r="B600" s="5" t="s">
        <v>1234</v>
      </c>
      <c r="C600" s="6" t="s">
        <v>1228</v>
      </c>
    </row>
    <row r="601" spans="1:3">
      <c r="A601" s="4" t="s">
        <v>1235</v>
      </c>
      <c r="B601" s="5" t="s">
        <v>1236</v>
      </c>
      <c r="C601" s="6" t="s">
        <v>1228</v>
      </c>
    </row>
    <row r="602" spans="1:3">
      <c r="A602" s="4" t="s">
        <v>1237</v>
      </c>
      <c r="B602" s="5" t="s">
        <v>1238</v>
      </c>
      <c r="C602" s="6" t="s">
        <v>1228</v>
      </c>
    </row>
    <row r="603" spans="1:3">
      <c r="A603" s="4" t="s">
        <v>1239</v>
      </c>
      <c r="B603" s="5" t="s">
        <v>1240</v>
      </c>
      <c r="C603" s="6" t="s">
        <v>1228</v>
      </c>
    </row>
    <row r="604" spans="1:3">
      <c r="A604" s="4" t="s">
        <v>1241</v>
      </c>
      <c r="B604" s="5" t="s">
        <v>1242</v>
      </c>
      <c r="C604" s="6" t="s">
        <v>1228</v>
      </c>
    </row>
    <row r="605" spans="1:3">
      <c r="A605" s="4" t="s">
        <v>1243</v>
      </c>
      <c r="B605" s="5" t="s">
        <v>1244</v>
      </c>
      <c r="C605" s="6" t="s">
        <v>1228</v>
      </c>
    </row>
    <row r="606" spans="1:3">
      <c r="A606" s="4" t="s">
        <v>1245</v>
      </c>
      <c r="B606" s="5" t="s">
        <v>1246</v>
      </c>
      <c r="C606" s="6" t="s">
        <v>1228</v>
      </c>
    </row>
    <row r="607" spans="1:3">
      <c r="A607" s="4" t="s">
        <v>1247</v>
      </c>
      <c r="B607" s="5" t="s">
        <v>1248</v>
      </c>
      <c r="C607" s="6" t="s">
        <v>1228</v>
      </c>
    </row>
    <row r="608" spans="1:3">
      <c r="A608" s="4" t="s">
        <v>1249</v>
      </c>
      <c r="B608" s="5" t="s">
        <v>1250</v>
      </c>
      <c r="C608" s="6" t="s">
        <v>1228</v>
      </c>
    </row>
    <row r="609" spans="1:3">
      <c r="A609" s="4" t="s">
        <v>1251</v>
      </c>
      <c r="B609" s="5" t="s">
        <v>1252</v>
      </c>
      <c r="C609" s="6" t="s">
        <v>1228</v>
      </c>
    </row>
    <row r="610" spans="1:3">
      <c r="A610" s="4" t="s">
        <v>1253</v>
      </c>
      <c r="B610" s="5" t="s">
        <v>1254</v>
      </c>
      <c r="C610" s="6" t="s">
        <v>1228</v>
      </c>
    </row>
    <row r="611" spans="1:3">
      <c r="A611" s="4" t="s">
        <v>1255</v>
      </c>
      <c r="B611" s="5" t="s">
        <v>1256</v>
      </c>
      <c r="C611" s="6" t="s">
        <v>1228</v>
      </c>
    </row>
    <row r="612" spans="1:3">
      <c r="A612" s="4" t="s">
        <v>1257</v>
      </c>
      <c r="B612" s="5" t="s">
        <v>1258</v>
      </c>
      <c r="C612" s="6" t="s">
        <v>1228</v>
      </c>
    </row>
    <row r="613" spans="1:3">
      <c r="A613" s="4" t="s">
        <v>1259</v>
      </c>
      <c r="B613" s="5" t="s">
        <v>1260</v>
      </c>
      <c r="C613" s="6" t="s">
        <v>1228</v>
      </c>
    </row>
    <row r="614" spans="1:3">
      <c r="A614" s="4" t="s">
        <v>1261</v>
      </c>
      <c r="B614" s="5" t="s">
        <v>1262</v>
      </c>
      <c r="C614" s="6" t="s">
        <v>1228</v>
      </c>
    </row>
    <row r="615" spans="1:3">
      <c r="A615" s="4" t="s">
        <v>1263</v>
      </c>
      <c r="B615" s="5" t="s">
        <v>1264</v>
      </c>
      <c r="C615" s="6" t="s">
        <v>1228</v>
      </c>
    </row>
    <row r="616" spans="1:3">
      <c r="A616" s="4" t="s">
        <v>1265</v>
      </c>
      <c r="B616" s="5" t="s">
        <v>1266</v>
      </c>
      <c r="C616" s="6" t="s">
        <v>1228</v>
      </c>
    </row>
    <row r="617" spans="1:3">
      <c r="A617" s="4" t="s">
        <v>1267</v>
      </c>
      <c r="B617" s="5" t="s">
        <v>1268</v>
      </c>
      <c r="C617" s="6" t="s">
        <v>1228</v>
      </c>
    </row>
    <row r="618" spans="1:3">
      <c r="A618" s="4" t="s">
        <v>1269</v>
      </c>
      <c r="B618" s="5" t="s">
        <v>1270</v>
      </c>
      <c r="C618" s="6" t="s">
        <v>1228</v>
      </c>
    </row>
    <row r="619" spans="1:3">
      <c r="A619" s="4" t="s">
        <v>1271</v>
      </c>
      <c r="B619" s="5" t="s">
        <v>1272</v>
      </c>
      <c r="C619" s="6" t="s">
        <v>1228</v>
      </c>
    </row>
    <row r="620" spans="1:3">
      <c r="A620" s="4" t="s">
        <v>1273</v>
      </c>
      <c r="B620" s="5" t="s">
        <v>1274</v>
      </c>
      <c r="C620" s="6" t="s">
        <v>1228</v>
      </c>
    </row>
    <row r="621" spans="1:3">
      <c r="A621" s="4" t="s">
        <v>1275</v>
      </c>
      <c r="B621" s="5" t="s">
        <v>1276</v>
      </c>
      <c r="C621" s="6" t="s">
        <v>44</v>
      </c>
    </row>
    <row r="622" spans="1:3">
      <c r="A622" s="4" t="s">
        <v>1277</v>
      </c>
      <c r="B622" s="5" t="s">
        <v>224</v>
      </c>
      <c r="C622" s="6"/>
    </row>
    <row r="623" spans="1:3">
      <c r="A623" s="4" t="s">
        <v>1278</v>
      </c>
      <c r="B623" s="5" t="s">
        <v>1279</v>
      </c>
      <c r="C623" s="6" t="s">
        <v>241</v>
      </c>
    </row>
    <row r="624" spans="1:3">
      <c r="A624" s="4" t="s">
        <v>1280</v>
      </c>
      <c r="B624" s="5" t="s">
        <v>1281</v>
      </c>
      <c r="C624" s="6" t="s">
        <v>241</v>
      </c>
    </row>
    <row r="625" spans="1:3">
      <c r="A625" s="4" t="s">
        <v>1282</v>
      </c>
      <c r="B625" s="5" t="s">
        <v>1283</v>
      </c>
      <c r="C625" s="6" t="s">
        <v>241</v>
      </c>
    </row>
    <row r="626" spans="1:3">
      <c r="A626" s="4" t="s">
        <v>1284</v>
      </c>
      <c r="B626" s="5" t="s">
        <v>1285</v>
      </c>
      <c r="C626" s="6" t="s">
        <v>241</v>
      </c>
    </row>
    <row r="627" spans="1:3">
      <c r="A627" s="4" t="s">
        <v>1286</v>
      </c>
      <c r="B627" s="5" t="s">
        <v>220</v>
      </c>
      <c r="C627" s="6" t="s">
        <v>241</v>
      </c>
    </row>
    <row r="628" spans="1:3">
      <c r="A628" s="4" t="s">
        <v>1287</v>
      </c>
      <c r="B628" s="5" t="s">
        <v>1288</v>
      </c>
      <c r="C628" s="6"/>
    </row>
    <row r="629" spans="1:3">
      <c r="A629" s="4" t="s">
        <v>1289</v>
      </c>
      <c r="B629" s="5" t="s">
        <v>1290</v>
      </c>
      <c r="C629" s="6" t="s">
        <v>241</v>
      </c>
    </row>
    <row r="630" spans="1:3">
      <c r="A630" s="4" t="s">
        <v>1291</v>
      </c>
      <c r="B630" s="5" t="s">
        <v>548</v>
      </c>
      <c r="C630" s="6" t="s">
        <v>241</v>
      </c>
    </row>
    <row r="631" spans="1:3">
      <c r="A631" s="4" t="s">
        <v>1292</v>
      </c>
      <c r="B631" s="5" t="s">
        <v>1293</v>
      </c>
      <c r="C631" s="6"/>
    </row>
    <row r="632" spans="1:3">
      <c r="A632" s="4" t="s">
        <v>1294</v>
      </c>
      <c r="B632" s="5" t="s">
        <v>1295</v>
      </c>
      <c r="C632" s="6"/>
    </row>
    <row r="633" spans="1:3">
      <c r="A633" s="4" t="s">
        <v>1296</v>
      </c>
      <c r="B633" s="5" t="s">
        <v>1297</v>
      </c>
      <c r="C633" s="6"/>
    </row>
    <row r="634" spans="1:3">
      <c r="A634" s="4" t="s">
        <v>1298</v>
      </c>
      <c r="B634" s="5" t="s">
        <v>1299</v>
      </c>
      <c r="C634" s="6"/>
    </row>
    <row r="635" spans="1:3">
      <c r="A635" s="4" t="s">
        <v>1300</v>
      </c>
      <c r="B635" s="5" t="s">
        <v>1301</v>
      </c>
      <c r="C635" s="6"/>
    </row>
    <row r="636" spans="1:3">
      <c r="A636" s="4" t="s">
        <v>1302</v>
      </c>
      <c r="B636" s="5" t="s">
        <v>1303</v>
      </c>
      <c r="C636" s="6"/>
    </row>
    <row r="637" spans="1:3">
      <c r="A637" s="4" t="s">
        <v>1304</v>
      </c>
      <c r="B637" s="5" t="s">
        <v>1305</v>
      </c>
      <c r="C637" s="6" t="s">
        <v>31</v>
      </c>
    </row>
    <row r="638" spans="1:3">
      <c r="A638" s="4" t="s">
        <v>1306</v>
      </c>
      <c r="B638" s="5" t="s">
        <v>1307</v>
      </c>
      <c r="C638" s="6" t="s">
        <v>31</v>
      </c>
    </row>
    <row r="639" spans="1:3">
      <c r="A639" s="4" t="s">
        <v>1308</v>
      </c>
      <c r="B639" s="5" t="s">
        <v>1309</v>
      </c>
      <c r="C639" s="6" t="s">
        <v>31</v>
      </c>
    </row>
    <row r="640" spans="1:3">
      <c r="A640" s="4" t="s">
        <v>1310</v>
      </c>
      <c r="B640" s="5" t="s">
        <v>1311</v>
      </c>
      <c r="C640" s="6" t="s">
        <v>31</v>
      </c>
    </row>
    <row r="641" spans="1:3">
      <c r="A641" s="4" t="s">
        <v>1312</v>
      </c>
      <c r="B641" s="5" t="s">
        <v>1313</v>
      </c>
      <c r="C641" s="6" t="s">
        <v>31</v>
      </c>
    </row>
    <row r="642" spans="1:3">
      <c r="A642" s="4" t="s">
        <v>1314</v>
      </c>
      <c r="B642" s="5" t="s">
        <v>1315</v>
      </c>
      <c r="C642" s="6" t="s">
        <v>31</v>
      </c>
    </row>
    <row r="643" spans="1:3">
      <c r="A643" s="4" t="s">
        <v>1316</v>
      </c>
      <c r="B643" s="5" t="s">
        <v>1317</v>
      </c>
      <c r="C643" s="6" t="s">
        <v>31</v>
      </c>
    </row>
    <row r="644" spans="1:3">
      <c r="A644" s="4" t="s">
        <v>1318</v>
      </c>
      <c r="B644" s="5" t="s">
        <v>1319</v>
      </c>
      <c r="C644" s="6" t="s">
        <v>31</v>
      </c>
    </row>
    <row r="645" spans="1:3">
      <c r="A645" s="4" t="s">
        <v>1320</v>
      </c>
      <c r="B645" s="5" t="s">
        <v>1321</v>
      </c>
      <c r="C645" s="6" t="s">
        <v>31</v>
      </c>
    </row>
    <row r="646" spans="1:3">
      <c r="A646" s="4" t="s">
        <v>1322</v>
      </c>
      <c r="B646" s="5" t="s">
        <v>1323</v>
      </c>
      <c r="C646" s="6" t="s">
        <v>31</v>
      </c>
    </row>
    <row r="647" spans="1:3">
      <c r="A647" s="4" t="s">
        <v>1324</v>
      </c>
      <c r="B647" s="5" t="s">
        <v>1325</v>
      </c>
      <c r="C647" s="6" t="s">
        <v>31</v>
      </c>
    </row>
    <row r="648" spans="1:3">
      <c r="A648" s="4" t="s">
        <v>1326</v>
      </c>
      <c r="B648" s="5" t="s">
        <v>1327</v>
      </c>
      <c r="C648" s="6" t="s">
        <v>31</v>
      </c>
    </row>
    <row r="649" spans="1:3">
      <c r="A649" s="4" t="s">
        <v>1328</v>
      </c>
      <c r="B649" s="5" t="s">
        <v>1329</v>
      </c>
      <c r="C649" s="6" t="s">
        <v>241</v>
      </c>
    </row>
    <row r="650" spans="1:3">
      <c r="A650" s="4" t="s">
        <v>1330</v>
      </c>
      <c r="B650" s="5" t="s">
        <v>1331</v>
      </c>
      <c r="C650" s="6" t="s">
        <v>241</v>
      </c>
    </row>
    <row r="651" spans="1:3">
      <c r="A651" s="4" t="s">
        <v>1332</v>
      </c>
      <c r="B651" s="5" t="s">
        <v>1333</v>
      </c>
      <c r="C651" s="6"/>
    </row>
    <row r="652" spans="1:3">
      <c r="A652" s="4" t="s">
        <v>1334</v>
      </c>
      <c r="B652" s="5" t="s">
        <v>1335</v>
      </c>
      <c r="C652" s="6"/>
    </row>
    <row r="653" spans="1:3">
      <c r="A653" s="4" t="s">
        <v>1336</v>
      </c>
      <c r="B653" s="5" t="s">
        <v>1337</v>
      </c>
      <c r="C653" s="6"/>
    </row>
    <row r="654" spans="1:3">
      <c r="A654" s="4" t="s">
        <v>1338</v>
      </c>
      <c r="B654" s="5" t="s">
        <v>1339</v>
      </c>
      <c r="C654" s="6"/>
    </row>
    <row r="655" spans="1:3">
      <c r="A655" s="4" t="s">
        <v>1340</v>
      </c>
      <c r="B655" s="5" t="s">
        <v>1341</v>
      </c>
      <c r="C655" s="6" t="s">
        <v>31</v>
      </c>
    </row>
    <row r="656" spans="1:3">
      <c r="A656" s="4" t="s">
        <v>1342</v>
      </c>
      <c r="B656" s="5" t="s">
        <v>1343</v>
      </c>
      <c r="C656" s="6"/>
    </row>
    <row r="657" spans="1:3">
      <c r="A657" s="4" t="s">
        <v>1344</v>
      </c>
      <c r="B657" s="5" t="s">
        <v>1345</v>
      </c>
      <c r="C657" s="6"/>
    </row>
    <row r="658" spans="1:3">
      <c r="A658" s="4" t="s">
        <v>1346</v>
      </c>
      <c r="B658" s="5" t="s">
        <v>1347</v>
      </c>
      <c r="C658" s="6" t="s">
        <v>31</v>
      </c>
    </row>
    <row r="659" spans="1:3">
      <c r="A659" s="4" t="s">
        <v>1348</v>
      </c>
      <c r="B659" s="5" t="s">
        <v>1349</v>
      </c>
      <c r="C659" s="6"/>
    </row>
    <row r="660" spans="1:3">
      <c r="A660" s="4" t="s">
        <v>1350</v>
      </c>
      <c r="B660" s="5" t="s">
        <v>1351</v>
      </c>
      <c r="C660" s="6" t="s">
        <v>241</v>
      </c>
    </row>
    <row r="661" spans="1:3">
      <c r="A661" s="4" t="s">
        <v>1352</v>
      </c>
      <c r="B661" s="5" t="s">
        <v>1353</v>
      </c>
      <c r="C661" s="6"/>
    </row>
    <row r="662" spans="1:3">
      <c r="A662" s="4" t="s">
        <v>1354</v>
      </c>
      <c r="B662" s="5" t="s">
        <v>1355</v>
      </c>
      <c r="C662" s="6"/>
    </row>
    <row r="663" spans="1:3">
      <c r="A663" s="4" t="s">
        <v>1356</v>
      </c>
      <c r="B663" s="5" t="s">
        <v>1357</v>
      </c>
      <c r="C663" s="6"/>
    </row>
    <row r="664" spans="1:3">
      <c r="A664" s="4" t="s">
        <v>1358</v>
      </c>
      <c r="B664" s="5" t="s">
        <v>1359</v>
      </c>
      <c r="C664" s="6"/>
    </row>
    <row r="665" spans="1:3">
      <c r="A665" s="4" t="s">
        <v>1360</v>
      </c>
      <c r="B665" s="5" t="s">
        <v>1361</v>
      </c>
      <c r="C665" s="6"/>
    </row>
    <row r="666" spans="1:3">
      <c r="A666" s="4" t="s">
        <v>1362</v>
      </c>
      <c r="B666" s="5" t="s">
        <v>1363</v>
      </c>
      <c r="C666" s="6"/>
    </row>
    <row r="667" spans="1:3">
      <c r="A667" s="4" t="s">
        <v>1364</v>
      </c>
      <c r="B667" s="5" t="s">
        <v>1365</v>
      </c>
      <c r="C667" s="6" t="s">
        <v>31</v>
      </c>
    </row>
    <row r="668" spans="1:3">
      <c r="A668" s="4" t="s">
        <v>1366</v>
      </c>
      <c r="B668" s="5" t="s">
        <v>1367</v>
      </c>
      <c r="C668" s="6"/>
    </row>
    <row r="669" spans="1:3">
      <c r="A669" s="4" t="s">
        <v>1368</v>
      </c>
      <c r="B669" s="5" t="s">
        <v>1369</v>
      </c>
      <c r="C669" s="6" t="s">
        <v>241</v>
      </c>
    </row>
    <row r="670" spans="1:3">
      <c r="A670" s="4" t="s">
        <v>1370</v>
      </c>
      <c r="B670" s="5" t="s">
        <v>1371</v>
      </c>
      <c r="C670" s="6"/>
    </row>
    <row r="671" spans="1:3">
      <c r="A671" s="4" t="s">
        <v>1372</v>
      </c>
      <c r="B671" s="5" t="s">
        <v>1373</v>
      </c>
      <c r="C671" s="6" t="s">
        <v>31</v>
      </c>
    </row>
    <row r="672" spans="1:3">
      <c r="A672" s="4" t="s">
        <v>1374</v>
      </c>
      <c r="B672" s="5" t="s">
        <v>1375</v>
      </c>
      <c r="C672" s="6" t="s">
        <v>31</v>
      </c>
    </row>
    <row r="673" spans="1:3">
      <c r="A673" s="4" t="s">
        <v>1376</v>
      </c>
      <c r="B673" s="5" t="s">
        <v>1377</v>
      </c>
      <c r="C673" s="6" t="s">
        <v>241</v>
      </c>
    </row>
    <row r="674" spans="1:3">
      <c r="A674" s="4" t="s">
        <v>1378</v>
      </c>
      <c r="B674" s="5" t="s">
        <v>1379</v>
      </c>
      <c r="C674" s="6"/>
    </row>
    <row r="675" spans="1:3">
      <c r="A675" s="4" t="s">
        <v>1380</v>
      </c>
      <c r="B675" s="5" t="s">
        <v>1381</v>
      </c>
      <c r="C675" s="6" t="s">
        <v>31</v>
      </c>
    </row>
    <row r="676" spans="1:3">
      <c r="A676" s="4" t="s">
        <v>1382</v>
      </c>
      <c r="B676" s="5" t="s">
        <v>1383</v>
      </c>
      <c r="C676" s="6"/>
    </row>
    <row r="677" spans="1:3">
      <c r="A677" s="4" t="s">
        <v>1384</v>
      </c>
      <c r="B677" s="5" t="s">
        <v>1385</v>
      </c>
      <c r="C677" s="6"/>
    </row>
    <row r="678" spans="1:3">
      <c r="A678" s="4" t="s">
        <v>1386</v>
      </c>
      <c r="B678" s="5" t="s">
        <v>1387</v>
      </c>
      <c r="C678" s="6" t="s">
        <v>31</v>
      </c>
    </row>
    <row r="679" spans="1:3">
      <c r="A679" s="4" t="s">
        <v>1388</v>
      </c>
      <c r="B679" s="5" t="s">
        <v>1389</v>
      </c>
      <c r="C679" s="6"/>
    </row>
    <row r="680" spans="1:3">
      <c r="A680" s="4" t="s">
        <v>1390</v>
      </c>
      <c r="B680" s="5" t="s">
        <v>1391</v>
      </c>
      <c r="C680" s="6" t="s">
        <v>31</v>
      </c>
    </row>
    <row r="681" spans="1:3">
      <c r="A681" s="4" t="s">
        <v>1392</v>
      </c>
      <c r="B681" s="5" t="s">
        <v>1393</v>
      </c>
      <c r="C681" s="6" t="s">
        <v>31</v>
      </c>
    </row>
    <row r="682" spans="1:3">
      <c r="A682" s="4" t="s">
        <v>1394</v>
      </c>
      <c r="B682" s="5" t="s">
        <v>1395</v>
      </c>
      <c r="C682" s="6" t="s">
        <v>31</v>
      </c>
    </row>
    <row r="683" spans="1:3">
      <c r="A683" s="4" t="s">
        <v>1396</v>
      </c>
      <c r="B683" s="5" t="s">
        <v>1397</v>
      </c>
      <c r="C683" s="6" t="s">
        <v>241</v>
      </c>
    </row>
    <row r="684" spans="1:3">
      <c r="A684" s="4" t="s">
        <v>1398</v>
      </c>
      <c r="B684" s="5" t="s">
        <v>1399</v>
      </c>
      <c r="C684" s="6"/>
    </row>
    <row r="685" spans="1:3">
      <c r="A685" s="4" t="s">
        <v>1400</v>
      </c>
      <c r="B685" s="5" t="s">
        <v>1401</v>
      </c>
      <c r="C685" s="6" t="s">
        <v>31</v>
      </c>
    </row>
    <row r="686" spans="1:3">
      <c r="A686" s="4" t="s">
        <v>1402</v>
      </c>
      <c r="B686" s="5" t="s">
        <v>1403</v>
      </c>
      <c r="C686" s="6" t="s">
        <v>31</v>
      </c>
    </row>
    <row r="687" spans="1:3">
      <c r="A687" s="4" t="s">
        <v>1404</v>
      </c>
      <c r="B687" s="5" t="s">
        <v>1405</v>
      </c>
      <c r="C687" s="6" t="s">
        <v>31</v>
      </c>
    </row>
    <row r="688" spans="1:3">
      <c r="A688" s="4" t="s">
        <v>1406</v>
      </c>
      <c r="B688" s="5" t="s">
        <v>1407</v>
      </c>
      <c r="C688" s="6" t="s">
        <v>31</v>
      </c>
    </row>
    <row r="689" spans="1:3">
      <c r="A689" s="4" t="s">
        <v>1408</v>
      </c>
      <c r="B689" s="5" t="s">
        <v>1409</v>
      </c>
      <c r="C689" s="6" t="s">
        <v>31</v>
      </c>
    </row>
    <row r="690" spans="1:3">
      <c r="A690" s="4" t="s">
        <v>1410</v>
      </c>
      <c r="B690" s="5" t="s">
        <v>1411</v>
      </c>
      <c r="C690" s="6"/>
    </row>
    <row r="691" spans="1:3">
      <c r="A691" s="4" t="s">
        <v>1412</v>
      </c>
      <c r="B691" s="5" t="s">
        <v>1413</v>
      </c>
      <c r="C691" s="6"/>
    </row>
    <row r="692" spans="1:3">
      <c r="A692" s="4" t="s">
        <v>1414</v>
      </c>
      <c r="B692" s="5" t="s">
        <v>1415</v>
      </c>
      <c r="C692" s="6" t="s">
        <v>241</v>
      </c>
    </row>
    <row r="693" spans="1:3">
      <c r="A693" s="4" t="s">
        <v>1416</v>
      </c>
      <c r="B693" s="5" t="s">
        <v>1417</v>
      </c>
      <c r="C693" s="6"/>
    </row>
    <row r="694" spans="1:3">
      <c r="A694" s="4" t="s">
        <v>1418</v>
      </c>
      <c r="B694" s="5" t="s">
        <v>1419</v>
      </c>
      <c r="C694" s="6" t="s">
        <v>31</v>
      </c>
    </row>
    <row r="695" spans="1:3">
      <c r="A695" s="4" t="s">
        <v>1420</v>
      </c>
      <c r="B695" s="5" t="s">
        <v>1421</v>
      </c>
      <c r="C695" s="6" t="s">
        <v>31</v>
      </c>
    </row>
    <row r="696" spans="1:3">
      <c r="A696" s="4" t="s">
        <v>1422</v>
      </c>
      <c r="B696" s="5" t="s">
        <v>1423</v>
      </c>
      <c r="C696" s="6" t="s">
        <v>31</v>
      </c>
    </row>
    <row r="697" spans="1:3">
      <c r="A697" s="4" t="s">
        <v>1424</v>
      </c>
      <c r="B697" s="5" t="s">
        <v>1425</v>
      </c>
      <c r="C697" s="6" t="s">
        <v>241</v>
      </c>
    </row>
    <row r="698" spans="1:3">
      <c r="A698" s="4" t="s">
        <v>1426</v>
      </c>
      <c r="B698" s="5" t="s">
        <v>1427</v>
      </c>
      <c r="C698" s="6" t="s">
        <v>31</v>
      </c>
    </row>
    <row r="699" spans="1:3">
      <c r="A699" s="4" t="s">
        <v>1428</v>
      </c>
      <c r="B699" s="5" t="s">
        <v>1429</v>
      </c>
      <c r="C699" s="6"/>
    </row>
    <row r="700" spans="1:3">
      <c r="A700" s="4" t="s">
        <v>1430</v>
      </c>
      <c r="B700" s="5" t="s">
        <v>1431</v>
      </c>
      <c r="C700" s="6"/>
    </row>
    <row r="701" spans="1:3">
      <c r="A701" s="4" t="s">
        <v>1432</v>
      </c>
      <c r="B701" s="5" t="s">
        <v>1433</v>
      </c>
      <c r="C701" s="6" t="s">
        <v>31</v>
      </c>
    </row>
    <row r="702" spans="1:3">
      <c r="A702" s="4" t="s">
        <v>1434</v>
      </c>
      <c r="B702" s="5" t="s">
        <v>1435</v>
      </c>
      <c r="C702" s="6" t="s">
        <v>31</v>
      </c>
    </row>
    <row r="703" spans="1:3">
      <c r="A703" s="4" t="s">
        <v>1436</v>
      </c>
      <c r="B703" s="5" t="s">
        <v>1437</v>
      </c>
      <c r="C703" s="6" t="s">
        <v>31</v>
      </c>
    </row>
    <row r="704" spans="1:3">
      <c r="A704" s="4" t="s">
        <v>1438</v>
      </c>
      <c r="B704" s="5" t="s">
        <v>1439</v>
      </c>
      <c r="C704" s="6" t="s">
        <v>31</v>
      </c>
    </row>
    <row r="705" spans="1:3">
      <c r="A705" s="4" t="s">
        <v>1440</v>
      </c>
      <c r="B705" s="5" t="s">
        <v>1441</v>
      </c>
      <c r="C705" s="6" t="s">
        <v>241</v>
      </c>
    </row>
    <row r="706" spans="1:3">
      <c r="A706" s="4" t="s">
        <v>1442</v>
      </c>
      <c r="B706" s="5" t="s">
        <v>1443</v>
      </c>
      <c r="C706" s="6" t="s">
        <v>31</v>
      </c>
    </row>
    <row r="707" spans="1:3">
      <c r="A707" s="4" t="s">
        <v>1444</v>
      </c>
      <c r="B707" s="5" t="s">
        <v>1445</v>
      </c>
      <c r="C707" s="6" t="s">
        <v>241</v>
      </c>
    </row>
    <row r="708" spans="1:3">
      <c r="A708" s="4" t="s">
        <v>1446</v>
      </c>
      <c r="B708" s="5" t="s">
        <v>1447</v>
      </c>
      <c r="C708" s="6" t="s">
        <v>528</v>
      </c>
    </row>
    <row r="709" spans="1:3">
      <c r="A709" s="4" t="s">
        <v>1448</v>
      </c>
      <c r="B709" s="5" t="s">
        <v>1449</v>
      </c>
      <c r="C709" s="6"/>
    </row>
    <row r="710" spans="1:3">
      <c r="A710" s="4" t="s">
        <v>1450</v>
      </c>
      <c r="B710" s="5" t="s">
        <v>1451</v>
      </c>
      <c r="C710" s="6" t="s">
        <v>241</v>
      </c>
    </row>
    <row r="711" spans="1:3">
      <c r="A711" s="4" t="s">
        <v>1452</v>
      </c>
      <c r="B711" s="5" t="s">
        <v>1453</v>
      </c>
      <c r="C711" s="6" t="s">
        <v>241</v>
      </c>
    </row>
    <row r="712" spans="1:3">
      <c r="A712" s="4" t="s">
        <v>1454</v>
      </c>
      <c r="B712" s="5" t="s">
        <v>556</v>
      </c>
      <c r="C712" s="6" t="s">
        <v>241</v>
      </c>
    </row>
    <row r="713" spans="1:3">
      <c r="A713" s="4" t="s">
        <v>1455</v>
      </c>
      <c r="B713" s="5" t="s">
        <v>1456</v>
      </c>
      <c r="C713" s="6" t="s">
        <v>31</v>
      </c>
    </row>
    <row r="714" spans="1:3">
      <c r="A714" s="4" t="s">
        <v>1457</v>
      </c>
      <c r="B714" s="5" t="s">
        <v>1458</v>
      </c>
      <c r="C714" s="6"/>
    </row>
    <row r="715" spans="1:3">
      <c r="A715" s="4" t="s">
        <v>1459</v>
      </c>
      <c r="B715" s="5" t="s">
        <v>1460</v>
      </c>
      <c r="C715" s="6" t="s">
        <v>31</v>
      </c>
    </row>
    <row r="716" spans="1:3">
      <c r="A716" s="4" t="s">
        <v>1461</v>
      </c>
      <c r="B716" s="5" t="s">
        <v>1462</v>
      </c>
      <c r="C716" s="6"/>
    </row>
    <row r="717" spans="1:3">
      <c r="A717" s="4" t="s">
        <v>1463</v>
      </c>
      <c r="B717" s="5" t="s">
        <v>1464</v>
      </c>
      <c r="C717" s="6" t="s">
        <v>528</v>
      </c>
    </row>
    <row r="718" spans="1:3">
      <c r="A718" s="4" t="s">
        <v>1465</v>
      </c>
      <c r="B718" s="5" t="s">
        <v>1466</v>
      </c>
      <c r="C718" s="6"/>
    </row>
    <row r="719" spans="1:3">
      <c r="A719" s="4" t="s">
        <v>1467</v>
      </c>
      <c r="B719" s="5" t="s">
        <v>1468</v>
      </c>
      <c r="C719" s="6"/>
    </row>
    <row r="720" spans="1:3">
      <c r="A720" s="4" t="s">
        <v>1469</v>
      </c>
      <c r="B720" s="5" t="s">
        <v>1470</v>
      </c>
      <c r="C720" s="6"/>
    </row>
    <row r="721" spans="1:3">
      <c r="A721" s="4" t="s">
        <v>1471</v>
      </c>
      <c r="B721" s="5" t="s">
        <v>1472</v>
      </c>
      <c r="C721" s="6" t="s">
        <v>31</v>
      </c>
    </row>
    <row r="722" spans="1:3">
      <c r="A722" s="4" t="s">
        <v>1473</v>
      </c>
      <c r="B722" s="5" t="s">
        <v>1474</v>
      </c>
      <c r="C722" s="6"/>
    </row>
    <row r="723" spans="1:3">
      <c r="A723" s="4" t="s">
        <v>1475</v>
      </c>
      <c r="B723" s="5" t="s">
        <v>1476</v>
      </c>
      <c r="C723" s="6"/>
    </row>
    <row r="724" spans="1:3">
      <c r="A724" s="4" t="s">
        <v>1477</v>
      </c>
      <c r="B724" s="5" t="s">
        <v>1478</v>
      </c>
      <c r="C724" s="6" t="s">
        <v>241</v>
      </c>
    </row>
    <row r="725" spans="1:3">
      <c r="A725" s="4" t="s">
        <v>1479</v>
      </c>
      <c r="B725" s="5" t="s">
        <v>1480</v>
      </c>
      <c r="C725" s="6" t="s">
        <v>31</v>
      </c>
    </row>
    <row r="726" spans="1:3">
      <c r="A726" s="4" t="s">
        <v>1481</v>
      </c>
      <c r="B726" s="5" t="s">
        <v>1482</v>
      </c>
      <c r="C726" s="6"/>
    </row>
    <row r="727" spans="1:3">
      <c r="A727" s="4" t="s">
        <v>1483</v>
      </c>
      <c r="B727" s="5" t="s">
        <v>1484</v>
      </c>
      <c r="C727" s="6"/>
    </row>
    <row r="728" spans="1:3">
      <c r="A728" s="4" t="s">
        <v>1485</v>
      </c>
      <c r="B728" s="5" t="s">
        <v>1486</v>
      </c>
      <c r="C728" s="6" t="s">
        <v>241</v>
      </c>
    </row>
    <row r="729" spans="1:3">
      <c r="A729" s="4" t="s">
        <v>1487</v>
      </c>
      <c r="B729" s="5" t="s">
        <v>1488</v>
      </c>
      <c r="C729" s="6"/>
    </row>
    <row r="730" spans="1:3">
      <c r="A730" s="4" t="s">
        <v>1489</v>
      </c>
      <c r="B730" s="5" t="s">
        <v>1490</v>
      </c>
      <c r="C730" s="6"/>
    </row>
    <row r="731" spans="1:3">
      <c r="A731" s="4" t="s">
        <v>1491</v>
      </c>
      <c r="B731" s="5" t="s">
        <v>1492</v>
      </c>
      <c r="C731" s="6"/>
    </row>
    <row r="732" spans="1:3">
      <c r="A732" s="4" t="s">
        <v>1493</v>
      </c>
      <c r="B732" s="5" t="s">
        <v>1494</v>
      </c>
      <c r="C732" s="6" t="s">
        <v>31</v>
      </c>
    </row>
    <row r="733" spans="1:3">
      <c r="A733" s="4" t="s">
        <v>1495</v>
      </c>
      <c r="B733" s="5" t="s">
        <v>1496</v>
      </c>
      <c r="C733" s="6" t="s">
        <v>31</v>
      </c>
    </row>
    <row r="734" spans="1:3">
      <c r="A734" s="4" t="s">
        <v>1497</v>
      </c>
      <c r="B734" s="5" t="s">
        <v>1498</v>
      </c>
      <c r="C734" s="6"/>
    </row>
    <row r="735" spans="1:3">
      <c r="A735" s="4" t="s">
        <v>1499</v>
      </c>
      <c r="B735" s="5" t="s">
        <v>1500</v>
      </c>
      <c r="C735" s="6" t="s">
        <v>31</v>
      </c>
    </row>
    <row r="736" spans="1:3">
      <c r="A736" s="4" t="s">
        <v>1501</v>
      </c>
      <c r="B736" s="5" t="s">
        <v>1502</v>
      </c>
      <c r="C736" s="6" t="s">
        <v>31</v>
      </c>
    </row>
    <row r="737" spans="1:3">
      <c r="A737" s="4" t="s">
        <v>1503</v>
      </c>
      <c r="B737" s="5" t="s">
        <v>1504</v>
      </c>
      <c r="C737" s="6"/>
    </row>
    <row r="738" spans="1:3">
      <c r="A738" s="4" t="s">
        <v>1505</v>
      </c>
      <c r="B738" s="5" t="s">
        <v>1506</v>
      </c>
      <c r="C738" s="6" t="s">
        <v>31</v>
      </c>
    </row>
    <row r="739" spans="1:3">
      <c r="A739" s="4" t="s">
        <v>1507</v>
      </c>
      <c r="B739" s="5" t="s">
        <v>1508</v>
      </c>
      <c r="C739" s="6" t="s">
        <v>31</v>
      </c>
    </row>
    <row r="740" spans="1:3">
      <c r="A740" s="4" t="s">
        <v>1509</v>
      </c>
      <c r="B740" s="5" t="s">
        <v>1510</v>
      </c>
      <c r="C740" s="6" t="s">
        <v>241</v>
      </c>
    </row>
    <row r="741" spans="1:3">
      <c r="A741" s="4" t="s">
        <v>1511</v>
      </c>
      <c r="B741" s="5" t="s">
        <v>1512</v>
      </c>
      <c r="C741" s="6"/>
    </row>
    <row r="742" spans="1:3">
      <c r="A742" s="4" t="s">
        <v>1513</v>
      </c>
      <c r="B742" s="5" t="s">
        <v>1514</v>
      </c>
      <c r="C742" s="6" t="s">
        <v>31</v>
      </c>
    </row>
    <row r="743" spans="1:3">
      <c r="A743" s="4" t="s">
        <v>1515</v>
      </c>
      <c r="B743" s="5" t="s">
        <v>1516</v>
      </c>
      <c r="C743" s="6" t="s">
        <v>31</v>
      </c>
    </row>
    <row r="744" spans="1:3">
      <c r="A744" s="4" t="s">
        <v>1517</v>
      </c>
      <c r="B744" s="5" t="s">
        <v>1518</v>
      </c>
      <c r="C744" s="6"/>
    </row>
    <row r="745" spans="1:3">
      <c r="A745" s="4" t="s">
        <v>1519</v>
      </c>
      <c r="B745" s="5" t="s">
        <v>1520</v>
      </c>
      <c r="C745" s="6" t="s">
        <v>241</v>
      </c>
    </row>
    <row r="746" spans="1:3">
      <c r="A746" s="4" t="s">
        <v>1521</v>
      </c>
      <c r="B746" s="5" t="s">
        <v>1522</v>
      </c>
      <c r="C746" s="6"/>
    </row>
    <row r="747" spans="1:3">
      <c r="A747" s="4" t="s">
        <v>1523</v>
      </c>
      <c r="B747" s="5" t="s">
        <v>1524</v>
      </c>
      <c r="C747" s="6"/>
    </row>
    <row r="748" spans="1:3">
      <c r="A748" s="4" t="s">
        <v>1525</v>
      </c>
      <c r="B748" s="5" t="s">
        <v>1526</v>
      </c>
      <c r="C748" s="6"/>
    </row>
    <row r="749" spans="1:3">
      <c r="A749" s="4" t="s">
        <v>1527</v>
      </c>
      <c r="B749" s="5" t="s">
        <v>1528</v>
      </c>
      <c r="C749" s="6"/>
    </row>
    <row r="750" spans="1:3">
      <c r="A750" s="4" t="s">
        <v>1529</v>
      </c>
      <c r="B750" s="5" t="s">
        <v>1530</v>
      </c>
      <c r="C750" s="6"/>
    </row>
    <row r="751" spans="1:3">
      <c r="A751" s="4" t="s">
        <v>1531</v>
      </c>
      <c r="B751" s="5" t="s">
        <v>1532</v>
      </c>
      <c r="C751" s="6" t="s">
        <v>241</v>
      </c>
    </row>
    <row r="752" spans="1:3">
      <c r="A752" s="4" t="s">
        <v>1533</v>
      </c>
      <c r="B752" s="5" t="s">
        <v>1534</v>
      </c>
      <c r="C752" s="6"/>
    </row>
    <row r="753" spans="1:3">
      <c r="A753" s="4" t="s">
        <v>1535</v>
      </c>
      <c r="B753" s="5" t="s">
        <v>1536</v>
      </c>
      <c r="C753" s="6" t="s">
        <v>31</v>
      </c>
    </row>
    <row r="754" spans="1:3">
      <c r="A754" s="4" t="s">
        <v>1537</v>
      </c>
      <c r="B754" s="5" t="s">
        <v>1538</v>
      </c>
      <c r="C754" s="6" t="s">
        <v>31</v>
      </c>
    </row>
    <row r="755" spans="1:3">
      <c r="A755" s="4" t="s">
        <v>1539</v>
      </c>
      <c r="B755" s="5" t="s">
        <v>1540</v>
      </c>
      <c r="C755" s="6" t="s">
        <v>31</v>
      </c>
    </row>
    <row r="756" spans="1:3">
      <c r="A756" s="4" t="s">
        <v>1541</v>
      </c>
      <c r="B756" s="5" t="s">
        <v>1542</v>
      </c>
      <c r="C756" s="6" t="s">
        <v>241</v>
      </c>
    </row>
    <row r="757" spans="1:3">
      <c r="A757" s="4" t="s">
        <v>1543</v>
      </c>
      <c r="B757" s="5" t="s">
        <v>1544</v>
      </c>
      <c r="C757" s="6"/>
    </row>
    <row r="758" spans="1:3">
      <c r="A758" s="4" t="s">
        <v>1545</v>
      </c>
      <c r="B758" s="5" t="s">
        <v>1546</v>
      </c>
      <c r="C758" s="6" t="s">
        <v>241</v>
      </c>
    </row>
    <row r="759" spans="1:3">
      <c r="A759" s="4" t="s">
        <v>1547</v>
      </c>
      <c r="B759" s="5" t="s">
        <v>1548</v>
      </c>
      <c r="C759" s="6"/>
    </row>
    <row r="760" spans="1:3">
      <c r="A760" s="4" t="s">
        <v>1549</v>
      </c>
      <c r="B760" s="5" t="s">
        <v>1550</v>
      </c>
      <c r="C760" s="6" t="s">
        <v>31</v>
      </c>
    </row>
    <row r="761" spans="1:3">
      <c r="A761" s="4" t="s">
        <v>1551</v>
      </c>
      <c r="B761" s="5" t="s">
        <v>1552</v>
      </c>
      <c r="C761" s="6" t="s">
        <v>31</v>
      </c>
    </row>
    <row r="762" spans="1:3">
      <c r="A762" s="4" t="s">
        <v>1553</v>
      </c>
      <c r="B762" s="5" t="s">
        <v>1554</v>
      </c>
      <c r="C762" s="6"/>
    </row>
    <row r="763" spans="1:3">
      <c r="A763" s="4" t="s">
        <v>1555</v>
      </c>
      <c r="B763" s="5" t="s">
        <v>1556</v>
      </c>
      <c r="C763" s="6" t="s">
        <v>31</v>
      </c>
    </row>
    <row r="764" spans="1:3">
      <c r="A764" s="4" t="s">
        <v>1557</v>
      </c>
      <c r="B764" s="5" t="s">
        <v>1558</v>
      </c>
      <c r="C764" s="6" t="s">
        <v>31</v>
      </c>
    </row>
    <row r="765" spans="1:3">
      <c r="A765" s="4" t="s">
        <v>1559</v>
      </c>
      <c r="B765" s="5" t="s">
        <v>1560</v>
      </c>
      <c r="C765" s="6" t="s">
        <v>241</v>
      </c>
    </row>
    <row r="766" spans="1:3">
      <c r="A766" s="4" t="s">
        <v>1561</v>
      </c>
      <c r="B766" s="5" t="s">
        <v>1562</v>
      </c>
      <c r="C766" s="6"/>
    </row>
    <row r="767" spans="1:3">
      <c r="A767" s="4" t="s">
        <v>1563</v>
      </c>
      <c r="B767" s="5" t="s">
        <v>1564</v>
      </c>
      <c r="C767" s="6"/>
    </row>
    <row r="768" spans="1:3">
      <c r="A768" s="4" t="s">
        <v>1565</v>
      </c>
      <c r="B768" s="5" t="s">
        <v>1566</v>
      </c>
      <c r="C768" s="6"/>
    </row>
    <row r="769" spans="1:3">
      <c r="A769" s="4" t="s">
        <v>1567</v>
      </c>
      <c r="B769" s="5" t="s">
        <v>1568</v>
      </c>
      <c r="C769" s="6"/>
    </row>
    <row r="770" spans="1:3">
      <c r="A770" s="4" t="s">
        <v>1569</v>
      </c>
      <c r="B770" s="5" t="s">
        <v>1570</v>
      </c>
      <c r="C770" s="6"/>
    </row>
    <row r="771" spans="1:3">
      <c r="A771" s="4" t="s">
        <v>1571</v>
      </c>
      <c r="B771" s="5" t="s">
        <v>1572</v>
      </c>
      <c r="C771" s="6"/>
    </row>
    <row r="772" spans="1:3">
      <c r="A772" s="4" t="s">
        <v>1573</v>
      </c>
      <c r="B772" s="5" t="s">
        <v>1574</v>
      </c>
      <c r="C772" s="6"/>
    </row>
    <row r="773" spans="1:3">
      <c r="A773" s="4" t="s">
        <v>1575</v>
      </c>
      <c r="B773" s="5" t="s">
        <v>1576</v>
      </c>
      <c r="C773" s="6"/>
    </row>
    <row r="774" spans="1:3">
      <c r="A774" s="4" t="s">
        <v>1577</v>
      </c>
      <c r="B774" s="5" t="s">
        <v>1578</v>
      </c>
      <c r="C774" s="6"/>
    </row>
    <row r="775" spans="1:3">
      <c r="A775" s="4" t="s">
        <v>1579</v>
      </c>
      <c r="B775" s="5" t="s">
        <v>1580</v>
      </c>
      <c r="C775" s="6"/>
    </row>
    <row r="776" spans="1:3">
      <c r="A776" s="4" t="s">
        <v>1581</v>
      </c>
      <c r="B776" s="5" t="s">
        <v>1582</v>
      </c>
      <c r="C776" s="6"/>
    </row>
    <row r="777" spans="1:3">
      <c r="A777" s="4" t="s">
        <v>1583</v>
      </c>
      <c r="B777" s="5" t="s">
        <v>1584</v>
      </c>
      <c r="C777" s="6"/>
    </row>
    <row r="778" spans="1:3">
      <c r="A778" s="4" t="s">
        <v>1585</v>
      </c>
      <c r="B778" s="5" t="s">
        <v>1586</v>
      </c>
      <c r="C778" s="6"/>
    </row>
    <row r="779" spans="1:3">
      <c r="A779" s="4" t="s">
        <v>1587</v>
      </c>
      <c r="B779" s="5" t="s">
        <v>1588</v>
      </c>
      <c r="C779" s="6"/>
    </row>
    <row r="780" spans="1:3">
      <c r="A780" s="4" t="s">
        <v>1589</v>
      </c>
      <c r="B780" s="5" t="s">
        <v>1590</v>
      </c>
      <c r="C780" s="6" t="s">
        <v>31</v>
      </c>
    </row>
    <row r="781" spans="1:3">
      <c r="A781" s="4" t="s">
        <v>1591</v>
      </c>
      <c r="B781" s="5" t="s">
        <v>620</v>
      </c>
      <c r="C781" s="6"/>
    </row>
    <row r="782" spans="1:3">
      <c r="A782" s="4" t="s">
        <v>1592</v>
      </c>
      <c r="B782" s="5" t="s">
        <v>1593</v>
      </c>
      <c r="C782" s="6"/>
    </row>
    <row r="783" spans="1:3">
      <c r="A783" s="4" t="s">
        <v>1594</v>
      </c>
      <c r="B783" s="5" t="s">
        <v>1595</v>
      </c>
      <c r="C783" s="6"/>
    </row>
    <row r="784" spans="1:3">
      <c r="A784" s="4" t="s">
        <v>1596</v>
      </c>
      <c r="B784" s="5" t="s">
        <v>1597</v>
      </c>
      <c r="C784" s="6" t="s">
        <v>31</v>
      </c>
    </row>
    <row r="785" spans="1:3">
      <c r="A785" s="4" t="s">
        <v>1598</v>
      </c>
      <c r="B785" s="5" t="s">
        <v>1599</v>
      </c>
      <c r="C785" s="6"/>
    </row>
    <row r="786" spans="1:3">
      <c r="A786" s="4" t="s">
        <v>1600</v>
      </c>
      <c r="B786" s="5" t="s">
        <v>1601</v>
      </c>
      <c r="C786" s="6"/>
    </row>
    <row r="787" spans="1:3">
      <c r="A787" s="4" t="s">
        <v>1602</v>
      </c>
      <c r="B787" s="5" t="s">
        <v>1603</v>
      </c>
      <c r="C787" s="6"/>
    </row>
    <row r="788" spans="1:3">
      <c r="A788" s="4" t="s">
        <v>1604</v>
      </c>
      <c r="B788" s="5" t="s">
        <v>1605</v>
      </c>
      <c r="C788" s="6"/>
    </row>
    <row r="789" spans="1:3">
      <c r="A789" s="4" t="s">
        <v>1606</v>
      </c>
      <c r="B789" s="5" t="s">
        <v>335</v>
      </c>
      <c r="C789" s="6"/>
    </row>
    <row r="790" spans="1:3">
      <c r="A790" s="4" t="s">
        <v>1607</v>
      </c>
      <c r="B790" s="5" t="s">
        <v>1608</v>
      </c>
      <c r="C790" s="6"/>
    </row>
    <row r="791" spans="1:3">
      <c r="A791" s="4" t="s">
        <v>1609</v>
      </c>
      <c r="B791" s="5" t="s">
        <v>891</v>
      </c>
      <c r="C791" s="6"/>
    </row>
    <row r="792" spans="1:3">
      <c r="A792" s="4" t="s">
        <v>1610</v>
      </c>
      <c r="B792" s="5" t="s">
        <v>1611</v>
      </c>
      <c r="C792" s="6"/>
    </row>
    <row r="793" spans="1:3">
      <c r="A793" s="4" t="s">
        <v>1612</v>
      </c>
      <c r="B793" s="5" t="s">
        <v>1613</v>
      </c>
      <c r="C793" s="6"/>
    </row>
    <row r="794" spans="1:3">
      <c r="A794" s="4" t="s">
        <v>1614</v>
      </c>
      <c r="B794" s="5" t="s">
        <v>1615</v>
      </c>
      <c r="C794" s="6"/>
    </row>
    <row r="795" spans="1:3">
      <c r="A795" s="4" t="s">
        <v>1616</v>
      </c>
      <c r="B795" s="5" t="s">
        <v>913</v>
      </c>
      <c r="C795" s="6" t="s">
        <v>44</v>
      </c>
    </row>
    <row r="796" spans="1:3">
      <c r="A796" s="4" t="s">
        <v>1617</v>
      </c>
      <c r="B796" s="5" t="s">
        <v>1618</v>
      </c>
      <c r="C796" s="6"/>
    </row>
    <row r="797" spans="1:3">
      <c r="A797" s="4" t="s">
        <v>1619</v>
      </c>
      <c r="B797" s="5" t="s">
        <v>1620</v>
      </c>
      <c r="C797" s="6"/>
    </row>
    <row r="798" spans="1:3">
      <c r="A798" s="4" t="s">
        <v>1621</v>
      </c>
      <c r="B798" s="5" t="s">
        <v>1339</v>
      </c>
      <c r="C798" s="6"/>
    </row>
    <row r="799" spans="1:3">
      <c r="A799" s="4" t="s">
        <v>1622</v>
      </c>
      <c r="B799" s="5" t="s">
        <v>1623</v>
      </c>
      <c r="C799" s="6"/>
    </row>
    <row r="800" spans="1:3">
      <c r="A800" s="4" t="s">
        <v>1624</v>
      </c>
      <c r="B800" s="5" t="s">
        <v>1625</v>
      </c>
      <c r="C800" s="6"/>
    </row>
    <row r="801" spans="1:3">
      <c r="A801" s="4" t="s">
        <v>1626</v>
      </c>
      <c r="B801" s="5" t="s">
        <v>1627</v>
      </c>
      <c r="C801" s="6"/>
    </row>
    <row r="802" spans="1:3">
      <c r="A802" s="4" t="s">
        <v>1628</v>
      </c>
      <c r="B802" s="5" t="s">
        <v>1629</v>
      </c>
      <c r="C802" s="6"/>
    </row>
    <row r="803" spans="1:3">
      <c r="A803" s="4" t="s">
        <v>1630</v>
      </c>
      <c r="B803" s="5" t="s">
        <v>1631</v>
      </c>
      <c r="C803" s="6"/>
    </row>
    <row r="804" spans="1:3">
      <c r="A804" s="4" t="s">
        <v>1632</v>
      </c>
      <c r="B804" s="5" t="s">
        <v>1633</v>
      </c>
      <c r="C804" s="6"/>
    </row>
    <row r="805" spans="1:3">
      <c r="A805" s="4" t="s">
        <v>1634</v>
      </c>
      <c r="B805" s="5" t="s">
        <v>1635</v>
      </c>
      <c r="C805" s="6"/>
    </row>
    <row r="806" spans="1:3">
      <c r="A806" s="4" t="s">
        <v>1636</v>
      </c>
      <c r="B806" s="5" t="s">
        <v>817</v>
      </c>
      <c r="C806" s="6" t="s">
        <v>31</v>
      </c>
    </row>
    <row r="807" spans="1:3">
      <c r="A807" s="4" t="s">
        <v>1637</v>
      </c>
      <c r="B807" s="5" t="s">
        <v>1638</v>
      </c>
      <c r="C807" s="6"/>
    </row>
    <row r="808" spans="1:3">
      <c r="A808" s="4" t="s">
        <v>1639</v>
      </c>
      <c r="B808" s="5" t="s">
        <v>1640</v>
      </c>
      <c r="C808" s="6"/>
    </row>
    <row r="809" spans="1:3">
      <c r="A809" s="4" t="s">
        <v>1641</v>
      </c>
      <c r="B809" s="5" t="s">
        <v>1642</v>
      </c>
      <c r="C809" s="6"/>
    </row>
    <row r="810" spans="1:3">
      <c r="A810" s="4" t="s">
        <v>1643</v>
      </c>
      <c r="B810" s="5" t="s">
        <v>1644</v>
      </c>
      <c r="C810" s="6"/>
    </row>
    <row r="811" spans="1:3">
      <c r="A811" s="4" t="s">
        <v>1645</v>
      </c>
      <c r="B811" s="5" t="s">
        <v>1646</v>
      </c>
      <c r="C811" s="6"/>
    </row>
    <row r="812" spans="1:3">
      <c r="A812" s="4" t="s">
        <v>1647</v>
      </c>
      <c r="B812" s="5" t="s">
        <v>1648</v>
      </c>
      <c r="C812" s="6"/>
    </row>
    <row r="813" spans="1:3">
      <c r="A813" s="4" t="s">
        <v>1649</v>
      </c>
      <c r="B813" s="5" t="s">
        <v>1650</v>
      </c>
      <c r="C813" s="6" t="s">
        <v>31</v>
      </c>
    </row>
    <row r="814" spans="1:3">
      <c r="A814" s="4" t="s">
        <v>1651</v>
      </c>
      <c r="B814" s="5" t="s">
        <v>1652</v>
      </c>
      <c r="C814" s="6"/>
    </row>
    <row r="815" spans="1:3">
      <c r="A815" s="4" t="s">
        <v>1653</v>
      </c>
      <c r="B815" s="5" t="s">
        <v>1654</v>
      </c>
      <c r="C815" s="6"/>
    </row>
    <row r="816" spans="1:3">
      <c r="A816" s="4" t="s">
        <v>1655</v>
      </c>
      <c r="B816" s="5" t="s">
        <v>1656</v>
      </c>
      <c r="C816" s="6" t="s">
        <v>31</v>
      </c>
    </row>
    <row r="817" spans="1:3">
      <c r="A817" s="4" t="s">
        <v>1657</v>
      </c>
      <c r="B817" s="5" t="s">
        <v>1658</v>
      </c>
      <c r="C817" s="6" t="s">
        <v>241</v>
      </c>
    </row>
    <row r="818" spans="1:3">
      <c r="A818" s="4" t="s">
        <v>1659</v>
      </c>
      <c r="B818" s="5" t="s">
        <v>1660</v>
      </c>
      <c r="C818" s="6"/>
    </row>
    <row r="819" spans="1:3">
      <c r="A819" s="4" t="s">
        <v>1661</v>
      </c>
      <c r="B819" s="5" t="s">
        <v>1662</v>
      </c>
      <c r="C819" s="6"/>
    </row>
    <row r="820" spans="1:3">
      <c r="A820" s="4" t="s">
        <v>1663</v>
      </c>
      <c r="B820" s="5" t="s">
        <v>1664</v>
      </c>
      <c r="C820" s="6"/>
    </row>
    <row r="821" spans="1:3">
      <c r="A821" s="4" t="s">
        <v>1665</v>
      </c>
      <c r="B821" s="5" t="s">
        <v>847</v>
      </c>
      <c r="C821" s="6" t="s">
        <v>31</v>
      </c>
    </row>
    <row r="822" spans="1:3">
      <c r="A822" s="4" t="s">
        <v>1666</v>
      </c>
      <c r="B822" s="5" t="s">
        <v>839</v>
      </c>
      <c r="C822" s="6"/>
    </row>
    <row r="823" spans="1:3">
      <c r="A823" s="4" t="s">
        <v>1667</v>
      </c>
      <c r="B823" s="5" t="s">
        <v>1668</v>
      </c>
      <c r="C823" s="6"/>
    </row>
    <row r="824" spans="1:3">
      <c r="A824" s="4" t="s">
        <v>1669</v>
      </c>
      <c r="B824" s="5" t="s">
        <v>875</v>
      </c>
      <c r="C824" s="6"/>
    </row>
    <row r="825" spans="1:3">
      <c r="A825" s="4" t="s">
        <v>1670</v>
      </c>
      <c r="B825" s="5" t="s">
        <v>1671</v>
      </c>
      <c r="C825" s="6" t="s">
        <v>31</v>
      </c>
    </row>
    <row r="826" spans="1:3">
      <c r="A826" s="4" t="s">
        <v>1672</v>
      </c>
      <c r="B826" s="5" t="s">
        <v>1673</v>
      </c>
      <c r="C826" s="6"/>
    </row>
    <row r="827" spans="1:3">
      <c r="A827" s="4" t="s">
        <v>1674</v>
      </c>
      <c r="B827" s="5" t="s">
        <v>947</v>
      </c>
      <c r="C827" s="6"/>
    </row>
    <row r="828" spans="1:3">
      <c r="A828" s="4" t="s">
        <v>1675</v>
      </c>
      <c r="B828" s="5" t="s">
        <v>1676</v>
      </c>
      <c r="C828" s="6"/>
    </row>
    <row r="829" spans="1:3">
      <c r="A829" s="4" t="s">
        <v>1677</v>
      </c>
      <c r="B829" s="5" t="s">
        <v>1678</v>
      </c>
      <c r="C829" s="6"/>
    </row>
    <row r="830" spans="1:3">
      <c r="A830" s="4" t="s">
        <v>1679</v>
      </c>
      <c r="B830" s="5" t="s">
        <v>1680</v>
      </c>
      <c r="C830" s="6"/>
    </row>
    <row r="831" spans="1:3">
      <c r="A831" s="4" t="s">
        <v>1681</v>
      </c>
      <c r="B831" s="5" t="s">
        <v>943</v>
      </c>
      <c r="C831" s="6"/>
    </row>
    <row r="832" spans="1:3">
      <c r="A832" s="4" t="s">
        <v>1682</v>
      </c>
      <c r="B832" s="5" t="s">
        <v>1683</v>
      </c>
      <c r="C832" s="6"/>
    </row>
    <row r="833" spans="1:3">
      <c r="A833" s="4" t="s">
        <v>1684</v>
      </c>
      <c r="B833" s="5" t="s">
        <v>1685</v>
      </c>
      <c r="C833" s="6" t="s">
        <v>31</v>
      </c>
    </row>
    <row r="834" spans="1:3">
      <c r="A834" s="4" t="s">
        <v>1686</v>
      </c>
      <c r="B834" s="5" t="s">
        <v>1687</v>
      </c>
      <c r="C834" s="6" t="s">
        <v>31</v>
      </c>
    </row>
    <row r="835" spans="1:3">
      <c r="A835" s="4" t="s">
        <v>1688</v>
      </c>
      <c r="B835" s="5" t="s">
        <v>1689</v>
      </c>
      <c r="C835" s="6"/>
    </row>
    <row r="836" spans="1:3">
      <c r="A836" s="4" t="s">
        <v>1690</v>
      </c>
      <c r="B836" s="5" t="s">
        <v>915</v>
      </c>
      <c r="C836" s="6"/>
    </row>
    <row r="837" spans="1:3">
      <c r="A837" s="4" t="s">
        <v>1691</v>
      </c>
      <c r="B837" s="5" t="s">
        <v>1692</v>
      </c>
      <c r="C837" s="6" t="s">
        <v>31</v>
      </c>
    </row>
    <row r="838" spans="1:3">
      <c r="A838" s="4" t="s">
        <v>1693</v>
      </c>
      <c r="B838" s="5" t="s">
        <v>903</v>
      </c>
      <c r="C838" s="6"/>
    </row>
    <row r="839" spans="1:3">
      <c r="A839" s="4" t="s">
        <v>1694</v>
      </c>
      <c r="B839" s="5" t="s">
        <v>1695</v>
      </c>
      <c r="C839" s="6"/>
    </row>
    <row r="840" spans="1:3">
      <c r="A840" s="4" t="s">
        <v>1696</v>
      </c>
      <c r="B840" s="5" t="s">
        <v>1697</v>
      </c>
      <c r="C840" s="6"/>
    </row>
    <row r="841" spans="1:3">
      <c r="A841" s="4" t="s">
        <v>1698</v>
      </c>
      <c r="B841" s="5" t="s">
        <v>1699</v>
      </c>
      <c r="C841" s="6"/>
    </row>
    <row r="842" spans="1:3">
      <c r="A842" s="4" t="s">
        <v>1700</v>
      </c>
      <c r="B842" s="5" t="s">
        <v>1701</v>
      </c>
      <c r="C842" s="6"/>
    </row>
    <row r="843" spans="1:3">
      <c r="A843" s="4" t="s">
        <v>1702</v>
      </c>
      <c r="B843" s="5" t="s">
        <v>1703</v>
      </c>
      <c r="C843" s="6"/>
    </row>
    <row r="844" spans="1:3">
      <c r="A844" s="4" t="s">
        <v>1704</v>
      </c>
      <c r="B844" s="5" t="s">
        <v>1705</v>
      </c>
      <c r="C844" s="6" t="s">
        <v>31</v>
      </c>
    </row>
    <row r="845" spans="1:3">
      <c r="A845" s="4" t="s">
        <v>1706</v>
      </c>
      <c r="B845" s="5" t="s">
        <v>245</v>
      </c>
      <c r="C845" s="6"/>
    </row>
    <row r="846" spans="1:3">
      <c r="A846" s="4" t="s">
        <v>1707</v>
      </c>
      <c r="B846" s="5" t="s">
        <v>1708</v>
      </c>
      <c r="C846" s="6"/>
    </row>
    <row r="847" spans="1:3">
      <c r="A847" s="4" t="s">
        <v>1709</v>
      </c>
      <c r="B847" s="5" t="s">
        <v>1710</v>
      </c>
      <c r="C847" s="6"/>
    </row>
    <row r="848" spans="1:3">
      <c r="A848" s="4" t="s">
        <v>1711</v>
      </c>
      <c r="B848" s="5" t="s">
        <v>1712</v>
      </c>
      <c r="C848" s="6"/>
    </row>
    <row r="849" spans="1:3">
      <c r="A849" s="4" t="s">
        <v>1713</v>
      </c>
      <c r="B849" s="5" t="s">
        <v>1714</v>
      </c>
      <c r="C849" s="6" t="s">
        <v>31</v>
      </c>
    </row>
    <row r="850" spans="1:3">
      <c r="A850" s="4" t="s">
        <v>1715</v>
      </c>
      <c r="B850" s="5" t="s">
        <v>1716</v>
      </c>
      <c r="C850" s="6" t="s">
        <v>338</v>
      </c>
    </row>
    <row r="851" spans="1:3">
      <c r="A851" s="4" t="s">
        <v>1717</v>
      </c>
      <c r="B851" s="5" t="s">
        <v>1718</v>
      </c>
      <c r="C851" s="6" t="s">
        <v>44</v>
      </c>
    </row>
    <row r="852" spans="1:3">
      <c r="A852" s="4" t="s">
        <v>1719</v>
      </c>
      <c r="B852" s="5" t="s">
        <v>1720</v>
      </c>
      <c r="C852" s="6"/>
    </row>
    <row r="853" spans="1:3">
      <c r="A853" s="4" t="s">
        <v>1721</v>
      </c>
      <c r="B853" s="5" t="s">
        <v>1722</v>
      </c>
      <c r="C853" s="6"/>
    </row>
    <row r="854" spans="1:3">
      <c r="A854" s="4" t="s">
        <v>1723</v>
      </c>
      <c r="B854" s="5" t="s">
        <v>899</v>
      </c>
      <c r="C854" s="6"/>
    </row>
    <row r="855" spans="1:3">
      <c r="A855" s="4" t="s">
        <v>1724</v>
      </c>
      <c r="B855" s="5" t="s">
        <v>1725</v>
      </c>
      <c r="C855" s="6"/>
    </row>
    <row r="856" spans="1:3">
      <c r="A856" s="4" t="s">
        <v>1726</v>
      </c>
      <c r="B856" s="5" t="s">
        <v>1727</v>
      </c>
      <c r="C856" s="6" t="s">
        <v>241</v>
      </c>
    </row>
    <row r="857" spans="1:3">
      <c r="A857" s="4" t="s">
        <v>1728</v>
      </c>
      <c r="B857" s="5" t="s">
        <v>435</v>
      </c>
      <c r="C857" s="6"/>
    </row>
    <row r="858" spans="1:3">
      <c r="A858" s="4" t="s">
        <v>1729</v>
      </c>
      <c r="B858" s="5" t="s">
        <v>1730</v>
      </c>
      <c r="C858" s="6" t="s">
        <v>338</v>
      </c>
    </row>
    <row r="859" spans="1:3">
      <c r="A859" s="4" t="s">
        <v>1731</v>
      </c>
      <c r="B859" s="5" t="s">
        <v>1732</v>
      </c>
      <c r="C859" s="6"/>
    </row>
    <row r="860" spans="1:3">
      <c r="A860" s="4" t="s">
        <v>1733</v>
      </c>
      <c r="B860" s="5" t="s">
        <v>435</v>
      </c>
      <c r="C860" s="6"/>
    </row>
    <row r="861" spans="1:3">
      <c r="A861" s="4" t="s">
        <v>1734</v>
      </c>
      <c r="B861" s="5" t="s">
        <v>1735</v>
      </c>
      <c r="C861" s="6" t="s">
        <v>241</v>
      </c>
    </row>
    <row r="862" spans="1:3">
      <c r="A862" s="4" t="s">
        <v>1736</v>
      </c>
      <c r="B862" s="5" t="s">
        <v>1737</v>
      </c>
      <c r="C862" s="6" t="s">
        <v>528</v>
      </c>
    </row>
    <row r="863" spans="1:3">
      <c r="A863" s="4" t="s">
        <v>1738</v>
      </c>
      <c r="B863" s="5" t="s">
        <v>1739</v>
      </c>
      <c r="C863" s="6" t="s">
        <v>44</v>
      </c>
    </row>
    <row r="864" spans="1:3">
      <c r="A864" s="4" t="s">
        <v>1740</v>
      </c>
      <c r="B864" s="5" t="s">
        <v>1741</v>
      </c>
      <c r="C864" s="6" t="s">
        <v>528</v>
      </c>
    </row>
    <row r="865" spans="1:3">
      <c r="A865" s="4" t="s">
        <v>1742</v>
      </c>
      <c r="B865" s="5" t="s">
        <v>1743</v>
      </c>
      <c r="C865" s="6" t="s">
        <v>241</v>
      </c>
    </row>
    <row r="866" spans="1:3">
      <c r="A866" s="4" t="s">
        <v>1744</v>
      </c>
      <c r="B866" s="5" t="s">
        <v>1745</v>
      </c>
      <c r="C866" s="6" t="s">
        <v>528</v>
      </c>
    </row>
    <row r="867" spans="1:3">
      <c r="A867" s="4" t="s">
        <v>1746</v>
      </c>
      <c r="B867" s="5" t="s">
        <v>1747</v>
      </c>
      <c r="C867" s="6" t="s">
        <v>348</v>
      </c>
    </row>
    <row r="868" spans="1:3">
      <c r="A868" s="4" t="s">
        <v>1748</v>
      </c>
      <c r="B868" s="5" t="s">
        <v>1749</v>
      </c>
      <c r="C868" s="6"/>
    </row>
    <row r="869" spans="1:3">
      <c r="A869" s="4" t="s">
        <v>1750</v>
      </c>
      <c r="B869" s="5" t="s">
        <v>1751</v>
      </c>
      <c r="C869" s="6" t="s">
        <v>348</v>
      </c>
    </row>
    <row r="870" spans="1:3">
      <c r="A870" s="4" t="s">
        <v>1752</v>
      </c>
      <c r="B870" s="5" t="s">
        <v>1753</v>
      </c>
      <c r="C870" s="6" t="s">
        <v>31</v>
      </c>
    </row>
    <row r="871" spans="1:3">
      <c r="A871" s="4" t="s">
        <v>1754</v>
      </c>
      <c r="B871" s="5" t="s">
        <v>1755</v>
      </c>
      <c r="C871" s="6" t="s">
        <v>44</v>
      </c>
    </row>
    <row r="872" spans="1:3">
      <c r="A872" s="4" t="s">
        <v>1756</v>
      </c>
      <c r="B872" s="5" t="s">
        <v>1757</v>
      </c>
      <c r="C872" s="6" t="s">
        <v>31</v>
      </c>
    </row>
    <row r="873" spans="1:3">
      <c r="A873" s="4" t="s">
        <v>1758</v>
      </c>
      <c r="B873" s="5" t="s">
        <v>1759</v>
      </c>
      <c r="C873" s="6"/>
    </row>
    <row r="874" spans="1:3">
      <c r="A874" s="4" t="s">
        <v>1760</v>
      </c>
      <c r="B874" s="5" t="s">
        <v>1761</v>
      </c>
      <c r="C874" s="6" t="s">
        <v>348</v>
      </c>
    </row>
    <row r="875" spans="1:3">
      <c r="A875" s="4" t="s">
        <v>1762</v>
      </c>
      <c r="B875" s="5" t="s">
        <v>1763</v>
      </c>
      <c r="C875" s="6"/>
    </row>
    <row r="876" spans="1:3">
      <c r="A876" s="4" t="s">
        <v>1764</v>
      </c>
      <c r="B876" s="5" t="s">
        <v>1765</v>
      </c>
      <c r="C876" s="6" t="s">
        <v>348</v>
      </c>
    </row>
    <row r="877" spans="1:3">
      <c r="A877" s="4" t="s">
        <v>1766</v>
      </c>
      <c r="B877" s="5" t="s">
        <v>917</v>
      </c>
      <c r="C877" s="6"/>
    </row>
    <row r="878" spans="1:3">
      <c r="A878" s="4" t="s">
        <v>1767</v>
      </c>
      <c r="B878" s="5" t="s">
        <v>1768</v>
      </c>
      <c r="C878" s="6"/>
    </row>
    <row r="879" spans="1:3">
      <c r="A879" s="4" t="s">
        <v>1769</v>
      </c>
      <c r="B879" s="5" t="s">
        <v>1770</v>
      </c>
      <c r="C879" s="6" t="s">
        <v>528</v>
      </c>
    </row>
    <row r="880" spans="1:3">
      <c r="A880" s="4" t="s">
        <v>1771</v>
      </c>
      <c r="B880" s="5" t="s">
        <v>1772</v>
      </c>
      <c r="C880" s="6" t="s">
        <v>461</v>
      </c>
    </row>
    <row r="881" spans="1:3">
      <c r="A881" s="4" t="s">
        <v>1773</v>
      </c>
      <c r="B881" s="5" t="s">
        <v>1774</v>
      </c>
      <c r="C881" s="6" t="s">
        <v>1775</v>
      </c>
    </row>
    <row r="882" spans="1:3">
      <c r="A882" s="4" t="s">
        <v>1776</v>
      </c>
      <c r="B882" s="5" t="s">
        <v>1777</v>
      </c>
      <c r="C882" s="6" t="s">
        <v>1775</v>
      </c>
    </row>
    <row r="883" spans="1:3">
      <c r="A883" s="4" t="s">
        <v>1778</v>
      </c>
      <c r="B883" s="5" t="s">
        <v>1779</v>
      </c>
      <c r="C883" s="6" t="s">
        <v>1775</v>
      </c>
    </row>
    <row r="884" spans="1:3">
      <c r="A884" s="4" t="s">
        <v>1780</v>
      </c>
      <c r="B884" s="5" t="s">
        <v>1781</v>
      </c>
      <c r="C884" s="6" t="s">
        <v>1775</v>
      </c>
    </row>
    <row r="885" spans="1:3">
      <c r="A885" s="4" t="s">
        <v>1782</v>
      </c>
      <c r="B885" s="5" t="s">
        <v>1783</v>
      </c>
      <c r="C885" s="6" t="s">
        <v>1775</v>
      </c>
    </row>
    <row r="886" spans="1:3">
      <c r="A886" s="4" t="s">
        <v>1784</v>
      </c>
      <c r="B886" s="5" t="s">
        <v>1785</v>
      </c>
      <c r="C886" s="6"/>
    </row>
    <row r="887" spans="1:3">
      <c r="A887" s="4" t="s">
        <v>1786</v>
      </c>
      <c r="B887" s="5" t="s">
        <v>1787</v>
      </c>
      <c r="C887" s="6" t="s">
        <v>1788</v>
      </c>
    </row>
    <row r="888" spans="1:3">
      <c r="A888" s="4" t="s">
        <v>7</v>
      </c>
      <c r="B888" s="5" t="s">
        <v>1789</v>
      </c>
      <c r="C888" s="6" t="s">
        <v>1788</v>
      </c>
    </row>
    <row r="889" spans="1:3">
      <c r="A889" s="4" t="s">
        <v>1790</v>
      </c>
      <c r="B889" s="5" t="s">
        <v>1791</v>
      </c>
      <c r="C889" s="6" t="s">
        <v>1788</v>
      </c>
    </row>
    <row r="890" spans="1:3">
      <c r="A890" s="4" t="s">
        <v>1792</v>
      </c>
      <c r="B890" s="5" t="s">
        <v>1793</v>
      </c>
      <c r="C890" s="6" t="s">
        <v>1788</v>
      </c>
    </row>
    <row r="891" spans="1:3">
      <c r="A891" s="4" t="s">
        <v>1794</v>
      </c>
      <c r="B891" s="5" t="s">
        <v>1795</v>
      </c>
      <c r="C891" s="6" t="s">
        <v>1788</v>
      </c>
    </row>
    <row r="892" spans="1:3">
      <c r="A892" s="4" t="s">
        <v>1796</v>
      </c>
      <c r="B892" s="5" t="s">
        <v>1797</v>
      </c>
      <c r="C892" s="6" t="s">
        <v>1788</v>
      </c>
    </row>
    <row r="893" spans="1:3">
      <c r="A893" s="4" t="s">
        <v>1798</v>
      </c>
      <c r="B893" s="5" t="s">
        <v>1799</v>
      </c>
      <c r="C893" s="6" t="s">
        <v>1788</v>
      </c>
    </row>
    <row r="894" spans="1:3">
      <c r="A894" s="4" t="s">
        <v>1800</v>
      </c>
      <c r="B894" s="5" t="s">
        <v>1801</v>
      </c>
      <c r="C894" s="6"/>
    </row>
    <row r="895" spans="1:3">
      <c r="A895" s="4" t="s">
        <v>8</v>
      </c>
      <c r="B895" s="5" t="s">
        <v>1802</v>
      </c>
      <c r="C895" s="6" t="s">
        <v>1803</v>
      </c>
    </row>
    <row r="896" spans="1:3">
      <c r="A896" s="4" t="s">
        <v>1804</v>
      </c>
      <c r="B896" s="5" t="s">
        <v>1805</v>
      </c>
      <c r="C896" s="6" t="s">
        <v>1803</v>
      </c>
    </row>
    <row r="897" spans="1:3">
      <c r="A897" s="4" t="s">
        <v>1806</v>
      </c>
      <c r="B897" s="5" t="s">
        <v>1807</v>
      </c>
      <c r="C897" s="6" t="s">
        <v>1803</v>
      </c>
    </row>
    <row r="898" spans="1:3">
      <c r="A898" s="4" t="s">
        <v>1808</v>
      </c>
      <c r="B898" s="5" t="s">
        <v>1809</v>
      </c>
      <c r="C898" s="6" t="s">
        <v>1803</v>
      </c>
    </row>
    <row r="899" spans="1:3">
      <c r="A899" s="4" t="s">
        <v>1810</v>
      </c>
      <c r="B899" s="5" t="s">
        <v>1811</v>
      </c>
      <c r="C899" s="6" t="s">
        <v>1803</v>
      </c>
    </row>
    <row r="900" spans="1:3">
      <c r="A900" s="4" t="s">
        <v>1812</v>
      </c>
      <c r="B900" s="5" t="s">
        <v>1813</v>
      </c>
      <c r="C900" s="6" t="s">
        <v>31</v>
      </c>
    </row>
    <row r="901" spans="1:3">
      <c r="A901" s="4" t="s">
        <v>1814</v>
      </c>
      <c r="B901" s="5" t="s">
        <v>1815</v>
      </c>
      <c r="C901" s="6" t="s">
        <v>31</v>
      </c>
    </row>
    <row r="902" spans="1:3">
      <c r="A902" s="4" t="s">
        <v>9</v>
      </c>
      <c r="B902" s="5" t="s">
        <v>1816</v>
      </c>
      <c r="C902" s="6" t="s">
        <v>343</v>
      </c>
    </row>
    <row r="903" spans="1:3">
      <c r="A903" s="4" t="s">
        <v>1817</v>
      </c>
      <c r="B903" s="5" t="s">
        <v>1818</v>
      </c>
      <c r="C903" s="6"/>
    </row>
    <row r="904" spans="1:3">
      <c r="A904" s="4" t="s">
        <v>1819</v>
      </c>
      <c r="B904" s="5" t="s">
        <v>1820</v>
      </c>
      <c r="C904" s="6" t="s">
        <v>1803</v>
      </c>
    </row>
    <row r="905" spans="1:3">
      <c r="A905" s="4" t="s">
        <v>1821</v>
      </c>
      <c r="B905" s="5" t="s">
        <v>1822</v>
      </c>
      <c r="C905" s="6" t="s">
        <v>31</v>
      </c>
    </row>
    <row r="906" spans="1:3">
      <c r="A906" s="4" t="s">
        <v>1823</v>
      </c>
      <c r="B906" s="5" t="s">
        <v>1824</v>
      </c>
      <c r="C906" s="6" t="s">
        <v>1803</v>
      </c>
    </row>
    <row r="907" spans="1:3">
      <c r="A907" s="4" t="s">
        <v>1825</v>
      </c>
      <c r="B907" s="5" t="s">
        <v>1826</v>
      </c>
      <c r="C907" s="6" t="s">
        <v>1803</v>
      </c>
    </row>
    <row r="908" spans="1:3">
      <c r="A908" s="4" t="s">
        <v>1827</v>
      </c>
      <c r="B908" s="5" t="s">
        <v>1828</v>
      </c>
      <c r="C908" s="6"/>
    </row>
    <row r="909" spans="1:3">
      <c r="A909" s="4" t="s">
        <v>1829</v>
      </c>
      <c r="B909" s="5" t="s">
        <v>1830</v>
      </c>
      <c r="C909" s="6"/>
    </row>
    <row r="910" spans="1:3">
      <c r="A910" s="4" t="s">
        <v>1831</v>
      </c>
      <c r="B910" s="5" t="s">
        <v>1832</v>
      </c>
      <c r="C910" s="6"/>
    </row>
    <row r="911" spans="1:3">
      <c r="A911" s="4" t="s">
        <v>10</v>
      </c>
      <c r="B911" s="5" t="s">
        <v>1833</v>
      </c>
      <c r="C911" s="6" t="s">
        <v>1834</v>
      </c>
    </row>
    <row r="912" spans="1:3">
      <c r="A912" s="4" t="s">
        <v>1835</v>
      </c>
      <c r="B912" s="5" t="s">
        <v>1836</v>
      </c>
      <c r="C912" s="6" t="s">
        <v>1834</v>
      </c>
    </row>
    <row r="913" spans="1:3">
      <c r="A913" s="4" t="s">
        <v>1837</v>
      </c>
      <c r="B913" s="5" t="s">
        <v>1838</v>
      </c>
      <c r="C913" s="6" t="s">
        <v>1834</v>
      </c>
    </row>
    <row r="914" spans="1:3">
      <c r="A914" s="4" t="s">
        <v>1839</v>
      </c>
      <c r="B914" s="5" t="s">
        <v>1840</v>
      </c>
      <c r="C914" s="6" t="s">
        <v>1834</v>
      </c>
    </row>
    <row r="915" spans="1:3">
      <c r="A915" s="4" t="s">
        <v>1841</v>
      </c>
      <c r="B915" s="5" t="s">
        <v>1842</v>
      </c>
      <c r="C915" s="6" t="s">
        <v>1834</v>
      </c>
    </row>
    <row r="916" spans="1:3">
      <c r="A916" s="4" t="s">
        <v>1843</v>
      </c>
      <c r="B916" s="5" t="s">
        <v>1844</v>
      </c>
      <c r="C916" s="6" t="s">
        <v>1834</v>
      </c>
    </row>
    <row r="917" spans="1:3">
      <c r="A917" s="4" t="s">
        <v>1845</v>
      </c>
      <c r="B917" s="5" t="s">
        <v>1846</v>
      </c>
      <c r="C917" s="6" t="s">
        <v>1834</v>
      </c>
    </row>
    <row r="918" spans="1:3">
      <c r="A918" s="4" t="s">
        <v>1847</v>
      </c>
      <c r="B918" s="5" t="s">
        <v>1848</v>
      </c>
      <c r="C918" s="6" t="s">
        <v>1834</v>
      </c>
    </row>
    <row r="919" spans="1:3">
      <c r="A919" s="4" t="s">
        <v>1849</v>
      </c>
      <c r="B919" s="5" t="s">
        <v>1850</v>
      </c>
      <c r="C919" s="6" t="s">
        <v>1834</v>
      </c>
    </row>
    <row r="920" spans="1:3">
      <c r="A920" s="4" t="s">
        <v>1851</v>
      </c>
      <c r="B920" s="5" t="s">
        <v>1852</v>
      </c>
      <c r="C920" s="6" t="s">
        <v>1834</v>
      </c>
    </row>
    <row r="921" spans="1:3">
      <c r="A921" s="4" t="s">
        <v>1853</v>
      </c>
      <c r="B921" s="5" t="s">
        <v>1854</v>
      </c>
      <c r="C921" s="6" t="s">
        <v>1834</v>
      </c>
    </row>
    <row r="922" spans="1:3">
      <c r="A922" s="4" t="s">
        <v>1855</v>
      </c>
      <c r="B922" s="5" t="s">
        <v>1856</v>
      </c>
      <c r="C922" s="6" t="s">
        <v>1834</v>
      </c>
    </row>
    <row r="923" spans="1:3">
      <c r="A923" s="4" t="s">
        <v>1857</v>
      </c>
      <c r="B923" s="5" t="s">
        <v>1858</v>
      </c>
      <c r="C923" s="6" t="s">
        <v>1834</v>
      </c>
    </row>
    <row r="924" spans="1:3">
      <c r="A924" s="4" t="s">
        <v>1859</v>
      </c>
      <c r="B924" s="5" t="s">
        <v>1860</v>
      </c>
      <c r="C924" s="6" t="s">
        <v>1834</v>
      </c>
    </row>
    <row r="925" spans="1:3">
      <c r="A925" s="4" t="s">
        <v>1861</v>
      </c>
      <c r="B925" s="5" t="s">
        <v>1862</v>
      </c>
      <c r="C925" s="6" t="s">
        <v>1834</v>
      </c>
    </row>
    <row r="926" spans="1:3">
      <c r="A926" s="4" t="s">
        <v>1863</v>
      </c>
      <c r="B926" s="5" t="s">
        <v>1864</v>
      </c>
      <c r="C926" s="6" t="s">
        <v>367</v>
      </c>
    </row>
    <row r="927" spans="1:3">
      <c r="A927" s="4" t="s">
        <v>1865</v>
      </c>
      <c r="B927" s="5" t="s">
        <v>1866</v>
      </c>
      <c r="C927" s="6" t="s">
        <v>241</v>
      </c>
    </row>
    <row r="928" spans="1:3">
      <c r="A928" s="4" t="s">
        <v>1867</v>
      </c>
      <c r="B928" s="5" t="s">
        <v>1868</v>
      </c>
      <c r="C928" s="6" t="s">
        <v>1869</v>
      </c>
    </row>
    <row r="929" spans="1:3">
      <c r="A929" s="4" t="s">
        <v>11</v>
      </c>
      <c r="B929" s="5" t="s">
        <v>1870</v>
      </c>
      <c r="C929" s="6" t="s">
        <v>2749</v>
      </c>
    </row>
    <row r="930" spans="1:3">
      <c r="A930" s="4" t="s">
        <v>1871</v>
      </c>
      <c r="B930" s="5" t="s">
        <v>1872</v>
      </c>
      <c r="C930" s="6"/>
    </row>
    <row r="931" spans="1:3">
      <c r="A931" s="4" t="s">
        <v>1873</v>
      </c>
      <c r="B931" s="5" t="s">
        <v>1874</v>
      </c>
      <c r="C931" s="6" t="s">
        <v>31</v>
      </c>
    </row>
    <row r="932" spans="1:3">
      <c r="A932" s="4" t="s">
        <v>1875</v>
      </c>
      <c r="B932" s="5" t="s">
        <v>1876</v>
      </c>
      <c r="C932" s="6"/>
    </row>
    <row r="933" spans="1:3">
      <c r="A933" s="4" t="s">
        <v>1877</v>
      </c>
      <c r="B933" s="5" t="s">
        <v>1878</v>
      </c>
      <c r="C933" s="6"/>
    </row>
    <row r="934" spans="1:3">
      <c r="A934" s="4" t="s">
        <v>1879</v>
      </c>
      <c r="B934" s="5" t="s">
        <v>1880</v>
      </c>
      <c r="C934" s="6"/>
    </row>
    <row r="935" spans="1:3">
      <c r="A935" s="4" t="s">
        <v>1881</v>
      </c>
      <c r="B935" s="5" t="s">
        <v>1882</v>
      </c>
      <c r="C935" s="6" t="s">
        <v>31</v>
      </c>
    </row>
    <row r="936" spans="1:3">
      <c r="A936" s="4" t="s">
        <v>1883</v>
      </c>
      <c r="B936" s="5" t="s">
        <v>1884</v>
      </c>
      <c r="C936" s="6" t="s">
        <v>31</v>
      </c>
    </row>
    <row r="937" spans="1:3">
      <c r="A937" s="4" t="s">
        <v>1885</v>
      </c>
      <c r="B937" s="5" t="s">
        <v>1886</v>
      </c>
      <c r="C937" s="6" t="s">
        <v>31</v>
      </c>
    </row>
    <row r="938" spans="1:3">
      <c r="A938" s="4" t="s">
        <v>1887</v>
      </c>
      <c r="B938" s="5" t="s">
        <v>1888</v>
      </c>
      <c r="C938" s="6" t="s">
        <v>31</v>
      </c>
    </row>
    <row r="939" spans="1:3">
      <c r="A939" s="4" t="s">
        <v>1889</v>
      </c>
      <c r="B939" s="5" t="s">
        <v>1890</v>
      </c>
      <c r="C939" s="6"/>
    </row>
    <row r="940" spans="1:3">
      <c r="A940" s="4" t="s">
        <v>1891</v>
      </c>
      <c r="B940" s="5" t="s">
        <v>1892</v>
      </c>
      <c r="C940" s="6"/>
    </row>
    <row r="941" spans="1:3">
      <c r="A941" s="4" t="s">
        <v>1893</v>
      </c>
      <c r="B941" s="5" t="s">
        <v>1894</v>
      </c>
      <c r="C941" s="6" t="s">
        <v>31</v>
      </c>
    </row>
    <row r="942" spans="1:3">
      <c r="A942" s="4" t="s">
        <v>1895</v>
      </c>
      <c r="B942" s="5" t="s">
        <v>1896</v>
      </c>
      <c r="C942" s="6" t="s">
        <v>31</v>
      </c>
    </row>
    <row r="943" spans="1:3">
      <c r="A943" s="4" t="s">
        <v>1897</v>
      </c>
      <c r="B943" s="5" t="s">
        <v>1898</v>
      </c>
      <c r="C943" s="6" t="s">
        <v>31</v>
      </c>
    </row>
    <row r="944" spans="1:3">
      <c r="A944" s="4" t="s">
        <v>1899</v>
      </c>
      <c r="B944" s="5" t="s">
        <v>1900</v>
      </c>
      <c r="C944" s="6" t="s">
        <v>31</v>
      </c>
    </row>
    <row r="945" spans="1:3">
      <c r="A945" s="4" t="s">
        <v>1901</v>
      </c>
      <c r="B945" s="5" t="s">
        <v>1902</v>
      </c>
      <c r="C945" s="6" t="s">
        <v>241</v>
      </c>
    </row>
    <row r="946" spans="1:3">
      <c r="A946" s="4" t="s">
        <v>1903</v>
      </c>
      <c r="B946" s="5" t="s">
        <v>1904</v>
      </c>
      <c r="C946" s="6" t="s">
        <v>31</v>
      </c>
    </row>
    <row r="947" spans="1:3">
      <c r="A947" s="4" t="s">
        <v>1905</v>
      </c>
      <c r="B947" s="5" t="s">
        <v>1906</v>
      </c>
      <c r="C947" s="6"/>
    </row>
    <row r="948" spans="1:3">
      <c r="A948" s="4" t="s">
        <v>1907</v>
      </c>
      <c r="B948" s="5" t="s">
        <v>1908</v>
      </c>
      <c r="C948" s="6" t="s">
        <v>31</v>
      </c>
    </row>
    <row r="949" spans="1:3">
      <c r="A949" s="4" t="s">
        <v>1909</v>
      </c>
      <c r="B949" s="5" t="s">
        <v>1910</v>
      </c>
      <c r="C949" s="6"/>
    </row>
    <row r="950" spans="1:3">
      <c r="A950" s="4" t="s">
        <v>1911</v>
      </c>
      <c r="B950" s="5" t="s">
        <v>1912</v>
      </c>
      <c r="C950" s="6" t="s">
        <v>31</v>
      </c>
    </row>
    <row r="951" spans="1:3">
      <c r="A951" s="4" t="s">
        <v>1913</v>
      </c>
      <c r="B951" s="5" t="s">
        <v>238</v>
      </c>
      <c r="C951" s="6"/>
    </row>
    <row r="952" spans="1:3">
      <c r="A952" s="4" t="s">
        <v>1914</v>
      </c>
      <c r="B952" s="5" t="s">
        <v>76</v>
      </c>
      <c r="C952" s="6"/>
    </row>
    <row r="953" spans="1:3">
      <c r="A953" s="4" t="s">
        <v>1915</v>
      </c>
      <c r="B953" s="5" t="s">
        <v>1916</v>
      </c>
      <c r="C953" s="6"/>
    </row>
    <row r="954" spans="1:3">
      <c r="A954" s="4" t="s">
        <v>1917</v>
      </c>
      <c r="B954" s="5" t="s">
        <v>1918</v>
      </c>
      <c r="C954" s="6"/>
    </row>
    <row r="955" spans="1:3">
      <c r="A955" s="4" t="s">
        <v>1919</v>
      </c>
      <c r="B955" s="5" t="s">
        <v>1920</v>
      </c>
      <c r="C955" s="6" t="s">
        <v>31</v>
      </c>
    </row>
    <row r="956" spans="1:3">
      <c r="A956" s="4" t="s">
        <v>1921</v>
      </c>
      <c r="B956" s="5" t="s">
        <v>1922</v>
      </c>
      <c r="C956" s="6"/>
    </row>
    <row r="957" spans="1:3">
      <c r="A957" s="4" t="s">
        <v>1923</v>
      </c>
      <c r="B957" s="5" t="s">
        <v>1924</v>
      </c>
      <c r="C957" s="6" t="s">
        <v>31</v>
      </c>
    </row>
    <row r="958" spans="1:3">
      <c r="A958" s="4" t="s">
        <v>1925</v>
      </c>
      <c r="B958" s="5" t="s">
        <v>1926</v>
      </c>
      <c r="C958" s="6" t="s">
        <v>31</v>
      </c>
    </row>
    <row r="959" spans="1:3">
      <c r="A959" s="4" t="s">
        <v>1927</v>
      </c>
      <c r="B959" s="5" t="s">
        <v>1928</v>
      </c>
      <c r="C959" s="6" t="s">
        <v>31</v>
      </c>
    </row>
    <row r="960" spans="1:3">
      <c r="A960" s="4" t="s">
        <v>1929</v>
      </c>
      <c r="B960" s="5" t="s">
        <v>1930</v>
      </c>
      <c r="C960" s="6" t="s">
        <v>31</v>
      </c>
    </row>
    <row r="961" spans="1:3">
      <c r="A961" s="4" t="s">
        <v>1931</v>
      </c>
      <c r="B961" s="5" t="s">
        <v>1932</v>
      </c>
      <c r="C961" s="6" t="s">
        <v>31</v>
      </c>
    </row>
    <row r="962" spans="1:3">
      <c r="A962" s="4" t="s">
        <v>1933</v>
      </c>
      <c r="B962" s="5" t="s">
        <v>1934</v>
      </c>
      <c r="C962" s="6" t="s">
        <v>31</v>
      </c>
    </row>
    <row r="963" spans="1:3">
      <c r="A963" s="4" t="s">
        <v>1935</v>
      </c>
      <c r="B963" s="5" t="s">
        <v>1936</v>
      </c>
      <c r="C963" s="6" t="s">
        <v>31</v>
      </c>
    </row>
    <row r="964" spans="1:3">
      <c r="A964" s="4" t="s">
        <v>1937</v>
      </c>
      <c r="B964" s="5" t="s">
        <v>1938</v>
      </c>
      <c r="C964" s="6"/>
    </row>
    <row r="965" spans="1:3">
      <c r="A965" s="4" t="s">
        <v>1939</v>
      </c>
      <c r="B965" s="5" t="s">
        <v>1940</v>
      </c>
      <c r="C965" s="6" t="s">
        <v>31</v>
      </c>
    </row>
    <row r="966" spans="1:3">
      <c r="A966" s="4" t="s">
        <v>1941</v>
      </c>
      <c r="B966" s="5" t="s">
        <v>1942</v>
      </c>
      <c r="C966" s="6" t="s">
        <v>31</v>
      </c>
    </row>
    <row r="967" spans="1:3">
      <c r="A967" s="4" t="s">
        <v>1943</v>
      </c>
      <c r="B967" s="5" t="s">
        <v>1944</v>
      </c>
      <c r="C967" s="6" t="s">
        <v>31</v>
      </c>
    </row>
    <row r="968" spans="1:3">
      <c r="A968" s="4" t="s">
        <v>1945</v>
      </c>
      <c r="B968" s="5" t="s">
        <v>1946</v>
      </c>
      <c r="C968" s="6" t="s">
        <v>31</v>
      </c>
    </row>
    <row r="969" spans="1:3">
      <c r="A969" s="4" t="s">
        <v>1947</v>
      </c>
      <c r="B969" s="5" t="s">
        <v>1948</v>
      </c>
      <c r="C969" s="6" t="s">
        <v>31</v>
      </c>
    </row>
    <row r="970" spans="1:3">
      <c r="A970" s="4" t="s">
        <v>1949</v>
      </c>
      <c r="B970" s="5" t="s">
        <v>1950</v>
      </c>
      <c r="C970" s="6" t="s">
        <v>31</v>
      </c>
    </row>
    <row r="971" spans="1:3">
      <c r="A971" s="4" t="s">
        <v>1951</v>
      </c>
      <c r="B971" s="5" t="s">
        <v>1952</v>
      </c>
      <c r="C971" s="6" t="s">
        <v>31</v>
      </c>
    </row>
    <row r="972" spans="1:3">
      <c r="A972" s="4" t="s">
        <v>1953</v>
      </c>
      <c r="B972" s="5" t="s">
        <v>1954</v>
      </c>
      <c r="C972" s="6" t="s">
        <v>31</v>
      </c>
    </row>
    <row r="973" spans="1:3">
      <c r="A973" s="4" t="s">
        <v>1955</v>
      </c>
      <c r="B973" s="5" t="s">
        <v>1956</v>
      </c>
      <c r="C973" s="6" t="s">
        <v>31</v>
      </c>
    </row>
    <row r="974" spans="1:3">
      <c r="A974" s="4" t="s">
        <v>1957</v>
      </c>
      <c r="B974" s="5" t="s">
        <v>1958</v>
      </c>
      <c r="C974" s="6" t="s">
        <v>348</v>
      </c>
    </row>
    <row r="975" spans="1:3">
      <c r="A975" s="4" t="s">
        <v>1959</v>
      </c>
      <c r="B975" s="5" t="s">
        <v>1960</v>
      </c>
      <c r="C975" s="6" t="s">
        <v>44</v>
      </c>
    </row>
    <row r="976" spans="1:3">
      <c r="A976" s="4" t="s">
        <v>1961</v>
      </c>
      <c r="B976" s="5" t="s">
        <v>1962</v>
      </c>
      <c r="C976" s="6" t="s">
        <v>348</v>
      </c>
    </row>
    <row r="977" spans="1:3">
      <c r="A977" s="4" t="s">
        <v>1963</v>
      </c>
      <c r="B977" s="5" t="s">
        <v>1964</v>
      </c>
      <c r="C977" s="6" t="s">
        <v>44</v>
      </c>
    </row>
    <row r="978" spans="1:3">
      <c r="A978" s="4" t="s">
        <v>1965</v>
      </c>
      <c r="B978" s="5" t="s">
        <v>1966</v>
      </c>
      <c r="C978" s="6" t="s">
        <v>338</v>
      </c>
    </row>
    <row r="979" spans="1:3">
      <c r="A979" s="4" t="s">
        <v>1967</v>
      </c>
      <c r="B979" s="5" t="s">
        <v>1968</v>
      </c>
      <c r="C979" s="6" t="s">
        <v>528</v>
      </c>
    </row>
    <row r="980" spans="1:3">
      <c r="A980" s="4" t="s">
        <v>1969</v>
      </c>
      <c r="B980" s="5" t="s">
        <v>1970</v>
      </c>
      <c r="C980" s="6" t="s">
        <v>241</v>
      </c>
    </row>
    <row r="981" spans="1:3">
      <c r="A981" s="4" t="s">
        <v>1971</v>
      </c>
      <c r="B981" s="5" t="s">
        <v>1972</v>
      </c>
      <c r="C981" s="6" t="s">
        <v>241</v>
      </c>
    </row>
    <row r="982" spans="1:3">
      <c r="A982" s="4" t="s">
        <v>1973</v>
      </c>
      <c r="B982" s="5" t="s">
        <v>1974</v>
      </c>
      <c r="C982" s="6"/>
    </row>
    <row r="983" spans="1:3">
      <c r="A983" s="4" t="s">
        <v>1975</v>
      </c>
      <c r="B983" s="5" t="s">
        <v>1976</v>
      </c>
      <c r="C983" s="6" t="s">
        <v>44</v>
      </c>
    </row>
    <row r="984" spans="1:3">
      <c r="A984" s="4" t="s">
        <v>1977</v>
      </c>
      <c r="B984" s="5" t="s">
        <v>1978</v>
      </c>
      <c r="C984" s="6" t="s">
        <v>44</v>
      </c>
    </row>
    <row r="985" spans="1:3">
      <c r="A985" s="4" t="s">
        <v>1979</v>
      </c>
      <c r="B985" s="5" t="s">
        <v>1980</v>
      </c>
      <c r="C985" s="6" t="s">
        <v>44</v>
      </c>
    </row>
    <row r="986" spans="1:3">
      <c r="A986" s="4" t="s">
        <v>1981</v>
      </c>
      <c r="B986" s="5" t="s">
        <v>1982</v>
      </c>
      <c r="C986" s="6"/>
    </row>
    <row r="987" spans="1:3">
      <c r="A987" s="4" t="s">
        <v>1983</v>
      </c>
      <c r="B987" s="5" t="s">
        <v>1984</v>
      </c>
      <c r="C987" s="6"/>
    </row>
    <row r="988" spans="1:3">
      <c r="A988" s="4" t="s">
        <v>1985</v>
      </c>
      <c r="B988" s="5" t="s">
        <v>1986</v>
      </c>
      <c r="C988" s="6"/>
    </row>
    <row r="989" spans="1:3">
      <c r="A989" s="4" t="s">
        <v>1987</v>
      </c>
      <c r="B989" s="5" t="s">
        <v>1988</v>
      </c>
      <c r="C989" s="6"/>
    </row>
    <row r="990" spans="1:3">
      <c r="A990" s="4" t="s">
        <v>1989</v>
      </c>
      <c r="B990" s="5" t="s">
        <v>1990</v>
      </c>
      <c r="C990" s="6"/>
    </row>
    <row r="991" spans="1:3">
      <c r="A991" s="4" t="s">
        <v>1991</v>
      </c>
      <c r="B991" s="5" t="s">
        <v>1992</v>
      </c>
      <c r="C991" s="6"/>
    </row>
    <row r="992" spans="1:3">
      <c r="A992" s="4" t="s">
        <v>1993</v>
      </c>
      <c r="B992" s="5" t="s">
        <v>1994</v>
      </c>
      <c r="C992" s="6"/>
    </row>
    <row r="993" spans="1:3">
      <c r="A993" s="4" t="s">
        <v>1995</v>
      </c>
      <c r="B993" s="5" t="s">
        <v>1996</v>
      </c>
      <c r="C993" s="6"/>
    </row>
    <row r="994" spans="1:3">
      <c r="A994" s="4" t="s">
        <v>1997</v>
      </c>
      <c r="B994" s="5" t="s">
        <v>1998</v>
      </c>
      <c r="C994" s="6"/>
    </row>
    <row r="995" spans="1:3">
      <c r="A995" s="4" t="s">
        <v>1999</v>
      </c>
      <c r="B995" s="5" t="s">
        <v>2000</v>
      </c>
      <c r="C995" s="6" t="s">
        <v>44</v>
      </c>
    </row>
    <row r="996" spans="1:3">
      <c r="A996" s="4" t="s">
        <v>2001</v>
      </c>
      <c r="B996" s="5" t="s">
        <v>2002</v>
      </c>
      <c r="C996" s="6"/>
    </row>
    <row r="997" spans="1:3">
      <c r="A997" s="4" t="s">
        <v>2003</v>
      </c>
      <c r="B997" s="5" t="s">
        <v>2004</v>
      </c>
      <c r="C997" s="6"/>
    </row>
    <row r="998" spans="1:3">
      <c r="A998" s="4" t="s">
        <v>2005</v>
      </c>
      <c r="B998" s="5" t="s">
        <v>2006</v>
      </c>
      <c r="C998" s="6"/>
    </row>
    <row r="999" spans="1:3">
      <c r="A999" s="4" t="s">
        <v>2007</v>
      </c>
      <c r="B999" s="5" t="s">
        <v>2008</v>
      </c>
      <c r="C999" s="6"/>
    </row>
    <row r="1000" spans="1:3">
      <c r="A1000" s="4" t="s">
        <v>2009</v>
      </c>
      <c r="B1000" s="5" t="s">
        <v>2010</v>
      </c>
      <c r="C1000" s="6"/>
    </row>
    <row r="1001" spans="1:3">
      <c r="A1001" s="4" t="s">
        <v>2011</v>
      </c>
      <c r="B1001" s="5" t="s">
        <v>218</v>
      </c>
      <c r="C1001" s="6" t="s">
        <v>31</v>
      </c>
    </row>
    <row r="1002" spans="1:3">
      <c r="A1002" s="4" t="s">
        <v>2012</v>
      </c>
      <c r="B1002" s="5" t="s">
        <v>2013</v>
      </c>
      <c r="C1002" s="6"/>
    </row>
    <row r="1003" spans="1:3">
      <c r="A1003" s="4" t="s">
        <v>2014</v>
      </c>
      <c r="B1003" s="5" t="s">
        <v>2015</v>
      </c>
      <c r="C1003" s="6"/>
    </row>
    <row r="1004" spans="1:3">
      <c r="A1004" s="4" t="s">
        <v>2016</v>
      </c>
      <c r="B1004" s="5" t="s">
        <v>1285</v>
      </c>
      <c r="C1004" s="6"/>
    </row>
    <row r="1005" spans="1:3">
      <c r="A1005" s="4" t="s">
        <v>2017</v>
      </c>
      <c r="B1005" s="5" t="s">
        <v>2018</v>
      </c>
      <c r="C1005" s="6"/>
    </row>
    <row r="1006" spans="1:3">
      <c r="A1006" s="4" t="s">
        <v>2019</v>
      </c>
      <c r="B1006" s="5" t="s">
        <v>228</v>
      </c>
      <c r="C1006" s="6"/>
    </row>
    <row r="1007" spans="1:3">
      <c r="A1007" s="4" t="s">
        <v>2020</v>
      </c>
      <c r="B1007" s="5" t="s">
        <v>2021</v>
      </c>
      <c r="C1007" s="6"/>
    </row>
    <row r="1008" spans="1:3">
      <c r="A1008" s="4" t="s">
        <v>2022</v>
      </c>
      <c r="B1008" s="5" t="s">
        <v>2023</v>
      </c>
      <c r="C1008" s="6"/>
    </row>
    <row r="1009" spans="1:3">
      <c r="A1009" s="4" t="s">
        <v>2024</v>
      </c>
      <c r="B1009" s="5" t="s">
        <v>2025</v>
      </c>
      <c r="C1009" s="6"/>
    </row>
    <row r="1010" spans="1:3">
      <c r="A1010" s="4" t="s">
        <v>2026</v>
      </c>
      <c r="B1010" s="5" t="s">
        <v>2027</v>
      </c>
      <c r="C1010" s="6"/>
    </row>
    <row r="1011" spans="1:3">
      <c r="A1011" s="4" t="s">
        <v>2028</v>
      </c>
      <c r="B1011" s="5" t="s">
        <v>2029</v>
      </c>
      <c r="C1011" s="6"/>
    </row>
    <row r="1012" spans="1:3">
      <c r="A1012" s="4" t="s">
        <v>2030</v>
      </c>
      <c r="B1012" s="5" t="s">
        <v>2031</v>
      </c>
      <c r="C1012" s="6"/>
    </row>
    <row r="1013" spans="1:3">
      <c r="A1013" s="4" t="s">
        <v>2032</v>
      </c>
      <c r="B1013" s="5" t="s">
        <v>2033</v>
      </c>
      <c r="C1013" s="6"/>
    </row>
    <row r="1014" spans="1:3">
      <c r="A1014" s="4" t="s">
        <v>2034</v>
      </c>
      <c r="B1014" s="5" t="s">
        <v>2035</v>
      </c>
      <c r="C1014" s="6"/>
    </row>
    <row r="1015" spans="1:3">
      <c r="A1015" s="4" t="s">
        <v>2036</v>
      </c>
      <c r="B1015" s="5" t="s">
        <v>2037</v>
      </c>
      <c r="C1015" s="6"/>
    </row>
    <row r="1016" spans="1:3">
      <c r="A1016" s="4" t="s">
        <v>2038</v>
      </c>
      <c r="B1016" s="5" t="s">
        <v>2039</v>
      </c>
      <c r="C1016" s="6" t="s">
        <v>31</v>
      </c>
    </row>
    <row r="1017" spans="1:3">
      <c r="A1017" s="4" t="s">
        <v>2040</v>
      </c>
      <c r="B1017" s="5" t="s">
        <v>2041</v>
      </c>
      <c r="C1017" s="6"/>
    </row>
    <row r="1018" spans="1:3">
      <c r="A1018" s="4" t="s">
        <v>2042</v>
      </c>
      <c r="B1018" s="5" t="s">
        <v>2043</v>
      </c>
      <c r="C1018" s="6"/>
    </row>
    <row r="1019" spans="1:3">
      <c r="A1019" s="4" t="s">
        <v>2044</v>
      </c>
      <c r="B1019" s="5" t="s">
        <v>2045</v>
      </c>
      <c r="C1019" s="6"/>
    </row>
    <row r="1020" spans="1:3">
      <c r="A1020" s="4" t="s">
        <v>2046</v>
      </c>
      <c r="B1020" s="5" t="s">
        <v>2047</v>
      </c>
      <c r="C1020" s="6" t="s">
        <v>31</v>
      </c>
    </row>
    <row r="1021" spans="1:3">
      <c r="A1021" s="4" t="s">
        <v>2048</v>
      </c>
      <c r="B1021" s="5" t="s">
        <v>2049</v>
      </c>
      <c r="C1021" s="6" t="s">
        <v>31</v>
      </c>
    </row>
    <row r="1022" spans="1:3">
      <c r="A1022" s="4" t="s">
        <v>2050</v>
      </c>
      <c r="B1022" s="5" t="s">
        <v>2051</v>
      </c>
      <c r="C1022" s="6"/>
    </row>
    <row r="1023" spans="1:3">
      <c r="A1023" s="4" t="s">
        <v>2052</v>
      </c>
      <c r="B1023" s="5" t="s">
        <v>2053</v>
      </c>
      <c r="C1023" s="6" t="s">
        <v>31</v>
      </c>
    </row>
    <row r="1024" spans="1:3">
      <c r="A1024" s="4" t="s">
        <v>2054</v>
      </c>
      <c r="B1024" s="5" t="s">
        <v>2055</v>
      </c>
      <c r="C1024" s="6"/>
    </row>
    <row r="1025" spans="1:3">
      <c r="A1025" s="4" t="s">
        <v>2056</v>
      </c>
      <c r="B1025" s="5" t="s">
        <v>2057</v>
      </c>
      <c r="C1025" s="6"/>
    </row>
    <row r="1026" spans="1:3">
      <c r="A1026" s="4" t="s">
        <v>2058</v>
      </c>
      <c r="B1026" s="5" t="s">
        <v>2059</v>
      </c>
      <c r="C1026" s="6"/>
    </row>
    <row r="1027" spans="1:3">
      <c r="A1027" s="4" t="s">
        <v>2060</v>
      </c>
      <c r="B1027" s="5" t="s">
        <v>2061</v>
      </c>
      <c r="C1027" s="6"/>
    </row>
    <row r="1028" spans="1:3">
      <c r="A1028" s="4" t="s">
        <v>2062</v>
      </c>
      <c r="B1028" s="5" t="s">
        <v>2063</v>
      </c>
      <c r="C1028" s="6"/>
    </row>
    <row r="1029" spans="1:3">
      <c r="A1029" s="4" t="s">
        <v>2064</v>
      </c>
      <c r="B1029" s="5" t="s">
        <v>2065</v>
      </c>
      <c r="C1029" s="6"/>
    </row>
    <row r="1030" spans="1:3">
      <c r="A1030" s="4" t="s">
        <v>2066</v>
      </c>
      <c r="B1030" s="5" t="s">
        <v>2067</v>
      </c>
      <c r="C1030" s="6"/>
    </row>
    <row r="1031" spans="1:3">
      <c r="A1031" s="4" t="s">
        <v>2068</v>
      </c>
      <c r="B1031" s="5" t="s">
        <v>2069</v>
      </c>
      <c r="C1031" s="6"/>
    </row>
    <row r="1032" spans="1:3">
      <c r="A1032" s="4" t="s">
        <v>2070</v>
      </c>
      <c r="B1032" s="5" t="s">
        <v>2071</v>
      </c>
      <c r="C1032" s="6"/>
    </row>
    <row r="1033" spans="1:3">
      <c r="A1033" s="4" t="s">
        <v>2072</v>
      </c>
      <c r="B1033" s="5" t="s">
        <v>2073</v>
      </c>
      <c r="C1033" s="6"/>
    </row>
    <row r="1034" spans="1:3">
      <c r="A1034" s="4" t="s">
        <v>2074</v>
      </c>
      <c r="B1034" s="5" t="s">
        <v>2075</v>
      </c>
      <c r="C1034" s="6"/>
    </row>
    <row r="1035" spans="1:3">
      <c r="A1035" s="4" t="s">
        <v>2076</v>
      </c>
      <c r="B1035" s="5" t="s">
        <v>2077</v>
      </c>
      <c r="C1035" s="6"/>
    </row>
    <row r="1036" spans="1:3">
      <c r="A1036" s="4" t="s">
        <v>2078</v>
      </c>
      <c r="B1036" s="5" t="s">
        <v>2079</v>
      </c>
      <c r="C1036" s="6"/>
    </row>
    <row r="1037" spans="1:3">
      <c r="A1037" s="4" t="s">
        <v>2080</v>
      </c>
      <c r="B1037" s="5" t="s">
        <v>2081</v>
      </c>
      <c r="C1037" s="6"/>
    </row>
    <row r="1038" spans="1:3">
      <c r="A1038" s="4" t="s">
        <v>2082</v>
      </c>
      <c r="B1038" s="5" t="s">
        <v>2083</v>
      </c>
      <c r="C1038" s="6"/>
    </row>
    <row r="1039" spans="1:3">
      <c r="A1039" s="4" t="s">
        <v>2084</v>
      </c>
      <c r="B1039" s="5" t="s">
        <v>2085</v>
      </c>
      <c r="C1039" s="6" t="s">
        <v>44</v>
      </c>
    </row>
    <row r="1040" spans="1:3">
      <c r="A1040" s="4" t="s">
        <v>2086</v>
      </c>
      <c r="B1040" s="5" t="s">
        <v>2087</v>
      </c>
      <c r="C1040" s="6" t="s">
        <v>44</v>
      </c>
    </row>
    <row r="1041" spans="1:3">
      <c r="A1041" s="4" t="s">
        <v>2088</v>
      </c>
      <c r="B1041" s="5" t="s">
        <v>2089</v>
      </c>
      <c r="C1041" s="6" t="s">
        <v>44</v>
      </c>
    </row>
    <row r="1042" spans="1:3">
      <c r="A1042" s="4" t="s">
        <v>2090</v>
      </c>
      <c r="B1042" s="5" t="s">
        <v>2091</v>
      </c>
      <c r="C1042" s="6" t="s">
        <v>1834</v>
      </c>
    </row>
    <row r="1043" spans="1:3">
      <c r="A1043" s="4" t="s">
        <v>2092</v>
      </c>
      <c r="B1043" s="5" t="s">
        <v>2093</v>
      </c>
      <c r="C1043" s="6"/>
    </row>
    <row r="1044" spans="1:3">
      <c r="A1044" s="4" t="s">
        <v>2094</v>
      </c>
      <c r="B1044" s="5" t="s">
        <v>2095</v>
      </c>
      <c r="C1044" s="6"/>
    </row>
    <row r="1045" spans="1:3">
      <c r="A1045" s="4" t="s">
        <v>2096</v>
      </c>
      <c r="B1045" s="5" t="s">
        <v>2097</v>
      </c>
      <c r="C1045" s="6" t="s">
        <v>348</v>
      </c>
    </row>
    <row r="1046" spans="1:3">
      <c r="A1046" s="4" t="s">
        <v>2098</v>
      </c>
      <c r="B1046" s="5" t="s">
        <v>2099</v>
      </c>
      <c r="C1046" s="6" t="s">
        <v>348</v>
      </c>
    </row>
    <row r="1047" spans="1:3">
      <c r="A1047" s="4" t="s">
        <v>2100</v>
      </c>
      <c r="B1047" s="5" t="s">
        <v>2101</v>
      </c>
      <c r="C1047" s="6"/>
    </row>
    <row r="1048" spans="1:3">
      <c r="A1048" s="4" t="s">
        <v>2102</v>
      </c>
      <c r="B1048" s="5" t="s">
        <v>2103</v>
      </c>
      <c r="C1048" s="6" t="s">
        <v>348</v>
      </c>
    </row>
    <row r="1049" spans="1:3">
      <c r="A1049" s="4" t="s">
        <v>2104</v>
      </c>
      <c r="B1049" s="5" t="s">
        <v>2105</v>
      </c>
      <c r="C1049" s="6" t="s">
        <v>348</v>
      </c>
    </row>
    <row r="1050" spans="1:3">
      <c r="A1050" s="4" t="s">
        <v>2106</v>
      </c>
      <c r="B1050" s="5" t="s">
        <v>2107</v>
      </c>
      <c r="C1050" s="6" t="s">
        <v>44</v>
      </c>
    </row>
    <row r="1051" spans="1:3">
      <c r="A1051" s="4" t="s">
        <v>2108</v>
      </c>
      <c r="B1051" s="5" t="s">
        <v>2109</v>
      </c>
      <c r="C1051" s="6" t="s">
        <v>2110</v>
      </c>
    </row>
    <row r="1052" spans="1:3">
      <c r="A1052" s="4" t="s">
        <v>2111</v>
      </c>
      <c r="B1052" s="5" t="s">
        <v>2112</v>
      </c>
      <c r="C1052" s="6" t="s">
        <v>2110</v>
      </c>
    </row>
    <row r="1053" spans="1:3">
      <c r="A1053" s="4" t="s">
        <v>2113</v>
      </c>
      <c r="B1053" s="5" t="s">
        <v>2114</v>
      </c>
      <c r="C1053" s="6" t="s">
        <v>2110</v>
      </c>
    </row>
    <row r="1054" spans="1:3">
      <c r="A1054" s="4" t="s">
        <v>2115</v>
      </c>
      <c r="B1054" s="5" t="s">
        <v>2116</v>
      </c>
      <c r="C1054" s="6"/>
    </row>
    <row r="1055" spans="1:3">
      <c r="A1055" s="4" t="s">
        <v>2117</v>
      </c>
      <c r="B1055" s="5" t="s">
        <v>2118</v>
      </c>
      <c r="C1055" s="6"/>
    </row>
    <row r="1056" spans="1:3">
      <c r="A1056" s="4" t="s">
        <v>2119</v>
      </c>
      <c r="B1056" s="5" t="s">
        <v>2120</v>
      </c>
      <c r="C1056" s="6"/>
    </row>
    <row r="1057" spans="1:3">
      <c r="A1057" s="4" t="s">
        <v>2121</v>
      </c>
      <c r="B1057" s="5" t="s">
        <v>523</v>
      </c>
      <c r="C1057" s="6"/>
    </row>
    <row r="1058" spans="1:3">
      <c r="A1058" s="4" t="s">
        <v>2122</v>
      </c>
      <c r="B1058" s="5" t="s">
        <v>2123</v>
      </c>
      <c r="C1058" s="6" t="s">
        <v>528</v>
      </c>
    </row>
    <row r="1059" spans="1:3">
      <c r="A1059" s="4" t="s">
        <v>2124</v>
      </c>
      <c r="B1059" s="5" t="s">
        <v>2125</v>
      </c>
      <c r="C1059" s="6" t="s">
        <v>528</v>
      </c>
    </row>
    <row r="1060" spans="1:3">
      <c r="A1060" s="4" t="s">
        <v>2126</v>
      </c>
      <c r="B1060" s="5" t="s">
        <v>2127</v>
      </c>
      <c r="C1060" s="6"/>
    </row>
    <row r="1061" spans="1:3">
      <c r="A1061" s="4" t="s">
        <v>2128</v>
      </c>
      <c r="B1061" s="5" t="s">
        <v>2129</v>
      </c>
      <c r="C1061" s="6"/>
    </row>
    <row r="1062" spans="1:3">
      <c r="A1062" s="4" t="s">
        <v>2130</v>
      </c>
      <c r="B1062" s="5" t="s">
        <v>2131</v>
      </c>
      <c r="C1062" s="6"/>
    </row>
    <row r="1063" spans="1:3">
      <c r="A1063" s="4" t="s">
        <v>2132</v>
      </c>
      <c r="B1063" s="5" t="s">
        <v>2133</v>
      </c>
      <c r="C1063" s="6"/>
    </row>
    <row r="1064" spans="1:3">
      <c r="A1064" s="4" t="s">
        <v>2134</v>
      </c>
      <c r="B1064" s="5" t="s">
        <v>2135</v>
      </c>
      <c r="C1064" s="6"/>
    </row>
    <row r="1065" spans="1:3">
      <c r="A1065" s="4" t="s">
        <v>2136</v>
      </c>
      <c r="B1065" s="5" t="s">
        <v>598</v>
      </c>
      <c r="C1065" s="6"/>
    </row>
    <row r="1066" spans="1:3">
      <c r="A1066" s="4" t="s">
        <v>2137</v>
      </c>
      <c r="B1066" s="5" t="s">
        <v>2138</v>
      </c>
      <c r="C1066" s="6"/>
    </row>
    <row r="1067" spans="1:3">
      <c r="A1067" s="4" t="s">
        <v>2139</v>
      </c>
      <c r="B1067" s="5" t="s">
        <v>2140</v>
      </c>
      <c r="C1067" s="6"/>
    </row>
    <row r="1068" spans="1:3">
      <c r="A1068" s="4" t="s">
        <v>2141</v>
      </c>
      <c r="B1068" s="5" t="s">
        <v>2142</v>
      </c>
      <c r="C1068" s="6"/>
    </row>
    <row r="1069" spans="1:3">
      <c r="A1069" s="4" t="s">
        <v>2143</v>
      </c>
      <c r="B1069" s="5" t="s">
        <v>673</v>
      </c>
      <c r="C1069" s="6"/>
    </row>
    <row r="1070" spans="1:3">
      <c r="A1070" s="4" t="s">
        <v>2144</v>
      </c>
      <c r="B1070" s="5" t="s">
        <v>2145</v>
      </c>
      <c r="C1070" s="6"/>
    </row>
    <row r="1071" spans="1:3">
      <c r="A1071" s="4" t="s">
        <v>2146</v>
      </c>
      <c r="B1071" s="5" t="s">
        <v>2147</v>
      </c>
      <c r="C1071" s="6"/>
    </row>
    <row r="1072" spans="1:3">
      <c r="A1072" s="4" t="s">
        <v>2148</v>
      </c>
      <c r="B1072" s="5" t="s">
        <v>2149</v>
      </c>
      <c r="C1072" s="6"/>
    </row>
    <row r="1073" spans="1:3">
      <c r="A1073" s="4" t="s">
        <v>2150</v>
      </c>
      <c r="B1073" s="5" t="s">
        <v>2151</v>
      </c>
      <c r="C1073" s="6"/>
    </row>
    <row r="1074" spans="1:3">
      <c r="A1074" s="4" t="s">
        <v>2152</v>
      </c>
      <c r="B1074" s="5" t="s">
        <v>2153</v>
      </c>
      <c r="C1074" s="6"/>
    </row>
    <row r="1075" spans="1:3">
      <c r="A1075" s="4" t="s">
        <v>2154</v>
      </c>
      <c r="B1075" s="5" t="s">
        <v>2155</v>
      </c>
      <c r="C1075" s="6"/>
    </row>
    <row r="1076" spans="1:3">
      <c r="A1076" s="4" t="s">
        <v>2156</v>
      </c>
      <c r="B1076" s="5" t="s">
        <v>2157</v>
      </c>
      <c r="C1076" s="6"/>
    </row>
    <row r="1077" spans="1:3">
      <c r="A1077" s="4" t="s">
        <v>2158</v>
      </c>
      <c r="B1077" s="5" t="s">
        <v>2159</v>
      </c>
      <c r="C1077" s="6"/>
    </row>
    <row r="1078" spans="1:3">
      <c r="A1078" s="4" t="s">
        <v>2160</v>
      </c>
      <c r="B1078" s="5" t="s">
        <v>2161</v>
      </c>
      <c r="C1078" s="6"/>
    </row>
    <row r="1079" spans="1:3">
      <c r="A1079" s="4" t="s">
        <v>2162</v>
      </c>
      <c r="B1079" s="5" t="s">
        <v>2163</v>
      </c>
      <c r="C1079" s="6"/>
    </row>
    <row r="1080" spans="1:3">
      <c r="A1080" s="4" t="s">
        <v>2164</v>
      </c>
      <c r="B1080" s="5" t="s">
        <v>2165</v>
      </c>
      <c r="C1080" s="6"/>
    </row>
    <row r="1081" spans="1:3">
      <c r="A1081" s="4" t="s">
        <v>2166</v>
      </c>
      <c r="B1081" s="5" t="s">
        <v>2167</v>
      </c>
      <c r="C1081" s="6" t="s">
        <v>44</v>
      </c>
    </row>
    <row r="1082" spans="1:3">
      <c r="A1082" s="4" t="s">
        <v>2168</v>
      </c>
      <c r="B1082" s="5" t="s">
        <v>2169</v>
      </c>
      <c r="C1082" s="6" t="s">
        <v>44</v>
      </c>
    </row>
    <row r="1083" spans="1:3">
      <c r="A1083" s="4" t="s">
        <v>2170</v>
      </c>
      <c r="B1083" s="5" t="s">
        <v>2171</v>
      </c>
      <c r="C1083" s="6"/>
    </row>
    <row r="1084" spans="1:3">
      <c r="A1084" s="4" t="s">
        <v>2172</v>
      </c>
      <c r="B1084" s="5" t="s">
        <v>2173</v>
      </c>
      <c r="C1084" s="6"/>
    </row>
    <row r="1085" spans="1:3">
      <c r="A1085" s="4" t="s">
        <v>2174</v>
      </c>
      <c r="B1085" s="5" t="s">
        <v>2175</v>
      </c>
      <c r="C1085" s="6"/>
    </row>
    <row r="1086" spans="1:3">
      <c r="A1086" s="4" t="s">
        <v>2176</v>
      </c>
      <c r="B1086" s="5" t="s">
        <v>2177</v>
      </c>
      <c r="C1086" s="6"/>
    </row>
    <row r="1087" spans="1:3">
      <c r="A1087" s="4" t="s">
        <v>2178</v>
      </c>
      <c r="B1087" s="5" t="s">
        <v>2179</v>
      </c>
      <c r="C1087" s="6"/>
    </row>
    <row r="1088" spans="1:3">
      <c r="A1088" s="4" t="s">
        <v>2180</v>
      </c>
      <c r="B1088" s="5" t="s">
        <v>2181</v>
      </c>
      <c r="C1088" s="6"/>
    </row>
    <row r="1089" spans="1:3">
      <c r="A1089" s="4" t="s">
        <v>2182</v>
      </c>
      <c r="B1089" s="5" t="s">
        <v>2183</v>
      </c>
      <c r="C1089" s="6"/>
    </row>
    <row r="1090" spans="1:3">
      <c r="A1090" s="4" t="s">
        <v>2184</v>
      </c>
      <c r="B1090" s="5" t="s">
        <v>2185</v>
      </c>
      <c r="C1090" s="6" t="s">
        <v>31</v>
      </c>
    </row>
    <row r="1091" spans="1:3">
      <c r="A1091" s="4" t="s">
        <v>2186</v>
      </c>
      <c r="B1091" s="5" t="s">
        <v>2187</v>
      </c>
      <c r="C1091" s="6"/>
    </row>
    <row r="1092" spans="1:3">
      <c r="A1092" s="4" t="s">
        <v>2188</v>
      </c>
      <c r="B1092" s="5" t="s">
        <v>2189</v>
      </c>
      <c r="C1092" s="6"/>
    </row>
    <row r="1093" spans="1:3">
      <c r="A1093" s="4" t="s">
        <v>2190</v>
      </c>
      <c r="B1093" s="5" t="s">
        <v>2191</v>
      </c>
      <c r="C1093" s="6"/>
    </row>
    <row r="1094" spans="1:3">
      <c r="A1094" s="4" t="s">
        <v>2192</v>
      </c>
      <c r="B1094" s="5" t="s">
        <v>2193</v>
      </c>
      <c r="C1094" s="6"/>
    </row>
    <row r="1095" spans="1:3">
      <c r="A1095" s="4" t="s">
        <v>2194</v>
      </c>
      <c r="B1095" s="5" t="s">
        <v>2195</v>
      </c>
      <c r="C1095" s="6"/>
    </row>
    <row r="1096" spans="1:3">
      <c r="A1096" s="4" t="s">
        <v>2196</v>
      </c>
      <c r="B1096" s="5" t="s">
        <v>2197</v>
      </c>
      <c r="C1096" s="6"/>
    </row>
    <row r="1097" spans="1:3">
      <c r="A1097" s="4" t="s">
        <v>2198</v>
      </c>
      <c r="B1097" s="5" t="s">
        <v>2199</v>
      </c>
      <c r="C1097" s="6" t="s">
        <v>31</v>
      </c>
    </row>
    <row r="1098" spans="1:3">
      <c r="A1098" s="4" t="s">
        <v>2200</v>
      </c>
      <c r="B1098" s="5" t="s">
        <v>2201</v>
      </c>
      <c r="C1098" s="6"/>
    </row>
    <row r="1099" spans="1:3">
      <c r="A1099" s="4" t="s">
        <v>2202</v>
      </c>
      <c r="B1099" s="5" t="s">
        <v>2203</v>
      </c>
      <c r="C1099" s="6"/>
    </row>
    <row r="1100" spans="1:3">
      <c r="A1100" s="4" t="s">
        <v>2204</v>
      </c>
      <c r="B1100" s="5" t="s">
        <v>2205</v>
      </c>
      <c r="C1100" s="6"/>
    </row>
    <row r="1101" spans="1:3">
      <c r="A1101" s="4" t="s">
        <v>2206</v>
      </c>
      <c r="B1101" s="5" t="s">
        <v>2207</v>
      </c>
      <c r="C1101" s="6"/>
    </row>
    <row r="1102" spans="1:3">
      <c r="A1102" s="4" t="s">
        <v>2208</v>
      </c>
      <c r="B1102" s="5" t="s">
        <v>2209</v>
      </c>
      <c r="C1102" s="6"/>
    </row>
    <row r="1103" spans="1:3">
      <c r="A1103" s="4" t="s">
        <v>2210</v>
      </c>
      <c r="B1103" s="5" t="s">
        <v>2211</v>
      </c>
      <c r="C1103" s="6"/>
    </row>
    <row r="1104" spans="1:3">
      <c r="A1104" s="4" t="s">
        <v>2212</v>
      </c>
      <c r="B1104" s="5" t="s">
        <v>2213</v>
      </c>
      <c r="C1104" s="6"/>
    </row>
    <row r="1105" spans="1:3">
      <c r="A1105" s="4" t="s">
        <v>2214</v>
      </c>
      <c r="B1105" s="5" t="s">
        <v>2215</v>
      </c>
      <c r="C1105" s="6"/>
    </row>
    <row r="1106" spans="1:3">
      <c r="A1106" s="4" t="s">
        <v>2216</v>
      </c>
      <c r="B1106" s="5" t="s">
        <v>2217</v>
      </c>
      <c r="C1106" s="6"/>
    </row>
    <row r="1107" spans="1:3">
      <c r="A1107" s="4" t="s">
        <v>2218</v>
      </c>
      <c r="B1107" s="5" t="s">
        <v>2219</v>
      </c>
      <c r="C1107" s="6"/>
    </row>
    <row r="1108" spans="1:3">
      <c r="A1108" s="4" t="s">
        <v>2220</v>
      </c>
      <c r="B1108" s="5" t="s">
        <v>2221</v>
      </c>
      <c r="C1108" s="6" t="s">
        <v>31</v>
      </c>
    </row>
    <row r="1109" spans="1:3">
      <c r="A1109" s="4" t="s">
        <v>2222</v>
      </c>
      <c r="B1109" s="5" t="s">
        <v>767</v>
      </c>
      <c r="C1109" s="6"/>
    </row>
    <row r="1110" spans="1:3">
      <c r="A1110" s="4" t="s">
        <v>2223</v>
      </c>
      <c r="B1110" s="5" t="s">
        <v>2224</v>
      </c>
      <c r="C1110" s="6"/>
    </row>
    <row r="1111" spans="1:3">
      <c r="A1111" s="4" t="s">
        <v>2225</v>
      </c>
      <c r="B1111" s="5" t="s">
        <v>2226</v>
      </c>
      <c r="C1111" s="6" t="s">
        <v>31</v>
      </c>
    </row>
    <row r="1112" spans="1:3">
      <c r="A1112" s="4" t="s">
        <v>2227</v>
      </c>
      <c r="B1112" s="5" t="s">
        <v>2228</v>
      </c>
      <c r="C1112" s="6" t="s">
        <v>31</v>
      </c>
    </row>
    <row r="1113" spans="1:3">
      <c r="A1113" s="4" t="s">
        <v>2229</v>
      </c>
      <c r="B1113" s="5" t="s">
        <v>2230</v>
      </c>
      <c r="C1113" s="6"/>
    </row>
    <row r="1114" spans="1:3">
      <c r="A1114" s="4" t="s">
        <v>2231</v>
      </c>
      <c r="B1114" s="5" t="s">
        <v>2232</v>
      </c>
      <c r="C1114" s="6"/>
    </row>
    <row r="1115" spans="1:3">
      <c r="A1115" s="4" t="s">
        <v>2233</v>
      </c>
      <c r="B1115" s="5" t="s">
        <v>2234</v>
      </c>
      <c r="C1115" s="6"/>
    </row>
    <row r="1116" spans="1:3">
      <c r="A1116" s="4" t="s">
        <v>2235</v>
      </c>
      <c r="B1116" s="5" t="s">
        <v>2236</v>
      </c>
      <c r="C1116" s="6"/>
    </row>
    <row r="1117" spans="1:3">
      <c r="A1117" s="4" t="s">
        <v>2237</v>
      </c>
      <c r="B1117" s="5" t="s">
        <v>2238</v>
      </c>
      <c r="C1117" s="6"/>
    </row>
    <row r="1118" spans="1:3">
      <c r="A1118" s="4" t="s">
        <v>2239</v>
      </c>
      <c r="B1118" s="5" t="s">
        <v>2240</v>
      </c>
      <c r="C1118" s="6"/>
    </row>
    <row r="1119" spans="1:3">
      <c r="A1119" s="4" t="s">
        <v>2241</v>
      </c>
      <c r="B1119" s="5" t="s">
        <v>2242</v>
      </c>
      <c r="C1119" s="6"/>
    </row>
    <row r="1120" spans="1:3">
      <c r="A1120" s="4" t="s">
        <v>2243</v>
      </c>
      <c r="B1120" s="5" t="s">
        <v>2244</v>
      </c>
      <c r="C1120" s="6"/>
    </row>
    <row r="1121" spans="1:3">
      <c r="A1121" s="4" t="s">
        <v>2245</v>
      </c>
      <c r="B1121" s="5" t="s">
        <v>2246</v>
      </c>
      <c r="C1121" s="6"/>
    </row>
    <row r="1122" spans="1:3">
      <c r="A1122" s="4" t="s">
        <v>2247</v>
      </c>
      <c r="B1122" s="5" t="s">
        <v>2248</v>
      </c>
      <c r="C1122" s="6"/>
    </row>
    <row r="1123" spans="1:3">
      <c r="A1123" s="4" t="s">
        <v>2249</v>
      </c>
      <c r="B1123" s="5" t="s">
        <v>2250</v>
      </c>
      <c r="C1123" s="6"/>
    </row>
    <row r="1124" spans="1:3">
      <c r="A1124" s="4" t="s">
        <v>2251</v>
      </c>
      <c r="B1124" s="5" t="s">
        <v>2252</v>
      </c>
      <c r="C1124" s="6" t="s">
        <v>44</v>
      </c>
    </row>
    <row r="1125" spans="1:3">
      <c r="A1125" s="4" t="s">
        <v>2253</v>
      </c>
      <c r="B1125" s="5" t="s">
        <v>2254</v>
      </c>
      <c r="C1125" s="6" t="s">
        <v>31</v>
      </c>
    </row>
    <row r="1126" spans="1:3">
      <c r="A1126" s="4" t="s">
        <v>2255</v>
      </c>
      <c r="B1126" s="5" t="s">
        <v>2256</v>
      </c>
      <c r="C1126" s="6"/>
    </row>
    <row r="1127" spans="1:3">
      <c r="A1127" s="4" t="s">
        <v>2257</v>
      </c>
      <c r="B1127" s="5" t="s">
        <v>2258</v>
      </c>
      <c r="C1127" s="6"/>
    </row>
    <row r="1128" spans="1:3">
      <c r="A1128" s="4" t="s">
        <v>2259</v>
      </c>
      <c r="B1128" s="5" t="s">
        <v>2260</v>
      </c>
      <c r="C1128" s="6"/>
    </row>
    <row r="1129" spans="1:3">
      <c r="A1129" s="4" t="s">
        <v>2261</v>
      </c>
      <c r="B1129" s="5" t="s">
        <v>2262</v>
      </c>
      <c r="C1129" s="6" t="s">
        <v>31</v>
      </c>
    </row>
    <row r="1130" spans="1:3">
      <c r="A1130" s="4" t="s">
        <v>2263</v>
      </c>
      <c r="B1130" s="5" t="s">
        <v>2264</v>
      </c>
      <c r="C1130" s="6"/>
    </row>
    <row r="1131" spans="1:3">
      <c r="A1131" s="4" t="s">
        <v>2265</v>
      </c>
      <c r="B1131" s="5" t="s">
        <v>2266</v>
      </c>
      <c r="C1131" s="6"/>
    </row>
    <row r="1132" spans="1:3">
      <c r="A1132" s="4" t="s">
        <v>2267</v>
      </c>
      <c r="B1132" s="5" t="s">
        <v>2268</v>
      </c>
      <c r="C1132" s="6"/>
    </row>
    <row r="1133" spans="1:3">
      <c r="A1133" s="4" t="s">
        <v>2269</v>
      </c>
      <c r="B1133" s="5" t="s">
        <v>2270</v>
      </c>
      <c r="C1133" s="6"/>
    </row>
    <row r="1134" spans="1:3">
      <c r="A1134" s="4" t="s">
        <v>2271</v>
      </c>
      <c r="B1134" s="5" t="s">
        <v>2272</v>
      </c>
      <c r="C1134" s="6"/>
    </row>
    <row r="1135" spans="1:3">
      <c r="A1135" s="4" t="s">
        <v>2273</v>
      </c>
      <c r="B1135" s="5" t="s">
        <v>2274</v>
      </c>
      <c r="C1135" s="6"/>
    </row>
    <row r="1136" spans="1:3">
      <c r="A1136" s="4" t="s">
        <v>2275</v>
      </c>
      <c r="B1136" s="5" t="s">
        <v>2276</v>
      </c>
      <c r="C1136" s="6"/>
    </row>
    <row r="1137" spans="1:3">
      <c r="A1137" s="4" t="s">
        <v>2277</v>
      </c>
      <c r="B1137" s="5" t="s">
        <v>2278</v>
      </c>
      <c r="C1137" s="6" t="s">
        <v>31</v>
      </c>
    </row>
    <row r="1138" spans="1:3">
      <c r="A1138" s="4" t="s">
        <v>2279</v>
      </c>
      <c r="B1138" s="5" t="s">
        <v>829</v>
      </c>
      <c r="C1138" s="6"/>
    </row>
    <row r="1139" spans="1:3">
      <c r="A1139" s="4" t="s">
        <v>2280</v>
      </c>
      <c r="B1139" s="5" t="s">
        <v>2281</v>
      </c>
      <c r="C1139" s="6"/>
    </row>
    <row r="1140" spans="1:3">
      <c r="A1140" s="4" t="s">
        <v>2282</v>
      </c>
      <c r="B1140" s="5" t="s">
        <v>2283</v>
      </c>
      <c r="C1140" s="6"/>
    </row>
    <row r="1141" spans="1:3">
      <c r="A1141" s="4" t="s">
        <v>2284</v>
      </c>
      <c r="B1141" s="5" t="s">
        <v>1650</v>
      </c>
      <c r="C1141" s="6" t="s">
        <v>31</v>
      </c>
    </row>
    <row r="1142" spans="1:3">
      <c r="A1142" s="4" t="s">
        <v>2285</v>
      </c>
      <c r="B1142" s="5" t="s">
        <v>2286</v>
      </c>
      <c r="C1142" s="6"/>
    </row>
    <row r="1143" spans="1:3">
      <c r="A1143" s="4" t="s">
        <v>2287</v>
      </c>
      <c r="B1143" s="5" t="s">
        <v>2288</v>
      </c>
      <c r="C1143" s="6"/>
    </row>
    <row r="1144" spans="1:3">
      <c r="A1144" s="4" t="s">
        <v>2289</v>
      </c>
      <c r="B1144" s="5" t="s">
        <v>2290</v>
      </c>
      <c r="C1144" s="6" t="s">
        <v>31</v>
      </c>
    </row>
    <row r="1145" spans="1:3">
      <c r="A1145" s="4" t="s">
        <v>2291</v>
      </c>
      <c r="B1145" s="5" t="s">
        <v>2292</v>
      </c>
      <c r="C1145" s="6"/>
    </row>
    <row r="1146" spans="1:3">
      <c r="A1146" s="4" t="s">
        <v>2293</v>
      </c>
      <c r="B1146" s="5" t="s">
        <v>2294</v>
      </c>
      <c r="C1146" s="6"/>
    </row>
    <row r="1147" spans="1:3">
      <c r="A1147" s="4" t="s">
        <v>2295</v>
      </c>
      <c r="B1147" s="5" t="s">
        <v>2296</v>
      </c>
      <c r="C1147" s="6"/>
    </row>
    <row r="1148" spans="1:3">
      <c r="A1148" s="4" t="s">
        <v>2297</v>
      </c>
      <c r="B1148" s="5" t="s">
        <v>2298</v>
      </c>
      <c r="C1148" s="6"/>
    </row>
    <row r="1149" spans="1:3">
      <c r="A1149" s="4" t="s">
        <v>2299</v>
      </c>
      <c r="B1149" s="5" t="s">
        <v>2300</v>
      </c>
      <c r="C1149" s="6"/>
    </row>
    <row r="1150" spans="1:3">
      <c r="A1150" s="4" t="s">
        <v>2301</v>
      </c>
      <c r="B1150" s="5" t="s">
        <v>2302</v>
      </c>
      <c r="C1150" s="6" t="s">
        <v>31</v>
      </c>
    </row>
    <row r="1151" spans="1:3">
      <c r="A1151" s="4" t="s">
        <v>2303</v>
      </c>
      <c r="B1151" s="5" t="s">
        <v>2304</v>
      </c>
      <c r="C1151" s="6"/>
    </row>
    <row r="1152" spans="1:3">
      <c r="A1152" s="4" t="s">
        <v>2305</v>
      </c>
      <c r="B1152" s="5" t="s">
        <v>2306</v>
      </c>
      <c r="C1152" s="6"/>
    </row>
    <row r="1153" spans="1:3">
      <c r="A1153" s="4" t="s">
        <v>2307</v>
      </c>
      <c r="B1153" s="5" t="s">
        <v>2308</v>
      </c>
      <c r="C1153" s="6"/>
    </row>
    <row r="1154" spans="1:3">
      <c r="A1154" s="4" t="s">
        <v>2309</v>
      </c>
      <c r="B1154" s="5" t="s">
        <v>2310</v>
      </c>
      <c r="C1154" s="6"/>
    </row>
    <row r="1155" spans="1:3">
      <c r="A1155" s="4" t="s">
        <v>2311</v>
      </c>
      <c r="B1155" s="5" t="s">
        <v>1633</v>
      </c>
      <c r="C1155" s="6"/>
    </row>
    <row r="1156" spans="1:3">
      <c r="A1156" s="4" t="s">
        <v>2312</v>
      </c>
      <c r="B1156" s="5" t="s">
        <v>2313</v>
      </c>
      <c r="C1156" s="6"/>
    </row>
    <row r="1157" spans="1:3">
      <c r="A1157" s="4" t="s">
        <v>2314</v>
      </c>
      <c r="B1157" s="5" t="s">
        <v>2315</v>
      </c>
      <c r="C1157" s="6"/>
    </row>
    <row r="1158" spans="1:3">
      <c r="A1158" s="4" t="s">
        <v>2316</v>
      </c>
      <c r="B1158" s="5" t="s">
        <v>2317</v>
      </c>
      <c r="C1158" s="6"/>
    </row>
    <row r="1159" spans="1:3">
      <c r="A1159" s="4" t="s">
        <v>2318</v>
      </c>
      <c r="B1159" s="5" t="s">
        <v>2319</v>
      </c>
      <c r="C1159" s="6" t="s">
        <v>31</v>
      </c>
    </row>
    <row r="1160" spans="1:3">
      <c r="A1160" s="4" t="s">
        <v>2320</v>
      </c>
      <c r="B1160" s="5" t="s">
        <v>2321</v>
      </c>
      <c r="C1160" s="6" t="s">
        <v>31</v>
      </c>
    </row>
    <row r="1161" spans="1:3">
      <c r="A1161" s="4" t="s">
        <v>2322</v>
      </c>
      <c r="B1161" s="5" t="s">
        <v>2323</v>
      </c>
      <c r="C1161" s="6"/>
    </row>
    <row r="1162" spans="1:3">
      <c r="A1162" s="4" t="s">
        <v>2324</v>
      </c>
      <c r="B1162" s="5" t="s">
        <v>2325</v>
      </c>
      <c r="C1162" s="6"/>
    </row>
    <row r="1163" spans="1:3">
      <c r="A1163" s="4" t="s">
        <v>2326</v>
      </c>
      <c r="B1163" s="5" t="s">
        <v>2327</v>
      </c>
      <c r="C1163" s="6"/>
    </row>
    <row r="1164" spans="1:3">
      <c r="A1164" s="4" t="s">
        <v>2328</v>
      </c>
      <c r="B1164" s="5" t="s">
        <v>2329</v>
      </c>
      <c r="C1164" s="6"/>
    </row>
    <row r="1165" spans="1:3">
      <c r="A1165" s="4" t="s">
        <v>2330</v>
      </c>
      <c r="B1165" s="5" t="s">
        <v>2331</v>
      </c>
      <c r="C1165" s="6"/>
    </row>
    <row r="1166" spans="1:3">
      <c r="A1166" s="4" t="s">
        <v>2332</v>
      </c>
      <c r="B1166" s="5" t="s">
        <v>2333</v>
      </c>
      <c r="C1166" s="6"/>
    </row>
    <row r="1167" spans="1:3">
      <c r="A1167" s="4" t="s">
        <v>2334</v>
      </c>
      <c r="B1167" s="5" t="s">
        <v>2335</v>
      </c>
      <c r="C1167" s="6"/>
    </row>
    <row r="1168" spans="1:3">
      <c r="A1168" s="4" t="s">
        <v>2336</v>
      </c>
      <c r="B1168" s="5" t="s">
        <v>2337</v>
      </c>
      <c r="C1168" s="6"/>
    </row>
    <row r="1169" spans="1:3">
      <c r="A1169" s="4" t="s">
        <v>2338</v>
      </c>
      <c r="B1169" s="5" t="s">
        <v>2339</v>
      </c>
      <c r="C1169" s="6"/>
    </row>
    <row r="1170" spans="1:3">
      <c r="A1170" s="4" t="s">
        <v>2340</v>
      </c>
      <c r="B1170" s="5" t="s">
        <v>2341</v>
      </c>
      <c r="C1170" s="6"/>
    </row>
    <row r="1171" spans="1:3">
      <c r="A1171" s="4" t="s">
        <v>2342</v>
      </c>
      <c r="B1171" s="5" t="s">
        <v>2343</v>
      </c>
      <c r="C1171" s="6"/>
    </row>
    <row r="1172" spans="1:3">
      <c r="A1172" s="4" t="s">
        <v>2344</v>
      </c>
      <c r="B1172" s="5" t="s">
        <v>2345</v>
      </c>
      <c r="C1172" s="6"/>
    </row>
    <row r="1173" spans="1:3">
      <c r="A1173" s="4" t="s">
        <v>2346</v>
      </c>
      <c r="B1173" s="5" t="s">
        <v>2347</v>
      </c>
      <c r="C1173" s="6"/>
    </row>
    <row r="1174" spans="1:3">
      <c r="A1174" s="4" t="s">
        <v>2348</v>
      </c>
      <c r="B1174" s="5" t="s">
        <v>2349</v>
      </c>
      <c r="C1174" s="6"/>
    </row>
    <row r="1175" spans="1:3">
      <c r="A1175" s="4" t="s">
        <v>2350</v>
      </c>
      <c r="B1175" s="5" t="s">
        <v>2351</v>
      </c>
      <c r="C1175" s="6"/>
    </row>
    <row r="1176" spans="1:3">
      <c r="A1176" s="4" t="s">
        <v>2352</v>
      </c>
      <c r="B1176" s="5" t="s">
        <v>2353</v>
      </c>
      <c r="C1176" s="6"/>
    </row>
    <row r="1177" spans="1:3">
      <c r="A1177" s="4" t="s">
        <v>2354</v>
      </c>
      <c r="B1177" s="5" t="s">
        <v>2355</v>
      </c>
      <c r="C1177" s="6"/>
    </row>
    <row r="1178" spans="1:3">
      <c r="A1178" s="4" t="s">
        <v>2356</v>
      </c>
      <c r="B1178" s="5" t="s">
        <v>2357</v>
      </c>
      <c r="C1178" s="6"/>
    </row>
    <row r="1179" spans="1:3">
      <c r="A1179" s="4" t="s">
        <v>2358</v>
      </c>
      <c r="B1179" s="5" t="s">
        <v>2359</v>
      </c>
      <c r="C1179" s="6"/>
    </row>
    <row r="1180" spans="1:3">
      <c r="A1180" s="4" t="s">
        <v>2360</v>
      </c>
      <c r="B1180" s="5" t="s">
        <v>2361</v>
      </c>
      <c r="C1180" s="6"/>
    </row>
    <row r="1181" spans="1:3">
      <c r="A1181" s="4" t="s">
        <v>2362</v>
      </c>
      <c r="B1181" s="5" t="s">
        <v>2363</v>
      </c>
      <c r="C1181" s="6"/>
    </row>
    <row r="1182" spans="1:3">
      <c r="A1182" s="4" t="s">
        <v>2364</v>
      </c>
      <c r="B1182" s="5" t="s">
        <v>915</v>
      </c>
      <c r="C1182" s="6"/>
    </row>
    <row r="1183" spans="1:3">
      <c r="A1183" s="4" t="s">
        <v>2365</v>
      </c>
      <c r="B1183" s="5" t="s">
        <v>2366</v>
      </c>
      <c r="C1183" s="6"/>
    </row>
    <row r="1184" spans="1:3">
      <c r="A1184" s="4" t="s">
        <v>2367</v>
      </c>
      <c r="B1184" s="5" t="s">
        <v>2368</v>
      </c>
      <c r="C1184" s="6"/>
    </row>
    <row r="1185" spans="1:3">
      <c r="A1185" s="4" t="s">
        <v>2369</v>
      </c>
      <c r="B1185" s="5" t="s">
        <v>2370</v>
      </c>
      <c r="C1185" s="6" t="s">
        <v>31</v>
      </c>
    </row>
    <row r="1186" spans="1:3">
      <c r="A1186" s="4" t="s">
        <v>2371</v>
      </c>
      <c r="B1186" s="5" t="s">
        <v>2372</v>
      </c>
      <c r="C1186" s="6"/>
    </row>
    <row r="1187" spans="1:3">
      <c r="A1187" s="4" t="s">
        <v>2373</v>
      </c>
      <c r="B1187" s="5" t="s">
        <v>2374</v>
      </c>
      <c r="C1187" s="6"/>
    </row>
    <row r="1188" spans="1:3">
      <c r="A1188" s="4" t="s">
        <v>2375</v>
      </c>
      <c r="B1188" s="5" t="s">
        <v>2376</v>
      </c>
      <c r="C1188" s="6"/>
    </row>
    <row r="1189" spans="1:3">
      <c r="A1189" s="4" t="s">
        <v>2377</v>
      </c>
      <c r="B1189" s="5" t="s">
        <v>2378</v>
      </c>
      <c r="C1189" s="6"/>
    </row>
    <row r="1190" spans="1:3">
      <c r="A1190" s="4" t="s">
        <v>2379</v>
      </c>
      <c r="B1190" s="5" t="s">
        <v>2380</v>
      </c>
      <c r="C1190" s="6"/>
    </row>
    <row r="1191" spans="1:3">
      <c r="A1191" s="4" t="s">
        <v>2381</v>
      </c>
      <c r="B1191" s="5" t="s">
        <v>891</v>
      </c>
      <c r="C1191" s="6"/>
    </row>
    <row r="1192" spans="1:3">
      <c r="A1192" s="4" t="s">
        <v>2382</v>
      </c>
      <c r="B1192" s="5" t="s">
        <v>2383</v>
      </c>
      <c r="C1192" s="6"/>
    </row>
    <row r="1193" spans="1:3">
      <c r="A1193" s="4" t="s">
        <v>2384</v>
      </c>
      <c r="B1193" s="5" t="s">
        <v>2385</v>
      </c>
      <c r="C1193" s="6"/>
    </row>
    <row r="1194" spans="1:3">
      <c r="A1194" s="4" t="s">
        <v>2386</v>
      </c>
      <c r="B1194" s="5" t="s">
        <v>2387</v>
      </c>
      <c r="C1194" s="6"/>
    </row>
    <row r="1195" spans="1:3">
      <c r="A1195" s="4" t="s">
        <v>2388</v>
      </c>
      <c r="B1195" s="5" t="s">
        <v>2389</v>
      </c>
      <c r="C1195" s="6"/>
    </row>
    <row r="1196" spans="1:3">
      <c r="A1196" s="4" t="s">
        <v>2390</v>
      </c>
      <c r="B1196" s="5" t="s">
        <v>2391</v>
      </c>
      <c r="C1196" s="6"/>
    </row>
    <row r="1197" spans="1:3">
      <c r="A1197" s="4" t="s">
        <v>2392</v>
      </c>
      <c r="B1197" s="5" t="s">
        <v>2393</v>
      </c>
      <c r="C1197" s="6" t="s">
        <v>31</v>
      </c>
    </row>
    <row r="1198" spans="1:3">
      <c r="A1198" s="4" t="s">
        <v>2394</v>
      </c>
      <c r="B1198" s="5" t="s">
        <v>2395</v>
      </c>
      <c r="C1198" s="6"/>
    </row>
    <row r="1199" spans="1:3">
      <c r="A1199" s="4" t="s">
        <v>2396</v>
      </c>
      <c r="B1199" s="5" t="s">
        <v>2397</v>
      </c>
      <c r="C1199" s="6"/>
    </row>
    <row r="1200" spans="1:3">
      <c r="A1200" s="4" t="s">
        <v>2398</v>
      </c>
      <c r="B1200" s="5" t="s">
        <v>2399</v>
      </c>
      <c r="C1200" s="6"/>
    </row>
    <row r="1201" spans="1:3">
      <c r="A1201" s="4" t="s">
        <v>2400</v>
      </c>
      <c r="B1201" s="5" t="s">
        <v>2401</v>
      </c>
      <c r="C1201" s="6"/>
    </row>
    <row r="1202" spans="1:3">
      <c r="A1202" s="4" t="s">
        <v>2402</v>
      </c>
      <c r="B1202" s="5" t="s">
        <v>947</v>
      </c>
      <c r="C1202" s="6"/>
    </row>
    <row r="1203" spans="1:3">
      <c r="A1203" s="4" t="s">
        <v>2403</v>
      </c>
      <c r="B1203" s="5" t="s">
        <v>2404</v>
      </c>
      <c r="C1203" s="6" t="s">
        <v>31</v>
      </c>
    </row>
    <row r="1204" spans="1:3">
      <c r="A1204" s="4" t="s">
        <v>2405</v>
      </c>
      <c r="B1204" s="5" t="s">
        <v>2406</v>
      </c>
      <c r="C1204" s="6"/>
    </row>
    <row r="1205" spans="1:3">
      <c r="A1205" s="4" t="s">
        <v>2407</v>
      </c>
      <c r="B1205" s="5" t="s">
        <v>2408</v>
      </c>
      <c r="C1205" s="6"/>
    </row>
    <row r="1206" spans="1:3">
      <c r="A1206" s="4" t="s">
        <v>2409</v>
      </c>
      <c r="B1206" s="5" t="s">
        <v>2410</v>
      </c>
      <c r="C1206" s="6"/>
    </row>
    <row r="1207" spans="1:3">
      <c r="A1207" s="4" t="s">
        <v>2411</v>
      </c>
      <c r="B1207" s="5" t="s">
        <v>2412</v>
      </c>
      <c r="C1207" s="6"/>
    </row>
    <row r="1208" spans="1:3">
      <c r="A1208" s="4" t="s">
        <v>2413</v>
      </c>
      <c r="B1208" s="5" t="s">
        <v>2414</v>
      </c>
      <c r="C1208" s="6"/>
    </row>
    <row r="1209" spans="1:3">
      <c r="A1209" s="4" t="s">
        <v>2415</v>
      </c>
      <c r="B1209" s="5" t="s">
        <v>2416</v>
      </c>
      <c r="C1209" s="6"/>
    </row>
    <row r="1210" spans="1:3">
      <c r="A1210" s="4" t="s">
        <v>2417</v>
      </c>
      <c r="B1210" s="5" t="s">
        <v>2418</v>
      </c>
      <c r="C1210" s="6"/>
    </row>
    <row r="1211" spans="1:3">
      <c r="A1211" s="4" t="s">
        <v>2419</v>
      </c>
      <c r="B1211" s="5" t="s">
        <v>2420</v>
      </c>
      <c r="C1211" s="6"/>
    </row>
    <row r="1212" spans="1:3">
      <c r="A1212" s="4" t="s">
        <v>2421</v>
      </c>
      <c r="B1212" s="5" t="s">
        <v>2422</v>
      </c>
      <c r="C1212" s="6"/>
    </row>
    <row r="1213" spans="1:3">
      <c r="A1213" s="4" t="s">
        <v>2423</v>
      </c>
      <c r="B1213" s="5" t="s">
        <v>2424</v>
      </c>
      <c r="C1213" s="6"/>
    </row>
    <row r="1214" spans="1:3">
      <c r="A1214" s="4" t="s">
        <v>2425</v>
      </c>
      <c r="B1214" s="5" t="s">
        <v>2426</v>
      </c>
      <c r="C1214" s="6"/>
    </row>
    <row r="1215" spans="1:3">
      <c r="A1215" s="4" t="s">
        <v>2427</v>
      </c>
      <c r="B1215" s="5" t="s">
        <v>2428</v>
      </c>
      <c r="C1215" s="6"/>
    </row>
    <row r="1216" spans="1:3">
      <c r="A1216" s="4" t="s">
        <v>2429</v>
      </c>
      <c r="B1216" s="5" t="s">
        <v>2430</v>
      </c>
      <c r="C1216" s="6"/>
    </row>
    <row r="1217" spans="1:3">
      <c r="A1217" s="4" t="s">
        <v>2431</v>
      </c>
      <c r="B1217" s="5" t="s">
        <v>2432</v>
      </c>
      <c r="C1217" s="6"/>
    </row>
    <row r="1218" spans="1:3">
      <c r="A1218" s="4" t="s">
        <v>2433</v>
      </c>
      <c r="B1218" s="5" t="s">
        <v>2434</v>
      </c>
      <c r="C1218" s="6"/>
    </row>
    <row r="1219" spans="1:3">
      <c r="A1219" s="4" t="s">
        <v>2435</v>
      </c>
      <c r="B1219" s="5" t="s">
        <v>2436</v>
      </c>
      <c r="C1219" s="6"/>
    </row>
    <row r="1220" spans="1:3">
      <c r="A1220" s="4" t="s">
        <v>2437</v>
      </c>
      <c r="B1220" s="5" t="s">
        <v>2438</v>
      </c>
      <c r="C1220" s="6"/>
    </row>
    <row r="1221" spans="1:3">
      <c r="A1221" s="4" t="s">
        <v>2439</v>
      </c>
      <c r="B1221" s="5" t="s">
        <v>2440</v>
      </c>
      <c r="C1221" s="6"/>
    </row>
    <row r="1222" spans="1:3">
      <c r="A1222" s="4" t="s">
        <v>2441</v>
      </c>
      <c r="B1222" s="5" t="s">
        <v>2442</v>
      </c>
      <c r="C1222" s="6"/>
    </row>
    <row r="1223" spans="1:3">
      <c r="A1223" s="4" t="s">
        <v>2443</v>
      </c>
      <c r="B1223" s="5" t="s">
        <v>2444</v>
      </c>
      <c r="C1223" s="6"/>
    </row>
    <row r="1224" spans="1:3">
      <c r="A1224" s="4" t="s">
        <v>2445</v>
      </c>
      <c r="B1224" s="5" t="s">
        <v>2446</v>
      </c>
      <c r="C1224" s="6"/>
    </row>
    <row r="1225" spans="1:3">
      <c r="A1225" s="4" t="s">
        <v>2447</v>
      </c>
      <c r="B1225" s="5" t="s">
        <v>2448</v>
      </c>
      <c r="C1225" s="6"/>
    </row>
    <row r="1226" spans="1:3">
      <c r="A1226" s="4" t="s">
        <v>2449</v>
      </c>
      <c r="B1226" s="5" t="s">
        <v>2450</v>
      </c>
      <c r="C1226" s="6"/>
    </row>
    <row r="1227" spans="1:3">
      <c r="A1227" s="4" t="s">
        <v>2451</v>
      </c>
      <c r="B1227" s="5" t="s">
        <v>2452</v>
      </c>
      <c r="C1227" s="6"/>
    </row>
    <row r="1228" spans="1:3">
      <c r="A1228" s="4" t="s">
        <v>2453</v>
      </c>
      <c r="B1228" s="5" t="s">
        <v>2454</v>
      </c>
      <c r="C1228" s="6"/>
    </row>
    <row r="1229" spans="1:3">
      <c r="A1229" s="4" t="s">
        <v>2455</v>
      </c>
      <c r="B1229" s="5" t="s">
        <v>2456</v>
      </c>
      <c r="C1229" s="6"/>
    </row>
    <row r="1230" spans="1:3">
      <c r="A1230" s="4" t="s">
        <v>2457</v>
      </c>
      <c r="B1230" s="5" t="s">
        <v>2458</v>
      </c>
      <c r="C1230" s="6"/>
    </row>
    <row r="1231" spans="1:3">
      <c r="A1231" s="4" t="s">
        <v>2459</v>
      </c>
      <c r="B1231" s="5" t="s">
        <v>2460</v>
      </c>
      <c r="C1231" s="6"/>
    </row>
    <row r="1232" spans="1:3">
      <c r="A1232" s="4" t="s">
        <v>2461</v>
      </c>
      <c r="B1232" s="5" t="s">
        <v>2462</v>
      </c>
      <c r="C1232" s="6"/>
    </row>
    <row r="1233" spans="1:3">
      <c r="A1233" s="4" t="s">
        <v>2463</v>
      </c>
      <c r="B1233" s="5" t="s">
        <v>2464</v>
      </c>
      <c r="C1233" s="6"/>
    </row>
    <row r="1234" spans="1:3">
      <c r="A1234" s="4" t="s">
        <v>2465</v>
      </c>
      <c r="B1234" s="5" t="s">
        <v>2466</v>
      </c>
      <c r="C1234" s="6"/>
    </row>
    <row r="1235" spans="1:3">
      <c r="A1235" s="4" t="s">
        <v>2467</v>
      </c>
      <c r="B1235" s="5" t="s">
        <v>2468</v>
      </c>
      <c r="C1235" s="6"/>
    </row>
    <row r="1236" spans="1:3">
      <c r="A1236" s="4" t="s">
        <v>2469</v>
      </c>
      <c r="B1236" s="5" t="s">
        <v>2470</v>
      </c>
      <c r="C1236" s="6"/>
    </row>
    <row r="1237" spans="1:3">
      <c r="A1237" s="4" t="s">
        <v>2471</v>
      </c>
      <c r="B1237" s="5" t="s">
        <v>2472</v>
      </c>
      <c r="C1237" s="6"/>
    </row>
    <row r="1238" spans="1:3">
      <c r="A1238" s="4" t="s">
        <v>2473</v>
      </c>
      <c r="B1238" s="5" t="s">
        <v>2474</v>
      </c>
      <c r="C1238" s="6"/>
    </row>
    <row r="1239" spans="1:3">
      <c r="A1239" s="4" t="s">
        <v>2475</v>
      </c>
      <c r="B1239" s="5" t="s">
        <v>2476</v>
      </c>
      <c r="C1239" s="6"/>
    </row>
    <row r="1240" spans="1:3">
      <c r="A1240" s="4" t="s">
        <v>2477</v>
      </c>
      <c r="B1240" s="5" t="s">
        <v>2478</v>
      </c>
      <c r="C1240" s="6"/>
    </row>
    <row r="1241" spans="1:3">
      <c r="A1241" s="4" t="s">
        <v>2479</v>
      </c>
      <c r="B1241" s="5" t="s">
        <v>118</v>
      </c>
      <c r="C1241" s="6"/>
    </row>
    <row r="1242" spans="1:3">
      <c r="A1242" s="4" t="s">
        <v>2480</v>
      </c>
      <c r="B1242" s="5" t="s">
        <v>126</v>
      </c>
      <c r="C1242" s="6"/>
    </row>
    <row r="1243" spans="1:3">
      <c r="A1243" s="4" t="s">
        <v>2481</v>
      </c>
      <c r="B1243" s="5" t="s">
        <v>142</v>
      </c>
      <c r="C1243" s="6"/>
    </row>
    <row r="1244" spans="1:3">
      <c r="A1244" s="4" t="s">
        <v>2482</v>
      </c>
      <c r="B1244" s="5" t="s">
        <v>144</v>
      </c>
      <c r="C1244" s="6"/>
    </row>
    <row r="1245" spans="1:3">
      <c r="A1245" s="4" t="s">
        <v>2483</v>
      </c>
      <c r="B1245" s="5" t="s">
        <v>146</v>
      </c>
      <c r="C1245" s="6"/>
    </row>
    <row r="1246" spans="1:3">
      <c r="A1246" s="4" t="s">
        <v>2484</v>
      </c>
      <c r="B1246" s="5" t="s">
        <v>2485</v>
      </c>
      <c r="C1246" s="6" t="s">
        <v>31</v>
      </c>
    </row>
    <row r="1247" spans="1:3">
      <c r="A1247" s="4" t="s">
        <v>2486</v>
      </c>
      <c r="B1247" s="5" t="s">
        <v>2487</v>
      </c>
      <c r="C1247" s="6"/>
    </row>
    <row r="1248" spans="1:3">
      <c r="A1248" s="4" t="s">
        <v>2488</v>
      </c>
      <c r="B1248" s="5" t="s">
        <v>2489</v>
      </c>
      <c r="C1248" s="6"/>
    </row>
    <row r="1249" spans="1:3">
      <c r="A1249" s="4" t="s">
        <v>2490</v>
      </c>
      <c r="B1249" s="5" t="s">
        <v>2491</v>
      </c>
      <c r="C1249" s="6"/>
    </row>
    <row r="1250" spans="1:3">
      <c r="A1250" s="4" t="s">
        <v>2492</v>
      </c>
      <c r="B1250" s="5" t="s">
        <v>2493</v>
      </c>
      <c r="C1250" s="6"/>
    </row>
    <row r="1251" spans="1:3">
      <c r="A1251" s="4" t="s">
        <v>2494</v>
      </c>
      <c r="B1251" s="5" t="s">
        <v>2495</v>
      </c>
      <c r="C1251" s="6"/>
    </row>
    <row r="1252" spans="1:3">
      <c r="A1252" s="4" t="s">
        <v>2496</v>
      </c>
      <c r="B1252" s="5" t="s">
        <v>2497</v>
      </c>
      <c r="C1252" s="6"/>
    </row>
    <row r="1253" spans="1:3">
      <c r="A1253" s="4" t="s">
        <v>2498</v>
      </c>
      <c r="B1253" s="5" t="s">
        <v>2499</v>
      </c>
      <c r="C1253" s="6" t="s">
        <v>31</v>
      </c>
    </row>
    <row r="1254" spans="1:3">
      <c r="A1254" s="4" t="s">
        <v>2500</v>
      </c>
      <c r="B1254" s="5" t="s">
        <v>2501</v>
      </c>
      <c r="C1254" s="6"/>
    </row>
    <row r="1255" spans="1:3">
      <c r="A1255" s="4" t="s">
        <v>2502</v>
      </c>
      <c r="B1255" s="5" t="s">
        <v>2503</v>
      </c>
      <c r="C1255" s="6"/>
    </row>
    <row r="1256" spans="1:3">
      <c r="A1256" s="4" t="s">
        <v>2504</v>
      </c>
      <c r="B1256" s="5" t="s">
        <v>2505</v>
      </c>
      <c r="C1256" s="6"/>
    </row>
    <row r="1257" spans="1:3">
      <c r="A1257" s="4" t="s">
        <v>2506</v>
      </c>
      <c r="B1257" s="5" t="s">
        <v>2507</v>
      </c>
      <c r="C1257" s="6"/>
    </row>
    <row r="1258" spans="1:3">
      <c r="A1258" s="4" t="s">
        <v>2508</v>
      </c>
      <c r="B1258" s="5" t="s">
        <v>2509</v>
      </c>
      <c r="C1258" s="6"/>
    </row>
    <row r="1259" spans="1:3">
      <c r="A1259" s="4" t="s">
        <v>2510</v>
      </c>
      <c r="B1259" s="5" t="s">
        <v>2511</v>
      </c>
      <c r="C1259" s="6"/>
    </row>
    <row r="1260" spans="1:3">
      <c r="A1260" s="4" t="s">
        <v>2512</v>
      </c>
      <c r="B1260" s="5" t="s">
        <v>2513</v>
      </c>
      <c r="C1260" s="6"/>
    </row>
    <row r="1261" spans="1:3">
      <c r="A1261" s="4" t="s">
        <v>2514</v>
      </c>
      <c r="B1261" s="5" t="s">
        <v>2515</v>
      </c>
      <c r="C1261" s="6"/>
    </row>
    <row r="1262" spans="1:3">
      <c r="A1262" s="4" t="s">
        <v>2516</v>
      </c>
      <c r="B1262" s="5" t="s">
        <v>2517</v>
      </c>
      <c r="C1262" s="6"/>
    </row>
    <row r="1263" spans="1:3">
      <c r="A1263" s="4" t="s">
        <v>2518</v>
      </c>
      <c r="B1263" s="5" t="s">
        <v>2519</v>
      </c>
      <c r="C1263" s="6"/>
    </row>
    <row r="1264" spans="1:3">
      <c r="A1264" s="4" t="s">
        <v>2520</v>
      </c>
      <c r="B1264" s="5" t="s">
        <v>2521</v>
      </c>
      <c r="C1264" s="6"/>
    </row>
    <row r="1265" spans="1:3">
      <c r="A1265" s="4" t="s">
        <v>2522</v>
      </c>
      <c r="B1265" s="5" t="s">
        <v>2523</v>
      </c>
      <c r="C1265" s="6"/>
    </row>
    <row r="1266" spans="1:3">
      <c r="A1266" s="4" t="s">
        <v>2524</v>
      </c>
      <c r="B1266" s="5" t="s">
        <v>2525</v>
      </c>
      <c r="C1266" s="6"/>
    </row>
    <row r="1267" spans="1:3">
      <c r="A1267" s="4" t="s">
        <v>2526</v>
      </c>
      <c r="B1267" s="5" t="s">
        <v>2527</v>
      </c>
      <c r="C1267" s="6"/>
    </row>
    <row r="1268" spans="1:3">
      <c r="A1268" s="4" t="s">
        <v>2528</v>
      </c>
      <c r="B1268" s="5" t="s">
        <v>2085</v>
      </c>
      <c r="C1268" s="6"/>
    </row>
    <row r="1269" spans="1:3">
      <c r="A1269" s="4" t="s">
        <v>2529</v>
      </c>
      <c r="B1269" s="5" t="s">
        <v>2530</v>
      </c>
      <c r="C1269" s="6"/>
    </row>
    <row r="1270" spans="1:3">
      <c r="A1270" s="4" t="s">
        <v>2531</v>
      </c>
      <c r="B1270" s="5" t="s">
        <v>2532</v>
      </c>
      <c r="C1270" s="6"/>
    </row>
    <row r="1271" spans="1:3">
      <c r="A1271" s="4" t="s">
        <v>2533</v>
      </c>
      <c r="B1271" s="5" t="s">
        <v>2534</v>
      </c>
      <c r="C1271" s="6"/>
    </row>
    <row r="1272" spans="1:3">
      <c r="A1272" s="4" t="s">
        <v>2535</v>
      </c>
      <c r="B1272" s="5" t="s">
        <v>2536</v>
      </c>
      <c r="C1272" s="6"/>
    </row>
    <row r="1273" spans="1:3">
      <c r="A1273" s="4" t="s">
        <v>2537</v>
      </c>
      <c r="B1273" s="5" t="s">
        <v>2538</v>
      </c>
      <c r="C1273" s="6"/>
    </row>
    <row r="1274" spans="1:3">
      <c r="A1274" s="4" t="s">
        <v>2539</v>
      </c>
      <c r="B1274" s="5" t="s">
        <v>2540</v>
      </c>
      <c r="C1274" s="6"/>
    </row>
    <row r="1275" spans="1:3">
      <c r="A1275" s="4" t="s">
        <v>2541</v>
      </c>
      <c r="B1275" s="5" t="s">
        <v>2542</v>
      </c>
      <c r="C1275" s="6"/>
    </row>
    <row r="1276" spans="1:3">
      <c r="A1276" s="4" t="s">
        <v>2543</v>
      </c>
      <c r="B1276" s="5" t="s">
        <v>2544</v>
      </c>
      <c r="C1276" s="6"/>
    </row>
    <row r="1277" spans="1:3">
      <c r="A1277" s="4" t="s">
        <v>2545</v>
      </c>
      <c r="B1277" s="5" t="s">
        <v>2546</v>
      </c>
      <c r="C1277" s="6"/>
    </row>
    <row r="1278" spans="1:3">
      <c r="A1278" s="4" t="s">
        <v>2547</v>
      </c>
      <c r="B1278" s="5" t="s">
        <v>2548</v>
      </c>
      <c r="C1278" s="6" t="s">
        <v>338</v>
      </c>
    </row>
    <row r="1279" spans="1:3">
      <c r="A1279" s="7" t="s">
        <v>2549</v>
      </c>
      <c r="B1279" s="5" t="s">
        <v>2171</v>
      </c>
      <c r="C1279" s="6" t="s">
        <v>44</v>
      </c>
    </row>
    <row r="1280" spans="1:3">
      <c r="A1280" s="4" t="s">
        <v>2550</v>
      </c>
      <c r="B1280" s="5" t="s">
        <v>2551</v>
      </c>
      <c r="C1280" s="6"/>
    </row>
    <row r="1281" spans="1:3">
      <c r="A1281" s="4" t="s">
        <v>2552</v>
      </c>
      <c r="B1281" s="5" t="s">
        <v>2553</v>
      </c>
      <c r="C1281" s="6"/>
    </row>
    <row r="1282" spans="1:3">
      <c r="A1282" s="4" t="s">
        <v>2554</v>
      </c>
      <c r="B1282" s="5" t="s">
        <v>2555</v>
      </c>
      <c r="C1282" s="6"/>
    </row>
    <row r="1283" spans="1:3">
      <c r="A1283" s="4" t="s">
        <v>2556</v>
      </c>
      <c r="B1283" s="5" t="s">
        <v>2557</v>
      </c>
      <c r="C1283" s="6"/>
    </row>
    <row r="1284" spans="1:3">
      <c r="A1284" s="4" t="s">
        <v>2558</v>
      </c>
      <c r="B1284" s="5" t="s">
        <v>2559</v>
      </c>
      <c r="C1284" s="6"/>
    </row>
    <row r="1285" spans="1:3">
      <c r="A1285" s="4" t="s">
        <v>2560</v>
      </c>
      <c r="B1285" s="5" t="s">
        <v>2561</v>
      </c>
      <c r="C1285" s="6"/>
    </row>
    <row r="1286" spans="1:3">
      <c r="A1286" s="4" t="s">
        <v>2562</v>
      </c>
      <c r="B1286" s="5" t="s">
        <v>2563</v>
      </c>
      <c r="C1286" s="6" t="s">
        <v>31</v>
      </c>
    </row>
    <row r="1287" spans="1:3">
      <c r="A1287" s="4" t="s">
        <v>2564</v>
      </c>
      <c r="B1287" s="5" t="s">
        <v>2565</v>
      </c>
      <c r="C1287" s="6"/>
    </row>
    <row r="1288" spans="1:3">
      <c r="A1288" s="4" t="s">
        <v>2566</v>
      </c>
      <c r="B1288" s="5" t="s">
        <v>2567</v>
      </c>
      <c r="C1288" s="6"/>
    </row>
    <row r="1289" spans="1:3">
      <c r="A1289" s="4" t="s">
        <v>2568</v>
      </c>
      <c r="B1289" s="5" t="s">
        <v>2569</v>
      </c>
      <c r="C1289" s="6"/>
    </row>
    <row r="1290" spans="1:3">
      <c r="A1290" s="4" t="s">
        <v>2570</v>
      </c>
      <c r="B1290" s="5" t="s">
        <v>2571</v>
      </c>
      <c r="C1290" s="6"/>
    </row>
    <row r="1291" spans="1:3">
      <c r="A1291" s="4" t="s">
        <v>2572</v>
      </c>
      <c r="B1291" s="5" t="s">
        <v>2573</v>
      </c>
      <c r="C1291" s="6"/>
    </row>
    <row r="1292" spans="1:3">
      <c r="A1292" s="4" t="s">
        <v>2574</v>
      </c>
      <c r="B1292" s="5" t="s">
        <v>2575</v>
      </c>
      <c r="C1292" s="6"/>
    </row>
    <row r="1293" spans="1:3">
      <c r="A1293" s="4" t="s">
        <v>2576</v>
      </c>
      <c r="B1293" s="5" t="s">
        <v>2577</v>
      </c>
      <c r="C1293" s="6"/>
    </row>
    <row r="1294" spans="1:3">
      <c r="A1294" s="4" t="s">
        <v>2578</v>
      </c>
      <c r="B1294" s="5" t="s">
        <v>2579</v>
      </c>
      <c r="C1294" s="6"/>
    </row>
    <row r="1295" spans="1:3">
      <c r="A1295" s="4" t="s">
        <v>2580</v>
      </c>
      <c r="B1295" s="5" t="s">
        <v>2581</v>
      </c>
      <c r="C1295" s="6"/>
    </row>
    <row r="1296" spans="1:3">
      <c r="A1296" s="4" t="s">
        <v>2582</v>
      </c>
      <c r="B1296" s="5" t="s">
        <v>2583</v>
      </c>
      <c r="C1296" s="6"/>
    </row>
    <row r="1297" spans="1:3">
      <c r="A1297" s="4" t="s">
        <v>2584</v>
      </c>
      <c r="B1297" s="5" t="s">
        <v>2585</v>
      </c>
      <c r="C1297" s="6"/>
    </row>
    <row r="1298" spans="1:3">
      <c r="A1298" s="4" t="s">
        <v>2586</v>
      </c>
      <c r="B1298" s="5" t="s">
        <v>2587</v>
      </c>
      <c r="C1298" s="6"/>
    </row>
    <row r="1299" spans="1:3">
      <c r="A1299" s="4" t="s">
        <v>2588</v>
      </c>
      <c r="B1299" s="5" t="s">
        <v>2589</v>
      </c>
      <c r="C1299" s="6"/>
    </row>
    <row r="1300" spans="1:3">
      <c r="A1300" s="4" t="s">
        <v>2590</v>
      </c>
      <c r="B1300" s="5" t="s">
        <v>2591</v>
      </c>
      <c r="C1300" s="6"/>
    </row>
    <row r="1301" spans="1:3">
      <c r="A1301" s="4" t="s">
        <v>2592</v>
      </c>
      <c r="B1301" s="5" t="s">
        <v>2593</v>
      </c>
      <c r="C1301" s="6"/>
    </row>
    <row r="1302" spans="1:3">
      <c r="A1302" s="4" t="s">
        <v>2594</v>
      </c>
      <c r="B1302" s="5" t="s">
        <v>2595</v>
      </c>
      <c r="C1302" s="6"/>
    </row>
    <row r="1303" spans="1:3">
      <c r="A1303" s="4" t="s">
        <v>2596</v>
      </c>
      <c r="B1303" s="5" t="s">
        <v>2597</v>
      </c>
      <c r="C1303" s="6"/>
    </row>
    <row r="1304" spans="1:3">
      <c r="A1304" s="4" t="s">
        <v>2598</v>
      </c>
      <c r="B1304" s="5" t="s">
        <v>2599</v>
      </c>
      <c r="C1304" s="6"/>
    </row>
    <row r="1305" spans="1:3">
      <c r="A1305" s="4" t="s">
        <v>2600</v>
      </c>
      <c r="B1305" s="5" t="s">
        <v>2601</v>
      </c>
      <c r="C1305" s="6"/>
    </row>
    <row r="1306" spans="1:3">
      <c r="A1306" s="4" t="s">
        <v>2602</v>
      </c>
      <c r="B1306" s="5" t="s">
        <v>2603</v>
      </c>
      <c r="C1306" s="6"/>
    </row>
    <row r="1307" spans="1:3">
      <c r="A1307" s="4" t="s">
        <v>2604</v>
      </c>
      <c r="B1307" s="5" t="s">
        <v>2605</v>
      </c>
      <c r="C1307" s="6"/>
    </row>
    <row r="1308" spans="1:3">
      <c r="A1308" s="4" t="s">
        <v>2606</v>
      </c>
      <c r="B1308" s="5" t="s">
        <v>2607</v>
      </c>
      <c r="C1308" s="6"/>
    </row>
    <row r="1309" spans="1:3">
      <c r="A1309" s="4" t="s">
        <v>2608</v>
      </c>
      <c r="B1309" s="5" t="s">
        <v>2609</v>
      </c>
      <c r="C1309" s="6"/>
    </row>
    <row r="1310" spans="1:3">
      <c r="A1310" s="4" t="s">
        <v>2610</v>
      </c>
      <c r="B1310" s="5" t="s">
        <v>2611</v>
      </c>
      <c r="C1310" s="6"/>
    </row>
    <row r="1311" spans="1:3">
      <c r="A1311" s="4" t="s">
        <v>2612</v>
      </c>
      <c r="B1311" s="5" t="s">
        <v>2613</v>
      </c>
      <c r="C1311" s="6"/>
    </row>
    <row r="1312" spans="1:3">
      <c r="A1312" s="4" t="s">
        <v>2614</v>
      </c>
      <c r="B1312" s="5" t="s">
        <v>2615</v>
      </c>
      <c r="C1312" s="6"/>
    </row>
    <row r="1313" spans="1:3">
      <c r="A1313" s="4" t="s">
        <v>2616</v>
      </c>
      <c r="B1313" s="5" t="s">
        <v>2617</v>
      </c>
      <c r="C1313" s="6"/>
    </row>
    <row r="1314" spans="1:3">
      <c r="A1314" s="4" t="s">
        <v>2618</v>
      </c>
      <c r="B1314" s="5" t="s">
        <v>2619</v>
      </c>
      <c r="C1314" s="6"/>
    </row>
    <row r="1315" spans="1:3">
      <c r="A1315" s="4" t="s">
        <v>2620</v>
      </c>
      <c r="B1315" s="5" t="s">
        <v>2621</v>
      </c>
      <c r="C1315" s="6"/>
    </row>
    <row r="1316" spans="1:3">
      <c r="A1316" s="4" t="s">
        <v>2622</v>
      </c>
      <c r="B1316" s="5" t="s">
        <v>2623</v>
      </c>
      <c r="C1316" s="6"/>
    </row>
    <row r="1317" spans="1:3">
      <c r="A1317" s="4" t="s">
        <v>2624</v>
      </c>
      <c r="B1317" s="5" t="s">
        <v>2625</v>
      </c>
      <c r="C1317" s="6"/>
    </row>
    <row r="1318" spans="1:3">
      <c r="A1318" s="4" t="s">
        <v>2626</v>
      </c>
      <c r="B1318" s="5" t="s">
        <v>2627</v>
      </c>
      <c r="C1318" s="6"/>
    </row>
    <row r="1319" spans="1:3">
      <c r="A1319" s="4" t="s">
        <v>2628</v>
      </c>
      <c r="B1319" s="5" t="s">
        <v>2629</v>
      </c>
      <c r="C1319" s="6"/>
    </row>
    <row r="1320" spans="1:3">
      <c r="A1320" s="4" t="s">
        <v>2630</v>
      </c>
      <c r="B1320" s="5" t="s">
        <v>2631</v>
      </c>
      <c r="C1320" s="6"/>
    </row>
    <row r="1321" spans="1:3">
      <c r="A1321" s="4" t="s">
        <v>2632</v>
      </c>
      <c r="B1321" s="5" t="s">
        <v>2633</v>
      </c>
      <c r="C1321" s="6"/>
    </row>
    <row r="1322" spans="1:3">
      <c r="A1322" s="4" t="s">
        <v>2634</v>
      </c>
      <c r="B1322" s="5" t="s">
        <v>2635</v>
      </c>
      <c r="C1322" s="6"/>
    </row>
    <row r="1323" spans="1:3">
      <c r="A1323" s="4" t="s">
        <v>2636</v>
      </c>
      <c r="B1323" s="5" t="s">
        <v>2637</v>
      </c>
      <c r="C1323" s="6"/>
    </row>
    <row r="1324" spans="1:3">
      <c r="A1324" s="4" t="s">
        <v>2638</v>
      </c>
      <c r="B1324" s="5" t="s">
        <v>2639</v>
      </c>
      <c r="C1324" s="6"/>
    </row>
    <row r="1325" spans="1:3">
      <c r="A1325" s="4" t="s">
        <v>2640</v>
      </c>
      <c r="B1325" s="5" t="s">
        <v>2641</v>
      </c>
      <c r="C1325" s="6"/>
    </row>
    <row r="1326" spans="1:3">
      <c r="A1326" s="4" t="s">
        <v>2642</v>
      </c>
      <c r="B1326" s="5" t="s">
        <v>2643</v>
      </c>
      <c r="C1326" s="6"/>
    </row>
    <row r="1327" spans="1:3">
      <c r="A1327" s="4" t="s">
        <v>2644</v>
      </c>
      <c r="B1327" s="5" t="s">
        <v>2645</v>
      </c>
      <c r="C1327" s="6"/>
    </row>
    <row r="1328" spans="1:3">
      <c r="A1328" s="4" t="s">
        <v>2646</v>
      </c>
      <c r="B1328" s="5" t="s">
        <v>2647</v>
      </c>
      <c r="C1328" s="6"/>
    </row>
    <row r="1329" spans="1:3">
      <c r="A1329" s="4" t="s">
        <v>2648</v>
      </c>
      <c r="B1329" s="5" t="s">
        <v>2649</v>
      </c>
      <c r="C1329" s="6"/>
    </row>
    <row r="1330" spans="1:3">
      <c r="A1330" s="4" t="s">
        <v>2650</v>
      </c>
      <c r="B1330" s="5" t="s">
        <v>2651</v>
      </c>
      <c r="C1330" s="6"/>
    </row>
    <row r="1331" spans="1:3">
      <c r="A1331" s="4" t="s">
        <v>2652</v>
      </c>
      <c r="B1331" s="5" t="s">
        <v>2653</v>
      </c>
      <c r="C1331" s="6"/>
    </row>
    <row r="1332" spans="1:3">
      <c r="A1332" s="4" t="s">
        <v>2654</v>
      </c>
      <c r="B1332" s="5" t="s">
        <v>2655</v>
      </c>
      <c r="C1332" s="6"/>
    </row>
    <row r="1333" spans="1:3">
      <c r="A1333" s="4" t="s">
        <v>2656</v>
      </c>
      <c r="B1333" s="5" t="s">
        <v>2657</v>
      </c>
      <c r="C1333" s="6"/>
    </row>
    <row r="1334" spans="1:3">
      <c r="A1334" s="4" t="s">
        <v>2658</v>
      </c>
      <c r="B1334" s="5" t="s">
        <v>2659</v>
      </c>
      <c r="C1334" s="6"/>
    </row>
    <row r="1335" spans="1:3">
      <c r="A1335" s="4" t="s">
        <v>2660</v>
      </c>
      <c r="B1335" s="5" t="s">
        <v>2661</v>
      </c>
      <c r="C1335" s="6"/>
    </row>
    <row r="1336" spans="1:3">
      <c r="A1336" s="4" t="s">
        <v>2662</v>
      </c>
      <c r="B1336" s="5" t="s">
        <v>2663</v>
      </c>
      <c r="C1336" s="6"/>
    </row>
    <row r="1337" spans="1:3">
      <c r="A1337" s="4" t="s">
        <v>2664</v>
      </c>
      <c r="B1337" s="5" t="s">
        <v>2665</v>
      </c>
      <c r="C1337" s="6"/>
    </row>
    <row r="1338" spans="1:3">
      <c r="A1338" s="4" t="s">
        <v>2666</v>
      </c>
      <c r="B1338" s="5" t="s">
        <v>2667</v>
      </c>
      <c r="C1338" s="6"/>
    </row>
    <row r="1339" spans="1:3">
      <c r="A1339" s="4" t="s">
        <v>2668</v>
      </c>
      <c r="B1339" s="5" t="s">
        <v>2669</v>
      </c>
      <c r="C1339" s="6"/>
    </row>
    <row r="1340" spans="1:3">
      <c r="A1340" s="4" t="s">
        <v>2670</v>
      </c>
      <c r="B1340" s="5" t="s">
        <v>2671</v>
      </c>
      <c r="C1340" s="6"/>
    </row>
    <row r="1341" spans="1:3">
      <c r="A1341" s="4" t="s">
        <v>2672</v>
      </c>
      <c r="B1341" s="5" t="s">
        <v>2673</v>
      </c>
      <c r="C1341" s="6"/>
    </row>
    <row r="1342" spans="1:3">
      <c r="A1342" s="4" t="s">
        <v>2674</v>
      </c>
      <c r="B1342" s="5" t="s">
        <v>2675</v>
      </c>
      <c r="C1342" s="6"/>
    </row>
    <row r="1343" spans="1:3">
      <c r="A1343" s="4" t="s">
        <v>2676</v>
      </c>
      <c r="B1343" s="5" t="s">
        <v>2677</v>
      </c>
      <c r="C1343" s="6"/>
    </row>
    <row r="1344" spans="1:3">
      <c r="A1344" s="4" t="s">
        <v>2678</v>
      </c>
      <c r="B1344" s="5" t="s">
        <v>2679</v>
      </c>
      <c r="C1344" s="6"/>
    </row>
    <row r="1345" spans="1:3">
      <c r="A1345" s="4" t="s">
        <v>2680</v>
      </c>
      <c r="B1345" s="5" t="s">
        <v>2681</v>
      </c>
      <c r="C1345" s="6"/>
    </row>
    <row r="1346" spans="1:3">
      <c r="A1346" s="4" t="s">
        <v>2682</v>
      </c>
      <c r="B1346" s="5" t="s">
        <v>2683</v>
      </c>
      <c r="C1346" s="6"/>
    </row>
    <row r="1347" spans="1:3">
      <c r="A1347" s="4" t="s">
        <v>2684</v>
      </c>
      <c r="B1347" s="5" t="s">
        <v>2685</v>
      </c>
      <c r="C1347" s="6"/>
    </row>
    <row r="1348" spans="1:3">
      <c r="A1348" s="4" t="s">
        <v>2686</v>
      </c>
      <c r="B1348" s="5" t="s">
        <v>2687</v>
      </c>
      <c r="C1348" s="6"/>
    </row>
    <row r="1349" spans="1:3">
      <c r="A1349" s="4" t="s">
        <v>2688</v>
      </c>
      <c r="B1349" s="5" t="s">
        <v>2689</v>
      </c>
      <c r="C1349" s="6"/>
    </row>
    <row r="1350" spans="1:3">
      <c r="A1350" s="4" t="s">
        <v>2690</v>
      </c>
      <c r="B1350" s="5" t="s">
        <v>2691</v>
      </c>
      <c r="C1350" s="6"/>
    </row>
    <row r="1351" spans="1:3">
      <c r="A1351" s="4" t="s">
        <v>2692</v>
      </c>
      <c r="B1351" s="5" t="s">
        <v>2693</v>
      </c>
      <c r="C1351" s="6"/>
    </row>
    <row r="1352" spans="1:3">
      <c r="A1352" s="4" t="s">
        <v>2694</v>
      </c>
      <c r="B1352" s="5" t="s">
        <v>2695</v>
      </c>
      <c r="C1352" s="6"/>
    </row>
    <row r="1353" spans="1:3">
      <c r="A1353" s="4" t="s">
        <v>2696</v>
      </c>
      <c r="B1353" s="5" t="s">
        <v>2697</v>
      </c>
      <c r="C1353" s="6"/>
    </row>
    <row r="1354" spans="1:3">
      <c r="A1354" s="4" t="s">
        <v>2698</v>
      </c>
      <c r="B1354" s="5" t="s">
        <v>2699</v>
      </c>
      <c r="C1354" s="6"/>
    </row>
    <row r="1355" spans="1:3">
      <c r="A1355" s="4" t="s">
        <v>2700</v>
      </c>
      <c r="B1355" s="5" t="s">
        <v>2701</v>
      </c>
      <c r="C1355" s="6"/>
    </row>
    <row r="1356" spans="1:3">
      <c r="A1356" s="4" t="s">
        <v>2702</v>
      </c>
      <c r="B1356" s="5" t="s">
        <v>2703</v>
      </c>
      <c r="C1356" s="6"/>
    </row>
    <row r="1357" spans="1:3">
      <c r="A1357" s="4" t="s">
        <v>2704</v>
      </c>
      <c r="B1357" s="5" t="s">
        <v>2705</v>
      </c>
      <c r="C1357" s="6"/>
    </row>
    <row r="1358" spans="1:3">
      <c r="A1358" s="4" t="s">
        <v>2706</v>
      </c>
      <c r="B1358" s="5" t="s">
        <v>2707</v>
      </c>
      <c r="C1358" s="6"/>
    </row>
    <row r="1359" spans="1:3">
      <c r="A1359" s="4" t="s">
        <v>2708</v>
      </c>
      <c r="B1359" s="5" t="s">
        <v>2709</v>
      </c>
      <c r="C1359" s="6"/>
    </row>
    <row r="1360" spans="1:3">
      <c r="A1360" s="4" t="s">
        <v>2710</v>
      </c>
      <c r="B1360" s="5" t="s">
        <v>2711</v>
      </c>
      <c r="C1360" s="6"/>
    </row>
    <row r="1361" spans="1:3">
      <c r="A1361" s="4" t="s">
        <v>2712</v>
      </c>
      <c r="B1361" s="5" t="s">
        <v>2713</v>
      </c>
      <c r="C1361" s="6"/>
    </row>
    <row r="1362" spans="1:3">
      <c r="A1362" s="4" t="s">
        <v>2714</v>
      </c>
      <c r="B1362" s="5" t="s">
        <v>2711</v>
      </c>
      <c r="C1362" s="6"/>
    </row>
    <row r="1363" spans="1:3">
      <c r="A1363" s="4" t="s">
        <v>2715</v>
      </c>
      <c r="B1363" s="5" t="s">
        <v>2716</v>
      </c>
      <c r="C1363" s="6"/>
    </row>
    <row r="1364" spans="1:3">
      <c r="A1364" s="4" t="s">
        <v>2717</v>
      </c>
      <c r="B1364" s="5" t="s">
        <v>2718</v>
      </c>
      <c r="C1364" s="6"/>
    </row>
    <row r="1365" spans="1:3">
      <c r="A1365" s="4" t="s">
        <v>2719</v>
      </c>
      <c r="B1365" s="5" t="s">
        <v>2720</v>
      </c>
      <c r="C1365" s="6"/>
    </row>
    <row r="1366" spans="1:3">
      <c r="A1366" s="4" t="s">
        <v>2721</v>
      </c>
      <c r="B1366" s="5" t="s">
        <v>2722</v>
      </c>
      <c r="C1366" s="6"/>
    </row>
    <row r="1367" spans="1:3">
      <c r="A1367" s="4" t="s">
        <v>2723</v>
      </c>
      <c r="B1367" s="5" t="s">
        <v>2724</v>
      </c>
      <c r="C1367" s="6"/>
    </row>
    <row r="1368" spans="1:3">
      <c r="A1368" s="4" t="s">
        <v>2725</v>
      </c>
      <c r="B1368" s="5" t="s">
        <v>2726</v>
      </c>
      <c r="C1368" s="6"/>
    </row>
    <row r="1369" spans="1:3">
      <c r="A1369" s="4" t="s">
        <v>2727</v>
      </c>
      <c r="B1369" s="5" t="s">
        <v>2728</v>
      </c>
      <c r="C1369" s="6"/>
    </row>
    <row r="1370" spans="1:3">
      <c r="A1370" s="4" t="s">
        <v>2729</v>
      </c>
      <c r="B1370" s="5" t="s">
        <v>2730</v>
      </c>
      <c r="C1370" s="6"/>
    </row>
    <row r="1371" spans="1:3">
      <c r="A1371" s="4" t="s">
        <v>2731</v>
      </c>
      <c r="B1371" s="5" t="s">
        <v>2732</v>
      </c>
      <c r="C1371" s="6"/>
    </row>
    <row r="1372" spans="1:3">
      <c r="A1372" s="4" t="s">
        <v>2733</v>
      </c>
      <c r="B1372" s="5" t="s">
        <v>2734</v>
      </c>
      <c r="C1372" s="6"/>
    </row>
    <row r="1373" spans="1:3">
      <c r="A1373" s="4" t="s">
        <v>2735</v>
      </c>
      <c r="B1373" s="5" t="s">
        <v>2736</v>
      </c>
      <c r="C1373" s="6"/>
    </row>
    <row r="1374" spans="1:3">
      <c r="A1374" s="4" t="s">
        <v>2737</v>
      </c>
      <c r="B1374" s="5" t="s">
        <v>2738</v>
      </c>
      <c r="C1374" s="6"/>
    </row>
    <row r="1375" spans="1:3">
      <c r="A1375" s="4" t="s">
        <v>2739</v>
      </c>
      <c r="B1375" s="5" t="s">
        <v>2740</v>
      </c>
      <c r="C1375" s="6"/>
    </row>
    <row r="1376" spans="1:3">
      <c r="A1376" s="4" t="s">
        <v>2741</v>
      </c>
      <c r="B1376" s="5" t="s">
        <v>2742</v>
      </c>
      <c r="C1376" s="6"/>
    </row>
    <row r="1377" spans="1:3">
      <c r="A1377" s="4" t="s">
        <v>2743</v>
      </c>
      <c r="B1377" s="5" t="s">
        <v>2744</v>
      </c>
      <c r="C1377" s="6"/>
    </row>
    <row r="1378" spans="1:3">
      <c r="A1378" s="4" t="s">
        <v>2745</v>
      </c>
      <c r="B1378" s="5" t="s">
        <v>2746</v>
      </c>
      <c r="C1378" s="6"/>
    </row>
    <row r="1379" spans="1:3">
      <c r="A1379" s="4" t="s">
        <v>2747</v>
      </c>
      <c r="B1379" s="5" t="s">
        <v>2748</v>
      </c>
      <c r="C1379" s="6"/>
    </row>
  </sheetData>
  <sortState ref="H4:I40">
    <sortCondition ref="H4:H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Summary by Co</vt:lpstr>
      <vt:lpstr>Outages by Unit</vt:lpstr>
      <vt:lpstr>Actuals 2009 - 2013</vt:lpstr>
      <vt:lpstr>2014FC-8and4</vt:lpstr>
      <vt:lpstr>KU-LGE Rating</vt:lpstr>
      <vt:lpstr>Orgs</vt:lpstr>
      <vt:lpstr>'KU-LGE Rating'!Print_Area</vt:lpstr>
      <vt:lpstr>'Outages by Unit'!Print_Area</vt:lpstr>
      <vt:lpstr>'Summary by Co'!Print_Area</vt:lpstr>
      <vt:lpstr>Print_net</vt:lpstr>
      <vt:lpstr>'Outages by Unit'!Print_Titles</vt:lpstr>
      <vt:lpstr>'2014FC-8and4'!Rate_Case</vt:lpstr>
      <vt:lpstr>'Actuals 2009 - 2013'!Rate_Case_1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Welsh, Elaine</dc:creator>
  <cp:lastModifiedBy>Unknown</cp:lastModifiedBy>
  <cp:lastPrinted>2014-09-18T19:19:05Z</cp:lastPrinted>
  <dcterms:created xsi:type="dcterms:W3CDTF">2014-02-04T16:00:39Z</dcterms:created>
  <dcterms:modified xsi:type="dcterms:W3CDTF">2014-09-18T19:19:28Z</dcterms:modified>
</cp:coreProperties>
</file>