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5195" windowHeight="7815" tabRatio="601" activeTab="3"/>
  </bookViews>
  <sheets>
    <sheet name="Ranking" sheetId="6" r:id="rId1"/>
    <sheet name="E.ON U.S." sheetId="1" state="hidden" r:id="rId2"/>
    <sheet name="LG&amp;E and KU" sheetId="5" r:id="rId3"/>
    <sheet name="PPL Electric Utilities" sheetId="2" r:id="rId4"/>
    <sheet name="PSEG" sheetId="3" r:id="rId5"/>
    <sheet name="First Energy" sheetId="4" r:id="rId6"/>
    <sheet name="Duke" sheetId="7" r:id="rId7"/>
    <sheet name="Exelon" sheetId="8" r:id="rId8"/>
    <sheet name="DTE" sheetId="9" r:id="rId9"/>
    <sheet name="AEP" sheetId="10" r:id="rId10"/>
    <sheet name="Allegheny" sheetId="11" state="hidden" r:id="rId11"/>
    <sheet name="Ameren" sheetId="12" r:id="rId12"/>
    <sheet name="Dayton P&amp;L" sheetId="13" r:id="rId13"/>
    <sheet name="Nisource" sheetId="14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9">AEP!$A$1:$AJ$18</definedName>
    <definedName name="_xlnm.Print_Area" localSheetId="10">Allegheny!$A$1:$F$18</definedName>
    <definedName name="_xlnm.Print_Area" localSheetId="11">Ameren!$A$1:$AE$18</definedName>
    <definedName name="_xlnm.Print_Area" localSheetId="12">'Dayton P&amp;L'!$A$1:$F$18</definedName>
    <definedName name="_xlnm.Print_Area" localSheetId="8">DTE!$A$1:$F$18</definedName>
    <definedName name="_xlnm.Print_Area" localSheetId="6">Duke!$A$1:$K$18</definedName>
    <definedName name="_xlnm.Print_Area" localSheetId="1">'E.ON U.S.'!$A$1:$J$19</definedName>
    <definedName name="_xlnm.Print_Area" localSheetId="7">Exelon!$A$1:$K$18</definedName>
    <definedName name="_xlnm.Print_Area" localSheetId="5">'First Energy'!$A$1:$Z$18</definedName>
    <definedName name="_xlnm.Print_Area" localSheetId="2">'LG&amp;E and KU'!$A$1:$K$22</definedName>
    <definedName name="_xlnm.Print_Area" localSheetId="13">Nisource!$A$1:$F$18</definedName>
    <definedName name="_xlnm.Print_Area" localSheetId="3">'PPL Electric Utilities'!$A$1:$F$18</definedName>
    <definedName name="_xlnm.Print_Area" localSheetId="4">PSEG!$A$1:$F$18</definedName>
    <definedName name="_xlnm.Print_Area" localSheetId="0">Ranking!$A$1:$D$40</definedName>
  </definedNames>
  <calcPr calcId="145621"/>
</workbook>
</file>

<file path=xl/calcChain.xml><?xml version="1.0" encoding="utf-8"?>
<calcChain xmlns="http://schemas.openxmlformats.org/spreadsheetml/2006/main">
  <c r="D6" i="7" l="1"/>
  <c r="AA11" i="10"/>
  <c r="AA16" i="10"/>
  <c r="L11" i="10"/>
  <c r="L16" i="10"/>
  <c r="D6" i="10"/>
  <c r="E6" i="10"/>
  <c r="F6" i="10"/>
  <c r="G6" i="8"/>
  <c r="B14" i="8"/>
  <c r="B6" i="8"/>
  <c r="B14" i="7"/>
  <c r="B16" i="7"/>
  <c r="B11" i="3"/>
  <c r="E14" i="14"/>
  <c r="E13" i="14"/>
  <c r="E12" i="14"/>
  <c r="E11" i="14"/>
  <c r="D6" i="14"/>
  <c r="E14" i="13"/>
  <c r="E13" i="13"/>
  <c r="E16" i="13"/>
  <c r="F16" i="13"/>
  <c r="E12" i="13"/>
  <c r="E11" i="13"/>
  <c r="D6" i="13"/>
  <c r="J14" i="12"/>
  <c r="J13" i="12"/>
  <c r="J12" i="12"/>
  <c r="J11" i="12"/>
  <c r="J16" i="12"/>
  <c r="K16" i="12"/>
  <c r="E14" i="12"/>
  <c r="E13" i="12"/>
  <c r="E12" i="12"/>
  <c r="E11" i="12"/>
  <c r="I6" i="12"/>
  <c r="D6" i="12"/>
  <c r="AI14" i="10"/>
  <c r="AI13" i="10"/>
  <c r="AI12" i="10"/>
  <c r="AI11" i="10"/>
  <c r="AD14" i="10"/>
  <c r="AD13" i="10"/>
  <c r="AD12" i="10"/>
  <c r="AD11" i="10"/>
  <c r="Y14" i="10"/>
  <c r="Y13" i="10"/>
  <c r="Y12" i="10"/>
  <c r="Y11" i="10"/>
  <c r="Y16" i="10"/>
  <c r="Z16" i="10"/>
  <c r="O14" i="10"/>
  <c r="O13" i="10"/>
  <c r="O16" i="10"/>
  <c r="P16" i="10"/>
  <c r="O12" i="10"/>
  <c r="O11" i="10"/>
  <c r="J14" i="10"/>
  <c r="J13" i="10"/>
  <c r="J12" i="10"/>
  <c r="J11" i="10"/>
  <c r="E14" i="10"/>
  <c r="E13" i="10"/>
  <c r="E12" i="10"/>
  <c r="E11" i="10"/>
  <c r="AH6" i="10"/>
  <c r="AI6" i="10"/>
  <c r="AJ6" i="10"/>
  <c r="X6" i="10"/>
  <c r="N6" i="10"/>
  <c r="I6" i="10"/>
  <c r="J14" i="9"/>
  <c r="J13" i="9"/>
  <c r="J12" i="9"/>
  <c r="J11" i="9"/>
  <c r="E14" i="9"/>
  <c r="E13" i="9"/>
  <c r="E12" i="9"/>
  <c r="E11" i="9"/>
  <c r="E16" i="9"/>
  <c r="F16" i="9"/>
  <c r="I6" i="9"/>
  <c r="D6" i="9"/>
  <c r="J14" i="8"/>
  <c r="J13" i="8"/>
  <c r="J12" i="8"/>
  <c r="J11" i="8"/>
  <c r="E14" i="8"/>
  <c r="E13" i="8"/>
  <c r="E12" i="8"/>
  <c r="E11" i="8"/>
  <c r="E16" i="8"/>
  <c r="F16" i="8"/>
  <c r="I6" i="8"/>
  <c r="D6" i="8"/>
  <c r="J14" i="7"/>
  <c r="J13" i="7"/>
  <c r="J12" i="7"/>
  <c r="J11" i="7"/>
  <c r="E14" i="7"/>
  <c r="E13" i="7"/>
  <c r="E12" i="7"/>
  <c r="E16" i="7"/>
  <c r="F16" i="7"/>
  <c r="E11" i="7"/>
  <c r="I6" i="7"/>
  <c r="Y14" i="4"/>
  <c r="Y13" i="4"/>
  <c r="Y12" i="4"/>
  <c r="Y11" i="4"/>
  <c r="T14" i="4"/>
  <c r="T13" i="4"/>
  <c r="T12" i="4"/>
  <c r="T11" i="4"/>
  <c r="O14" i="4"/>
  <c r="O13" i="4"/>
  <c r="O12" i="4"/>
  <c r="O11" i="4"/>
  <c r="J14" i="4"/>
  <c r="J13" i="4"/>
  <c r="J12" i="4"/>
  <c r="J11" i="4"/>
  <c r="E14" i="4"/>
  <c r="E13" i="4"/>
  <c r="E12" i="4"/>
  <c r="E11" i="4"/>
  <c r="N6" i="4"/>
  <c r="I6" i="4"/>
  <c r="D6" i="4"/>
  <c r="E14" i="3"/>
  <c r="E13" i="3"/>
  <c r="E12" i="3"/>
  <c r="E11" i="3"/>
  <c r="E16" i="3"/>
  <c r="F16" i="3"/>
  <c r="D6" i="3"/>
  <c r="E14" i="2"/>
  <c r="E13" i="2"/>
  <c r="E12" i="2"/>
  <c r="E11" i="2"/>
  <c r="E16" i="2"/>
  <c r="F16" i="2"/>
  <c r="D6" i="2"/>
  <c r="J14" i="5"/>
  <c r="J13" i="5"/>
  <c r="J12" i="5"/>
  <c r="J16" i="5"/>
  <c r="K16" i="5"/>
  <c r="J11" i="5"/>
  <c r="E14" i="5"/>
  <c r="E13" i="5"/>
  <c r="E12" i="5"/>
  <c r="E11" i="5"/>
  <c r="C6" i="5"/>
  <c r="E6" i="5"/>
  <c r="F6" i="5"/>
  <c r="C6" i="13"/>
  <c r="C6" i="14"/>
  <c r="E6" i="14"/>
  <c r="F6" i="14"/>
  <c r="H6" i="12"/>
  <c r="J6" i="12"/>
  <c r="K6" i="12"/>
  <c r="C6" i="12"/>
  <c r="E6" i="12"/>
  <c r="F6" i="12"/>
  <c r="AG6" i="10"/>
  <c r="AB6" i="10"/>
  <c r="AD6" i="10"/>
  <c r="AE6" i="10"/>
  <c r="W6" i="10"/>
  <c r="Y6" i="10"/>
  <c r="Z6" i="10"/>
  <c r="M6" i="10"/>
  <c r="O6" i="10"/>
  <c r="P6" i="10"/>
  <c r="H6" i="10"/>
  <c r="J6" i="10"/>
  <c r="K6" i="10"/>
  <c r="C6" i="10"/>
  <c r="H6" i="9"/>
  <c r="J6" i="9"/>
  <c r="K6" i="9"/>
  <c r="C6" i="9"/>
  <c r="E6" i="9"/>
  <c r="F6" i="9"/>
  <c r="H6" i="8"/>
  <c r="J6" i="8"/>
  <c r="K6" i="8"/>
  <c r="B16" i="8"/>
  <c r="C6" i="8"/>
  <c r="C6" i="7"/>
  <c r="E6" i="7"/>
  <c r="F6" i="7"/>
  <c r="H6" i="7"/>
  <c r="J6" i="7"/>
  <c r="K6" i="7"/>
  <c r="W6" i="4"/>
  <c r="Y6" i="4"/>
  <c r="Z6" i="4"/>
  <c r="R6" i="4"/>
  <c r="T6" i="4"/>
  <c r="U6" i="4"/>
  <c r="M6" i="4"/>
  <c r="H6" i="4"/>
  <c r="J6" i="4"/>
  <c r="K6" i="4"/>
  <c r="C6" i="4"/>
  <c r="E6" i="4"/>
  <c r="F6" i="4"/>
  <c r="C6" i="3"/>
  <c r="E6" i="3"/>
  <c r="F6" i="3"/>
  <c r="C6" i="2"/>
  <c r="E6" i="2"/>
  <c r="F6" i="2"/>
  <c r="H6" i="5"/>
  <c r="J6" i="5"/>
  <c r="K6" i="5"/>
  <c r="E16" i="14"/>
  <c r="F16" i="14"/>
  <c r="G14" i="8"/>
  <c r="B16" i="3"/>
  <c r="G16" i="9"/>
  <c r="G16" i="8"/>
  <c r="B12" i="6"/>
  <c r="B16" i="13"/>
  <c r="B16" i="9"/>
  <c r="B32" i="6"/>
  <c r="B16" i="4"/>
  <c r="AF16" i="10"/>
  <c r="B16" i="2"/>
  <c r="U16" i="10"/>
  <c r="G16" i="10"/>
  <c r="B16" i="10"/>
  <c r="L16" i="4"/>
  <c r="G16" i="4"/>
  <c r="B16" i="14"/>
  <c r="G16" i="12"/>
  <c r="V16" i="10"/>
  <c r="G16" i="7"/>
  <c r="V16" i="4"/>
  <c r="B16" i="12"/>
  <c r="Q16" i="4"/>
  <c r="B31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B16" i="11"/>
  <c r="F16" i="11"/>
  <c r="E16" i="11"/>
  <c r="F6" i="11"/>
  <c r="B30" i="6"/>
  <c r="B28" i="6"/>
  <c r="B13" i="6"/>
  <c r="B15" i="6"/>
  <c r="B24" i="6"/>
  <c r="B20" i="6"/>
  <c r="B21" i="6"/>
  <c r="B16" i="6"/>
  <c r="B25" i="6"/>
  <c r="B18" i="6"/>
  <c r="B19" i="6"/>
  <c r="B22" i="6"/>
  <c r="B11" i="6"/>
  <c r="B17" i="6"/>
  <c r="H6" i="1"/>
  <c r="J6" i="1"/>
  <c r="I6" i="1"/>
  <c r="H11" i="1"/>
  <c r="H17" i="1"/>
  <c r="J17" i="1"/>
  <c r="H12" i="1"/>
  <c r="H13" i="1"/>
  <c r="H14" i="1"/>
  <c r="H15" i="1"/>
  <c r="I11" i="1"/>
  <c r="I12" i="1"/>
  <c r="I13" i="1"/>
  <c r="I14" i="1"/>
  <c r="I15" i="1"/>
  <c r="E6" i="1"/>
  <c r="G6" i="1"/>
  <c r="G19" i="1"/>
  <c r="F6" i="1"/>
  <c r="E11" i="1"/>
  <c r="E12" i="1"/>
  <c r="E17" i="1"/>
  <c r="G17" i="1"/>
  <c r="E13" i="1"/>
  <c r="E14" i="1"/>
  <c r="E15" i="1"/>
  <c r="F11" i="1"/>
  <c r="F12" i="1"/>
  <c r="F13" i="1"/>
  <c r="F14" i="1"/>
  <c r="F15" i="1"/>
  <c r="G16" i="5"/>
  <c r="B16" i="5"/>
  <c r="B29" i="6"/>
  <c r="B27" i="6"/>
  <c r="B26" i="6"/>
  <c r="B33" i="6"/>
  <c r="B14" i="6"/>
  <c r="B23" i="6"/>
  <c r="E24" i="1"/>
  <c r="C6" i="1"/>
  <c r="C8" i="1"/>
  <c r="B11" i="1"/>
  <c r="B12" i="1"/>
  <c r="B14" i="1"/>
  <c r="B15" i="1"/>
  <c r="C11" i="1"/>
  <c r="C12" i="1"/>
  <c r="C17" i="1"/>
  <c r="C14" i="1"/>
  <c r="C15" i="1"/>
  <c r="B7" i="1"/>
  <c r="B6" i="1"/>
  <c r="D6" i="1"/>
  <c r="F17" i="1"/>
  <c r="B17" i="1"/>
  <c r="D17" i="1"/>
  <c r="I17" i="1"/>
  <c r="J19" i="1"/>
  <c r="Y16" i="4"/>
  <c r="Z16" i="4"/>
  <c r="D7" i="1"/>
  <c r="D8" i="1"/>
  <c r="D19" i="1"/>
  <c r="B8" i="1"/>
  <c r="F18" i="5"/>
  <c r="C9" i="6"/>
  <c r="U18" i="4"/>
  <c r="C27" i="6"/>
  <c r="K18" i="5"/>
  <c r="C10" i="6"/>
  <c r="P18" i="10"/>
  <c r="C25" i="6"/>
  <c r="E16" i="5"/>
  <c r="F16" i="5"/>
  <c r="J16" i="9"/>
  <c r="K16" i="9"/>
  <c r="K18" i="9"/>
  <c r="C30" i="6"/>
  <c r="E16" i="10"/>
  <c r="F16" i="10"/>
  <c r="J16" i="10"/>
  <c r="K16" i="10"/>
  <c r="K18" i="10"/>
  <c r="C13" i="6"/>
  <c r="Z18" i="10"/>
  <c r="C16" i="6"/>
  <c r="J16" i="4"/>
  <c r="K16" i="4"/>
  <c r="K18" i="4"/>
  <c r="C31" i="6"/>
  <c r="T16" i="4"/>
  <c r="U16" i="4"/>
  <c r="J16" i="8"/>
  <c r="K16" i="8"/>
  <c r="K18" i="8"/>
  <c r="C19" i="6"/>
  <c r="AD16" i="10"/>
  <c r="AE16" i="10"/>
  <c r="AE18" i="10"/>
  <c r="C28" i="6"/>
  <c r="E16" i="12"/>
  <c r="F16" i="12"/>
  <c r="F18" i="12"/>
  <c r="C20" i="6"/>
  <c r="O6" i="4"/>
  <c r="P6" i="4"/>
  <c r="P18" i="4"/>
  <c r="C26" i="6"/>
  <c r="E6" i="13"/>
  <c r="F6" i="13"/>
  <c r="F18" i="13"/>
  <c r="C12" i="6"/>
  <c r="E16" i="4"/>
  <c r="F16" i="4"/>
  <c r="F18" i="4"/>
  <c r="C33" i="6"/>
  <c r="O16" i="4"/>
  <c r="P16" i="4"/>
  <c r="J16" i="7"/>
  <c r="K16" i="7"/>
  <c r="K18" i="7"/>
  <c r="C11" i="6"/>
  <c r="E6" i="8"/>
  <c r="F6" i="8"/>
  <c r="AI16" i="10"/>
  <c r="AJ16" i="10"/>
  <c r="AJ18" i="10"/>
  <c r="C21" i="6"/>
  <c r="F18" i="2"/>
  <c r="C23" i="6"/>
  <c r="F18" i="14"/>
  <c r="C24" i="6"/>
  <c r="F18" i="3"/>
  <c r="C14" i="6"/>
  <c r="Z18" i="4"/>
  <c r="C29" i="6"/>
  <c r="F18" i="8"/>
  <c r="C22" i="6"/>
  <c r="F18" i="7"/>
  <c r="C17" i="6"/>
  <c r="F18" i="9"/>
  <c r="C18" i="6"/>
  <c r="K18" i="12"/>
  <c r="C32" i="6"/>
  <c r="F18" i="10"/>
  <c r="C15" i="6"/>
</calcChain>
</file>

<file path=xl/comments1.xml><?xml version="1.0" encoding="utf-8"?>
<comments xmlns="http://schemas.openxmlformats.org/spreadsheetml/2006/main">
  <authors>
    <author>E008350</author>
  </authors>
  <commentList>
    <comment ref="AJ21" authorId="0">
      <text>
        <r>
          <rPr>
            <b/>
            <sz val="8"/>
            <color indexed="81"/>
            <rFont val="Tahoma"/>
            <family val="2"/>
          </rPr>
          <t>E008350:</t>
        </r>
        <r>
          <rPr>
            <sz val="8"/>
            <color indexed="81"/>
            <rFont val="Tahoma"/>
            <family val="2"/>
          </rPr>
          <t xml:space="preserve">
AFUDC Interest</t>
        </r>
      </text>
    </comment>
  </commentList>
</comments>
</file>

<file path=xl/comments2.xml><?xml version="1.0" encoding="utf-8"?>
<comments xmlns="http://schemas.openxmlformats.org/spreadsheetml/2006/main">
  <authors>
    <author>E008350</author>
  </authors>
  <commentList>
    <comment ref="AJ20" authorId="0">
      <text>
        <r>
          <rPr>
            <b/>
            <sz val="8"/>
            <color indexed="81"/>
            <rFont val="Tahoma"/>
            <family val="2"/>
          </rPr>
          <t>E008350:</t>
        </r>
        <r>
          <rPr>
            <sz val="8"/>
            <color indexed="81"/>
            <rFont val="Tahoma"/>
            <family val="2"/>
          </rPr>
          <t xml:space="preserve">
AFUDC Interest</t>
        </r>
      </text>
    </comment>
  </commentList>
</comments>
</file>

<file path=xl/sharedStrings.xml><?xml version="1.0" encoding="utf-8"?>
<sst xmlns="http://schemas.openxmlformats.org/spreadsheetml/2006/main" count="393" uniqueCount="88">
  <si>
    <t>Cost of Debt Calculation</t>
  </si>
  <si>
    <t>E.ON U.S.</t>
  </si>
  <si>
    <t>Interest Expense</t>
  </si>
  <si>
    <t>Sep. YTD '06</t>
  </si>
  <si>
    <t>4th Qtr 2005</t>
  </si>
  <si>
    <t>12 Mo. Rolling</t>
  </si>
  <si>
    <t>L-T Debt due within year</t>
  </si>
  <si>
    <t>E.ON North America</t>
  </si>
  <si>
    <t>Fidelia</t>
  </si>
  <si>
    <t>Sep. '06</t>
  </si>
  <si>
    <t>Sep. '05</t>
  </si>
  <si>
    <t>Average</t>
  </si>
  <si>
    <t>Cost of Debt</t>
  </si>
  <si>
    <t>LG&amp;E</t>
  </si>
  <si>
    <t>KU</t>
  </si>
  <si>
    <t>First Mortgage/ PCB / MTN</t>
  </si>
  <si>
    <t>Money Pool</t>
  </si>
  <si>
    <t>Less:  MTN Interest Charge*</t>
  </si>
  <si>
    <t>*Excluded the interest impact from the termination of swap ($7.4MM) and future value of notes ($9.7MM) related to MTN tender transaction.</t>
  </si>
  <si>
    <t>Short-Term Debt</t>
  </si>
  <si>
    <t>Long-term Debt</t>
  </si>
  <si>
    <t>PPL Electric Utilities</t>
  </si>
  <si>
    <t>Ohio Edison Company</t>
  </si>
  <si>
    <t>Toledo Edison Company</t>
  </si>
  <si>
    <t>Notes Payable to Assoc. Co.</t>
  </si>
  <si>
    <t>Jersey Central Power &amp; Light Co.</t>
  </si>
  <si>
    <t>Metropolitan Edison Company</t>
  </si>
  <si>
    <t>Pennsylvania Electric Company</t>
  </si>
  <si>
    <t>Utilty Cost of Debt Comparison</t>
  </si>
  <si>
    <t>Rank</t>
  </si>
  <si>
    <t>Duke Energy Indiana Inc.</t>
  </si>
  <si>
    <t>Duke Energy Ohio</t>
  </si>
  <si>
    <t>Commonwealth Edison</t>
  </si>
  <si>
    <t>PECO Energy Company</t>
  </si>
  <si>
    <t>AEP Texas Central Company</t>
  </si>
  <si>
    <t>AEP Texas North Company</t>
  </si>
  <si>
    <t>Appalachian Power Company</t>
  </si>
  <si>
    <t>Columbus Southern Power Co.</t>
  </si>
  <si>
    <t>Indiana Michigan Power Company</t>
  </si>
  <si>
    <t>Ohio Power Company</t>
  </si>
  <si>
    <t>Kentucky Power Company</t>
  </si>
  <si>
    <t>Per Public Data</t>
  </si>
  <si>
    <t>Cost of Debt Calculation (Per Internal Reports)</t>
  </si>
  <si>
    <t>Public Service Electric and Gas Company</t>
  </si>
  <si>
    <t>Company</t>
  </si>
  <si>
    <t>Union Electric Company</t>
  </si>
  <si>
    <t>Ameren Energy Generating Company</t>
  </si>
  <si>
    <t>Cilcorp Inc.</t>
  </si>
  <si>
    <t>Central Illinois Light Company</t>
  </si>
  <si>
    <t>Illinois Power Company</t>
  </si>
  <si>
    <t>Dayton Power and Light</t>
  </si>
  <si>
    <t>Interest Expense Contains Capitalized Interest</t>
  </si>
  <si>
    <t>NiSource</t>
  </si>
  <si>
    <t>Adjustments</t>
  </si>
  <si>
    <t>Capitalized Interest</t>
  </si>
  <si>
    <t>Dec. YTD '07</t>
  </si>
  <si>
    <t>Dec. '07</t>
  </si>
  <si>
    <t>Dec. '06</t>
  </si>
  <si>
    <t>Allegheny Energy Supply Company</t>
  </si>
  <si>
    <t>N/A</t>
  </si>
  <si>
    <t xml:space="preserve">Cost of Debt Calculation </t>
  </si>
  <si>
    <t>Ameren Illinois Company</t>
  </si>
  <si>
    <t>Full Year 2011</t>
  </si>
  <si>
    <t>MERGED WITH OHIO POWER COMPANY AT 12/31/2011</t>
  </si>
  <si>
    <t>Jun. YTD '12</t>
  </si>
  <si>
    <t>Jul-Dec 2011</t>
  </si>
  <si>
    <t>Jun. YTD 2011</t>
  </si>
  <si>
    <t>Full Year 2012</t>
  </si>
  <si>
    <t>NO FINANCIAL INFORMATION AVAILABLE</t>
  </si>
  <si>
    <t xml:space="preserve">DTE Gas Company </t>
  </si>
  <si>
    <t>DTE Electric Company</t>
  </si>
  <si>
    <t>Jun. YTD '13</t>
  </si>
  <si>
    <t>Jun. YTD 2012</t>
  </si>
  <si>
    <t>Jul-Dec 2012</t>
  </si>
  <si>
    <t>Sep. YTD '13</t>
  </si>
  <si>
    <t>Sep. YTD 2012</t>
  </si>
  <si>
    <t>Oct-Dec 2012</t>
  </si>
  <si>
    <t>Full Year 2013</t>
  </si>
  <si>
    <t>Purchase Accounting Amortization Adjustment</t>
  </si>
  <si>
    <t>Amort. FERC Financing Cost</t>
  </si>
  <si>
    <t>Mar '14</t>
  </si>
  <si>
    <t>Mar '13</t>
  </si>
  <si>
    <t>12 Months Ending June 2014</t>
  </si>
  <si>
    <t>Jun. YTD '14</t>
  </si>
  <si>
    <t>Jun. YTD 2013</t>
  </si>
  <si>
    <t>Jul-Dec 2013</t>
  </si>
  <si>
    <t>Jun '14</t>
  </si>
  <si>
    <t>Jun '13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</si>
</sst>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%"/>
    <numFmt numFmtId="167" formatCode="#."/>
  </numFmts>
  <fonts count="17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b/>
      <sz val="11"/>
      <color indexed="57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37" fontId="0" fillId="0" borderId="1" xfId="0" applyNumberFormat="1" applyBorder="1"/>
    <xf numFmtId="37" fontId="0" fillId="0" borderId="0" xfId="0" applyNumberFormat="1" applyBorder="1"/>
    <xf numFmtId="37" fontId="0" fillId="0" borderId="2" xfId="0" applyNumberFormat="1" applyBorder="1"/>
    <xf numFmtId="37" fontId="2" fillId="0" borderId="1" xfId="0" applyNumberFormat="1" applyFont="1" applyBorder="1"/>
    <xf numFmtId="37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165" fontId="3" fillId="0" borderId="5" xfId="1" applyNumberFormat="1" applyFont="1" applyBorder="1"/>
    <xf numFmtId="0" fontId="3" fillId="0" borderId="6" xfId="0" applyFont="1" applyBorder="1"/>
    <xf numFmtId="0" fontId="0" fillId="0" borderId="7" xfId="0" applyBorder="1"/>
    <xf numFmtId="0" fontId="3" fillId="0" borderId="8" xfId="0" applyFont="1" applyBorder="1"/>
    <xf numFmtId="0" fontId="3" fillId="0" borderId="0" xfId="0" applyFont="1" applyBorder="1"/>
    <xf numFmtId="165" fontId="3" fillId="0" borderId="0" xfId="1" applyNumberFormat="1" applyFont="1" applyBorder="1"/>
    <xf numFmtId="37" fontId="2" fillId="0" borderId="2" xfId="0" applyNumberFormat="1" applyFont="1" applyBorder="1"/>
    <xf numFmtId="0" fontId="0" fillId="2" borderId="0" xfId="0" applyFill="1"/>
    <xf numFmtId="37" fontId="0" fillId="0" borderId="0" xfId="0" applyNumberFormat="1"/>
    <xf numFmtId="37" fontId="0" fillId="0" borderId="0" xfId="0" applyNumberFormat="1" applyFill="1" applyBorder="1"/>
    <xf numFmtId="0" fontId="0" fillId="0" borderId="2" xfId="0" applyFill="1" applyBorder="1"/>
    <xf numFmtId="37" fontId="0" fillId="0" borderId="1" xfId="0" applyNumberFormat="1" applyFill="1" applyBorder="1"/>
    <xf numFmtId="37" fontId="10" fillId="0" borderId="0" xfId="0" applyNumberFormat="1" applyFont="1" applyBorder="1"/>
    <xf numFmtId="37" fontId="2" fillId="0" borderId="0" xfId="0" applyNumberFormat="1" applyFont="1" applyFill="1" applyBorder="1"/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7" fontId="3" fillId="0" borderId="1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9" fillId="0" borderId="0" xfId="0" applyFont="1" applyBorder="1" applyAlignment="1"/>
    <xf numFmtId="0" fontId="2" fillId="0" borderId="0" xfId="0" applyFont="1" applyBorder="1"/>
    <xf numFmtId="167" fontId="0" fillId="0" borderId="0" xfId="0" applyNumberFormat="1" applyBorder="1" applyAlignment="1">
      <alignment horizontal="center"/>
    </xf>
    <xf numFmtId="0" fontId="8" fillId="0" borderId="0" xfId="0" applyFont="1" applyFill="1" applyBorder="1"/>
    <xf numFmtId="165" fontId="8" fillId="0" borderId="0" xfId="1" applyNumberFormat="1" applyFont="1" applyFill="1" applyBorder="1"/>
    <xf numFmtId="0" fontId="7" fillId="0" borderId="0" xfId="0" quotePrefix="1" applyFont="1" applyBorder="1"/>
    <xf numFmtId="0" fontId="16" fillId="0" borderId="0" xfId="0" applyFont="1" applyFill="1" applyBorder="1"/>
    <xf numFmtId="165" fontId="16" fillId="0" borderId="0" xfId="1" applyNumberFormat="1" applyFont="1" applyFill="1" applyBorder="1"/>
    <xf numFmtId="0" fontId="0" fillId="0" borderId="0" xfId="0" applyFill="1" applyBorder="1"/>
    <xf numFmtId="165" fontId="0" fillId="0" borderId="0" xfId="1" applyNumberFormat="1" applyFont="1" applyFill="1" applyBorder="1" applyAlignment="1">
      <alignment horizontal="right"/>
    </xf>
    <xf numFmtId="165" fontId="0" fillId="0" borderId="0" xfId="1" applyNumberFormat="1" applyFont="1" applyBorder="1"/>
    <xf numFmtId="0" fontId="7" fillId="0" borderId="0" xfId="0" applyFont="1" applyBorder="1"/>
    <xf numFmtId="165" fontId="0" fillId="0" borderId="0" xfId="1" applyNumberFormat="1" applyFont="1" applyBorder="1" applyAlignment="1">
      <alignment horizontal="right"/>
    </xf>
    <xf numFmtId="0" fontId="9" fillId="0" borderId="0" xfId="0" applyFont="1" applyFill="1" applyBorder="1"/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Fill="1" applyBorder="1" applyAlignment="1"/>
    <xf numFmtId="0" fontId="13" fillId="0" borderId="0" xfId="0" applyFont="1" applyBorder="1"/>
    <xf numFmtId="0" fontId="14" fillId="0" borderId="0" xfId="0" applyFont="1"/>
    <xf numFmtId="165" fontId="15" fillId="0" borderId="0" xfId="1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6Final\2006.10\September%20Act%207-5%20FC%202006.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liott\Refinancing\Capital%20Corp%20MTN\MTN%20Tender%20-%20final%20economics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6Final\WKE%20Restatements\2005Restated%20P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6600\AppData\Local\Microsoft\Windows\Temporary%20Internet%20Files\Content.Outlook\YWZ9CNB0\Cost%20of%20Debt1231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6600\AppData\Local\Microsoft\Windows\Temporary%20Internet%20Files\Content.Outlook\YWZ9CNB0\Cost%20of%20Debt063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ing 15 Mo Forecast"/>
      <sheetName val="LG&amp;E Energy"/>
      <sheetName val="LG&amp;E Capital Corp"/>
      <sheetName val="CombinedUtility"/>
      <sheetName val="upload ComUtil"/>
      <sheetName val="LG&amp;E"/>
      <sheetName val="upload LGE"/>
      <sheetName val="KU"/>
      <sheetName val="IntercompanyRev"/>
      <sheetName val="upload IC Rev"/>
      <sheetName val="WKECTotal"/>
      <sheetName val="WKE Adj"/>
      <sheetName val="WKE FCD_FSF"/>
      <sheetName val="WKEC"/>
      <sheetName val="upload WKE"/>
      <sheetName val="ArgDist"/>
      <sheetName val="upload ArgDist"/>
      <sheetName val="Argentina III"/>
      <sheetName val="Intl (Cons.)"/>
      <sheetName val="AllOther"/>
      <sheetName val="upload AllOther"/>
      <sheetName val="LPI"/>
      <sheetName val="PwrDev"/>
      <sheetName val="CRC"/>
      <sheetName val="CapCorp"/>
      <sheetName val="CapCorpElim"/>
      <sheetName val="LEL(Cons.)"/>
      <sheetName val="LEL"/>
      <sheetName val="Servco"/>
      <sheetName val="PAA_Continuing"/>
      <sheetName val="PAA_Adj"/>
      <sheetName val="PAA"/>
      <sheetName val="Tax Settlements"/>
      <sheetName val="KUSolutions"/>
      <sheetName val="CreditCorp"/>
      <sheetName val="HS"/>
      <sheetName val="Ener"/>
      <sheetName val="Facilities"/>
      <sheetName val="LEM"/>
      <sheetName val="NonUtilEM"/>
      <sheetName val="LEMDisco"/>
      <sheetName val="LEMElim"/>
      <sheetName val="LG&amp;EElim"/>
      <sheetName val="RAS"/>
      <sheetName val="Cuyana"/>
      <sheetName val="GasBAN"/>
      <sheetName val="Centro"/>
      <sheetName val="CentroSA"/>
      <sheetName val="Intl"/>
      <sheetName val="CapEx"/>
      <sheetName val="Error Check"/>
      <sheetName val="Adjustments"/>
      <sheetName val="2006 FY P&amp;L"/>
      <sheetName val="2006 CM P&amp;L"/>
      <sheetName val="2006 YTD P&amp;L"/>
      <sheetName val="YTD Burdens"/>
    </sheetNames>
    <sheetDataSet>
      <sheetData sheetId="0" refreshError="1"/>
      <sheetData sheetId="1" refreshError="1">
        <row r="104">
          <cell r="AG104">
            <v>-10123.998599999999</v>
          </cell>
          <cell r="AH104">
            <v>-10408.030439999999</v>
          </cell>
          <cell r="AI104">
            <v>-10360.886100000002</v>
          </cell>
          <cell r="AJ104">
            <v>-9635.1205900000004</v>
          </cell>
          <cell r="AK104">
            <v>-10730.882270000002</v>
          </cell>
          <cell r="AL104">
            <v>-26072.122680000004</v>
          </cell>
          <cell r="AM104">
            <v>-12267.80185</v>
          </cell>
          <cell r="AN104">
            <v>-10419.035830000001</v>
          </cell>
          <cell r="AO104">
            <v>-11614.906870000001</v>
          </cell>
        </row>
        <row r="195">
          <cell r="AB195">
            <v>369330</v>
          </cell>
          <cell r="AO195">
            <v>386330</v>
          </cell>
        </row>
        <row r="205">
          <cell r="AB205">
            <v>290360</v>
          </cell>
          <cell r="AO205">
            <v>52000</v>
          </cell>
        </row>
        <row r="236">
          <cell r="AB236">
            <v>856260</v>
          </cell>
          <cell r="AO236">
            <v>557157</v>
          </cell>
        </row>
        <row r="238">
          <cell r="AB238">
            <v>858000</v>
          </cell>
          <cell r="AO238">
            <v>1513000</v>
          </cell>
        </row>
      </sheetData>
      <sheetData sheetId="2" refreshError="1"/>
      <sheetData sheetId="3" refreshError="1"/>
      <sheetData sheetId="4" refreshError="1"/>
      <sheetData sheetId="5" refreshError="1">
        <row r="104">
          <cell r="AC104">
            <v>-3019</v>
          </cell>
          <cell r="AD104">
            <v>-3963</v>
          </cell>
          <cell r="AE104">
            <v>-3413</v>
          </cell>
          <cell r="AG104">
            <v>-3444.78244</v>
          </cell>
          <cell r="AH104">
            <v>-4061.9572399999997</v>
          </cell>
          <cell r="AI104">
            <v>-3139.6672199999994</v>
          </cell>
          <cell r="AJ104">
            <v>-3038.1664299999998</v>
          </cell>
          <cell r="AK104">
            <v>-3109.5871000000006</v>
          </cell>
          <cell r="AL104">
            <v>-2997.6862000000006</v>
          </cell>
          <cell r="AM104">
            <v>-3125.6609599999997</v>
          </cell>
          <cell r="AN104">
            <v>-3116.7444999999998</v>
          </cell>
          <cell r="AO104">
            <v>-4477.1335400000007</v>
          </cell>
        </row>
        <row r="195">
          <cell r="AB195">
            <v>246200</v>
          </cell>
          <cell r="AO195">
            <v>246200</v>
          </cell>
        </row>
        <row r="205">
          <cell r="AB205">
            <v>0</v>
          </cell>
          <cell r="AO205">
            <v>0</v>
          </cell>
        </row>
        <row r="208">
          <cell r="AB208">
            <v>81853</v>
          </cell>
          <cell r="AO208">
            <v>69990</v>
          </cell>
        </row>
        <row r="236">
          <cell r="AB236">
            <v>328104</v>
          </cell>
          <cell r="AO236">
            <v>328104</v>
          </cell>
        </row>
        <row r="238">
          <cell r="AB238">
            <v>225000</v>
          </cell>
          <cell r="AO238">
            <v>225000</v>
          </cell>
        </row>
      </sheetData>
      <sheetData sheetId="6" refreshError="1"/>
      <sheetData sheetId="7" refreshError="1">
        <row r="104">
          <cell r="AC104">
            <v>-2555</v>
          </cell>
          <cell r="AD104">
            <v>-4085</v>
          </cell>
          <cell r="AE104">
            <v>-2878</v>
          </cell>
          <cell r="AG104">
            <v>-3033.6470600000002</v>
          </cell>
          <cell r="AH104">
            <v>-2676.5068899999997</v>
          </cell>
          <cell r="AI104">
            <v>-2980.6441500000005</v>
          </cell>
          <cell r="AJ104">
            <v>-2626.4583400000001</v>
          </cell>
          <cell r="AK104">
            <v>-3406.1346399999998</v>
          </cell>
          <cell r="AL104">
            <v>-3131.1762800000001</v>
          </cell>
          <cell r="AM104">
            <v>-3287.0875999999998</v>
          </cell>
          <cell r="AN104">
            <v>-3354.2346599999996</v>
          </cell>
          <cell r="AO104">
            <v>-3261.14302</v>
          </cell>
        </row>
        <row r="195">
          <cell r="AB195">
            <v>123130</v>
          </cell>
          <cell r="AO195">
            <v>140130</v>
          </cell>
        </row>
        <row r="205">
          <cell r="AB205">
            <v>75000</v>
          </cell>
          <cell r="AO205">
            <v>0</v>
          </cell>
        </row>
        <row r="208">
          <cell r="AB208">
            <v>61305</v>
          </cell>
          <cell r="AO208">
            <v>121123</v>
          </cell>
        </row>
        <row r="236">
          <cell r="AB236">
            <v>227849</v>
          </cell>
          <cell r="AO236">
            <v>202776</v>
          </cell>
        </row>
        <row r="238">
          <cell r="AB238">
            <v>308000</v>
          </cell>
          <cell r="AO238">
            <v>433000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08"/>
      <sheetName val="2011"/>
    </sheetNames>
    <sheetDataSet>
      <sheetData sheetId="0">
        <row r="24">
          <cell r="D24">
            <v>9676805.0000000149</v>
          </cell>
        </row>
        <row r="25">
          <cell r="D25">
            <v>7418400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IES"/>
      <sheetName val="WKE"/>
      <sheetName val="ARGENTINA"/>
      <sheetName val="OTHER"/>
      <sheetName val="EON_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4">
          <cell r="K104">
            <v>-8851.8115899999939</v>
          </cell>
          <cell r="L104">
            <v>-13078.097200000004</v>
          </cell>
          <cell r="M104">
            <v>-10171.120360000004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"/>
      <sheetName val="E.ON U.S."/>
      <sheetName val="LG&amp;E and KU"/>
      <sheetName val="PPL Electric Utilities"/>
      <sheetName val="PSEG"/>
      <sheetName val="First Energy"/>
      <sheetName val="Duke"/>
      <sheetName val="Exelon"/>
      <sheetName val="DTE"/>
      <sheetName val="AEP"/>
      <sheetName val="Allegheny"/>
      <sheetName val="Ameren"/>
      <sheetName val="Dayton P&amp;L"/>
      <sheetName val="Nisource"/>
    </sheetNames>
    <sheetDataSet>
      <sheetData sheetId="0"/>
      <sheetData sheetId="1"/>
      <sheetData sheetId="2">
        <row r="6">
          <cell r="C6">
            <v>42191</v>
          </cell>
          <cell r="H6">
            <v>71297</v>
          </cell>
        </row>
      </sheetData>
      <sheetData sheetId="3">
        <row r="6">
          <cell r="C6">
            <v>108000</v>
          </cell>
        </row>
      </sheetData>
      <sheetData sheetId="4">
        <row r="6">
          <cell r="C6">
            <v>293000</v>
          </cell>
        </row>
      </sheetData>
      <sheetData sheetId="5">
        <row r="6">
          <cell r="C6">
            <v>90000</v>
          </cell>
          <cell r="H6">
            <v>40176</v>
          </cell>
          <cell r="M6">
            <v>127000</v>
          </cell>
          <cell r="R6">
            <v>53997</v>
          </cell>
          <cell r="W6">
            <v>69360</v>
          </cell>
        </row>
      </sheetData>
      <sheetData sheetId="6">
        <row r="6">
          <cell r="C6">
            <v>170000</v>
          </cell>
          <cell r="H6">
            <v>78000</v>
          </cell>
        </row>
      </sheetData>
      <sheetData sheetId="7">
        <row r="6">
          <cell r="C6">
            <v>579000</v>
          </cell>
          <cell r="H6">
            <v>115000</v>
          </cell>
        </row>
      </sheetData>
      <sheetData sheetId="8">
        <row r="6">
          <cell r="C6">
            <v>268000</v>
          </cell>
          <cell r="H6">
            <v>58000</v>
          </cell>
        </row>
      </sheetData>
      <sheetData sheetId="9">
        <row r="6">
          <cell r="C6">
            <v>138385</v>
          </cell>
          <cell r="H6">
            <v>20924</v>
          </cell>
          <cell r="M6">
            <v>192982</v>
          </cell>
          <cell r="W6">
            <v>97710</v>
          </cell>
          <cell r="AB6">
            <v>44509</v>
          </cell>
          <cell r="AG6">
            <v>182046</v>
          </cell>
        </row>
      </sheetData>
      <sheetData sheetId="10"/>
      <sheetData sheetId="11">
        <row r="6">
          <cell r="C6">
            <v>210000</v>
          </cell>
          <cell r="H6">
            <v>143000</v>
          </cell>
        </row>
      </sheetData>
      <sheetData sheetId="12">
        <row r="6">
          <cell r="C6">
            <v>37200</v>
          </cell>
        </row>
      </sheetData>
      <sheetData sheetId="13">
        <row r="6">
          <cell r="C6">
            <v>414800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"/>
      <sheetName val="E.ON U.S."/>
      <sheetName val="LG&amp;E and KU"/>
      <sheetName val="PPL Electric Utilities"/>
      <sheetName val="PSEG"/>
      <sheetName val="First Energy"/>
      <sheetName val="Duke"/>
      <sheetName val="Exelon"/>
      <sheetName val="DTE"/>
      <sheetName val="AEP"/>
      <sheetName val="Allegheny"/>
      <sheetName val="Ameren"/>
      <sheetName val="Dayton P&amp;L"/>
      <sheetName val="Nisource"/>
    </sheetNames>
    <sheetDataSet>
      <sheetData sheetId="0"/>
      <sheetData sheetId="1"/>
      <sheetData sheetId="2">
        <row r="11">
          <cell r="B11">
            <v>0</v>
          </cell>
          <cell r="G11">
            <v>0</v>
          </cell>
        </row>
        <row r="12">
          <cell r="B12">
            <v>80000</v>
          </cell>
          <cell r="G12">
            <v>172000</v>
          </cell>
        </row>
        <row r="13">
          <cell r="B13">
            <v>0</v>
          </cell>
          <cell r="G13">
            <v>0</v>
          </cell>
        </row>
        <row r="14">
          <cell r="B14">
            <v>1112000</v>
          </cell>
          <cell r="G14">
            <v>1842000</v>
          </cell>
        </row>
      </sheetData>
      <sheetData sheetId="3">
        <row r="6">
          <cell r="B6">
            <v>50000</v>
          </cell>
        </row>
        <row r="11">
          <cell r="B11">
            <v>10000</v>
          </cell>
        </row>
        <row r="12">
          <cell r="B12">
            <v>85000</v>
          </cell>
        </row>
        <row r="13">
          <cell r="B13">
            <v>0</v>
          </cell>
        </row>
        <row r="14">
          <cell r="B14">
            <v>1957000</v>
          </cell>
        </row>
      </sheetData>
      <sheetData sheetId="4">
        <row r="6">
          <cell r="B6">
            <v>148000</v>
          </cell>
        </row>
        <row r="11">
          <cell r="B11">
            <v>807000</v>
          </cell>
        </row>
        <row r="12">
          <cell r="B12">
            <v>157000</v>
          </cell>
        </row>
        <row r="13">
          <cell r="B13">
            <v>0</v>
          </cell>
        </row>
        <row r="14">
          <cell r="B14">
            <v>5350000</v>
          </cell>
        </row>
      </sheetData>
      <sheetData sheetId="5">
        <row r="6">
          <cell r="B6">
            <v>46000</v>
          </cell>
          <cell r="G6">
            <v>21148</v>
          </cell>
          <cell r="L6">
            <v>60000</v>
          </cell>
        </row>
        <row r="11">
          <cell r="B11">
            <v>17000</v>
          </cell>
          <cell r="G11">
            <v>1405</v>
          </cell>
          <cell r="L11">
            <v>37000</v>
          </cell>
          <cell r="Q11">
            <v>280926</v>
          </cell>
          <cell r="V11">
            <v>197811</v>
          </cell>
        </row>
        <row r="12">
          <cell r="B12">
            <v>0</v>
          </cell>
          <cell r="G12">
            <v>0</v>
          </cell>
          <cell r="L12">
            <v>0</v>
          </cell>
          <cell r="Q12">
            <v>0</v>
          </cell>
          <cell r="V12">
            <v>0</v>
          </cell>
        </row>
        <row r="13">
          <cell r="B13">
            <v>0</v>
          </cell>
          <cell r="G13">
            <v>0</v>
          </cell>
          <cell r="L13">
            <v>793000</v>
          </cell>
          <cell r="Q13">
            <v>45920</v>
          </cell>
          <cell r="V13">
            <v>0</v>
          </cell>
        </row>
        <row r="14">
          <cell r="B14">
            <v>1176000</v>
          </cell>
          <cell r="G14">
            <v>614553</v>
          </cell>
          <cell r="L14">
            <v>1684000</v>
          </cell>
          <cell r="Q14">
            <v>616341</v>
          </cell>
          <cell r="V14">
            <v>942550</v>
          </cell>
        </row>
      </sheetData>
      <sheetData sheetId="6">
        <row r="6">
          <cell r="B6">
            <v>84000</v>
          </cell>
          <cell r="G6">
            <v>36000</v>
          </cell>
        </row>
        <row r="11">
          <cell r="B11">
            <v>5000</v>
          </cell>
          <cell r="G11">
            <v>8000</v>
          </cell>
        </row>
        <row r="12">
          <cell r="B12">
            <v>0</v>
          </cell>
          <cell r="G12">
            <v>0</v>
          </cell>
        </row>
        <row r="13">
          <cell r="B13">
            <v>0</v>
          </cell>
          <cell r="G13">
            <v>602000</v>
          </cell>
        </row>
        <row r="14">
          <cell r="B14">
            <v>3696000</v>
          </cell>
          <cell r="G14">
            <v>1734000</v>
          </cell>
        </row>
      </sheetData>
      <sheetData sheetId="7">
        <row r="6">
          <cell r="B6">
            <v>429000</v>
          </cell>
          <cell r="G6">
            <v>57000</v>
          </cell>
        </row>
        <row r="11">
          <cell r="B11">
            <v>744000</v>
          </cell>
          <cell r="G11">
            <v>300000</v>
          </cell>
        </row>
        <row r="12">
          <cell r="B12">
            <v>374000</v>
          </cell>
          <cell r="G12">
            <v>210000</v>
          </cell>
        </row>
        <row r="13">
          <cell r="B13">
            <v>0</v>
          </cell>
          <cell r="G13">
            <v>0</v>
          </cell>
        </row>
        <row r="14">
          <cell r="B14">
            <v>4913000</v>
          </cell>
          <cell r="G14">
            <v>1832000</v>
          </cell>
        </row>
      </sheetData>
      <sheetData sheetId="8">
        <row r="6">
          <cell r="B6">
            <v>134000</v>
          </cell>
          <cell r="G6">
            <v>29000</v>
          </cell>
        </row>
        <row r="11">
          <cell r="B11">
            <v>484000</v>
          </cell>
          <cell r="G11">
            <v>80000</v>
          </cell>
        </row>
        <row r="12">
          <cell r="B12">
            <v>96000</v>
          </cell>
          <cell r="G12">
            <v>19000</v>
          </cell>
        </row>
        <row r="13">
          <cell r="B13">
            <v>59000</v>
          </cell>
          <cell r="G13">
            <v>0</v>
          </cell>
        </row>
        <row r="14">
          <cell r="B14">
            <v>4701000</v>
          </cell>
          <cell r="G14">
            <v>779000</v>
          </cell>
        </row>
      </sheetData>
      <sheetData sheetId="9">
        <row r="6">
          <cell r="B6">
            <v>70928</v>
          </cell>
          <cell r="G6">
            <v>11252</v>
          </cell>
          <cell r="L6">
            <v>96332</v>
          </cell>
          <cell r="V6">
            <v>48647</v>
          </cell>
          <cell r="AF6">
            <v>97417</v>
          </cell>
        </row>
        <row r="11">
          <cell r="B11">
            <v>250620</v>
          </cell>
          <cell r="G11">
            <v>6</v>
          </cell>
          <cell r="L11">
            <v>574681</v>
          </cell>
          <cell r="V11">
            <v>228748</v>
          </cell>
          <cell r="AA11">
            <v>0</v>
          </cell>
          <cell r="AF11">
            <v>664450</v>
          </cell>
        </row>
        <row r="12">
          <cell r="B12">
            <v>0</v>
          </cell>
          <cell r="G12">
            <v>0</v>
          </cell>
          <cell r="L12">
            <v>0</v>
          </cell>
          <cell r="V12">
            <v>0</v>
          </cell>
          <cell r="AA12">
            <v>0</v>
          </cell>
          <cell r="AF12">
            <v>0</v>
          </cell>
        </row>
        <row r="13">
          <cell r="B13">
            <v>80587</v>
          </cell>
          <cell r="G13">
            <v>95854</v>
          </cell>
          <cell r="L13">
            <v>87783</v>
          </cell>
          <cell r="V13">
            <v>0</v>
          </cell>
          <cell r="AA13">
            <v>0</v>
          </cell>
          <cell r="AF13">
            <v>292051</v>
          </cell>
        </row>
        <row r="14">
          <cell r="B14">
            <v>2663016</v>
          </cell>
          <cell r="G14">
            <v>345289</v>
          </cell>
          <cell r="L14">
            <v>3128078</v>
          </cell>
          <cell r="V14">
            <v>2076444</v>
          </cell>
          <cell r="AA14">
            <v>549305</v>
          </cell>
          <cell r="AF14">
            <v>2840344</v>
          </cell>
        </row>
      </sheetData>
      <sheetData sheetId="10"/>
      <sheetData sheetId="11">
        <row r="6">
          <cell r="B6">
            <v>116000</v>
          </cell>
          <cell r="G6">
            <v>65000</v>
          </cell>
        </row>
        <row r="11">
          <cell r="B11">
            <v>309000</v>
          </cell>
          <cell r="G11">
            <v>150000</v>
          </cell>
        </row>
        <row r="12">
          <cell r="B12">
            <v>0</v>
          </cell>
          <cell r="G12">
            <v>0</v>
          </cell>
        </row>
        <row r="13">
          <cell r="B13">
            <v>0</v>
          </cell>
          <cell r="G13">
            <v>0</v>
          </cell>
        </row>
        <row r="14">
          <cell r="B14">
            <v>3697000</v>
          </cell>
          <cell r="G14">
            <v>1577000</v>
          </cell>
        </row>
      </sheetData>
      <sheetData sheetId="12">
        <row r="6">
          <cell r="B6">
            <v>19300</v>
          </cell>
        </row>
        <row r="11">
          <cell r="B11">
            <v>470400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432700</v>
          </cell>
        </row>
      </sheetData>
      <sheetData sheetId="13">
        <row r="6">
          <cell r="B6">
            <v>200600</v>
          </cell>
        </row>
        <row r="11">
          <cell r="B11">
            <v>70700</v>
          </cell>
        </row>
        <row r="12">
          <cell r="B12">
            <v>377700</v>
          </cell>
        </row>
        <row r="13">
          <cell r="B13">
            <v>0</v>
          </cell>
        </row>
        <row r="14">
          <cell r="B14">
            <v>7616700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opLeftCell="A19" zoomScaleNormal="100" workbookViewId="0">
      <selection activeCell="C63" sqref="C63"/>
    </sheetView>
  </sheetViews>
  <sheetFormatPr defaultRowHeight="12.75" x14ac:dyDescent="0.2"/>
  <cols>
    <col min="1" max="1" width="9.140625" style="3"/>
    <col min="2" max="2" width="44.140625" style="3" customWidth="1"/>
    <col min="3" max="3" width="20.140625" style="3" customWidth="1"/>
    <col min="4" max="4" width="4.85546875" style="3" customWidth="1"/>
    <col min="5" max="5" width="9.85546875" style="3" customWidth="1"/>
    <col min="6" max="16384" width="9.140625" style="3"/>
  </cols>
  <sheetData>
    <row r="1" spans="1:6" x14ac:dyDescent="0.2">
      <c r="A1" s="54" t="s">
        <v>28</v>
      </c>
      <c r="B1" s="54"/>
      <c r="C1" s="54"/>
      <c r="D1" s="54"/>
      <c r="E1" s="33"/>
      <c r="F1" s="33"/>
    </row>
    <row r="2" spans="1:6" x14ac:dyDescent="0.2">
      <c r="A2" s="55" t="s">
        <v>82</v>
      </c>
      <c r="B2" s="55"/>
      <c r="C2" s="55"/>
      <c r="D2" s="55"/>
      <c r="E2" s="34"/>
      <c r="F2" s="34"/>
    </row>
    <row r="3" spans="1:6" x14ac:dyDescent="0.2">
      <c r="A3" s="32"/>
      <c r="B3" s="32"/>
      <c r="C3" s="32"/>
      <c r="D3" s="32"/>
      <c r="E3" s="32"/>
      <c r="F3" s="32"/>
    </row>
    <row r="4" spans="1:6" x14ac:dyDescent="0.2">
      <c r="A4" s="32"/>
      <c r="B4" s="32"/>
      <c r="C4" s="32"/>
      <c r="D4" s="32"/>
      <c r="E4" s="32"/>
      <c r="F4" s="32"/>
    </row>
    <row r="5" spans="1:6" x14ac:dyDescent="0.2">
      <c r="A5" s="32"/>
      <c r="B5" s="32"/>
      <c r="C5" s="32"/>
      <c r="D5" s="32"/>
      <c r="E5" s="32"/>
      <c r="F5" s="32"/>
    </row>
    <row r="7" spans="1:6" x14ac:dyDescent="0.2">
      <c r="A7" s="11" t="s">
        <v>29</v>
      </c>
      <c r="B7" s="35" t="s">
        <v>44</v>
      </c>
      <c r="C7" s="11" t="s">
        <v>41</v>
      </c>
    </row>
    <row r="8" spans="1:6" x14ac:dyDescent="0.2">
      <c r="A8" s="11"/>
    </row>
    <row r="9" spans="1:6" ht="15" x14ac:dyDescent="0.25">
      <c r="A9" s="36">
        <v>1</v>
      </c>
      <c r="B9" s="37" t="s">
        <v>13</v>
      </c>
      <c r="C9" s="38">
        <f>'LG&amp;E and KU'!F18</f>
        <v>3.5327724665391969E-2</v>
      </c>
      <c r="D9" s="39"/>
    </row>
    <row r="10" spans="1:6" ht="15" x14ac:dyDescent="0.25">
      <c r="A10" s="36">
        <f t="shared" ref="A10:A33" si="0">A9+1</f>
        <v>2</v>
      </c>
      <c r="B10" s="40" t="s">
        <v>14</v>
      </c>
      <c r="C10" s="41">
        <f>'LG&amp;E and KU'!K18</f>
        <v>3.5652803738317758E-2</v>
      </c>
      <c r="D10" s="39"/>
    </row>
    <row r="11" spans="1:6" ht="14.25" x14ac:dyDescent="0.2">
      <c r="A11" s="36">
        <f t="shared" si="0"/>
        <v>3</v>
      </c>
      <c r="B11" s="42" t="str">
        <f>Duke!G3</f>
        <v>Duke Energy Ohio</v>
      </c>
      <c r="C11" s="43">
        <f>Duke!K18</f>
        <v>3.7530266343825669E-2</v>
      </c>
      <c r="D11" s="39"/>
    </row>
    <row r="12" spans="1:6" x14ac:dyDescent="0.2">
      <c r="A12" s="36">
        <f t="shared" si="0"/>
        <v>4</v>
      </c>
      <c r="B12" s="3" t="str">
        <f>'Dayton P&amp;L'!B3:F3</f>
        <v>Dayton Power and Light</v>
      </c>
      <c r="C12" s="46">
        <f>'Dayton P&amp;L'!F18</f>
        <v>3.819795528592293E-2</v>
      </c>
    </row>
    <row r="13" spans="1:6" ht="14.25" x14ac:dyDescent="0.2">
      <c r="A13" s="36">
        <f t="shared" si="0"/>
        <v>5</v>
      </c>
      <c r="B13" s="3" t="str">
        <f>AEP!G3</f>
        <v>AEP Texas North Company</v>
      </c>
      <c r="C13" s="44">
        <f>AEP!K18</f>
        <v>4.2456042764821948E-2</v>
      </c>
      <c r="D13" s="51"/>
    </row>
    <row r="14" spans="1:6" x14ac:dyDescent="0.2">
      <c r="A14" s="36">
        <f t="shared" si="0"/>
        <v>6</v>
      </c>
      <c r="B14" s="3" t="str">
        <f>PSEG!B3</f>
        <v>Public Service Electric and Gas Company</v>
      </c>
      <c r="C14" s="44">
        <f>PSEG!F18</f>
        <v>4.3876831465956279E-2</v>
      </c>
    </row>
    <row r="15" spans="1:6" ht="14.25" x14ac:dyDescent="0.2">
      <c r="A15" s="36">
        <f t="shared" si="0"/>
        <v>7</v>
      </c>
      <c r="B15" s="3" t="str">
        <f>AEP!B3</f>
        <v>AEP Texas Central Company</v>
      </c>
      <c r="C15" s="44">
        <f>AEP!F18</f>
        <v>4.4399890083490691E-2</v>
      </c>
      <c r="D15" s="39"/>
    </row>
    <row r="16" spans="1:6" x14ac:dyDescent="0.2">
      <c r="A16" s="36">
        <f t="shared" si="0"/>
        <v>8</v>
      </c>
      <c r="B16" s="3" t="str">
        <f>AEP!V3</f>
        <v>Indiana Michigan Power Company</v>
      </c>
      <c r="C16" s="44">
        <f>AEP!Z18</f>
        <v>4.5434166607796776E-2</v>
      </c>
    </row>
    <row r="17" spans="1:4" x14ac:dyDescent="0.2">
      <c r="A17" s="36">
        <f t="shared" si="0"/>
        <v>9</v>
      </c>
      <c r="B17" s="42" t="str">
        <f>Duke!B3</f>
        <v>Duke Energy Indiana Inc.</v>
      </c>
      <c r="C17" s="43">
        <f>Duke!F18</f>
        <v>4.6157950907150483E-2</v>
      </c>
    </row>
    <row r="18" spans="1:4" x14ac:dyDescent="0.2">
      <c r="A18" s="36">
        <f t="shared" si="0"/>
        <v>10</v>
      </c>
      <c r="B18" s="42" t="str">
        <f>DTE!B3</f>
        <v>DTE Electric Company</v>
      </c>
      <c r="C18" s="43">
        <f>DTE!F18</f>
        <v>4.7382920110192836E-2</v>
      </c>
    </row>
    <row r="19" spans="1:4" ht="14.25" x14ac:dyDescent="0.2">
      <c r="A19" s="36">
        <f t="shared" si="0"/>
        <v>11</v>
      </c>
      <c r="B19" s="3" t="str">
        <f>Exelon!G3</f>
        <v>PECO Energy Company</v>
      </c>
      <c r="C19" s="44">
        <f>Exelon!K18</f>
        <v>4.827440186322253E-2</v>
      </c>
      <c r="D19" s="39"/>
    </row>
    <row r="20" spans="1:4" x14ac:dyDescent="0.2">
      <c r="A20" s="36">
        <f t="shared" si="0"/>
        <v>12</v>
      </c>
      <c r="B20" s="3" t="str">
        <f>Ameren!B3</f>
        <v>Union Electric Company</v>
      </c>
      <c r="C20" s="44">
        <f>Ameren!F18</f>
        <v>4.8449612403100778E-2</v>
      </c>
    </row>
    <row r="21" spans="1:4" x14ac:dyDescent="0.2">
      <c r="A21" s="36">
        <f t="shared" si="0"/>
        <v>13</v>
      </c>
      <c r="B21" s="3" t="str">
        <f>AEP!AF3</f>
        <v>Ohio Power Company</v>
      </c>
      <c r="C21" s="44">
        <f>AEP!AJ18</f>
        <v>4.8494805337185531E-2</v>
      </c>
    </row>
    <row r="22" spans="1:4" x14ac:dyDescent="0.2">
      <c r="A22" s="36">
        <f t="shared" si="0"/>
        <v>14</v>
      </c>
      <c r="B22" s="42" t="str">
        <f>Exelon!B3</f>
        <v>Commonwealth Edison</v>
      </c>
      <c r="C22" s="44">
        <f>Exelon!F18</f>
        <v>4.9827212087117254E-2</v>
      </c>
    </row>
    <row r="23" spans="1:4" ht="14.25" x14ac:dyDescent="0.2">
      <c r="A23" s="36">
        <f t="shared" si="0"/>
        <v>15</v>
      </c>
      <c r="B23" s="3" t="str">
        <f>'PPL Electric Utilities'!B3</f>
        <v>PPL Electric Utilities</v>
      </c>
      <c r="C23" s="44">
        <f>'PPL Electric Utilities'!F18</f>
        <v>4.9849591749033091E-2</v>
      </c>
      <c r="D23" s="45"/>
    </row>
    <row r="24" spans="1:4" x14ac:dyDescent="0.2">
      <c r="A24" s="36">
        <f t="shared" si="0"/>
        <v>16</v>
      </c>
      <c r="B24" s="3" t="str">
        <f>Nisource!B3</f>
        <v>NiSource</v>
      </c>
      <c r="C24" s="44">
        <f>Nisource!F18</f>
        <v>4.9882331226062483E-2</v>
      </c>
    </row>
    <row r="25" spans="1:4" ht="14.25" x14ac:dyDescent="0.2">
      <c r="A25" s="36">
        <f t="shared" si="0"/>
        <v>17</v>
      </c>
      <c r="B25" s="3" t="str">
        <f>AEP!L3</f>
        <v>Appalachian Power Company</v>
      </c>
      <c r="C25" s="44">
        <f>AEP!P18</f>
        <v>5.1766127352659765E-2</v>
      </c>
      <c r="D25" s="51"/>
    </row>
    <row r="26" spans="1:4" ht="14.25" x14ac:dyDescent="0.2">
      <c r="A26" s="36">
        <f t="shared" si="0"/>
        <v>18</v>
      </c>
      <c r="B26" s="3" t="str">
        <f>'First Energy'!L3</f>
        <v>Jersey Central Power &amp; Light Co.</v>
      </c>
      <c r="C26" s="43">
        <f>'First Energy'!P18</f>
        <v>5.5016821690085101E-2</v>
      </c>
      <c r="D26" s="51"/>
    </row>
    <row r="27" spans="1:4" ht="14.25" x14ac:dyDescent="0.2">
      <c r="A27" s="36">
        <f t="shared" si="0"/>
        <v>19</v>
      </c>
      <c r="B27" s="42" t="str">
        <f>'First Energy'!Q3</f>
        <v>Metropolitan Edison Company</v>
      </c>
      <c r="C27" s="53">
        <f>'First Energy'!U18</f>
        <v>5.6067808743591838E-2</v>
      </c>
      <c r="D27" s="51"/>
    </row>
    <row r="28" spans="1:4" ht="14.25" x14ac:dyDescent="0.2">
      <c r="A28" s="36">
        <f t="shared" si="0"/>
        <v>20</v>
      </c>
      <c r="B28" s="3" t="str">
        <f>AEP!AA3</f>
        <v>Kentucky Power Company</v>
      </c>
      <c r="C28" s="44">
        <f>AEP!AE18</f>
        <v>5.8327717801370749E-2</v>
      </c>
      <c r="D28" s="51"/>
    </row>
    <row r="29" spans="1:4" ht="14.25" x14ac:dyDescent="0.2">
      <c r="A29" s="36">
        <f t="shared" si="0"/>
        <v>21</v>
      </c>
      <c r="B29" s="42" t="str">
        <f>'First Energy'!V3</f>
        <v>Pennsylvania Electric Company</v>
      </c>
      <c r="C29" s="53">
        <f>'First Energy'!Z18</f>
        <v>6.0283686397930553E-2</v>
      </c>
      <c r="D29" s="51"/>
    </row>
    <row r="30" spans="1:4" ht="16.5" x14ac:dyDescent="0.2">
      <c r="A30" s="36">
        <f t="shared" si="0"/>
        <v>22</v>
      </c>
      <c r="B30" s="42" t="str">
        <f>DTE!G3</f>
        <v xml:space="preserve">DTE Gas Company </v>
      </c>
      <c r="C30" s="43">
        <f>DTE!K18</f>
        <v>6.3492063492063489E-2</v>
      </c>
      <c r="D30" s="52"/>
    </row>
    <row r="31" spans="1:4" ht="14.25" x14ac:dyDescent="0.2">
      <c r="A31" s="36">
        <f t="shared" si="0"/>
        <v>23</v>
      </c>
      <c r="B31" s="42" t="str">
        <f>'First Energy'!G3</f>
        <v>Toledo Edison Company</v>
      </c>
      <c r="C31" s="53">
        <f>'First Energy'!K18</f>
        <v>6.4632591660859065E-2</v>
      </c>
      <c r="D31" s="51"/>
    </row>
    <row r="32" spans="1:4" x14ac:dyDescent="0.2">
      <c r="A32" s="36">
        <f t="shared" si="0"/>
        <v>24</v>
      </c>
      <c r="B32" s="3" t="str">
        <f>Ameren!G3</f>
        <v>Ameren Illinois Company</v>
      </c>
      <c r="C32" s="46">
        <f>Ameren!K18</f>
        <v>7.2640509013785784E-2</v>
      </c>
    </row>
    <row r="33" spans="1:4" ht="14.25" x14ac:dyDescent="0.2">
      <c r="A33" s="36">
        <f t="shared" si="0"/>
        <v>25</v>
      </c>
      <c r="B33" s="3" t="str">
        <f>'First Energy'!B3</f>
        <v>Ohio Edison Company</v>
      </c>
      <c r="C33" s="43">
        <f>'First Energy'!F18</f>
        <v>7.8413699864803968E-2</v>
      </c>
      <c r="D33" s="51"/>
    </row>
    <row r="34" spans="1:4" x14ac:dyDescent="0.2">
      <c r="A34" s="47"/>
      <c r="B34" s="47"/>
      <c r="C34" s="47"/>
      <c r="D34" s="47"/>
    </row>
    <row r="35" spans="1:4" x14ac:dyDescent="0.2">
      <c r="A35" s="47"/>
      <c r="B35" s="47"/>
      <c r="C35" s="47"/>
      <c r="D35" s="47"/>
    </row>
    <row r="36" spans="1:4" x14ac:dyDescent="0.2">
      <c r="A36" s="47"/>
      <c r="B36" s="47"/>
      <c r="C36" s="47"/>
      <c r="D36" s="47"/>
    </row>
    <row r="37" spans="1:4" ht="27.75" customHeight="1" x14ac:dyDescent="0.2">
      <c r="A37" s="56"/>
      <c r="B37" s="56"/>
      <c r="C37" s="56"/>
      <c r="D37" s="56"/>
    </row>
    <row r="38" spans="1:4" ht="16.5" customHeight="1" x14ac:dyDescent="0.2">
      <c r="A38" s="47"/>
      <c r="B38" s="47"/>
      <c r="C38" s="47"/>
      <c r="D38" s="47"/>
    </row>
    <row r="39" spans="1:4" ht="15" customHeight="1" x14ac:dyDescent="0.2">
      <c r="A39" s="50"/>
    </row>
    <row r="40" spans="1:4" x14ac:dyDescent="0.2">
      <c r="A40" s="50"/>
    </row>
  </sheetData>
  <mergeCells count="3">
    <mergeCell ref="A1:D1"/>
    <mergeCell ref="A2:D2"/>
    <mergeCell ref="A37:D37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20"/>
  <sheetViews>
    <sheetView zoomScaleNormal="100" workbookViewId="0">
      <pane xSplit="1" ySplit="4" topLeftCell="Z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  <col min="7" max="7" width="13.7109375" bestFit="1" customWidth="1"/>
    <col min="8" max="9" width="13.7109375" customWidth="1"/>
    <col min="10" max="10" width="11.42578125" bestFit="1" customWidth="1"/>
    <col min="11" max="11" width="13" bestFit="1" customWidth="1"/>
    <col min="12" max="12" width="13.7109375" bestFit="1" customWidth="1"/>
    <col min="13" max="14" width="13.7109375" customWidth="1"/>
    <col min="15" max="15" width="11.42578125" bestFit="1" customWidth="1"/>
    <col min="16" max="16" width="13" bestFit="1" customWidth="1"/>
    <col min="17" max="17" width="13.7109375" bestFit="1" customWidth="1"/>
    <col min="18" max="19" width="13.7109375" customWidth="1"/>
    <col min="20" max="20" width="11.42578125" bestFit="1" customWidth="1"/>
    <col min="21" max="21" width="13" bestFit="1" customWidth="1"/>
    <col min="22" max="22" width="13.7109375" bestFit="1" customWidth="1"/>
    <col min="23" max="24" width="13.7109375" customWidth="1"/>
    <col min="25" max="25" width="11.42578125" bestFit="1" customWidth="1"/>
    <col min="26" max="26" width="13" bestFit="1" customWidth="1"/>
    <col min="27" max="27" width="13.7109375" bestFit="1" customWidth="1"/>
    <col min="28" max="29" width="13.7109375" customWidth="1"/>
    <col min="30" max="30" width="11.42578125" bestFit="1" customWidth="1"/>
    <col min="31" max="31" width="13" bestFit="1" customWidth="1"/>
    <col min="32" max="32" width="13.7109375" bestFit="1" customWidth="1"/>
    <col min="33" max="34" width="13.7109375" customWidth="1"/>
    <col min="35" max="35" width="11.42578125" bestFit="1" customWidth="1"/>
    <col min="36" max="36" width="13" bestFit="1" customWidth="1"/>
  </cols>
  <sheetData>
    <row r="1" spans="1:36" x14ac:dyDescent="0.2">
      <c r="A1" s="1" t="s">
        <v>0</v>
      </c>
    </row>
    <row r="3" spans="1:36" s="1" customFormat="1" x14ac:dyDescent="0.2">
      <c r="A3" s="16"/>
      <c r="B3" s="57" t="s">
        <v>34</v>
      </c>
      <c r="C3" s="58"/>
      <c r="D3" s="58"/>
      <c r="E3" s="58"/>
      <c r="F3" s="59"/>
      <c r="G3" s="57" t="s">
        <v>35</v>
      </c>
      <c r="H3" s="58"/>
      <c r="I3" s="58"/>
      <c r="J3" s="58"/>
      <c r="K3" s="59"/>
      <c r="L3" s="57" t="s">
        <v>36</v>
      </c>
      <c r="M3" s="58"/>
      <c r="N3" s="58"/>
      <c r="O3" s="58"/>
      <c r="P3" s="59"/>
      <c r="Q3" s="57" t="s">
        <v>37</v>
      </c>
      <c r="R3" s="58"/>
      <c r="S3" s="58"/>
      <c r="T3" s="58"/>
      <c r="U3" s="59"/>
      <c r="V3" s="57" t="s">
        <v>38</v>
      </c>
      <c r="W3" s="58"/>
      <c r="X3" s="58"/>
      <c r="Y3" s="58"/>
      <c r="Z3" s="59"/>
      <c r="AA3" s="57" t="s">
        <v>40</v>
      </c>
      <c r="AB3" s="58"/>
      <c r="AC3" s="58"/>
      <c r="AD3" s="58"/>
      <c r="AE3" s="59"/>
      <c r="AF3" s="57" t="s">
        <v>39</v>
      </c>
      <c r="AG3" s="60"/>
      <c r="AH3" s="60"/>
      <c r="AI3" s="60"/>
      <c r="AJ3" s="61"/>
    </row>
    <row r="4" spans="1:36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  <c r="G4" s="10" t="s">
        <v>83</v>
      </c>
      <c r="H4" s="11" t="s">
        <v>77</v>
      </c>
      <c r="I4" s="11" t="s">
        <v>84</v>
      </c>
      <c r="J4" s="11" t="s">
        <v>85</v>
      </c>
      <c r="K4" s="12" t="s">
        <v>5</v>
      </c>
      <c r="L4" s="10" t="s">
        <v>83</v>
      </c>
      <c r="M4" s="11" t="s">
        <v>77</v>
      </c>
      <c r="N4" s="11" t="s">
        <v>84</v>
      </c>
      <c r="O4" s="11" t="s">
        <v>85</v>
      </c>
      <c r="P4" s="12" t="s">
        <v>5</v>
      </c>
      <c r="Q4" s="10" t="s">
        <v>74</v>
      </c>
      <c r="R4" s="11" t="s">
        <v>67</v>
      </c>
      <c r="S4" s="11" t="s">
        <v>75</v>
      </c>
      <c r="T4" s="11" t="s">
        <v>76</v>
      </c>
      <c r="U4" s="12" t="s">
        <v>5</v>
      </c>
      <c r="V4" s="10" t="s">
        <v>83</v>
      </c>
      <c r="W4" s="11" t="s">
        <v>77</v>
      </c>
      <c r="X4" s="11" t="s">
        <v>84</v>
      </c>
      <c r="Y4" s="11" t="s">
        <v>85</v>
      </c>
      <c r="Z4" s="12" t="s">
        <v>5</v>
      </c>
      <c r="AA4" s="10" t="s">
        <v>83</v>
      </c>
      <c r="AB4" s="11" t="s">
        <v>77</v>
      </c>
      <c r="AC4" s="11" t="s">
        <v>84</v>
      </c>
      <c r="AD4" s="11" t="s">
        <v>85</v>
      </c>
      <c r="AE4" s="12" t="s">
        <v>5</v>
      </c>
      <c r="AF4" s="10" t="s">
        <v>83</v>
      </c>
      <c r="AG4" s="11" t="s">
        <v>77</v>
      </c>
      <c r="AH4" s="11" t="s">
        <v>84</v>
      </c>
      <c r="AI4" s="11" t="s">
        <v>85</v>
      </c>
      <c r="AJ4" s="12" t="s">
        <v>5</v>
      </c>
    </row>
    <row r="5" spans="1:36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  <c r="L5" s="2"/>
      <c r="M5" s="3"/>
      <c r="N5" s="3"/>
      <c r="O5" s="3"/>
      <c r="P5" s="4"/>
      <c r="Q5" s="2"/>
      <c r="R5" s="3"/>
      <c r="S5" s="3"/>
      <c r="T5" s="3"/>
      <c r="U5" s="4"/>
      <c r="V5" s="2"/>
      <c r="W5" s="3"/>
      <c r="X5" s="3"/>
      <c r="Y5" s="3"/>
      <c r="Z5" s="4"/>
      <c r="AA5" s="2"/>
      <c r="AB5" s="3"/>
      <c r="AC5" s="3"/>
      <c r="AD5" s="3"/>
      <c r="AE5" s="4"/>
      <c r="AF5" s="2"/>
      <c r="AG5" s="3"/>
      <c r="AH5" s="3"/>
      <c r="AI5" s="3"/>
      <c r="AJ5" s="4"/>
    </row>
    <row r="6" spans="1:36" x14ac:dyDescent="0.2">
      <c r="A6" s="17" t="s">
        <v>2</v>
      </c>
      <c r="B6" s="5">
        <v>66167</v>
      </c>
      <c r="C6" s="6">
        <f>[4]AEP!$C$6</f>
        <v>138385</v>
      </c>
      <c r="D6" s="6">
        <f>[5]AEP!$B$6</f>
        <v>70928</v>
      </c>
      <c r="E6" s="6">
        <f>C6-D6</f>
        <v>67457</v>
      </c>
      <c r="F6" s="7">
        <f>E6+B6</f>
        <v>133624</v>
      </c>
      <c r="G6" s="5">
        <v>9715</v>
      </c>
      <c r="H6" s="6">
        <f>[4]AEP!$H$6</f>
        <v>20924</v>
      </c>
      <c r="I6" s="6">
        <f>[5]AEP!$G$6</f>
        <v>11252</v>
      </c>
      <c r="J6" s="6">
        <f>H6-I6</f>
        <v>9672</v>
      </c>
      <c r="K6" s="7">
        <f>J6+G6</f>
        <v>19387</v>
      </c>
      <c r="L6" s="5">
        <v>104802</v>
      </c>
      <c r="M6" s="6">
        <f>[4]AEP!$M$6</f>
        <v>192982</v>
      </c>
      <c r="N6" s="6">
        <f>[5]AEP!$L$6</f>
        <v>96332</v>
      </c>
      <c r="O6" s="6">
        <f>M6-N6</f>
        <v>96650</v>
      </c>
      <c r="P6" s="7">
        <f>O6+L6</f>
        <v>201452</v>
      </c>
      <c r="Q6" s="31" t="s">
        <v>63</v>
      </c>
      <c r="R6" s="6"/>
      <c r="S6" s="6"/>
      <c r="T6" s="6"/>
      <c r="U6" s="7"/>
      <c r="V6" s="5">
        <v>49338</v>
      </c>
      <c r="W6" s="6">
        <f>[4]AEP!$W$6</f>
        <v>97710</v>
      </c>
      <c r="X6" s="6">
        <f>[5]AEP!$V$6</f>
        <v>48647</v>
      </c>
      <c r="Y6" s="6">
        <f>W6-X6</f>
        <v>49063</v>
      </c>
      <c r="Z6" s="7">
        <f>Y6+V6</f>
        <v>98401</v>
      </c>
      <c r="AA6" s="5">
        <v>18342</v>
      </c>
      <c r="AB6" s="6">
        <f>[4]AEP!$AB$6</f>
        <v>44509</v>
      </c>
      <c r="AC6" s="6">
        <v>23078</v>
      </c>
      <c r="AD6" s="6">
        <f>AB6-AC6</f>
        <v>21431</v>
      </c>
      <c r="AE6" s="7">
        <f>AD6+AA6</f>
        <v>39773</v>
      </c>
      <c r="AF6" s="5">
        <v>65766</v>
      </c>
      <c r="AG6" s="6">
        <f>[4]AEP!$AG$6</f>
        <v>182046</v>
      </c>
      <c r="AH6" s="6">
        <f>[5]AEP!$AF$6</f>
        <v>97417</v>
      </c>
      <c r="AI6" s="6">
        <f>AG6-AH6</f>
        <v>84629</v>
      </c>
      <c r="AJ6" s="7">
        <f>AI6+AF6</f>
        <v>150395</v>
      </c>
    </row>
    <row r="7" spans="1:36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  <c r="L7" s="5"/>
      <c r="M7" s="6"/>
      <c r="N7" s="6"/>
      <c r="O7" s="6"/>
      <c r="P7" s="7"/>
      <c r="Q7" s="5"/>
      <c r="R7" s="6"/>
      <c r="S7" s="6"/>
      <c r="T7" s="6"/>
      <c r="U7" s="7"/>
      <c r="V7" s="5"/>
      <c r="W7" s="6"/>
      <c r="X7" s="6"/>
      <c r="Y7" s="6"/>
      <c r="Z7" s="7"/>
      <c r="AA7" s="5"/>
      <c r="AB7" s="6"/>
      <c r="AC7" s="6"/>
      <c r="AD7" s="6"/>
      <c r="AE7" s="7"/>
      <c r="AF7" s="5"/>
      <c r="AG7" s="6"/>
      <c r="AH7" s="6"/>
      <c r="AI7" s="6"/>
      <c r="AJ7" s="7"/>
    </row>
    <row r="8" spans="1:36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  <c r="L8" s="5"/>
      <c r="M8" s="6"/>
      <c r="N8" s="6"/>
      <c r="O8" s="6"/>
      <c r="P8" s="7"/>
      <c r="Q8" s="5"/>
      <c r="R8" s="6"/>
      <c r="S8" s="6"/>
      <c r="T8" s="6"/>
      <c r="U8" s="7"/>
      <c r="V8" s="5"/>
      <c r="W8" s="6"/>
      <c r="X8" s="6"/>
      <c r="Y8" s="6"/>
      <c r="Z8" s="7"/>
      <c r="AA8" s="5"/>
      <c r="AB8" s="6"/>
      <c r="AC8" s="6"/>
      <c r="AD8" s="6"/>
      <c r="AE8" s="7"/>
      <c r="AF8" s="5"/>
      <c r="AG8" s="6"/>
      <c r="AH8" s="6"/>
      <c r="AI8" s="6"/>
      <c r="AJ8" s="7"/>
    </row>
    <row r="9" spans="1:36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  <c r="L9" s="2"/>
      <c r="M9" s="3"/>
      <c r="N9" s="3"/>
      <c r="O9" s="3"/>
      <c r="P9" s="4"/>
      <c r="Q9" s="2"/>
      <c r="R9" s="3"/>
      <c r="S9" s="3"/>
      <c r="T9" s="3"/>
      <c r="U9" s="4"/>
      <c r="V9" s="2"/>
      <c r="W9" s="3"/>
      <c r="X9" s="3"/>
      <c r="Y9" s="3"/>
      <c r="Z9" s="4"/>
      <c r="AA9" s="2"/>
      <c r="AB9" s="3"/>
      <c r="AC9" s="3"/>
      <c r="AD9" s="3"/>
      <c r="AE9" s="4"/>
      <c r="AF9" s="2"/>
      <c r="AG9" s="3"/>
      <c r="AH9" s="3"/>
      <c r="AI9" s="3"/>
      <c r="AJ9" s="4"/>
    </row>
    <row r="10" spans="1:36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  <c r="G10" s="10" t="s">
        <v>86</v>
      </c>
      <c r="H10" s="49"/>
      <c r="I10" s="49"/>
      <c r="J10" s="11" t="s">
        <v>87</v>
      </c>
      <c r="K10" s="12" t="s">
        <v>11</v>
      </c>
      <c r="L10" s="10" t="s">
        <v>86</v>
      </c>
      <c r="M10" s="49"/>
      <c r="N10" s="49"/>
      <c r="O10" s="11" t="s">
        <v>87</v>
      </c>
      <c r="P10" s="12" t="s">
        <v>11</v>
      </c>
      <c r="Q10" s="10"/>
      <c r="R10" s="30"/>
      <c r="S10" s="30"/>
      <c r="T10" s="11"/>
      <c r="U10" s="12" t="s">
        <v>11</v>
      </c>
      <c r="V10" s="10" t="s">
        <v>86</v>
      </c>
      <c r="W10" s="49"/>
      <c r="X10" s="49"/>
      <c r="Y10" s="11" t="s">
        <v>87</v>
      </c>
      <c r="Z10" s="12" t="s">
        <v>11</v>
      </c>
      <c r="AA10" s="10" t="s">
        <v>86</v>
      </c>
      <c r="AB10" s="49"/>
      <c r="AC10" s="49"/>
      <c r="AD10" s="11" t="s">
        <v>87</v>
      </c>
      <c r="AE10" s="12" t="s">
        <v>11</v>
      </c>
      <c r="AF10" s="10" t="s">
        <v>86</v>
      </c>
      <c r="AG10" s="49"/>
      <c r="AH10" s="49"/>
      <c r="AI10" s="11" t="s">
        <v>87</v>
      </c>
      <c r="AJ10" s="12" t="s">
        <v>11</v>
      </c>
    </row>
    <row r="11" spans="1:36" x14ac:dyDescent="0.2">
      <c r="A11" s="17" t="s">
        <v>6</v>
      </c>
      <c r="B11" s="5">
        <v>265983</v>
      </c>
      <c r="C11" s="6"/>
      <c r="D11" s="6"/>
      <c r="E11" s="6">
        <f>[5]AEP!B11</f>
        <v>250620</v>
      </c>
      <c r="F11" s="4"/>
      <c r="G11" s="5">
        <v>7</v>
      </c>
      <c r="H11" s="6"/>
      <c r="I11" s="6"/>
      <c r="J11" s="6">
        <f>[5]AEP!G11</f>
        <v>6</v>
      </c>
      <c r="K11" s="4"/>
      <c r="L11" s="5">
        <f>653400+86000</f>
        <v>739400</v>
      </c>
      <c r="M11" s="6"/>
      <c r="N11" s="6"/>
      <c r="O11" s="6">
        <f>[5]AEP!L11</f>
        <v>574681</v>
      </c>
      <c r="P11" s="4"/>
      <c r="Q11" s="5"/>
      <c r="R11" s="6"/>
      <c r="S11" s="6"/>
      <c r="T11" s="6"/>
      <c r="U11" s="4"/>
      <c r="V11" s="5">
        <v>260728</v>
      </c>
      <c r="W11" s="6"/>
      <c r="X11" s="6"/>
      <c r="Y11" s="6">
        <f>[5]AEP!V11</f>
        <v>228748</v>
      </c>
      <c r="Z11" s="4"/>
      <c r="AA11" s="5">
        <f>265000+20000</f>
        <v>285000</v>
      </c>
      <c r="AB11" s="6"/>
      <c r="AC11" s="6"/>
      <c r="AD11" s="24">
        <f>[5]AEP!AA11</f>
        <v>0</v>
      </c>
      <c r="AE11" s="4"/>
      <c r="AF11" s="5">
        <v>182335</v>
      </c>
      <c r="AG11" s="6"/>
      <c r="AH11" s="6"/>
      <c r="AI11" s="24">
        <f>[5]AEP!AF11</f>
        <v>664450</v>
      </c>
      <c r="AJ11" s="4"/>
    </row>
    <row r="12" spans="1:36" x14ac:dyDescent="0.2">
      <c r="A12" s="17" t="s">
        <v>19</v>
      </c>
      <c r="B12" s="5">
        <v>0</v>
      </c>
      <c r="C12" s="6"/>
      <c r="D12" s="6"/>
      <c r="E12" s="6">
        <f>[5]AEP!B12</f>
        <v>0</v>
      </c>
      <c r="F12" s="4"/>
      <c r="G12" s="5">
        <v>0</v>
      </c>
      <c r="H12" s="6"/>
      <c r="I12" s="6"/>
      <c r="J12" s="6">
        <f>[5]AEP!G12</f>
        <v>0</v>
      </c>
      <c r="K12" s="4"/>
      <c r="L12" s="5">
        <v>0</v>
      </c>
      <c r="M12" s="6"/>
      <c r="N12" s="6"/>
      <c r="O12" s="6">
        <f>[5]AEP!L12</f>
        <v>0</v>
      </c>
      <c r="P12" s="4"/>
      <c r="Q12" s="5"/>
      <c r="R12" s="6"/>
      <c r="S12" s="6"/>
      <c r="T12" s="6"/>
      <c r="U12" s="4"/>
      <c r="V12" s="5">
        <v>0</v>
      </c>
      <c r="W12" s="6"/>
      <c r="X12" s="6"/>
      <c r="Y12" s="6">
        <f>[5]AEP!V12</f>
        <v>0</v>
      </c>
      <c r="Z12" s="4"/>
      <c r="AA12" s="5">
        <v>0</v>
      </c>
      <c r="AB12" s="6"/>
      <c r="AC12" s="6"/>
      <c r="AD12" s="24">
        <f>[5]AEP!AA12</f>
        <v>0</v>
      </c>
      <c r="AE12" s="4"/>
      <c r="AF12" s="5">
        <v>0</v>
      </c>
      <c r="AG12" s="6"/>
      <c r="AH12" s="6"/>
      <c r="AI12" s="24">
        <f>[5]AEP!AF12</f>
        <v>0</v>
      </c>
      <c r="AJ12" s="4"/>
    </row>
    <row r="13" spans="1:36" x14ac:dyDescent="0.2">
      <c r="A13" s="17" t="s">
        <v>24</v>
      </c>
      <c r="B13" s="5">
        <v>61747</v>
      </c>
      <c r="C13" s="6"/>
      <c r="D13" s="6"/>
      <c r="E13" s="6">
        <f>[5]AEP!B13</f>
        <v>80587</v>
      </c>
      <c r="F13" s="4"/>
      <c r="G13" s="5">
        <v>51835</v>
      </c>
      <c r="H13" s="6"/>
      <c r="I13" s="24"/>
      <c r="J13" s="24">
        <f>[5]AEP!G13</f>
        <v>95854</v>
      </c>
      <c r="K13" s="25"/>
      <c r="L13" s="26">
        <v>0</v>
      </c>
      <c r="M13" s="24"/>
      <c r="N13" s="24"/>
      <c r="O13" s="24">
        <f>[5]AEP!L13</f>
        <v>87783</v>
      </c>
      <c r="P13" s="25"/>
      <c r="Q13" s="26"/>
      <c r="R13" s="24"/>
      <c r="S13" s="24"/>
      <c r="T13" s="24"/>
      <c r="U13" s="25"/>
      <c r="V13" s="26">
        <v>47353</v>
      </c>
      <c r="W13" s="24"/>
      <c r="X13" s="24"/>
      <c r="Y13" s="24">
        <f>[5]AEP!V13</f>
        <v>0</v>
      </c>
      <c r="Z13" s="25"/>
      <c r="AA13" s="26">
        <v>0</v>
      </c>
      <c r="AB13" s="24"/>
      <c r="AC13" s="24"/>
      <c r="AD13" s="24">
        <f>[5]AEP!AA13</f>
        <v>0</v>
      </c>
      <c r="AE13" s="25"/>
      <c r="AF13" s="26">
        <v>34723</v>
      </c>
      <c r="AG13" s="24"/>
      <c r="AH13" s="24"/>
      <c r="AI13" s="24">
        <f>[5]AEP!AF13</f>
        <v>292051</v>
      </c>
      <c r="AJ13" s="4"/>
    </row>
    <row r="14" spans="1:36" x14ac:dyDescent="0.2">
      <c r="A14" s="17" t="s">
        <v>20</v>
      </c>
      <c r="B14" s="8">
        <v>2697161</v>
      </c>
      <c r="C14" s="9"/>
      <c r="D14" s="9"/>
      <c r="E14" s="27">
        <f>[5]AEP!B14</f>
        <v>2663016</v>
      </c>
      <c r="F14" s="4"/>
      <c r="G14" s="8">
        <v>420283</v>
      </c>
      <c r="H14" s="9"/>
      <c r="I14" s="9"/>
      <c r="J14" s="9">
        <f>[5]AEP!G14</f>
        <v>345289</v>
      </c>
      <c r="K14" s="4"/>
      <c r="L14" s="8">
        <v>3253217</v>
      </c>
      <c r="M14" s="9"/>
      <c r="N14" s="9"/>
      <c r="O14" s="9">
        <f>[5]AEP!L14</f>
        <v>3128078</v>
      </c>
      <c r="P14" s="4"/>
      <c r="Q14" s="8"/>
      <c r="R14" s="9"/>
      <c r="S14" s="9"/>
      <c r="T14" s="9"/>
      <c r="U14" s="4"/>
      <c r="V14" s="8">
        <v>1718313</v>
      </c>
      <c r="W14" s="9"/>
      <c r="X14" s="9"/>
      <c r="Y14" s="28">
        <f>[5]AEP!V14</f>
        <v>2076444</v>
      </c>
      <c r="Z14" s="4"/>
      <c r="AA14" s="8">
        <v>529472</v>
      </c>
      <c r="AB14" s="9"/>
      <c r="AC14" s="9"/>
      <c r="AD14" s="9">
        <f>[5]AEP!AA14</f>
        <v>549305</v>
      </c>
      <c r="AE14" s="4"/>
      <c r="AF14" s="8">
        <v>2188617</v>
      </c>
      <c r="AG14" s="9"/>
      <c r="AH14" s="9"/>
      <c r="AI14" s="28">
        <f>[5]AEP!AF14</f>
        <v>2840344</v>
      </c>
      <c r="AJ14" s="4"/>
    </row>
    <row r="15" spans="1:36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  <c r="L15" s="2"/>
      <c r="M15" s="3"/>
      <c r="N15" s="3"/>
      <c r="O15" s="3"/>
      <c r="P15" s="4"/>
      <c r="Q15" s="2"/>
      <c r="R15" s="3"/>
      <c r="S15" s="3"/>
      <c r="T15" s="3"/>
      <c r="U15" s="4"/>
      <c r="V15" s="2"/>
      <c r="W15" s="3"/>
      <c r="X15" s="3"/>
      <c r="Y15" s="3"/>
      <c r="Z15" s="4"/>
      <c r="AA15" s="2"/>
      <c r="AB15" s="3"/>
      <c r="AC15" s="3"/>
      <c r="AD15" s="3"/>
      <c r="AE15" s="4"/>
      <c r="AF15" s="2"/>
      <c r="AG15" s="3"/>
      <c r="AH15" s="3"/>
      <c r="AI15" s="3"/>
      <c r="AJ15" s="4"/>
    </row>
    <row r="16" spans="1:36" x14ac:dyDescent="0.2">
      <c r="A16" s="17"/>
      <c r="B16" s="5">
        <f>SUM(B11:B14)</f>
        <v>3024891</v>
      </c>
      <c r="C16" s="6"/>
      <c r="D16" s="6"/>
      <c r="E16" s="6">
        <f>SUM(E11:E14)</f>
        <v>2994223</v>
      </c>
      <c r="F16" s="7">
        <f>(B16+E16)/2</f>
        <v>3009557</v>
      </c>
      <c r="G16" s="5">
        <f>SUM(G11:G14)</f>
        <v>472125</v>
      </c>
      <c r="H16" s="6"/>
      <c r="I16" s="6"/>
      <c r="J16" s="6">
        <f>SUM(J11:J14)</f>
        <v>441149</v>
      </c>
      <c r="K16" s="7">
        <f>(G16+J16)/2</f>
        <v>456637</v>
      </c>
      <c r="L16" s="5">
        <f>SUM(L11:L14)</f>
        <v>3992617</v>
      </c>
      <c r="M16" s="6"/>
      <c r="N16" s="6"/>
      <c r="O16" s="6">
        <f>SUM(O11:O14)</f>
        <v>3790542</v>
      </c>
      <c r="P16" s="7">
        <f>(L16+O16)/2</f>
        <v>3891579.5</v>
      </c>
      <c r="Q16" s="5"/>
      <c r="R16" s="6"/>
      <c r="S16" s="6"/>
      <c r="T16" s="6"/>
      <c r="U16" s="7">
        <f>(Q16+T16)/2</f>
        <v>0</v>
      </c>
      <c r="V16" s="5">
        <f>SUM(V11:V14)</f>
        <v>2026394</v>
      </c>
      <c r="W16" s="6"/>
      <c r="X16" s="6"/>
      <c r="Y16" s="6">
        <f>SUM(Y11:Y14)</f>
        <v>2305192</v>
      </c>
      <c r="Z16" s="7">
        <f>(V16+Y16)/2</f>
        <v>2165793</v>
      </c>
      <c r="AA16" s="5">
        <f>SUM(AA11:AA14)</f>
        <v>814472</v>
      </c>
      <c r="AB16" s="6"/>
      <c r="AC16" s="6"/>
      <c r="AD16" s="6">
        <f>SUM(AD11:AD14)</f>
        <v>549305</v>
      </c>
      <c r="AE16" s="7">
        <f>(AA16+AD16)/2</f>
        <v>681888.5</v>
      </c>
      <c r="AF16" s="5">
        <f>SUM(AF11:AF14)</f>
        <v>2405675</v>
      </c>
      <c r="AG16" s="6"/>
      <c r="AH16" s="6"/>
      <c r="AI16" s="6">
        <f>SUM(AI11:AI14)</f>
        <v>3796845</v>
      </c>
      <c r="AJ16" s="7">
        <f>(AF16+AI16)/2</f>
        <v>3101260</v>
      </c>
    </row>
    <row r="17" spans="1:36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  <c r="L17" s="2"/>
      <c r="M17" s="3"/>
      <c r="N17" s="3"/>
      <c r="O17" s="3"/>
      <c r="P17" s="4"/>
      <c r="Q17" s="2"/>
      <c r="R17" s="3"/>
      <c r="S17" s="3"/>
      <c r="T17" s="3"/>
      <c r="U17" s="4"/>
      <c r="V17" s="2"/>
      <c r="W17" s="3"/>
      <c r="X17" s="3"/>
      <c r="Y17" s="3"/>
      <c r="Z17" s="4"/>
      <c r="AA17" s="2"/>
      <c r="AB17" s="3"/>
      <c r="AC17" s="3"/>
      <c r="AD17" s="3"/>
      <c r="AE17" s="4"/>
      <c r="AF17" s="2"/>
      <c r="AG17" s="3"/>
      <c r="AH17" s="3"/>
      <c r="AI17" s="3"/>
      <c r="AJ17" s="4"/>
    </row>
    <row r="18" spans="1:36" s="1" customFormat="1" x14ac:dyDescent="0.2">
      <c r="A18" s="18" t="s">
        <v>12</v>
      </c>
      <c r="B18" s="13"/>
      <c r="C18" s="14"/>
      <c r="D18" s="14"/>
      <c r="E18" s="14"/>
      <c r="F18" s="15">
        <f>F6/F16</f>
        <v>4.4399890083490691E-2</v>
      </c>
      <c r="G18" s="13"/>
      <c r="H18" s="14"/>
      <c r="I18" s="14"/>
      <c r="J18" s="14"/>
      <c r="K18" s="15">
        <f>K6/K16</f>
        <v>4.2456042764821948E-2</v>
      </c>
      <c r="L18" s="13"/>
      <c r="M18" s="14"/>
      <c r="N18" s="14"/>
      <c r="O18" s="14"/>
      <c r="P18" s="15">
        <f>P6/P16</f>
        <v>5.1766127352659765E-2</v>
      </c>
      <c r="Q18" s="13"/>
      <c r="R18" s="14"/>
      <c r="S18" s="14"/>
      <c r="T18" s="14"/>
      <c r="U18" s="15" t="s">
        <v>59</v>
      </c>
      <c r="V18" s="13"/>
      <c r="W18" s="14"/>
      <c r="X18" s="14"/>
      <c r="Y18" s="14"/>
      <c r="Z18" s="15">
        <f>Z6/Z16</f>
        <v>4.5434166607796776E-2</v>
      </c>
      <c r="AA18" s="13"/>
      <c r="AB18" s="14"/>
      <c r="AC18" s="14"/>
      <c r="AD18" s="14"/>
      <c r="AE18" s="15">
        <f>AE6/AE16</f>
        <v>5.8327717801370749E-2</v>
      </c>
      <c r="AF18" s="13"/>
      <c r="AG18" s="14"/>
      <c r="AH18" s="14"/>
      <c r="AI18" s="14"/>
      <c r="AJ18" s="15">
        <f>AJ6/AJ16</f>
        <v>4.8494805337185531E-2</v>
      </c>
    </row>
    <row r="19" spans="1:36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  <c r="L19" s="19"/>
      <c r="M19" s="19"/>
      <c r="N19" s="19"/>
      <c r="O19" s="19"/>
      <c r="P19" s="20"/>
      <c r="Q19" s="19"/>
      <c r="R19" s="19"/>
      <c r="S19" s="19"/>
      <c r="T19" s="19"/>
      <c r="U19" s="20"/>
      <c r="V19" s="19"/>
      <c r="W19" s="19"/>
      <c r="X19" s="19"/>
      <c r="Y19" s="19"/>
      <c r="Z19" s="20"/>
      <c r="AA19" s="19"/>
      <c r="AB19" s="19"/>
      <c r="AC19" s="19"/>
      <c r="AD19" s="19"/>
      <c r="AE19" s="20"/>
      <c r="AF19" s="19"/>
      <c r="AG19" s="19"/>
      <c r="AH19" s="19"/>
      <c r="AI19" s="19"/>
      <c r="AJ19" s="20"/>
    </row>
    <row r="20" spans="1:36" s="22" customFormat="1" x14ac:dyDescent="0.2">
      <c r="A20" s="22" t="s">
        <v>53</v>
      </c>
      <c r="U20" s="22">
        <v>0</v>
      </c>
      <c r="Z20" s="22">
        <v>0</v>
      </c>
      <c r="AJ20" s="22">
        <v>0</v>
      </c>
    </row>
  </sheetData>
  <mergeCells count="7">
    <mergeCell ref="B3:F3"/>
    <mergeCell ref="G3:K3"/>
    <mergeCell ref="V3:Z3"/>
    <mergeCell ref="AF3:AJ3"/>
    <mergeCell ref="L3:P3"/>
    <mergeCell ref="Q3:U3"/>
    <mergeCell ref="AA3:AE3"/>
  </mergeCells>
  <phoneticPr fontId="4" type="noConversion"/>
  <pageMargins left="0.5" right="0.5" top="1" bottom="1" header="0.5" footer="0.5"/>
  <pageSetup scale="26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F20" sqref="F20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</cols>
  <sheetData>
    <row r="1" spans="1:6" x14ac:dyDescent="0.2">
      <c r="A1" s="1" t="s">
        <v>0</v>
      </c>
    </row>
    <row r="3" spans="1:6" s="1" customFormat="1" x14ac:dyDescent="0.2">
      <c r="A3" s="16"/>
      <c r="B3" s="57" t="s">
        <v>58</v>
      </c>
      <c r="C3" s="58"/>
      <c r="D3" s="58"/>
      <c r="E3" s="58"/>
      <c r="F3" s="59"/>
    </row>
    <row r="4" spans="1:6" x14ac:dyDescent="0.2">
      <c r="A4" s="17"/>
      <c r="B4" s="10" t="s">
        <v>55</v>
      </c>
      <c r="C4" s="11"/>
      <c r="D4" s="11"/>
      <c r="E4" s="11"/>
      <c r="F4" s="12" t="s">
        <v>5</v>
      </c>
    </row>
    <row r="5" spans="1:6" x14ac:dyDescent="0.2">
      <c r="A5" s="17"/>
      <c r="B5" s="2"/>
      <c r="C5" s="3"/>
      <c r="D5" s="3"/>
      <c r="E5" s="3"/>
      <c r="F5" s="4"/>
    </row>
    <row r="6" spans="1:6" x14ac:dyDescent="0.2">
      <c r="A6" s="17" t="s">
        <v>2</v>
      </c>
      <c r="B6" s="5">
        <v>137049</v>
      </c>
      <c r="C6" s="6"/>
      <c r="D6" s="6"/>
      <c r="E6" s="6"/>
      <c r="F6" s="7">
        <f>E6+B6</f>
        <v>137049</v>
      </c>
    </row>
    <row r="7" spans="1:6" x14ac:dyDescent="0.2">
      <c r="A7" s="17"/>
      <c r="B7" s="5"/>
      <c r="C7" s="6"/>
      <c r="D7" s="6"/>
      <c r="E7" s="6"/>
      <c r="F7" s="7"/>
    </row>
    <row r="8" spans="1:6" x14ac:dyDescent="0.2">
      <c r="A8" s="17"/>
      <c r="B8" s="5"/>
      <c r="C8" s="6"/>
      <c r="D8" s="6"/>
      <c r="E8" s="6"/>
      <c r="F8" s="7"/>
    </row>
    <row r="9" spans="1:6" x14ac:dyDescent="0.2">
      <c r="A9" s="17"/>
      <c r="B9" s="2"/>
      <c r="C9" s="3"/>
      <c r="D9" s="3"/>
      <c r="E9" s="3"/>
      <c r="F9" s="4"/>
    </row>
    <row r="10" spans="1:6" x14ac:dyDescent="0.2">
      <c r="A10" s="17"/>
      <c r="B10" s="10" t="s">
        <v>56</v>
      </c>
      <c r="C10" s="11"/>
      <c r="D10" s="11"/>
      <c r="E10" s="11" t="s">
        <v>57</v>
      </c>
      <c r="F10" s="12" t="s">
        <v>11</v>
      </c>
    </row>
    <row r="11" spans="1:6" x14ac:dyDescent="0.2">
      <c r="A11" s="17" t="s">
        <v>6</v>
      </c>
      <c r="B11" s="5">
        <v>0</v>
      </c>
      <c r="C11" s="6"/>
      <c r="D11" s="6"/>
      <c r="E11" s="6">
        <v>108098</v>
      </c>
      <c r="F11" s="4"/>
    </row>
    <row r="12" spans="1:6" x14ac:dyDescent="0.2">
      <c r="A12" s="17" t="s">
        <v>19</v>
      </c>
      <c r="B12" s="5">
        <v>0</v>
      </c>
      <c r="C12" s="6"/>
      <c r="D12" s="6"/>
      <c r="E12" s="6">
        <v>0</v>
      </c>
      <c r="F12" s="4"/>
    </row>
    <row r="13" spans="1:6" x14ac:dyDescent="0.2">
      <c r="A13" s="17" t="s">
        <v>24</v>
      </c>
      <c r="B13" s="5">
        <v>0</v>
      </c>
      <c r="C13" s="6"/>
      <c r="D13" s="6"/>
      <c r="E13" s="6">
        <v>0</v>
      </c>
      <c r="F13" s="4"/>
    </row>
    <row r="14" spans="1:6" x14ac:dyDescent="0.2">
      <c r="A14" s="17" t="s">
        <v>20</v>
      </c>
      <c r="B14" s="8">
        <v>1986509</v>
      </c>
      <c r="C14" s="9"/>
      <c r="D14" s="9"/>
      <c r="E14" s="9">
        <v>2066732</v>
      </c>
      <c r="F14" s="4"/>
    </row>
    <row r="15" spans="1:6" x14ac:dyDescent="0.2">
      <c r="A15" s="17"/>
      <c r="B15" s="2"/>
      <c r="C15" s="3"/>
      <c r="D15" s="3"/>
      <c r="E15" s="3"/>
      <c r="F15" s="4"/>
    </row>
    <row r="16" spans="1:6" x14ac:dyDescent="0.2">
      <c r="A16" s="17"/>
      <c r="B16" s="5">
        <f>SUM(B11:B14)</f>
        <v>1986509</v>
      </c>
      <c r="C16" s="6"/>
      <c r="D16" s="6"/>
      <c r="E16" s="6">
        <f>SUM(E11:E14)</f>
        <v>2174830</v>
      </c>
      <c r="F16" s="7">
        <f>(B16+E16)/2</f>
        <v>2080669.5</v>
      </c>
    </row>
    <row r="17" spans="1:6" x14ac:dyDescent="0.2">
      <c r="A17" s="17"/>
      <c r="B17" s="2"/>
      <c r="C17" s="3"/>
      <c r="D17" s="3"/>
      <c r="E17" s="3"/>
      <c r="F17" s="4"/>
    </row>
    <row r="18" spans="1:6" s="1" customFormat="1" x14ac:dyDescent="0.2">
      <c r="A18" s="18" t="s">
        <v>12</v>
      </c>
      <c r="B18" s="13"/>
      <c r="C18" s="14"/>
      <c r="D18" s="14"/>
      <c r="E18" s="14"/>
      <c r="F18" s="15" t="s">
        <v>59</v>
      </c>
    </row>
    <row r="19" spans="1:6" s="1" customFormat="1" x14ac:dyDescent="0.2">
      <c r="A19" s="19"/>
      <c r="B19" s="19"/>
      <c r="C19" s="19"/>
      <c r="D19" s="19"/>
      <c r="E19" s="19"/>
      <c r="F19" s="20"/>
    </row>
  </sheetData>
  <mergeCells count="1">
    <mergeCell ref="B3:F3"/>
  </mergeCells>
  <phoneticPr fontId="4" type="noConversion"/>
  <pageMargins left="0.5" right="0.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"/>
  <sheetViews>
    <sheetView zoomScaleNormal="100" workbookViewId="0">
      <pane xSplit="1" ySplit="4" topLeftCell="M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  <col min="7" max="7" width="13.7109375" bestFit="1" customWidth="1"/>
    <col min="8" max="9" width="13.7109375" customWidth="1"/>
    <col min="10" max="10" width="11.42578125" bestFit="1" customWidth="1"/>
    <col min="11" max="11" width="13" bestFit="1" customWidth="1"/>
    <col min="12" max="12" width="13.7109375" bestFit="1" customWidth="1"/>
    <col min="13" max="14" width="13.7109375" customWidth="1"/>
    <col min="15" max="15" width="11.42578125" bestFit="1" customWidth="1"/>
    <col min="16" max="16" width="13" bestFit="1" customWidth="1"/>
    <col min="17" max="17" width="13.7109375" bestFit="1" customWidth="1"/>
    <col min="18" max="19" width="13.7109375" customWidth="1"/>
    <col min="20" max="20" width="11.42578125" bestFit="1" customWidth="1"/>
    <col min="21" max="21" width="13" bestFit="1" customWidth="1"/>
    <col min="22" max="22" width="13.7109375" bestFit="1" customWidth="1"/>
    <col min="23" max="24" width="13.7109375" customWidth="1"/>
    <col min="25" max="25" width="11.42578125" bestFit="1" customWidth="1"/>
    <col min="26" max="26" width="13" bestFit="1" customWidth="1"/>
    <col min="27" max="27" width="13.7109375" bestFit="1" customWidth="1"/>
    <col min="28" max="29" width="13.7109375" customWidth="1"/>
    <col min="30" max="30" width="11.42578125" bestFit="1" customWidth="1"/>
    <col min="31" max="31" width="13" bestFit="1" customWidth="1"/>
  </cols>
  <sheetData>
    <row r="1" spans="1:31" x14ac:dyDescent="0.2">
      <c r="A1" s="1" t="s">
        <v>0</v>
      </c>
    </row>
    <row r="3" spans="1:31" s="1" customFormat="1" x14ac:dyDescent="0.2">
      <c r="A3" s="16"/>
      <c r="B3" s="57" t="s">
        <v>45</v>
      </c>
      <c r="C3" s="58"/>
      <c r="D3" s="58"/>
      <c r="E3" s="58"/>
      <c r="F3" s="59"/>
      <c r="G3" s="57" t="s">
        <v>61</v>
      </c>
      <c r="H3" s="58"/>
      <c r="I3" s="58"/>
      <c r="J3" s="58"/>
      <c r="K3" s="59"/>
      <c r="L3" s="65" t="s">
        <v>46</v>
      </c>
      <c r="M3" s="66"/>
      <c r="N3" s="66"/>
      <c r="O3" s="66"/>
      <c r="P3" s="67"/>
      <c r="Q3" s="57" t="s">
        <v>47</v>
      </c>
      <c r="R3" s="58"/>
      <c r="S3" s="58"/>
      <c r="T3" s="58"/>
      <c r="U3" s="59"/>
      <c r="V3" s="57" t="s">
        <v>48</v>
      </c>
      <c r="W3" s="58"/>
      <c r="X3" s="58"/>
      <c r="Y3" s="58"/>
      <c r="Z3" s="59"/>
      <c r="AA3" s="57" t="s">
        <v>49</v>
      </c>
      <c r="AB3" s="58"/>
      <c r="AC3" s="58"/>
      <c r="AD3" s="58"/>
      <c r="AE3" s="59"/>
    </row>
    <row r="4" spans="1:31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  <c r="G4" s="10" t="s">
        <v>83</v>
      </c>
      <c r="H4" s="11" t="s">
        <v>77</v>
      </c>
      <c r="I4" s="11" t="s">
        <v>84</v>
      </c>
      <c r="J4" s="11" t="s">
        <v>85</v>
      </c>
      <c r="K4" s="12" t="s">
        <v>5</v>
      </c>
      <c r="L4" s="10" t="s">
        <v>71</v>
      </c>
      <c r="M4" s="11" t="s">
        <v>67</v>
      </c>
      <c r="N4" s="11" t="s">
        <v>72</v>
      </c>
      <c r="O4" s="11" t="s">
        <v>73</v>
      </c>
      <c r="P4" s="12" t="s">
        <v>5</v>
      </c>
      <c r="Q4" s="10" t="s">
        <v>71</v>
      </c>
      <c r="R4" s="11" t="s">
        <v>67</v>
      </c>
      <c r="S4" s="11" t="s">
        <v>72</v>
      </c>
      <c r="T4" s="11" t="s">
        <v>73</v>
      </c>
      <c r="U4" s="12" t="s">
        <v>5</v>
      </c>
      <c r="V4" s="10" t="s">
        <v>64</v>
      </c>
      <c r="W4" s="11" t="s">
        <v>62</v>
      </c>
      <c r="X4" s="11" t="s">
        <v>66</v>
      </c>
      <c r="Y4" s="11" t="s">
        <v>65</v>
      </c>
      <c r="Z4" s="12" t="s">
        <v>5</v>
      </c>
      <c r="AA4" s="10" t="s">
        <v>64</v>
      </c>
      <c r="AB4" s="11" t="s">
        <v>62</v>
      </c>
      <c r="AC4" s="11" t="s">
        <v>66</v>
      </c>
      <c r="AD4" s="11" t="s">
        <v>65</v>
      </c>
      <c r="AE4" s="12" t="s">
        <v>5</v>
      </c>
    </row>
    <row r="5" spans="1:31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  <c r="L5" s="2"/>
      <c r="M5" s="3"/>
      <c r="N5" s="3"/>
      <c r="O5" s="3"/>
      <c r="P5" s="4"/>
      <c r="Q5" s="2"/>
      <c r="R5" s="3"/>
      <c r="S5" s="3"/>
      <c r="T5" s="3"/>
      <c r="U5" s="4"/>
      <c r="V5" s="2"/>
      <c r="W5" s="3"/>
      <c r="X5" s="3"/>
      <c r="Y5" s="3"/>
      <c r="Z5" s="4"/>
      <c r="AA5" s="2"/>
      <c r="AB5" s="3"/>
      <c r="AC5" s="3"/>
      <c r="AD5" s="3"/>
      <c r="AE5" s="4"/>
    </row>
    <row r="6" spans="1:31" x14ac:dyDescent="0.2">
      <c r="A6" s="17" t="s">
        <v>2</v>
      </c>
      <c r="B6" s="5">
        <v>106000</v>
      </c>
      <c r="C6" s="6">
        <f>[4]Ameren!$C$6</f>
        <v>210000</v>
      </c>
      <c r="D6" s="6">
        <f>[5]Ameren!$B$6</f>
        <v>116000</v>
      </c>
      <c r="E6" s="6">
        <f>C6-D6</f>
        <v>94000</v>
      </c>
      <c r="F6" s="7">
        <f>E6+B6</f>
        <v>200000</v>
      </c>
      <c r="G6" s="5">
        <v>59000</v>
      </c>
      <c r="H6" s="6">
        <f>[4]Ameren!$H$6</f>
        <v>143000</v>
      </c>
      <c r="I6" s="6">
        <f>[5]Ameren!$G$6</f>
        <v>65000</v>
      </c>
      <c r="J6" s="6">
        <f>H6-I6</f>
        <v>78000</v>
      </c>
      <c r="K6" s="7">
        <f>J6+G6</f>
        <v>137000</v>
      </c>
      <c r="L6" s="5" t="s">
        <v>68</v>
      </c>
      <c r="M6" s="6"/>
      <c r="N6" s="6"/>
      <c r="O6" s="6"/>
      <c r="P6" s="7"/>
      <c r="Q6" s="5"/>
      <c r="R6" s="6"/>
      <c r="S6" s="6"/>
      <c r="T6" s="6"/>
      <c r="U6" s="7"/>
      <c r="V6" s="5"/>
      <c r="W6" s="6"/>
      <c r="X6" s="6"/>
      <c r="Y6" s="6"/>
      <c r="Z6" s="7"/>
      <c r="AA6" s="5"/>
      <c r="AB6" s="6"/>
      <c r="AC6" s="6"/>
      <c r="AD6" s="6"/>
      <c r="AE6" s="7"/>
    </row>
    <row r="7" spans="1:31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  <c r="L7" s="5"/>
      <c r="M7" s="6"/>
      <c r="N7" s="6"/>
      <c r="O7" s="6"/>
      <c r="P7" s="7"/>
      <c r="Q7" s="5"/>
      <c r="R7" s="6"/>
      <c r="S7" s="6"/>
      <c r="T7" s="6"/>
      <c r="U7" s="7"/>
      <c r="V7" s="5"/>
      <c r="W7" s="6"/>
      <c r="X7" s="6"/>
      <c r="Y7" s="6"/>
      <c r="Z7" s="7"/>
      <c r="AA7" s="5"/>
      <c r="AB7" s="6"/>
      <c r="AC7" s="6"/>
      <c r="AD7" s="6"/>
      <c r="AE7" s="7"/>
    </row>
    <row r="8" spans="1:31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  <c r="L8" s="5"/>
      <c r="M8" s="6"/>
      <c r="N8" s="6"/>
      <c r="O8" s="6"/>
      <c r="P8" s="7"/>
      <c r="Q8" s="5"/>
      <c r="R8" s="6"/>
      <c r="S8" s="6"/>
      <c r="T8" s="6"/>
      <c r="U8" s="7"/>
      <c r="V8" s="5"/>
      <c r="W8" s="6"/>
      <c r="X8" s="6"/>
      <c r="Y8" s="6"/>
      <c r="Z8" s="7"/>
      <c r="AA8" s="5"/>
      <c r="AB8" s="6"/>
      <c r="AC8" s="6"/>
      <c r="AD8" s="6"/>
      <c r="AE8" s="7"/>
    </row>
    <row r="9" spans="1:31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  <c r="L9" s="2"/>
      <c r="M9" s="3"/>
      <c r="N9" s="3"/>
      <c r="O9" s="3"/>
      <c r="P9" s="4"/>
      <c r="Q9" s="2"/>
      <c r="R9" s="3"/>
      <c r="S9" s="3"/>
      <c r="T9" s="3"/>
      <c r="U9" s="4"/>
      <c r="V9" s="2"/>
      <c r="W9" s="3"/>
      <c r="X9" s="3"/>
      <c r="Y9" s="3"/>
      <c r="Z9" s="4"/>
      <c r="AA9" s="2"/>
      <c r="AB9" s="3"/>
      <c r="AC9" s="3"/>
      <c r="AD9" s="3"/>
      <c r="AE9" s="4"/>
    </row>
    <row r="10" spans="1:31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  <c r="G10" s="10" t="s">
        <v>86</v>
      </c>
      <c r="H10" s="49"/>
      <c r="I10" s="49"/>
      <c r="J10" s="11" t="s">
        <v>87</v>
      </c>
      <c r="K10" s="12" t="s">
        <v>11</v>
      </c>
      <c r="L10" s="48"/>
      <c r="M10" s="49"/>
      <c r="N10" s="49"/>
      <c r="O10" s="49"/>
      <c r="P10" s="12"/>
      <c r="Q10" s="10"/>
      <c r="R10" s="11"/>
      <c r="S10" s="11"/>
      <c r="T10" s="11"/>
      <c r="U10" s="12"/>
      <c r="V10" s="29"/>
      <c r="W10" s="30"/>
      <c r="X10" s="30"/>
      <c r="Y10" s="30"/>
      <c r="Z10" s="12"/>
      <c r="AA10" s="29"/>
      <c r="AB10" s="30"/>
      <c r="AC10" s="30"/>
      <c r="AD10" s="30"/>
      <c r="AE10" s="12"/>
    </row>
    <row r="11" spans="1:31" x14ac:dyDescent="0.2">
      <c r="A11" s="17" t="s">
        <v>6</v>
      </c>
      <c r="B11" s="5">
        <v>119000</v>
      </c>
      <c r="C11" s="6"/>
      <c r="D11" s="6"/>
      <c r="E11" s="6">
        <f>[5]Ameren!B11</f>
        <v>309000</v>
      </c>
      <c r="F11" s="4"/>
      <c r="G11" s="5">
        <v>0</v>
      </c>
      <c r="H11" s="6"/>
      <c r="I11" s="6"/>
      <c r="J11" s="6">
        <f>[5]Ameren!G11</f>
        <v>150000</v>
      </c>
      <c r="K11" s="4"/>
      <c r="L11" s="5"/>
      <c r="M11" s="6"/>
      <c r="N11" s="6"/>
      <c r="O11" s="6"/>
      <c r="P11" s="4"/>
      <c r="Q11" s="5"/>
      <c r="R11" s="6"/>
      <c r="S11" s="6"/>
      <c r="T11" s="6"/>
      <c r="U11" s="4"/>
      <c r="V11" s="5"/>
      <c r="W11" s="6"/>
      <c r="X11" s="6"/>
      <c r="Y11" s="6"/>
      <c r="Z11" s="4"/>
      <c r="AA11" s="5"/>
      <c r="AB11" s="6"/>
      <c r="AC11" s="6"/>
      <c r="AD11" s="6"/>
      <c r="AE11" s="4"/>
    </row>
    <row r="12" spans="1:31" x14ac:dyDescent="0.2">
      <c r="A12" s="17" t="s">
        <v>19</v>
      </c>
      <c r="B12" s="5">
        <v>185000</v>
      </c>
      <c r="C12" s="6"/>
      <c r="D12" s="6"/>
      <c r="E12" s="6">
        <f>[5]Ameren!B12</f>
        <v>0</v>
      </c>
      <c r="F12" s="4"/>
      <c r="G12" s="5">
        <v>105000</v>
      </c>
      <c r="H12" s="6"/>
      <c r="I12" s="6"/>
      <c r="J12" s="6">
        <f>[5]Ameren!G12</f>
        <v>0</v>
      </c>
      <c r="K12" s="4"/>
      <c r="L12" s="5"/>
      <c r="M12" s="6"/>
      <c r="N12" s="6"/>
      <c r="O12" s="6"/>
      <c r="P12" s="4"/>
      <c r="Q12" s="5"/>
      <c r="R12" s="6"/>
      <c r="S12" s="6"/>
      <c r="T12" s="6"/>
      <c r="U12" s="4"/>
      <c r="V12" s="5"/>
      <c r="W12" s="6"/>
      <c r="X12" s="6"/>
      <c r="Y12" s="6"/>
      <c r="Z12" s="4"/>
      <c r="AA12" s="5"/>
      <c r="AB12" s="6"/>
      <c r="AC12" s="6"/>
      <c r="AD12" s="6"/>
      <c r="AE12" s="4"/>
    </row>
    <row r="13" spans="1:31" x14ac:dyDescent="0.2">
      <c r="A13" s="17" t="s">
        <v>24</v>
      </c>
      <c r="B13" s="5">
        <v>61000</v>
      </c>
      <c r="C13" s="6"/>
      <c r="D13" s="6"/>
      <c r="E13" s="6">
        <f>[5]Ameren!B13</f>
        <v>0</v>
      </c>
      <c r="F13" s="4"/>
      <c r="G13" s="5">
        <v>0</v>
      </c>
      <c r="H13" s="6"/>
      <c r="I13" s="6"/>
      <c r="J13" s="6">
        <f>[5]Ameren!G13</f>
        <v>0</v>
      </c>
      <c r="K13" s="4"/>
      <c r="L13" s="5"/>
      <c r="M13" s="6"/>
      <c r="N13" s="6"/>
      <c r="O13" s="6"/>
      <c r="P13" s="4"/>
      <c r="Q13" s="5"/>
      <c r="R13" s="6"/>
      <c r="S13" s="6"/>
      <c r="T13" s="6"/>
      <c r="U13" s="4"/>
      <c r="V13" s="5"/>
      <c r="W13" s="6"/>
      <c r="X13" s="6"/>
      <c r="Y13" s="6"/>
      <c r="Z13" s="4"/>
      <c r="AA13" s="5"/>
      <c r="AB13" s="6"/>
      <c r="AC13" s="6"/>
      <c r="AD13" s="6"/>
      <c r="AE13" s="4"/>
    </row>
    <row r="14" spans="1:31" x14ac:dyDescent="0.2">
      <c r="A14" s="17" t="s">
        <v>20</v>
      </c>
      <c r="B14" s="8">
        <v>3885000</v>
      </c>
      <c r="C14" s="9"/>
      <c r="D14" s="9"/>
      <c r="E14" s="9">
        <f>[5]Ameren!B14</f>
        <v>3697000</v>
      </c>
      <c r="F14" s="4"/>
      <c r="G14" s="8">
        <v>1940000</v>
      </c>
      <c r="H14" s="9"/>
      <c r="I14" s="9"/>
      <c r="J14" s="9">
        <f>[5]Ameren!G14</f>
        <v>1577000</v>
      </c>
      <c r="K14" s="4"/>
      <c r="L14" s="8"/>
      <c r="M14" s="9"/>
      <c r="N14" s="9"/>
      <c r="O14" s="9"/>
      <c r="P14" s="4"/>
      <c r="Q14" s="8"/>
      <c r="R14" s="9"/>
      <c r="S14" s="9"/>
      <c r="T14" s="9"/>
      <c r="U14" s="4"/>
      <c r="V14" s="8"/>
      <c r="W14" s="9"/>
      <c r="X14" s="9"/>
      <c r="Y14" s="9"/>
      <c r="Z14" s="4"/>
      <c r="AA14" s="8"/>
      <c r="AB14" s="9"/>
      <c r="AC14" s="9"/>
      <c r="AD14" s="9"/>
      <c r="AE14" s="4"/>
    </row>
    <row r="15" spans="1:31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  <c r="L15" s="2"/>
      <c r="M15" s="3"/>
      <c r="N15" s="3"/>
      <c r="O15" s="3"/>
      <c r="P15" s="4"/>
      <c r="Q15" s="2"/>
      <c r="R15" s="3"/>
      <c r="S15" s="3"/>
      <c r="T15" s="3"/>
      <c r="U15" s="4"/>
      <c r="V15" s="2"/>
      <c r="W15" s="3"/>
      <c r="X15" s="3"/>
      <c r="Y15" s="3"/>
      <c r="Z15" s="4"/>
      <c r="AA15" s="2"/>
      <c r="AB15" s="3"/>
      <c r="AC15" s="3"/>
      <c r="AD15" s="3"/>
      <c r="AE15" s="4"/>
    </row>
    <row r="16" spans="1:31" x14ac:dyDescent="0.2">
      <c r="A16" s="17"/>
      <c r="B16" s="5">
        <f>SUM(B11:B14)</f>
        <v>4250000</v>
      </c>
      <c r="C16" s="6"/>
      <c r="D16" s="6"/>
      <c r="E16" s="6">
        <f>SUM(E11:E14)</f>
        <v>4006000</v>
      </c>
      <c r="F16" s="7">
        <f>(B16+E16)/2</f>
        <v>4128000</v>
      </c>
      <c r="G16" s="5">
        <f>SUM(G11:G14)</f>
        <v>2045000</v>
      </c>
      <c r="H16" s="6"/>
      <c r="I16" s="6"/>
      <c r="J16" s="6">
        <f>SUM(J11:J14)</f>
        <v>1727000</v>
      </c>
      <c r="K16" s="7">
        <f>(G16+J16)/2</f>
        <v>1886000</v>
      </c>
      <c r="L16" s="5"/>
      <c r="M16" s="6"/>
      <c r="N16" s="6"/>
      <c r="O16" s="6"/>
      <c r="P16" s="7"/>
      <c r="Q16" s="5"/>
      <c r="R16" s="6"/>
      <c r="S16" s="6"/>
      <c r="T16" s="6"/>
      <c r="U16" s="7"/>
      <c r="V16" s="5"/>
      <c r="W16" s="6"/>
      <c r="X16" s="6"/>
      <c r="Y16" s="6"/>
      <c r="Z16" s="7"/>
      <c r="AA16" s="5"/>
      <c r="AB16" s="6"/>
      <c r="AC16" s="6"/>
      <c r="AD16" s="6"/>
      <c r="AE16" s="7"/>
    </row>
    <row r="17" spans="1:31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  <c r="L17" s="2"/>
      <c r="M17" s="3"/>
      <c r="N17" s="3"/>
      <c r="O17" s="3"/>
      <c r="P17" s="4"/>
      <c r="Q17" s="2"/>
      <c r="R17" s="3"/>
      <c r="S17" s="3"/>
      <c r="T17" s="3"/>
      <c r="U17" s="4"/>
      <c r="V17" s="2"/>
      <c r="W17" s="3"/>
      <c r="X17" s="3"/>
      <c r="Y17" s="3"/>
      <c r="Z17" s="4"/>
      <c r="AA17" s="2"/>
      <c r="AB17" s="3"/>
      <c r="AC17" s="3"/>
      <c r="AD17" s="3"/>
      <c r="AE17" s="4"/>
    </row>
    <row r="18" spans="1:31" s="1" customFormat="1" x14ac:dyDescent="0.2">
      <c r="A18" s="18" t="s">
        <v>12</v>
      </c>
      <c r="B18" s="13"/>
      <c r="C18" s="14"/>
      <c r="D18" s="14"/>
      <c r="E18" s="14"/>
      <c r="F18" s="15">
        <f>F6/F16</f>
        <v>4.8449612403100778E-2</v>
      </c>
      <c r="G18" s="13"/>
      <c r="H18" s="14"/>
      <c r="I18" s="14"/>
      <c r="J18" s="14"/>
      <c r="K18" s="15">
        <f>K6/K16</f>
        <v>7.2640509013785784E-2</v>
      </c>
      <c r="L18" s="13"/>
      <c r="M18" s="14"/>
      <c r="N18" s="14"/>
      <c r="O18" s="14"/>
      <c r="P18" s="15"/>
      <c r="Q18" s="13"/>
      <c r="R18" s="14"/>
      <c r="S18" s="14"/>
      <c r="T18" s="14"/>
      <c r="U18" s="15"/>
      <c r="V18" s="13"/>
      <c r="W18" s="14"/>
      <c r="X18" s="14"/>
      <c r="Y18" s="14"/>
      <c r="Z18" s="15"/>
      <c r="AA18" s="13"/>
      <c r="AB18" s="14"/>
      <c r="AC18" s="14"/>
      <c r="AD18" s="14"/>
      <c r="AE18" s="15"/>
    </row>
    <row r="19" spans="1:31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  <c r="L19" s="19"/>
      <c r="M19" s="19"/>
      <c r="N19" s="19"/>
      <c r="O19" s="19"/>
      <c r="P19" s="20"/>
      <c r="Q19" s="19"/>
      <c r="R19" s="19"/>
      <c r="S19" s="19"/>
      <c r="T19" s="19"/>
      <c r="U19" s="20"/>
      <c r="V19" s="19"/>
      <c r="W19" s="19"/>
      <c r="X19" s="19"/>
      <c r="Y19" s="19"/>
      <c r="Z19" s="20"/>
      <c r="AA19" s="19"/>
      <c r="AB19" s="19"/>
      <c r="AC19" s="19"/>
      <c r="AD19" s="19"/>
      <c r="AE19" s="20"/>
    </row>
  </sheetData>
  <mergeCells count="6">
    <mergeCell ref="V3:Z3"/>
    <mergeCell ref="AA3:AE3"/>
    <mergeCell ref="B3:F3"/>
    <mergeCell ref="G3:K3"/>
    <mergeCell ref="L3:P3"/>
    <mergeCell ref="Q3:U3"/>
  </mergeCells>
  <phoneticPr fontId="4" type="noConversion"/>
  <pageMargins left="0.5" right="0.5" top="1" bottom="1" header="0.5" footer="0.5"/>
  <pageSetup scale="3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Normal="100" workbookViewId="0">
      <pane xSplit="1" ySplit="4" topLeftCell="B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x14ac:dyDescent="0.2"/>
  <cols>
    <col min="1" max="1" width="42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</cols>
  <sheetData>
    <row r="1" spans="1:6" x14ac:dyDescent="0.2">
      <c r="A1" s="1" t="s">
        <v>0</v>
      </c>
    </row>
    <row r="3" spans="1:6" s="1" customFormat="1" x14ac:dyDescent="0.2">
      <c r="A3" s="16"/>
      <c r="B3" s="57" t="s">
        <v>50</v>
      </c>
      <c r="C3" s="58"/>
      <c r="D3" s="58"/>
      <c r="E3" s="58"/>
      <c r="F3" s="59"/>
    </row>
    <row r="4" spans="1:6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</row>
    <row r="5" spans="1:6" x14ac:dyDescent="0.2">
      <c r="A5" s="17"/>
      <c r="B5" s="2"/>
      <c r="C5" s="3"/>
      <c r="D5" s="3"/>
      <c r="E5" s="3"/>
      <c r="F5" s="4"/>
    </row>
    <row r="6" spans="1:6" x14ac:dyDescent="0.2">
      <c r="A6" s="17" t="s">
        <v>2</v>
      </c>
      <c r="B6" s="5">
        <v>16100</v>
      </c>
      <c r="C6" s="6">
        <f>'[4]Dayton P&amp;L'!$C$6</f>
        <v>37200</v>
      </c>
      <c r="D6" s="6">
        <f>'[5]Dayton P&amp;L'!$B$6</f>
        <v>19300</v>
      </c>
      <c r="E6" s="6">
        <f>C6-D6</f>
        <v>17900</v>
      </c>
      <c r="F6" s="7">
        <f>E6+B6</f>
        <v>34000</v>
      </c>
    </row>
    <row r="7" spans="1:6" x14ac:dyDescent="0.2">
      <c r="A7" s="17"/>
      <c r="B7" s="5"/>
      <c r="C7" s="6"/>
      <c r="D7" s="6"/>
      <c r="E7" s="6"/>
      <c r="F7" s="7"/>
    </row>
    <row r="8" spans="1:6" x14ac:dyDescent="0.2">
      <c r="A8" s="17"/>
      <c r="B8" s="5"/>
      <c r="C8" s="6"/>
      <c r="D8" s="6"/>
      <c r="E8" s="6"/>
      <c r="F8" s="7"/>
    </row>
    <row r="9" spans="1:6" x14ac:dyDescent="0.2">
      <c r="A9" s="17"/>
      <c r="B9" s="2"/>
      <c r="C9" s="3"/>
      <c r="D9" s="3"/>
      <c r="E9" s="3"/>
      <c r="F9" s="4"/>
    </row>
    <row r="10" spans="1:6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</row>
    <row r="11" spans="1:6" x14ac:dyDescent="0.2">
      <c r="A11" s="17" t="s">
        <v>6</v>
      </c>
      <c r="B11" s="5">
        <v>100</v>
      </c>
      <c r="C11" s="6"/>
      <c r="D11" s="6"/>
      <c r="E11" s="24">
        <f>'[5]Dayton P&amp;L'!B11</f>
        <v>470400</v>
      </c>
      <c r="F11" s="4"/>
    </row>
    <row r="12" spans="1:6" x14ac:dyDescent="0.2">
      <c r="A12" s="17" t="s">
        <v>19</v>
      </c>
      <c r="B12" s="5">
        <v>0</v>
      </c>
      <c r="C12" s="6"/>
      <c r="D12" s="6"/>
      <c r="E12" s="24">
        <f>'[5]Dayton P&amp;L'!B12</f>
        <v>0</v>
      </c>
      <c r="F12" s="4"/>
    </row>
    <row r="13" spans="1:6" x14ac:dyDescent="0.2">
      <c r="A13" s="17" t="s">
        <v>24</v>
      </c>
      <c r="B13" s="5">
        <v>0</v>
      </c>
      <c r="C13" s="6"/>
      <c r="D13" s="6"/>
      <c r="E13" s="24">
        <f>'[5]Dayton P&amp;L'!B13</f>
        <v>0</v>
      </c>
      <c r="F13" s="4"/>
    </row>
    <row r="14" spans="1:6" x14ac:dyDescent="0.2">
      <c r="A14" s="17" t="s">
        <v>20</v>
      </c>
      <c r="B14" s="8">
        <v>877000</v>
      </c>
      <c r="C14" s="9"/>
      <c r="D14" s="9"/>
      <c r="E14" s="28">
        <f>'[5]Dayton P&amp;L'!B14</f>
        <v>432700</v>
      </c>
      <c r="F14" s="4"/>
    </row>
    <row r="15" spans="1:6" x14ac:dyDescent="0.2">
      <c r="A15" s="17"/>
      <c r="B15" s="2"/>
      <c r="C15" s="3"/>
      <c r="D15" s="3"/>
      <c r="E15" s="3"/>
      <c r="F15" s="4"/>
    </row>
    <row r="16" spans="1:6" x14ac:dyDescent="0.2">
      <c r="A16" s="17"/>
      <c r="B16" s="5">
        <f>SUM(B11:B14)</f>
        <v>877100</v>
      </c>
      <c r="C16" s="6"/>
      <c r="D16" s="6"/>
      <c r="E16" s="6">
        <f>SUM(E11:E14)</f>
        <v>903100</v>
      </c>
      <c r="F16" s="7">
        <f>(B16+E16)/2</f>
        <v>890100</v>
      </c>
    </row>
    <row r="17" spans="1:6" x14ac:dyDescent="0.2">
      <c r="A17" s="17"/>
      <c r="B17" s="2"/>
      <c r="C17" s="3"/>
      <c r="D17" s="3"/>
      <c r="E17" s="3"/>
      <c r="F17" s="4"/>
    </row>
    <row r="18" spans="1:6" s="1" customFormat="1" x14ac:dyDescent="0.2">
      <c r="A18" s="18" t="s">
        <v>12</v>
      </c>
      <c r="B18" s="13"/>
      <c r="C18" s="14"/>
      <c r="D18" s="14"/>
      <c r="E18" s="14"/>
      <c r="F18" s="15">
        <f>F6/F16</f>
        <v>3.819795528592293E-2</v>
      </c>
    </row>
    <row r="19" spans="1:6" s="1" customFormat="1" x14ac:dyDescent="0.2">
      <c r="A19" s="19"/>
      <c r="B19" s="19"/>
      <c r="C19" s="19"/>
      <c r="D19" s="19"/>
      <c r="E19" s="19"/>
      <c r="F19" s="20"/>
    </row>
    <row r="20" spans="1:6" x14ac:dyDescent="0.2">
      <c r="A20" t="s">
        <v>51</v>
      </c>
      <c r="E20" s="6"/>
      <c r="F20" s="23">
        <v>0</v>
      </c>
    </row>
  </sheetData>
  <mergeCells count="1">
    <mergeCell ref="B3:F3"/>
  </mergeCells>
  <phoneticPr fontId="4" type="noConversion"/>
  <pageMargins left="0.5" right="0.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>
      <pane xSplit="1" ySplit="4" topLeftCell="B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</cols>
  <sheetData>
    <row r="1" spans="1:6" x14ac:dyDescent="0.2">
      <c r="A1" s="1" t="s">
        <v>0</v>
      </c>
    </row>
    <row r="3" spans="1:6" s="1" customFormat="1" x14ac:dyDescent="0.2">
      <c r="A3" s="16"/>
      <c r="B3" s="57" t="s">
        <v>52</v>
      </c>
      <c r="C3" s="58"/>
      <c r="D3" s="58"/>
      <c r="E3" s="58"/>
      <c r="F3" s="59"/>
    </row>
    <row r="4" spans="1:6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</row>
    <row r="5" spans="1:6" x14ac:dyDescent="0.2">
      <c r="A5" s="17"/>
      <c r="B5" s="2"/>
      <c r="C5" s="3"/>
      <c r="D5" s="3"/>
      <c r="E5" s="3"/>
      <c r="F5" s="4"/>
    </row>
    <row r="6" spans="1:6" x14ac:dyDescent="0.2">
      <c r="A6" s="17" t="s">
        <v>2</v>
      </c>
      <c r="B6" s="5">
        <v>218200</v>
      </c>
      <c r="C6" s="6">
        <f>[4]Nisource!$C$6</f>
        <v>414800</v>
      </c>
      <c r="D6" s="6">
        <f>[5]Nisource!$B$6</f>
        <v>200600</v>
      </c>
      <c r="E6" s="6">
        <f>C6-D6</f>
        <v>214200</v>
      </c>
      <c r="F6" s="7">
        <f>E6+B6</f>
        <v>432400</v>
      </c>
    </row>
    <row r="7" spans="1:6" x14ac:dyDescent="0.2">
      <c r="A7" s="17"/>
      <c r="B7" s="5"/>
      <c r="C7" s="6"/>
      <c r="D7" s="6"/>
      <c r="E7" s="6"/>
      <c r="F7" s="7"/>
    </row>
    <row r="8" spans="1:6" x14ac:dyDescent="0.2">
      <c r="A8" s="17"/>
      <c r="B8" s="5"/>
      <c r="C8" s="6"/>
      <c r="D8" s="6"/>
      <c r="E8" s="6"/>
      <c r="F8" s="7"/>
    </row>
    <row r="9" spans="1:6" x14ac:dyDescent="0.2">
      <c r="A9" s="17"/>
      <c r="B9" s="2"/>
      <c r="C9" s="3"/>
      <c r="D9" s="3"/>
      <c r="E9" s="3"/>
      <c r="F9" s="4"/>
    </row>
    <row r="10" spans="1:6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</row>
    <row r="11" spans="1:6" x14ac:dyDescent="0.2">
      <c r="A11" s="17" t="s">
        <v>6</v>
      </c>
      <c r="B11" s="5">
        <v>530000</v>
      </c>
      <c r="C11" s="6"/>
      <c r="D11" s="6"/>
      <c r="E11" s="6">
        <f>[5]Nisource!B11</f>
        <v>70700</v>
      </c>
      <c r="F11" s="4"/>
    </row>
    <row r="12" spans="1:6" x14ac:dyDescent="0.2">
      <c r="A12" s="17" t="s">
        <v>19</v>
      </c>
      <c r="B12" s="5">
        <v>1101100</v>
      </c>
      <c r="C12" s="6"/>
      <c r="D12" s="6"/>
      <c r="E12" s="6">
        <f>[5]Nisource!B12</f>
        <v>377700</v>
      </c>
      <c r="F12" s="4"/>
    </row>
    <row r="13" spans="1:6" x14ac:dyDescent="0.2">
      <c r="A13" s="17" t="s">
        <v>24</v>
      </c>
      <c r="B13" s="5">
        <v>0</v>
      </c>
      <c r="C13" s="6"/>
      <c r="D13" s="6"/>
      <c r="E13" s="6">
        <f>[5]Nisource!B13</f>
        <v>0</v>
      </c>
      <c r="F13" s="4"/>
    </row>
    <row r="14" spans="1:6" x14ac:dyDescent="0.2">
      <c r="A14" s="17" t="s">
        <v>20</v>
      </c>
      <c r="B14" s="8">
        <v>7640600</v>
      </c>
      <c r="C14" s="9"/>
      <c r="D14" s="9"/>
      <c r="E14" s="28">
        <f>[5]Nisource!B14</f>
        <v>7616700</v>
      </c>
      <c r="F14" s="4"/>
    </row>
    <row r="15" spans="1:6" x14ac:dyDescent="0.2">
      <c r="A15" s="17"/>
      <c r="B15" s="2"/>
      <c r="C15" s="3"/>
      <c r="D15" s="3"/>
      <c r="E15" s="3"/>
      <c r="F15" s="4"/>
    </row>
    <row r="16" spans="1:6" x14ac:dyDescent="0.2">
      <c r="A16" s="17"/>
      <c r="B16" s="5">
        <f>SUM(B11:B14)</f>
        <v>9271700</v>
      </c>
      <c r="C16" s="6"/>
      <c r="D16" s="6"/>
      <c r="E16" s="6">
        <f>SUM(E11:E14)</f>
        <v>8065100</v>
      </c>
      <c r="F16" s="7">
        <f>(B16+E16)/2</f>
        <v>8668400</v>
      </c>
    </row>
    <row r="17" spans="1:6" x14ac:dyDescent="0.2">
      <c r="A17" s="17"/>
      <c r="B17" s="2"/>
      <c r="C17" s="3"/>
      <c r="D17" s="3"/>
      <c r="E17" s="3"/>
      <c r="F17" s="4"/>
    </row>
    <row r="18" spans="1:6" s="1" customFormat="1" x14ac:dyDescent="0.2">
      <c r="A18" s="18" t="s">
        <v>12</v>
      </c>
      <c r="B18" s="13"/>
      <c r="C18" s="14"/>
      <c r="D18" s="14"/>
      <c r="E18" s="14"/>
      <c r="F18" s="15">
        <f>F6/F16</f>
        <v>4.9882331226062483E-2</v>
      </c>
    </row>
    <row r="19" spans="1:6" s="1" customFormat="1" x14ac:dyDescent="0.2">
      <c r="A19" s="19"/>
      <c r="B19" s="19"/>
      <c r="C19" s="19"/>
      <c r="D19" s="19"/>
      <c r="E19" s="19"/>
      <c r="F19" s="20"/>
    </row>
  </sheetData>
  <mergeCells count="1">
    <mergeCell ref="B3:F3"/>
  </mergeCells>
  <phoneticPr fontId="4" type="noConversion"/>
  <pageMargins left="0.5" right="0.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C22" sqref="C21:C22"/>
    </sheetView>
  </sheetViews>
  <sheetFormatPr defaultRowHeight="12.75" x14ac:dyDescent="0.2"/>
  <cols>
    <col min="1" max="1" width="24.85546875" bestFit="1" customWidth="1"/>
    <col min="2" max="2" width="13.140625" customWidth="1"/>
    <col min="3" max="3" width="12.7109375" customWidth="1"/>
    <col min="4" max="4" width="12.85546875" bestFit="1" customWidth="1"/>
    <col min="5" max="5" width="13.7109375" bestFit="1" customWidth="1"/>
    <col min="6" max="6" width="11.42578125" bestFit="1" customWidth="1"/>
    <col min="7" max="7" width="13" bestFit="1" customWidth="1"/>
    <col min="8" max="8" width="11.85546875" bestFit="1" customWidth="1"/>
    <col min="9" max="9" width="11.28515625" bestFit="1" customWidth="1"/>
    <col min="10" max="10" width="12.85546875" bestFit="1" customWidth="1"/>
  </cols>
  <sheetData>
    <row r="1" spans="1:10" x14ac:dyDescent="0.2">
      <c r="A1" s="1" t="s">
        <v>42</v>
      </c>
    </row>
    <row r="3" spans="1:10" s="1" customFormat="1" x14ac:dyDescent="0.2">
      <c r="A3" s="16"/>
      <c r="B3" s="57" t="s">
        <v>1</v>
      </c>
      <c r="C3" s="58"/>
      <c r="D3" s="59"/>
      <c r="E3" s="57" t="s">
        <v>13</v>
      </c>
      <c r="F3" s="58"/>
      <c r="G3" s="59"/>
      <c r="H3" s="57" t="s">
        <v>14</v>
      </c>
      <c r="I3" s="58"/>
      <c r="J3" s="59"/>
    </row>
    <row r="4" spans="1:10" x14ac:dyDescent="0.2">
      <c r="A4" s="17"/>
      <c r="B4" s="10" t="s">
        <v>3</v>
      </c>
      <c r="C4" s="11" t="s">
        <v>4</v>
      </c>
      <c r="D4" s="12" t="s">
        <v>5</v>
      </c>
      <c r="E4" s="10" t="s">
        <v>3</v>
      </c>
      <c r="F4" s="11" t="s">
        <v>4</v>
      </c>
      <c r="G4" s="12" t="s">
        <v>5</v>
      </c>
      <c r="H4" s="10" t="s">
        <v>3</v>
      </c>
      <c r="I4" s="11" t="s">
        <v>4</v>
      </c>
      <c r="J4" s="12" t="s">
        <v>5</v>
      </c>
    </row>
    <row r="5" spans="1:10" x14ac:dyDescent="0.2">
      <c r="A5" s="17"/>
      <c r="B5" s="2"/>
      <c r="C5" s="3"/>
      <c r="D5" s="4"/>
      <c r="E5" s="2"/>
      <c r="F5" s="3"/>
      <c r="G5" s="4"/>
      <c r="H5" s="2"/>
      <c r="I5" s="3"/>
      <c r="J5" s="4"/>
    </row>
    <row r="6" spans="1:10" x14ac:dyDescent="0.2">
      <c r="A6" s="17" t="s">
        <v>2</v>
      </c>
      <c r="B6" s="5">
        <f>-SUM('[1]LG&amp;E Energy'!$AG$104:$AO$104)</f>
        <v>111632.78523000001</v>
      </c>
      <c r="C6" s="6">
        <f>-SUM([3]EON_US!$K$104:$M$104)</f>
        <v>32101.029150000002</v>
      </c>
      <c r="D6" s="7">
        <f>SUM(B6:C6)</f>
        <v>143733.81438</v>
      </c>
      <c r="E6" s="5">
        <f>-SUM('[1]LG&amp;E'!$AG$104:$AO$104)</f>
        <v>30511.385629999997</v>
      </c>
      <c r="F6" s="6">
        <f>-SUM('[1]LG&amp;E'!$AC$104:$AE$104)</f>
        <v>10395</v>
      </c>
      <c r="G6" s="7">
        <f>SUM(E6:F6)</f>
        <v>40906.385629999997</v>
      </c>
      <c r="H6" s="5">
        <f>-SUM([1]KU!$AG$104:$AO$104)</f>
        <v>27757.032639999998</v>
      </c>
      <c r="I6" s="6">
        <f>-SUM([1]KU!$AC$104:$AE$104)</f>
        <v>9518</v>
      </c>
      <c r="J6" s="7">
        <f>SUM(H6:I6)</f>
        <v>37275.032639999998</v>
      </c>
    </row>
    <row r="7" spans="1:10" x14ac:dyDescent="0.2">
      <c r="A7" s="17" t="s">
        <v>17</v>
      </c>
      <c r="B7" s="8">
        <f>(-[2]Summary!$D$24-[2]Summary!$D$25)/1000</f>
        <v>-17095.205000000016</v>
      </c>
      <c r="C7" s="9">
        <v>0</v>
      </c>
      <c r="D7" s="21">
        <f>SUM(B7:C7)</f>
        <v>-17095.205000000016</v>
      </c>
      <c r="E7" s="5"/>
      <c r="F7" s="6"/>
      <c r="G7" s="7"/>
      <c r="H7" s="5"/>
      <c r="I7" s="6"/>
      <c r="J7" s="7"/>
    </row>
    <row r="8" spans="1:10" x14ac:dyDescent="0.2">
      <c r="A8" s="17"/>
      <c r="B8" s="5">
        <f>SUM(B6:B7)</f>
        <v>94537.580229999992</v>
      </c>
      <c r="C8" s="6">
        <f>SUM(C6:C7)</f>
        <v>32101.029150000002</v>
      </c>
      <c r="D8" s="7">
        <f>SUM(D6:D7)</f>
        <v>126638.60937999998</v>
      </c>
      <c r="E8" s="5"/>
      <c r="F8" s="6"/>
      <c r="G8" s="7"/>
      <c r="H8" s="5"/>
      <c r="I8" s="6"/>
      <c r="J8" s="7"/>
    </row>
    <row r="9" spans="1:10" x14ac:dyDescent="0.2">
      <c r="A9" s="17"/>
      <c r="B9" s="2"/>
      <c r="C9" s="3"/>
      <c r="D9" s="4"/>
      <c r="E9" s="2"/>
      <c r="F9" s="3"/>
      <c r="G9" s="4"/>
      <c r="H9" s="2"/>
      <c r="I9" s="3"/>
      <c r="J9" s="4"/>
    </row>
    <row r="10" spans="1:10" x14ac:dyDescent="0.2">
      <c r="A10" s="17"/>
      <c r="B10" s="10" t="s">
        <v>9</v>
      </c>
      <c r="C10" s="11" t="s">
        <v>10</v>
      </c>
      <c r="D10" s="12" t="s">
        <v>11</v>
      </c>
      <c r="E10" s="10" t="s">
        <v>9</v>
      </c>
      <c r="F10" s="11" t="s">
        <v>10</v>
      </c>
      <c r="G10" s="12" t="s">
        <v>11</v>
      </c>
      <c r="H10" s="10" t="s">
        <v>9</v>
      </c>
      <c r="I10" s="11" t="s">
        <v>10</v>
      </c>
      <c r="J10" s="12" t="s">
        <v>11</v>
      </c>
    </row>
    <row r="11" spans="1:10" x14ac:dyDescent="0.2">
      <c r="A11" s="17" t="s">
        <v>6</v>
      </c>
      <c r="B11" s="5">
        <f>'[1]LG&amp;E Energy'!$AO$195</f>
        <v>386330</v>
      </c>
      <c r="C11" s="6">
        <f>'[1]LG&amp;E Energy'!$AB$195</f>
        <v>369330</v>
      </c>
      <c r="D11" s="4"/>
      <c r="E11" s="5">
        <f>'[1]LG&amp;E'!$AO$195</f>
        <v>246200</v>
      </c>
      <c r="F11" s="6">
        <f>'[1]LG&amp;E'!$AB$195</f>
        <v>246200</v>
      </c>
      <c r="G11" s="4"/>
      <c r="H11" s="5">
        <f>[1]KU!$AO$195</f>
        <v>140130</v>
      </c>
      <c r="I11" s="6">
        <f>[1]KU!$AB$195</f>
        <v>123130</v>
      </c>
      <c r="J11" s="4"/>
    </row>
    <row r="12" spans="1:10" x14ac:dyDescent="0.2">
      <c r="A12" s="17" t="s">
        <v>7</v>
      </c>
      <c r="B12" s="5">
        <f>'[1]LG&amp;E Energy'!$AO$205</f>
        <v>52000</v>
      </c>
      <c r="C12" s="6">
        <f>'[1]LG&amp;E Energy'!$AB$205</f>
        <v>290360</v>
      </c>
      <c r="D12" s="4"/>
      <c r="E12" s="5">
        <f>'[1]LG&amp;E'!$AO$205</f>
        <v>0</v>
      </c>
      <c r="F12" s="6">
        <f>'[1]LG&amp;E'!$AB$205</f>
        <v>0</v>
      </c>
      <c r="G12" s="4"/>
      <c r="H12" s="5">
        <f>[1]KU!$AO$205</f>
        <v>0</v>
      </c>
      <c r="I12" s="6">
        <f>[1]KU!$AB$205</f>
        <v>75000</v>
      </c>
      <c r="J12" s="4"/>
    </row>
    <row r="13" spans="1:10" x14ac:dyDescent="0.2">
      <c r="A13" s="17" t="s">
        <v>16</v>
      </c>
      <c r="B13" s="5">
        <v>0</v>
      </c>
      <c r="C13" s="6">
        <v>0</v>
      </c>
      <c r="D13" s="4"/>
      <c r="E13" s="5">
        <f>'[1]LG&amp;E'!$AO$208</f>
        <v>69990</v>
      </c>
      <c r="F13" s="6">
        <f>'[1]LG&amp;E'!$AB$208</f>
        <v>81853</v>
      </c>
      <c r="G13" s="4"/>
      <c r="H13" s="5">
        <f>[1]KU!$AO$208</f>
        <v>121123</v>
      </c>
      <c r="I13" s="6">
        <f>[1]KU!$AB$208</f>
        <v>61305</v>
      </c>
      <c r="J13" s="4"/>
    </row>
    <row r="14" spans="1:10" x14ac:dyDescent="0.2">
      <c r="A14" s="17" t="s">
        <v>8</v>
      </c>
      <c r="B14" s="5">
        <f>'[1]LG&amp;E Energy'!$AO$238</f>
        <v>1513000</v>
      </c>
      <c r="C14" s="6">
        <f>'[1]LG&amp;E Energy'!$AB$238</f>
        <v>858000</v>
      </c>
      <c r="D14" s="4"/>
      <c r="E14" s="5">
        <f>'[1]LG&amp;E'!$AO$238</f>
        <v>225000</v>
      </c>
      <c r="F14" s="6">
        <f>'[1]LG&amp;E'!$AB$238</f>
        <v>225000</v>
      </c>
      <c r="G14" s="4"/>
      <c r="H14" s="5">
        <f>[1]KU!$AO$238</f>
        <v>433000</v>
      </c>
      <c r="I14" s="6">
        <f>[1]KU!$AB$238</f>
        <v>308000</v>
      </c>
      <c r="J14" s="4"/>
    </row>
    <row r="15" spans="1:10" x14ac:dyDescent="0.2">
      <c r="A15" s="17" t="s">
        <v>15</v>
      </c>
      <c r="B15" s="8">
        <f>'[1]LG&amp;E Energy'!$AO$236</f>
        <v>557157</v>
      </c>
      <c r="C15" s="9">
        <f>'[1]LG&amp;E Energy'!$AB$236</f>
        <v>856260</v>
      </c>
      <c r="D15" s="4"/>
      <c r="E15" s="8">
        <f>'[1]LG&amp;E'!$AO$236</f>
        <v>328104</v>
      </c>
      <c r="F15" s="9">
        <f>'[1]LG&amp;E'!$AB$236</f>
        <v>328104</v>
      </c>
      <c r="G15" s="4"/>
      <c r="H15" s="8">
        <f>[1]KU!$AO$236</f>
        <v>202776</v>
      </c>
      <c r="I15" s="9">
        <f>[1]KU!$AB$236</f>
        <v>227849</v>
      </c>
      <c r="J15" s="4"/>
    </row>
    <row r="16" spans="1:10" x14ac:dyDescent="0.2">
      <c r="A16" s="17"/>
      <c r="B16" s="2"/>
      <c r="C16" s="3"/>
      <c r="D16" s="4"/>
      <c r="E16" s="2"/>
      <c r="F16" s="3"/>
      <c r="G16" s="4"/>
      <c r="H16" s="2"/>
      <c r="I16" s="3"/>
      <c r="J16" s="4"/>
    </row>
    <row r="17" spans="1:10" x14ac:dyDescent="0.2">
      <c r="A17" s="17"/>
      <c r="B17" s="5">
        <f>SUM(B11:B15)</f>
        <v>2508487</v>
      </c>
      <c r="C17" s="6">
        <f>SUM(C11:C15)</f>
        <v>2373950</v>
      </c>
      <c r="D17" s="7">
        <f>(B17+C17)/2</f>
        <v>2441218.5</v>
      </c>
      <c r="E17" s="5">
        <f>SUM(E11:E15)</f>
        <v>869294</v>
      </c>
      <c r="F17" s="6">
        <f>SUM(F11:F15)</f>
        <v>881157</v>
      </c>
      <c r="G17" s="7">
        <f>(E17+F17)/2</f>
        <v>875225.5</v>
      </c>
      <c r="H17" s="5">
        <f>SUM(H11:H15)</f>
        <v>897029</v>
      </c>
      <c r="I17" s="6">
        <f>SUM(I11:I15)</f>
        <v>795284</v>
      </c>
      <c r="J17" s="7">
        <f>(H17+I17)/2</f>
        <v>846156.5</v>
      </c>
    </row>
    <row r="18" spans="1:10" x14ac:dyDescent="0.2">
      <c r="A18" s="17"/>
      <c r="B18" s="2"/>
      <c r="C18" s="3"/>
      <c r="D18" s="4"/>
      <c r="E18" s="2"/>
      <c r="F18" s="3"/>
      <c r="G18" s="4"/>
      <c r="H18" s="2"/>
      <c r="I18" s="3"/>
      <c r="J18" s="4"/>
    </row>
    <row r="19" spans="1:10" s="1" customFormat="1" x14ac:dyDescent="0.2">
      <c r="A19" s="18" t="s">
        <v>12</v>
      </c>
      <c r="B19" s="13"/>
      <c r="C19" s="14"/>
      <c r="D19" s="15">
        <f>D8/D17</f>
        <v>5.1875163726638966E-2</v>
      </c>
      <c r="E19" s="13"/>
      <c r="F19" s="14"/>
      <c r="G19" s="15">
        <f>G6/G17</f>
        <v>4.6738109927098787E-2</v>
      </c>
      <c r="H19" s="13"/>
      <c r="I19" s="14"/>
      <c r="J19" s="15">
        <f>J6/J17</f>
        <v>4.4052173138184249E-2</v>
      </c>
    </row>
    <row r="20" spans="1:10" s="1" customFormat="1" x14ac:dyDescent="0.2">
      <c r="A20" s="19"/>
      <c r="B20" s="19"/>
      <c r="C20" s="19"/>
      <c r="D20" s="20"/>
      <c r="E20" s="19"/>
      <c r="F20" s="19"/>
      <c r="G20" s="20"/>
      <c r="H20" s="19"/>
      <c r="I20" s="19"/>
      <c r="J20" s="20"/>
    </row>
    <row r="21" spans="1:10" x14ac:dyDescent="0.2">
      <c r="A21" t="s">
        <v>18</v>
      </c>
    </row>
    <row r="24" spans="1:10" x14ac:dyDescent="0.2">
      <c r="E24">
        <f>248+52+572-19</f>
        <v>853</v>
      </c>
    </row>
  </sheetData>
  <mergeCells count="3">
    <mergeCell ref="B3:D3"/>
    <mergeCell ref="E3:G3"/>
    <mergeCell ref="H3:J3"/>
  </mergeCells>
  <phoneticPr fontId="4" type="noConversion"/>
  <pageMargins left="0.75" right="0.75" top="1" bottom="1" header="0.5" footer="0.5"/>
  <pageSetup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pane xSplit="1" ySplit="4" topLeftCell="B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x14ac:dyDescent="0.2"/>
  <cols>
    <col min="1" max="1" width="27.140625" customWidth="1"/>
    <col min="2" max="2" width="13.7109375" bestFit="1" customWidth="1"/>
    <col min="3" max="4" width="13.7109375" customWidth="1"/>
    <col min="5" max="5" width="12.42578125" bestFit="1" customWidth="1"/>
    <col min="6" max="6" width="13" customWidth="1"/>
    <col min="7" max="7" width="11.85546875" bestFit="1" customWidth="1"/>
    <col min="8" max="8" width="13.140625" bestFit="1" customWidth="1"/>
    <col min="9" max="9" width="13.28515625" bestFit="1" customWidth="1"/>
    <col min="10" max="10" width="12.28515625" customWidth="1"/>
    <col min="11" max="11" width="12.85546875" bestFit="1" customWidth="1"/>
  </cols>
  <sheetData>
    <row r="1" spans="1:11" x14ac:dyDescent="0.2">
      <c r="A1" s="1" t="s">
        <v>60</v>
      </c>
    </row>
    <row r="3" spans="1:11" s="1" customFormat="1" x14ac:dyDescent="0.2">
      <c r="A3" s="16"/>
      <c r="B3" s="57" t="s">
        <v>13</v>
      </c>
      <c r="C3" s="60"/>
      <c r="D3" s="60"/>
      <c r="E3" s="60"/>
      <c r="F3" s="61"/>
      <c r="G3" s="57" t="s">
        <v>14</v>
      </c>
      <c r="H3" s="58"/>
      <c r="I3" s="58"/>
      <c r="J3" s="58"/>
      <c r="K3" s="59"/>
    </row>
    <row r="4" spans="1:11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  <c r="G4" s="10" t="s">
        <v>83</v>
      </c>
      <c r="H4" s="11" t="s">
        <v>77</v>
      </c>
      <c r="I4" s="11" t="s">
        <v>84</v>
      </c>
      <c r="J4" s="11" t="s">
        <v>85</v>
      </c>
      <c r="K4" s="12" t="s">
        <v>5</v>
      </c>
    </row>
    <row r="5" spans="1:11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</row>
    <row r="6" spans="1:11" x14ac:dyDescent="0.2">
      <c r="A6" s="17" t="s">
        <v>2</v>
      </c>
      <c r="B6" s="5">
        <v>24000</v>
      </c>
      <c r="C6" s="6">
        <f>'[4]LG&amp;E and KU'!$C$6</f>
        <v>42191</v>
      </c>
      <c r="D6" s="6">
        <v>20000</v>
      </c>
      <c r="E6" s="6">
        <f>C6-D6</f>
        <v>22191</v>
      </c>
      <c r="F6" s="7">
        <f>E6+B6</f>
        <v>46191</v>
      </c>
      <c r="G6" s="5">
        <v>39000</v>
      </c>
      <c r="H6" s="6">
        <f>'[4]LG&amp;E and KU'!$H$6</f>
        <v>71297</v>
      </c>
      <c r="I6" s="6">
        <v>34000</v>
      </c>
      <c r="J6" s="6">
        <f>H6-I6</f>
        <v>37297</v>
      </c>
      <c r="K6" s="7">
        <f>J6+G6</f>
        <v>76297</v>
      </c>
    </row>
    <row r="7" spans="1:11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</row>
    <row r="8" spans="1:11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</row>
    <row r="9" spans="1:11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</row>
    <row r="10" spans="1:11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  <c r="G10" s="10" t="s">
        <v>86</v>
      </c>
      <c r="H10" s="49"/>
      <c r="I10" s="49"/>
      <c r="J10" s="11" t="s">
        <v>87</v>
      </c>
      <c r="K10" s="12" t="s">
        <v>11</v>
      </c>
    </row>
    <row r="11" spans="1:11" x14ac:dyDescent="0.2">
      <c r="A11" s="17" t="s">
        <v>6</v>
      </c>
      <c r="B11" s="5">
        <v>0</v>
      </c>
      <c r="C11" s="6"/>
      <c r="D11" s="6"/>
      <c r="E11" s="6">
        <f>'[5]LG&amp;E and KU'!B11</f>
        <v>0</v>
      </c>
      <c r="F11" s="4"/>
      <c r="G11" s="5">
        <v>0</v>
      </c>
      <c r="H11" s="6"/>
      <c r="I11" s="6"/>
      <c r="J11" s="6">
        <f>'[5]LG&amp;E and KU'!G11</f>
        <v>0</v>
      </c>
      <c r="K11" s="4"/>
    </row>
    <row r="12" spans="1:11" x14ac:dyDescent="0.2">
      <c r="A12" s="17" t="s">
        <v>19</v>
      </c>
      <c r="B12" s="5">
        <v>70000</v>
      </c>
      <c r="C12" s="6"/>
      <c r="D12" s="6"/>
      <c r="E12" s="6">
        <f>'[5]LG&amp;E and KU'!B12</f>
        <v>80000</v>
      </c>
      <c r="F12" s="4"/>
      <c r="G12" s="5">
        <v>175000</v>
      </c>
      <c r="H12" s="6"/>
      <c r="I12" s="6"/>
      <c r="J12" s="6">
        <f>'[5]LG&amp;E and KU'!G12</f>
        <v>172000</v>
      </c>
      <c r="K12" s="4"/>
    </row>
    <row r="13" spans="1:11" x14ac:dyDescent="0.2">
      <c r="A13" s="17" t="s">
        <v>24</v>
      </c>
      <c r="B13" s="5">
        <v>0</v>
      </c>
      <c r="C13" s="6"/>
      <c r="D13" s="6"/>
      <c r="E13" s="6">
        <f>'[5]LG&amp;E and KU'!B13</f>
        <v>0</v>
      </c>
      <c r="F13" s="4"/>
      <c r="G13" s="5">
        <v>0</v>
      </c>
      <c r="H13" s="6"/>
      <c r="I13" s="6"/>
      <c r="J13" s="6">
        <f>'[5]LG&amp;E and KU'!G13</f>
        <v>0</v>
      </c>
      <c r="K13" s="4"/>
    </row>
    <row r="14" spans="1:11" x14ac:dyDescent="0.2">
      <c r="A14" s="17" t="s">
        <v>20</v>
      </c>
      <c r="B14" s="8">
        <v>1353000</v>
      </c>
      <c r="C14" s="9"/>
      <c r="D14" s="9"/>
      <c r="E14" s="9">
        <f>'[5]LG&amp;E and KU'!B14</f>
        <v>1112000</v>
      </c>
      <c r="F14" s="4"/>
      <c r="G14" s="8">
        <v>2091000</v>
      </c>
      <c r="H14" s="9"/>
      <c r="I14" s="9"/>
      <c r="J14" s="9">
        <f>'[5]LG&amp;E and KU'!G14</f>
        <v>1842000</v>
      </c>
      <c r="K14" s="4"/>
    </row>
    <row r="15" spans="1:11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</row>
    <row r="16" spans="1:11" x14ac:dyDescent="0.2">
      <c r="A16" s="17"/>
      <c r="B16" s="5">
        <f>SUM(B11:B14)</f>
        <v>1423000</v>
      </c>
      <c r="C16" s="6"/>
      <c r="D16" s="6"/>
      <c r="E16" s="6">
        <f>SUM(E11:E14)</f>
        <v>1192000</v>
      </c>
      <c r="F16" s="7">
        <f>(B16+E16)/2</f>
        <v>1307500</v>
      </c>
      <c r="G16" s="5">
        <f>SUM(G11:G14)</f>
        <v>2266000</v>
      </c>
      <c r="H16" s="6"/>
      <c r="I16" s="6"/>
      <c r="J16" s="6">
        <f>SUM(J11:J14)</f>
        <v>2014000</v>
      </c>
      <c r="K16" s="7">
        <f>(G16+J16)/2</f>
        <v>2140000</v>
      </c>
    </row>
    <row r="17" spans="1:11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</row>
    <row r="18" spans="1:11" s="1" customFormat="1" x14ac:dyDescent="0.2">
      <c r="A18" s="18" t="s">
        <v>12</v>
      </c>
      <c r="B18" s="13"/>
      <c r="C18" s="14"/>
      <c r="D18" s="14"/>
      <c r="E18" s="14"/>
      <c r="F18" s="15">
        <f>F6/F16</f>
        <v>3.5327724665391969E-2</v>
      </c>
      <c r="G18" s="13"/>
      <c r="H18" s="14"/>
      <c r="I18" s="14"/>
      <c r="J18" s="14"/>
      <c r="K18" s="15">
        <f>K6/K16</f>
        <v>3.5652803738317758E-2</v>
      </c>
    </row>
    <row r="19" spans="1:11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</row>
    <row r="20" spans="1:11" x14ac:dyDescent="0.2">
      <c r="A20" t="s">
        <v>78</v>
      </c>
      <c r="B20" s="5">
        <v>-7399</v>
      </c>
      <c r="C20" s="6"/>
      <c r="D20" s="6"/>
      <c r="E20" s="6"/>
      <c r="F20" s="4"/>
      <c r="G20" s="5">
        <v>-253</v>
      </c>
    </row>
    <row r="21" spans="1:11" x14ac:dyDescent="0.2">
      <c r="A21" t="s">
        <v>79</v>
      </c>
      <c r="B21" s="5">
        <v>792</v>
      </c>
      <c r="C21" s="6"/>
      <c r="D21" s="6"/>
      <c r="E21" s="6"/>
      <c r="F21" s="4"/>
      <c r="G21" s="5">
        <v>1044</v>
      </c>
    </row>
  </sheetData>
  <mergeCells count="2">
    <mergeCell ref="B3:F3"/>
    <mergeCell ref="G3:K3"/>
  </mergeCells>
  <phoneticPr fontId="4" type="noConversion"/>
  <pageMargins left="0.75" right="0.75" top="1" bottom="1" header="0.5" footer="0.5"/>
  <pageSetup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workbookViewId="0">
      <selection activeCell="G14" sqref="G14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3.140625" customWidth="1"/>
    <col min="6" max="6" width="13" bestFit="1" customWidth="1"/>
  </cols>
  <sheetData>
    <row r="1" spans="1:6" x14ac:dyDescent="0.2">
      <c r="A1" s="1" t="s">
        <v>0</v>
      </c>
    </row>
    <row r="3" spans="1:6" s="1" customFormat="1" x14ac:dyDescent="0.2">
      <c r="A3" s="16"/>
      <c r="B3" s="57" t="s">
        <v>21</v>
      </c>
      <c r="C3" s="58"/>
      <c r="D3" s="58"/>
      <c r="E3" s="58"/>
      <c r="F3" s="59"/>
    </row>
    <row r="4" spans="1:6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</row>
    <row r="5" spans="1:6" x14ac:dyDescent="0.2">
      <c r="A5" s="17"/>
      <c r="B5" s="2"/>
      <c r="C5" s="3"/>
      <c r="D5" s="3"/>
      <c r="E5" s="3"/>
      <c r="F5" s="4"/>
    </row>
    <row r="6" spans="1:6" x14ac:dyDescent="0.2">
      <c r="A6" s="17" t="s">
        <v>2</v>
      </c>
      <c r="B6" s="5">
        <v>58000</v>
      </c>
      <c r="C6" s="6">
        <f>'[4]PPL Electric Utilities'!$C$6</f>
        <v>108000</v>
      </c>
      <c r="D6" s="6">
        <f>'[5]PPL Electric Utilities'!$B$6</f>
        <v>50000</v>
      </c>
      <c r="E6" s="6">
        <f>C6-D6</f>
        <v>58000</v>
      </c>
      <c r="F6" s="7">
        <f>E6+B6</f>
        <v>116000</v>
      </c>
    </row>
    <row r="7" spans="1:6" x14ac:dyDescent="0.2">
      <c r="A7" s="17"/>
      <c r="B7" s="5"/>
      <c r="C7" s="6"/>
      <c r="D7" s="6"/>
      <c r="E7" s="6"/>
      <c r="F7" s="7"/>
    </row>
    <row r="8" spans="1:6" x14ac:dyDescent="0.2">
      <c r="A8" s="17"/>
      <c r="B8" s="5"/>
      <c r="C8" s="6"/>
      <c r="D8" s="6"/>
      <c r="E8" s="6"/>
      <c r="F8" s="7"/>
    </row>
    <row r="9" spans="1:6" x14ac:dyDescent="0.2">
      <c r="A9" s="17"/>
      <c r="B9" s="2"/>
      <c r="C9" s="3"/>
      <c r="D9" s="3"/>
      <c r="E9" s="3"/>
      <c r="F9" s="4"/>
    </row>
    <row r="10" spans="1:6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</row>
    <row r="11" spans="1:6" x14ac:dyDescent="0.2">
      <c r="A11" s="17" t="s">
        <v>6</v>
      </c>
      <c r="B11" s="5">
        <v>0</v>
      </c>
      <c r="C11" s="6"/>
      <c r="D11" s="6"/>
      <c r="E11" s="6">
        <f>'[5]PPL Electric Utilities'!B11</f>
        <v>10000</v>
      </c>
      <c r="F11" s="4"/>
    </row>
    <row r="12" spans="1:6" x14ac:dyDescent="0.2">
      <c r="A12" s="17" t="s">
        <v>19</v>
      </c>
      <c r="B12" s="5">
        <v>0</v>
      </c>
      <c r="C12" s="6"/>
      <c r="D12" s="6"/>
      <c r="E12" s="6">
        <f>'[5]PPL Electric Utilities'!B12</f>
        <v>85000</v>
      </c>
      <c r="F12" s="4"/>
    </row>
    <row r="13" spans="1:6" x14ac:dyDescent="0.2">
      <c r="A13" s="17" t="s">
        <v>24</v>
      </c>
      <c r="B13" s="5">
        <v>0</v>
      </c>
      <c r="C13" s="6"/>
      <c r="D13" s="6"/>
      <c r="E13" s="6">
        <f>'[5]PPL Electric Utilities'!B13</f>
        <v>0</v>
      </c>
      <c r="F13" s="4"/>
    </row>
    <row r="14" spans="1:6" x14ac:dyDescent="0.2">
      <c r="A14" s="17" t="s">
        <v>20</v>
      </c>
      <c r="B14" s="8">
        <v>2602000</v>
      </c>
      <c r="C14" s="9"/>
      <c r="D14" s="9"/>
      <c r="E14" s="9">
        <f>'[5]PPL Electric Utilities'!B14</f>
        <v>1957000</v>
      </c>
      <c r="F14" s="4"/>
    </row>
    <row r="15" spans="1:6" x14ac:dyDescent="0.2">
      <c r="A15" s="17"/>
      <c r="B15" s="2"/>
      <c r="C15" s="3"/>
      <c r="D15" s="3"/>
      <c r="E15" s="3"/>
      <c r="F15" s="4"/>
    </row>
    <row r="16" spans="1:6" x14ac:dyDescent="0.2">
      <c r="A16" s="17"/>
      <c r="B16" s="5">
        <f>SUM(B11:B14)</f>
        <v>2602000</v>
      </c>
      <c r="C16" s="6"/>
      <c r="D16" s="6"/>
      <c r="E16" s="6">
        <f>SUM(E11:E14)</f>
        <v>2052000</v>
      </c>
      <c r="F16" s="7">
        <f>(B16+E16)/2</f>
        <v>2327000</v>
      </c>
    </row>
    <row r="17" spans="1:6" x14ac:dyDescent="0.2">
      <c r="A17" s="17"/>
      <c r="B17" s="2"/>
      <c r="C17" s="3"/>
      <c r="D17" s="3"/>
      <c r="E17" s="3"/>
      <c r="F17" s="4"/>
    </row>
    <row r="18" spans="1:6" s="1" customFormat="1" x14ac:dyDescent="0.2">
      <c r="A18" s="18" t="s">
        <v>12</v>
      </c>
      <c r="B18" s="13"/>
      <c r="C18" s="14"/>
      <c r="D18" s="14"/>
      <c r="E18" s="14"/>
      <c r="F18" s="15">
        <f>F6/F16</f>
        <v>4.9849591749033091E-2</v>
      </c>
    </row>
    <row r="19" spans="1:6" s="1" customFormat="1" x14ac:dyDescent="0.2">
      <c r="A19" s="19"/>
      <c r="B19" s="19"/>
      <c r="C19" s="19"/>
      <c r="D19" s="19"/>
      <c r="E19" s="19"/>
      <c r="F19" s="20"/>
    </row>
  </sheetData>
  <mergeCells count="1">
    <mergeCell ref="B3:F3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>
      <selection activeCell="G14" sqref="G14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</cols>
  <sheetData>
    <row r="1" spans="1:6" x14ac:dyDescent="0.2">
      <c r="A1" s="1" t="s">
        <v>0</v>
      </c>
    </row>
    <row r="3" spans="1:6" s="1" customFormat="1" x14ac:dyDescent="0.2">
      <c r="A3" s="16"/>
      <c r="B3" s="57" t="s">
        <v>43</v>
      </c>
      <c r="C3" s="58"/>
      <c r="D3" s="58"/>
      <c r="E3" s="58"/>
      <c r="F3" s="59"/>
    </row>
    <row r="4" spans="1:6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</row>
    <row r="5" spans="1:6" x14ac:dyDescent="0.2">
      <c r="A5" s="17"/>
      <c r="B5" s="2"/>
      <c r="C5" s="3"/>
      <c r="D5" s="3"/>
      <c r="E5" s="3"/>
      <c r="F5" s="4"/>
    </row>
    <row r="6" spans="1:6" x14ac:dyDescent="0.2">
      <c r="A6" s="17" t="s">
        <v>2</v>
      </c>
      <c r="B6" s="5">
        <v>135000</v>
      </c>
      <c r="C6" s="6">
        <f>[4]PSEG!$C$6</f>
        <v>293000</v>
      </c>
      <c r="D6" s="6">
        <f>[5]PSEG!$B$6</f>
        <v>148000</v>
      </c>
      <c r="E6" s="6">
        <f>C6-D6</f>
        <v>145000</v>
      </c>
      <c r="F6" s="7">
        <f>E6+B6</f>
        <v>280000</v>
      </c>
    </row>
    <row r="7" spans="1:6" x14ac:dyDescent="0.2">
      <c r="A7" s="17"/>
      <c r="B7" s="5"/>
      <c r="C7" s="6"/>
      <c r="D7" s="6"/>
      <c r="E7" s="6"/>
      <c r="F7" s="7"/>
    </row>
    <row r="8" spans="1:6" x14ac:dyDescent="0.2">
      <c r="A8" s="17"/>
      <c r="B8" s="5"/>
      <c r="C8" s="6"/>
      <c r="D8" s="6"/>
      <c r="E8" s="6"/>
      <c r="F8" s="7"/>
    </row>
    <row r="9" spans="1:6" x14ac:dyDescent="0.2">
      <c r="A9" s="17"/>
      <c r="B9" s="2"/>
      <c r="C9" s="3"/>
      <c r="D9" s="3"/>
      <c r="E9" s="3"/>
      <c r="F9" s="4"/>
    </row>
    <row r="10" spans="1:6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</row>
    <row r="11" spans="1:6" x14ac:dyDescent="0.2">
      <c r="A11" s="17" t="s">
        <v>6</v>
      </c>
      <c r="B11" s="5">
        <f>800000+251000</f>
        <v>1051000</v>
      </c>
      <c r="C11" s="6"/>
      <c r="D11" s="6"/>
      <c r="E11" s="6">
        <f>[5]PSEG!B11</f>
        <v>807000</v>
      </c>
      <c r="F11" s="4"/>
    </row>
    <row r="12" spans="1:6" x14ac:dyDescent="0.2">
      <c r="A12" s="17" t="s">
        <v>19</v>
      </c>
      <c r="B12" s="5">
        <v>0</v>
      </c>
      <c r="C12" s="6"/>
      <c r="D12" s="6"/>
      <c r="E12" s="6">
        <f>[5]PSEG!B12</f>
        <v>157000</v>
      </c>
      <c r="F12" s="4"/>
    </row>
    <row r="13" spans="1:6" x14ac:dyDescent="0.2">
      <c r="A13" s="17" t="s">
        <v>24</v>
      </c>
      <c r="B13" s="5">
        <v>0</v>
      </c>
      <c r="C13" s="6"/>
      <c r="D13" s="6"/>
      <c r="E13" s="6">
        <f>[5]PSEG!B13</f>
        <v>0</v>
      </c>
      <c r="F13" s="4"/>
    </row>
    <row r="14" spans="1:6" x14ac:dyDescent="0.2">
      <c r="A14" s="17" t="s">
        <v>20</v>
      </c>
      <c r="B14" s="8">
        <v>5398000</v>
      </c>
      <c r="C14" s="9"/>
      <c r="D14" s="9"/>
      <c r="E14" s="9">
        <f>[5]PSEG!B14</f>
        <v>5350000</v>
      </c>
      <c r="F14" s="4"/>
    </row>
    <row r="15" spans="1:6" x14ac:dyDescent="0.2">
      <c r="A15" s="17"/>
      <c r="B15" s="2"/>
      <c r="C15" s="3"/>
      <c r="D15" s="3"/>
      <c r="E15" s="3"/>
      <c r="F15" s="4"/>
    </row>
    <row r="16" spans="1:6" x14ac:dyDescent="0.2">
      <c r="A16" s="17"/>
      <c r="B16" s="5">
        <f>SUM(B11:B14)</f>
        <v>6449000</v>
      </c>
      <c r="C16" s="6"/>
      <c r="D16" s="6"/>
      <c r="E16" s="6">
        <f>SUM(E11:E14)</f>
        <v>6314000</v>
      </c>
      <c r="F16" s="7">
        <f>(B16+E16)/2</f>
        <v>6381500</v>
      </c>
    </row>
    <row r="17" spans="1:6" x14ac:dyDescent="0.2">
      <c r="A17" s="17"/>
      <c r="B17" s="2"/>
      <c r="C17" s="3"/>
      <c r="D17" s="3"/>
      <c r="E17" s="3"/>
      <c r="F17" s="4"/>
    </row>
    <row r="18" spans="1:6" s="1" customFormat="1" x14ac:dyDescent="0.2">
      <c r="A18" s="18" t="s">
        <v>12</v>
      </c>
      <c r="B18" s="13"/>
      <c r="C18" s="14"/>
      <c r="D18" s="14"/>
      <c r="E18" s="14"/>
      <c r="F18" s="15">
        <f>F6/F16</f>
        <v>4.3876831465956279E-2</v>
      </c>
    </row>
    <row r="19" spans="1:6" s="1" customFormat="1" x14ac:dyDescent="0.2">
      <c r="A19" s="19"/>
      <c r="B19" s="19"/>
      <c r="C19" s="19"/>
      <c r="D19" s="19"/>
      <c r="E19" s="19"/>
      <c r="F19" s="20"/>
    </row>
  </sheetData>
  <mergeCells count="1">
    <mergeCell ref="B3:F3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zoomScaleNormal="100" workbookViewId="0">
      <pane xSplit="1" ySplit="4" topLeftCell="Q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  <col min="7" max="9" width="13.7109375" customWidth="1"/>
    <col min="10" max="10" width="11.42578125" customWidth="1"/>
    <col min="11" max="11" width="13" customWidth="1"/>
    <col min="12" max="12" width="13.7109375" bestFit="1" customWidth="1"/>
    <col min="13" max="14" width="13.7109375" customWidth="1"/>
    <col min="15" max="15" width="11.42578125" bestFit="1" customWidth="1"/>
    <col min="16" max="16" width="13" bestFit="1" customWidth="1"/>
    <col min="17" max="17" width="13.7109375" bestFit="1" customWidth="1"/>
    <col min="18" max="19" width="13.7109375" customWidth="1"/>
    <col min="20" max="20" width="11.42578125" bestFit="1" customWidth="1"/>
    <col min="21" max="21" width="13" bestFit="1" customWidth="1"/>
    <col min="22" max="22" width="13.7109375" bestFit="1" customWidth="1"/>
    <col min="23" max="24" width="13.7109375" customWidth="1"/>
    <col min="25" max="25" width="11.42578125" bestFit="1" customWidth="1"/>
    <col min="26" max="26" width="13" bestFit="1" customWidth="1"/>
  </cols>
  <sheetData>
    <row r="1" spans="1:26" x14ac:dyDescent="0.2">
      <c r="A1" s="1" t="s">
        <v>0</v>
      </c>
    </row>
    <row r="3" spans="1:26" s="1" customFormat="1" x14ac:dyDescent="0.2">
      <c r="A3" s="16"/>
      <c r="B3" s="57" t="s">
        <v>22</v>
      </c>
      <c r="C3" s="58"/>
      <c r="D3" s="58"/>
      <c r="E3" s="58"/>
      <c r="F3" s="59"/>
      <c r="G3" s="62" t="s">
        <v>23</v>
      </c>
      <c r="H3" s="63"/>
      <c r="I3" s="63"/>
      <c r="J3" s="63"/>
      <c r="K3" s="64"/>
      <c r="L3" s="57" t="s">
        <v>25</v>
      </c>
      <c r="M3" s="58"/>
      <c r="N3" s="58"/>
      <c r="O3" s="58"/>
      <c r="P3" s="59"/>
      <c r="Q3" s="62" t="s">
        <v>26</v>
      </c>
      <c r="R3" s="63"/>
      <c r="S3" s="63"/>
      <c r="T3" s="63"/>
      <c r="U3" s="64"/>
      <c r="V3" s="62" t="s">
        <v>27</v>
      </c>
      <c r="W3" s="63"/>
      <c r="X3" s="63"/>
      <c r="Y3" s="63"/>
      <c r="Z3" s="64"/>
    </row>
    <row r="4" spans="1:26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  <c r="G4" s="10" t="s">
        <v>83</v>
      </c>
      <c r="H4" s="11" t="s">
        <v>77</v>
      </c>
      <c r="I4" s="11" t="s">
        <v>84</v>
      </c>
      <c r="J4" s="11" t="s">
        <v>85</v>
      </c>
      <c r="K4" s="12" t="s">
        <v>5</v>
      </c>
      <c r="L4" s="10" t="s">
        <v>83</v>
      </c>
      <c r="M4" s="11" t="s">
        <v>77</v>
      </c>
      <c r="N4" s="11" t="s">
        <v>84</v>
      </c>
      <c r="O4" s="11" t="s">
        <v>85</v>
      </c>
      <c r="P4" s="12" t="s">
        <v>5</v>
      </c>
      <c r="Q4" s="10" t="s">
        <v>83</v>
      </c>
      <c r="R4" s="11" t="s">
        <v>77</v>
      </c>
      <c r="S4" s="11" t="s">
        <v>84</v>
      </c>
      <c r="T4" s="11" t="s">
        <v>85</v>
      </c>
      <c r="U4" s="12" t="s">
        <v>5</v>
      </c>
      <c r="V4" s="10" t="s">
        <v>83</v>
      </c>
      <c r="W4" s="11" t="s">
        <v>77</v>
      </c>
      <c r="X4" s="11" t="s">
        <v>84</v>
      </c>
      <c r="Y4" s="11" t="s">
        <v>85</v>
      </c>
      <c r="Z4" s="12" t="s">
        <v>5</v>
      </c>
    </row>
    <row r="5" spans="1:26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  <c r="L5" s="2"/>
      <c r="M5" s="3"/>
      <c r="N5" s="3"/>
      <c r="O5" s="3"/>
      <c r="P5" s="4"/>
      <c r="Q5" s="2"/>
      <c r="R5" s="3"/>
      <c r="S5" s="3"/>
      <c r="T5" s="3"/>
      <c r="U5" s="4"/>
      <c r="V5" s="2"/>
      <c r="W5" s="3"/>
      <c r="X5" s="3"/>
      <c r="Y5" s="3"/>
      <c r="Z5" s="4"/>
    </row>
    <row r="6" spans="1:26" x14ac:dyDescent="0.2">
      <c r="A6" s="17" t="s">
        <v>2</v>
      </c>
      <c r="B6" s="5">
        <v>43000</v>
      </c>
      <c r="C6" s="6">
        <f>'[4]First Energy'!$C$6</f>
        <v>90000</v>
      </c>
      <c r="D6" s="6">
        <f>'[5]First Energy'!$B$6</f>
        <v>46000</v>
      </c>
      <c r="E6" s="6">
        <f>C6-D6</f>
        <v>44000</v>
      </c>
      <c r="F6" s="7">
        <f>E6+B6</f>
        <v>87000</v>
      </c>
      <c r="G6" s="5">
        <v>18996</v>
      </c>
      <c r="H6" s="6">
        <f>'[4]First Energy'!$H$6</f>
        <v>40176</v>
      </c>
      <c r="I6" s="6">
        <f>'[5]First Energy'!$G$6</f>
        <v>21148</v>
      </c>
      <c r="J6" s="6">
        <f>H6-I6</f>
        <v>19028</v>
      </c>
      <c r="K6" s="7">
        <f>J6+G6</f>
        <v>38024</v>
      </c>
      <c r="L6" s="5">
        <v>72000</v>
      </c>
      <c r="M6" s="6">
        <f>'[4]First Energy'!$M$6</f>
        <v>127000</v>
      </c>
      <c r="N6" s="6">
        <f>'[5]First Energy'!$L$6</f>
        <v>60000</v>
      </c>
      <c r="O6" s="6">
        <f>M6-N6</f>
        <v>67000</v>
      </c>
      <c r="P6" s="7">
        <f>O6+L6</f>
        <v>139000</v>
      </c>
      <c r="Q6" s="5">
        <v>25713</v>
      </c>
      <c r="R6" s="6">
        <f>'[4]First Energy'!$R$6</f>
        <v>53997</v>
      </c>
      <c r="S6" s="6">
        <v>26765</v>
      </c>
      <c r="T6" s="6">
        <f>R6-S6</f>
        <v>27232</v>
      </c>
      <c r="U6" s="7">
        <f>T6+Q6</f>
        <v>52945</v>
      </c>
      <c r="V6" s="5">
        <v>34479</v>
      </c>
      <c r="W6" s="6">
        <f>'[4]First Energy'!$W$6</f>
        <v>69360</v>
      </c>
      <c r="X6" s="6">
        <v>34672</v>
      </c>
      <c r="Y6" s="6">
        <f>W6-X6</f>
        <v>34688</v>
      </c>
      <c r="Z6" s="7">
        <f>Y6+V6</f>
        <v>69167</v>
      </c>
    </row>
    <row r="7" spans="1:26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  <c r="L7" s="5"/>
      <c r="M7" s="6"/>
      <c r="N7" s="6"/>
      <c r="O7" s="6"/>
      <c r="P7" s="7"/>
      <c r="Q7" s="5"/>
      <c r="R7" s="6"/>
      <c r="S7" s="6"/>
      <c r="T7" s="6"/>
      <c r="U7" s="7"/>
      <c r="V7" s="5"/>
      <c r="W7" s="6"/>
      <c r="X7" s="6"/>
      <c r="Y7" s="6"/>
      <c r="Z7" s="7"/>
    </row>
    <row r="8" spans="1:26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  <c r="L8" s="5"/>
      <c r="M8" s="6"/>
      <c r="N8" s="6"/>
      <c r="O8" s="6"/>
      <c r="P8" s="7"/>
      <c r="Q8" s="5"/>
      <c r="R8" s="6"/>
      <c r="S8" s="6"/>
      <c r="T8" s="6"/>
      <c r="U8" s="7"/>
      <c r="V8" s="5"/>
      <c r="W8" s="6"/>
      <c r="X8" s="6"/>
      <c r="Y8" s="6"/>
      <c r="Z8" s="7"/>
    </row>
    <row r="9" spans="1:26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  <c r="L9" s="2"/>
      <c r="M9" s="3"/>
      <c r="N9" s="3"/>
      <c r="O9" s="3"/>
      <c r="P9" s="4"/>
      <c r="Q9" s="2"/>
      <c r="R9" s="3"/>
      <c r="S9" s="3"/>
      <c r="T9" s="3"/>
      <c r="U9" s="4"/>
      <c r="V9" s="2"/>
      <c r="W9" s="3"/>
      <c r="X9" s="3"/>
      <c r="Y9" s="3"/>
      <c r="Z9" s="4"/>
    </row>
    <row r="10" spans="1:26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  <c r="G10" s="10" t="s">
        <v>86</v>
      </c>
      <c r="H10" s="49"/>
      <c r="I10" s="49"/>
      <c r="J10" s="11" t="s">
        <v>87</v>
      </c>
      <c r="K10" s="12" t="s">
        <v>11</v>
      </c>
      <c r="L10" s="10" t="s">
        <v>86</v>
      </c>
      <c r="M10" s="49"/>
      <c r="N10" s="49"/>
      <c r="O10" s="11" t="s">
        <v>87</v>
      </c>
      <c r="P10" s="12" t="s">
        <v>11</v>
      </c>
      <c r="Q10" s="10" t="s">
        <v>86</v>
      </c>
      <c r="R10" s="49"/>
      <c r="S10" s="49"/>
      <c r="T10" s="11" t="s">
        <v>87</v>
      </c>
      <c r="U10" s="12" t="s">
        <v>11</v>
      </c>
      <c r="V10" s="10" t="s">
        <v>86</v>
      </c>
      <c r="W10" s="49"/>
      <c r="X10" s="49"/>
      <c r="Y10" s="11" t="s">
        <v>87</v>
      </c>
      <c r="Z10" s="12" t="s">
        <v>11</v>
      </c>
    </row>
    <row r="11" spans="1:26" x14ac:dyDescent="0.2">
      <c r="A11" s="17" t="s">
        <v>6</v>
      </c>
      <c r="B11" s="5">
        <v>22000</v>
      </c>
      <c r="C11" s="6"/>
      <c r="D11" s="6"/>
      <c r="E11" s="6">
        <f>'[5]First Energy'!B11</f>
        <v>17000</v>
      </c>
      <c r="F11" s="4"/>
      <c r="G11" s="5">
        <v>2691</v>
      </c>
      <c r="H11" s="6"/>
      <c r="I11" s="6"/>
      <c r="J11" s="6">
        <f>'[5]First Energy'!G11</f>
        <v>1405</v>
      </c>
      <c r="K11" s="4"/>
      <c r="L11" s="5">
        <v>40000</v>
      </c>
      <c r="M11" s="6"/>
      <c r="N11" s="6"/>
      <c r="O11" s="6">
        <f>'[5]First Energy'!L11</f>
        <v>37000</v>
      </c>
      <c r="P11" s="4"/>
      <c r="Q11" s="5">
        <v>3013</v>
      </c>
      <c r="R11" s="6"/>
      <c r="S11" s="6"/>
      <c r="T11" s="6">
        <f>'[5]First Energy'!Q11</f>
        <v>280926</v>
      </c>
      <c r="U11" s="4"/>
      <c r="V11" s="5">
        <v>4185</v>
      </c>
      <c r="W11" s="6"/>
      <c r="X11" s="6"/>
      <c r="Y11" s="6">
        <f>'[5]First Energy'!V11</f>
        <v>197811</v>
      </c>
      <c r="Z11" s="4"/>
    </row>
    <row r="12" spans="1:26" x14ac:dyDescent="0.2">
      <c r="A12" s="17" t="s">
        <v>19</v>
      </c>
      <c r="B12" s="5">
        <v>50000</v>
      </c>
      <c r="C12" s="6"/>
      <c r="D12" s="6"/>
      <c r="E12" s="6">
        <f>'[5]First Energy'!B12</f>
        <v>0</v>
      </c>
      <c r="F12" s="4"/>
      <c r="G12" s="5">
        <v>150000</v>
      </c>
      <c r="H12" s="6"/>
      <c r="I12" s="6"/>
      <c r="J12" s="6">
        <f>'[5]First Energy'!G12</f>
        <v>0</v>
      </c>
      <c r="K12" s="4"/>
      <c r="L12" s="5">
        <v>250000</v>
      </c>
      <c r="M12" s="6"/>
      <c r="N12" s="6"/>
      <c r="O12" s="6">
        <f>'[5]First Energy'!L12</f>
        <v>0</v>
      </c>
      <c r="P12" s="4"/>
      <c r="Q12" s="5">
        <v>75000</v>
      </c>
      <c r="R12" s="6"/>
      <c r="S12" s="6"/>
      <c r="T12" s="6">
        <f>'[5]First Energy'!Q12</f>
        <v>0</v>
      </c>
      <c r="U12" s="4"/>
      <c r="V12" s="5">
        <v>0</v>
      </c>
      <c r="W12" s="6"/>
      <c r="X12" s="6"/>
      <c r="Y12" s="6">
        <f>'[5]First Energy'!V12</f>
        <v>0</v>
      </c>
      <c r="Z12" s="4"/>
    </row>
    <row r="13" spans="1:26" x14ac:dyDescent="0.2">
      <c r="A13" s="17" t="s">
        <v>24</v>
      </c>
      <c r="B13" s="5">
        <v>41000</v>
      </c>
      <c r="C13" s="6"/>
      <c r="D13" s="6"/>
      <c r="E13" s="6">
        <f>'[5]First Energy'!B13</f>
        <v>0</v>
      </c>
      <c r="F13" s="4"/>
      <c r="G13" s="5">
        <v>6261</v>
      </c>
      <c r="H13" s="6"/>
      <c r="I13" s="6"/>
      <c r="J13" s="6">
        <f>'[5]First Energy'!G13</f>
        <v>0</v>
      </c>
      <c r="K13" s="4"/>
      <c r="L13" s="5">
        <v>107000</v>
      </c>
      <c r="M13" s="6"/>
      <c r="N13" s="6"/>
      <c r="O13" s="6">
        <f>'[5]First Energy'!L13</f>
        <v>793000</v>
      </c>
      <c r="P13" s="4"/>
      <c r="Q13" s="5">
        <v>0</v>
      </c>
      <c r="R13" s="6"/>
      <c r="S13" s="6"/>
      <c r="T13" s="6">
        <f>'[5]First Energy'!Q13</f>
        <v>45920</v>
      </c>
      <c r="U13" s="4"/>
      <c r="V13" s="5">
        <v>0</v>
      </c>
      <c r="W13" s="6"/>
      <c r="X13" s="6"/>
      <c r="Y13" s="6">
        <f>'[5]First Energy'!V13</f>
        <v>0</v>
      </c>
      <c r="Z13" s="4"/>
    </row>
    <row r="14" spans="1:26" x14ac:dyDescent="0.2">
      <c r="A14" s="17" t="s">
        <v>20</v>
      </c>
      <c r="B14" s="8">
        <v>913000</v>
      </c>
      <c r="C14" s="9"/>
      <c r="D14" s="9"/>
      <c r="E14" s="9">
        <f>'[5]First Energy'!B14</f>
        <v>1176000</v>
      </c>
      <c r="F14" s="4"/>
      <c r="G14" s="8">
        <v>401710</v>
      </c>
      <c r="H14" s="9"/>
      <c r="I14" s="9"/>
      <c r="J14" s="9">
        <f>'[5]First Energy'!G14</f>
        <v>614553</v>
      </c>
      <c r="K14" s="4"/>
      <c r="L14" s="8">
        <v>2142000</v>
      </c>
      <c r="M14" s="9"/>
      <c r="N14" s="9"/>
      <c r="O14" s="9">
        <f>'[5]First Energy'!L14</f>
        <v>1684000</v>
      </c>
      <c r="P14" s="4"/>
      <c r="Q14" s="8">
        <v>867406</v>
      </c>
      <c r="R14" s="9"/>
      <c r="S14" s="9"/>
      <c r="T14" s="9">
        <f>'[5]First Energy'!Q14</f>
        <v>616341</v>
      </c>
      <c r="U14" s="4"/>
      <c r="V14" s="8">
        <v>1150171</v>
      </c>
      <c r="W14" s="9"/>
      <c r="X14" s="9"/>
      <c r="Y14" s="27">
        <f>'[5]First Energy'!V14</f>
        <v>942550</v>
      </c>
      <c r="Z14" s="4"/>
    </row>
    <row r="15" spans="1:26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  <c r="L15" s="2"/>
      <c r="M15" s="3"/>
      <c r="N15" s="3"/>
      <c r="O15" s="3"/>
      <c r="P15" s="4"/>
      <c r="Q15" s="2"/>
      <c r="R15" s="3"/>
      <c r="S15" s="3"/>
      <c r="T15" s="3"/>
      <c r="U15" s="4"/>
      <c r="V15" s="2"/>
      <c r="W15" s="3"/>
      <c r="X15" s="3"/>
      <c r="Y15" s="3"/>
      <c r="Z15" s="4"/>
    </row>
    <row r="16" spans="1:26" x14ac:dyDescent="0.2">
      <c r="A16" s="17"/>
      <c r="B16" s="5">
        <f>SUM(B11:B14)</f>
        <v>1026000</v>
      </c>
      <c r="C16" s="6"/>
      <c r="D16" s="6"/>
      <c r="E16" s="6">
        <f>SUM(E11:E14)</f>
        <v>1193000</v>
      </c>
      <c r="F16" s="7">
        <f>(B16+E16)/2</f>
        <v>1109500</v>
      </c>
      <c r="G16" s="5">
        <f>SUM(G11:G14)</f>
        <v>560662</v>
      </c>
      <c r="H16" s="6"/>
      <c r="I16" s="6"/>
      <c r="J16" s="6">
        <f>SUM(J11:J14)</f>
        <v>615958</v>
      </c>
      <c r="K16" s="7">
        <f>(G16+J16)/2</f>
        <v>588310</v>
      </c>
      <c r="L16" s="5">
        <f>SUM(L11:L14)</f>
        <v>2539000</v>
      </c>
      <c r="M16" s="6"/>
      <c r="N16" s="6"/>
      <c r="O16" s="6">
        <f>SUM(O11:O14)</f>
        <v>2514000</v>
      </c>
      <c r="P16" s="7">
        <f>(L16+O16)/2</f>
        <v>2526500</v>
      </c>
      <c r="Q16" s="5">
        <f>SUM(Q11:Q14)</f>
        <v>945419</v>
      </c>
      <c r="R16" s="6"/>
      <c r="S16" s="6"/>
      <c r="T16" s="6">
        <f>SUM(T11:T14)</f>
        <v>943187</v>
      </c>
      <c r="U16" s="7">
        <f>(Q16+T16)/2</f>
        <v>944303</v>
      </c>
      <c r="V16" s="5">
        <f>SUM(V11:V14)</f>
        <v>1154356</v>
      </c>
      <c r="W16" s="6"/>
      <c r="X16" s="6"/>
      <c r="Y16" s="6">
        <f>SUM(Y11:Y14)</f>
        <v>1140361</v>
      </c>
      <c r="Z16" s="7">
        <f>(V16+Y16)/2</f>
        <v>1147358.5</v>
      </c>
    </row>
    <row r="17" spans="1:26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  <c r="L17" s="2"/>
      <c r="M17" s="3"/>
      <c r="N17" s="3"/>
      <c r="O17" s="3"/>
      <c r="P17" s="4"/>
      <c r="Q17" s="2"/>
      <c r="R17" s="3"/>
      <c r="S17" s="3"/>
      <c r="T17" s="3"/>
      <c r="U17" s="4"/>
      <c r="V17" s="2"/>
      <c r="W17" s="3"/>
      <c r="X17" s="3"/>
      <c r="Y17" s="3"/>
      <c r="Z17" s="4"/>
    </row>
    <row r="18" spans="1:26" s="1" customFormat="1" x14ac:dyDescent="0.2">
      <c r="A18" s="18" t="s">
        <v>12</v>
      </c>
      <c r="B18" s="13"/>
      <c r="C18" s="14"/>
      <c r="D18" s="14"/>
      <c r="E18" s="14"/>
      <c r="F18" s="15">
        <f>F6/F16</f>
        <v>7.8413699864803968E-2</v>
      </c>
      <c r="G18" s="13"/>
      <c r="H18" s="14"/>
      <c r="I18" s="14"/>
      <c r="J18" s="14"/>
      <c r="K18" s="15">
        <f>K6/K16</f>
        <v>6.4632591660859065E-2</v>
      </c>
      <c r="L18" s="13"/>
      <c r="M18" s="14"/>
      <c r="N18" s="14"/>
      <c r="O18" s="14"/>
      <c r="P18" s="15">
        <f>P6/P16</f>
        <v>5.5016821690085101E-2</v>
      </c>
      <c r="Q18" s="13"/>
      <c r="R18" s="14"/>
      <c r="S18" s="14"/>
      <c r="T18" s="14"/>
      <c r="U18" s="15">
        <f>U6/U16</f>
        <v>5.6067808743591838E-2</v>
      </c>
      <c r="V18" s="13"/>
      <c r="W18" s="14"/>
      <c r="X18" s="14"/>
      <c r="Y18" s="14"/>
      <c r="Z18" s="15">
        <f>Z6/Z16</f>
        <v>6.0283686397930553E-2</v>
      </c>
    </row>
    <row r="19" spans="1:26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  <c r="L19" s="19"/>
      <c r="M19" s="19"/>
      <c r="N19" s="19"/>
      <c r="O19" s="19"/>
      <c r="P19" s="20"/>
      <c r="Q19" s="19"/>
      <c r="R19" s="19"/>
      <c r="S19" s="19"/>
      <c r="T19" s="19"/>
      <c r="U19" s="20"/>
      <c r="V19" s="19"/>
      <c r="W19" s="19"/>
      <c r="X19" s="19"/>
      <c r="Y19" s="19"/>
      <c r="Z19" s="20"/>
    </row>
  </sheetData>
  <mergeCells count="5">
    <mergeCell ref="Q3:U3"/>
    <mergeCell ref="V3:Z3"/>
    <mergeCell ref="B3:F3"/>
    <mergeCell ref="G3:K3"/>
    <mergeCell ref="L3:P3"/>
  </mergeCells>
  <phoneticPr fontId="4" type="noConversion"/>
  <pageMargins left="0.75" right="0.75" top="1" bottom="1" header="0.5" footer="0.5"/>
  <pageSetup scale="3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21"/>
  <sheetViews>
    <sheetView zoomScaleNormal="100" workbookViewId="0">
      <pane xSplit="1" ySplit="4" topLeftCell="B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  <col min="7" max="7" width="13.7109375" bestFit="1" customWidth="1"/>
    <col min="8" max="9" width="13.7109375" customWidth="1"/>
    <col min="10" max="10" width="11.42578125" bestFit="1" customWidth="1"/>
    <col min="11" max="11" width="13" bestFit="1" customWidth="1"/>
  </cols>
  <sheetData>
    <row r="1" spans="1:11" x14ac:dyDescent="0.2">
      <c r="A1" s="1" t="s">
        <v>0</v>
      </c>
    </row>
    <row r="3" spans="1:11" s="1" customFormat="1" x14ac:dyDescent="0.2">
      <c r="A3" s="16"/>
      <c r="B3" s="57" t="s">
        <v>30</v>
      </c>
      <c r="C3" s="58"/>
      <c r="D3" s="58"/>
      <c r="E3" s="58"/>
      <c r="F3" s="59"/>
      <c r="G3" s="57" t="s">
        <v>31</v>
      </c>
      <c r="H3" s="58"/>
      <c r="I3" s="58"/>
      <c r="J3" s="58"/>
      <c r="K3" s="59"/>
    </row>
    <row r="4" spans="1:11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  <c r="G4" s="10" t="s">
        <v>83</v>
      </c>
      <c r="H4" s="11" t="s">
        <v>77</v>
      </c>
      <c r="I4" s="11" t="s">
        <v>84</v>
      </c>
      <c r="J4" s="11" t="s">
        <v>85</v>
      </c>
      <c r="K4" s="12" t="s">
        <v>5</v>
      </c>
    </row>
    <row r="5" spans="1:11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</row>
    <row r="6" spans="1:11" x14ac:dyDescent="0.2">
      <c r="A6" s="17" t="s">
        <v>2</v>
      </c>
      <c r="B6" s="5">
        <v>87000</v>
      </c>
      <c r="C6" s="6">
        <f>[4]Duke!$C$6</f>
        <v>170000</v>
      </c>
      <c r="D6" s="6">
        <f>[5]Duke!$B$6</f>
        <v>84000</v>
      </c>
      <c r="E6" s="6">
        <f>C6-D6</f>
        <v>86000</v>
      </c>
      <c r="F6" s="7">
        <f>E6+B6</f>
        <v>173000</v>
      </c>
      <c r="G6" s="5">
        <v>51000</v>
      </c>
      <c r="H6" s="6">
        <f>[4]Duke!$H$6</f>
        <v>78000</v>
      </c>
      <c r="I6" s="6">
        <f>[5]Duke!$G$6</f>
        <v>36000</v>
      </c>
      <c r="J6" s="6">
        <f>H6-I6</f>
        <v>42000</v>
      </c>
      <c r="K6" s="7">
        <f>J6+G6</f>
        <v>93000</v>
      </c>
    </row>
    <row r="7" spans="1:11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</row>
    <row r="8" spans="1:11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</row>
    <row r="9" spans="1:11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</row>
    <row r="10" spans="1:11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  <c r="G10" s="10" t="s">
        <v>86</v>
      </c>
      <c r="H10" s="49"/>
      <c r="I10" s="49"/>
      <c r="J10" s="11" t="s">
        <v>87</v>
      </c>
      <c r="K10" s="12" t="s">
        <v>11</v>
      </c>
    </row>
    <row r="11" spans="1:11" x14ac:dyDescent="0.2">
      <c r="A11" s="17" t="s">
        <v>6</v>
      </c>
      <c r="B11" s="5">
        <v>5000</v>
      </c>
      <c r="C11" s="6"/>
      <c r="D11" s="6"/>
      <c r="E11" s="6">
        <f>[5]Duke!B11</f>
        <v>5000</v>
      </c>
      <c r="F11" s="4"/>
      <c r="G11" s="5">
        <v>197000</v>
      </c>
      <c r="H11" s="6"/>
      <c r="I11" s="6"/>
      <c r="J11" s="6">
        <f>[5]Duke!G11</f>
        <v>8000</v>
      </c>
      <c r="K11" s="4"/>
    </row>
    <row r="12" spans="1:11" x14ac:dyDescent="0.2">
      <c r="A12" s="17" t="s">
        <v>19</v>
      </c>
      <c r="B12" s="5">
        <v>0</v>
      </c>
      <c r="C12" s="6"/>
      <c r="D12" s="6"/>
      <c r="E12" s="6">
        <f>[5]Duke!B12</f>
        <v>0</v>
      </c>
      <c r="F12" s="4"/>
      <c r="G12" s="5">
        <v>0</v>
      </c>
      <c r="H12" s="6"/>
      <c r="I12" s="6"/>
      <c r="J12" s="6">
        <f>[5]Duke!G12</f>
        <v>0</v>
      </c>
      <c r="K12" s="4"/>
    </row>
    <row r="13" spans="1:11" x14ac:dyDescent="0.2">
      <c r="A13" s="17" t="s">
        <v>24</v>
      </c>
      <c r="B13" s="5">
        <v>0</v>
      </c>
      <c r="C13" s="6"/>
      <c r="D13" s="6"/>
      <c r="E13" s="6">
        <f>[5]Duke!B13</f>
        <v>0</v>
      </c>
      <c r="F13" s="4"/>
      <c r="G13" s="5">
        <v>828000</v>
      </c>
      <c r="H13" s="6"/>
      <c r="I13" s="6"/>
      <c r="J13" s="6">
        <f>[5]Duke!G13</f>
        <v>602000</v>
      </c>
      <c r="K13" s="4"/>
    </row>
    <row r="14" spans="1:11" x14ac:dyDescent="0.2">
      <c r="A14" s="17" t="s">
        <v>20</v>
      </c>
      <c r="B14" s="8">
        <f>3640000+150000</f>
        <v>3790000</v>
      </c>
      <c r="C14" s="9"/>
      <c r="D14" s="9"/>
      <c r="E14" s="9">
        <f>[5]Duke!B14</f>
        <v>3696000</v>
      </c>
      <c r="F14" s="4"/>
      <c r="G14" s="8">
        <v>1587000</v>
      </c>
      <c r="H14" s="9"/>
      <c r="I14" s="9"/>
      <c r="J14" s="9">
        <f>[5]Duke!G14</f>
        <v>1734000</v>
      </c>
      <c r="K14" s="4"/>
    </row>
    <row r="15" spans="1:11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</row>
    <row r="16" spans="1:11" x14ac:dyDescent="0.2">
      <c r="A16" s="17"/>
      <c r="B16" s="5">
        <f>SUM(B11:B14)</f>
        <v>3795000</v>
      </c>
      <c r="C16" s="6"/>
      <c r="D16" s="6"/>
      <c r="E16" s="6">
        <f>SUM(E11:E14)</f>
        <v>3701000</v>
      </c>
      <c r="F16" s="7">
        <f>(B16+E16)/2</f>
        <v>3748000</v>
      </c>
      <c r="G16" s="5">
        <f>SUM(G11:G14)</f>
        <v>2612000</v>
      </c>
      <c r="H16" s="6"/>
      <c r="I16" s="6"/>
      <c r="J16" s="6">
        <f>SUM(J11:J14)</f>
        <v>2344000</v>
      </c>
      <c r="K16" s="7">
        <f>(G16+J16)/2</f>
        <v>2478000</v>
      </c>
    </row>
    <row r="17" spans="1:36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</row>
    <row r="18" spans="1:36" s="1" customFormat="1" x14ac:dyDescent="0.2">
      <c r="A18" s="18" t="s">
        <v>12</v>
      </c>
      <c r="B18" s="13"/>
      <c r="C18" s="14"/>
      <c r="D18" s="14"/>
      <c r="E18" s="14"/>
      <c r="F18" s="15">
        <f>F6/F16</f>
        <v>4.6157950907150483E-2</v>
      </c>
      <c r="G18" s="13"/>
      <c r="H18" s="14"/>
      <c r="I18" s="14"/>
      <c r="J18" s="14"/>
      <c r="K18" s="15">
        <f>K6/K16</f>
        <v>3.7530266343825669E-2</v>
      </c>
    </row>
    <row r="19" spans="1:36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</row>
    <row r="21" spans="1:36" s="22" customFormat="1" x14ac:dyDescent="0.2">
      <c r="A21" s="22" t="s">
        <v>54</v>
      </c>
      <c r="F21" s="22">
        <v>0</v>
      </c>
      <c r="K21" s="22">
        <v>0</v>
      </c>
      <c r="AJ21" s="22">
        <v>47763</v>
      </c>
    </row>
  </sheetData>
  <mergeCells count="2">
    <mergeCell ref="G3:K3"/>
    <mergeCell ref="B3:F3"/>
  </mergeCells>
  <phoneticPr fontId="4" type="noConversion"/>
  <pageMargins left="0.75" right="0.75" top="1" bottom="1" header="0.5" footer="0.5"/>
  <pageSetup scale="78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Normal="100" workbookViewId="0">
      <pane xSplit="1" ySplit="4" topLeftCell="B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  <col min="7" max="7" width="18.140625" bestFit="1" customWidth="1"/>
    <col min="8" max="9" width="13.7109375" customWidth="1"/>
    <col min="10" max="10" width="11.42578125" bestFit="1" customWidth="1"/>
    <col min="11" max="11" width="13" bestFit="1" customWidth="1"/>
  </cols>
  <sheetData>
    <row r="1" spans="1:11" x14ac:dyDescent="0.2">
      <c r="A1" s="1" t="s">
        <v>0</v>
      </c>
    </row>
    <row r="3" spans="1:11" s="1" customFormat="1" x14ac:dyDescent="0.2">
      <c r="A3" s="16"/>
      <c r="B3" s="57" t="s">
        <v>32</v>
      </c>
      <c r="C3" s="58"/>
      <c r="D3" s="58"/>
      <c r="E3" s="58"/>
      <c r="F3" s="59"/>
      <c r="G3" s="57" t="s">
        <v>33</v>
      </c>
      <c r="H3" s="58"/>
      <c r="I3" s="58"/>
      <c r="J3" s="58"/>
      <c r="K3" s="59"/>
    </row>
    <row r="4" spans="1:11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  <c r="G4" s="10" t="s">
        <v>83</v>
      </c>
      <c r="H4" s="11" t="s">
        <v>77</v>
      </c>
      <c r="I4" s="11" t="s">
        <v>84</v>
      </c>
      <c r="J4" s="11" t="s">
        <v>85</v>
      </c>
      <c r="K4" s="12" t="s">
        <v>5</v>
      </c>
    </row>
    <row r="5" spans="1:11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</row>
    <row r="6" spans="1:11" x14ac:dyDescent="0.2">
      <c r="A6" s="17" t="s">
        <v>2</v>
      </c>
      <c r="B6" s="5">
        <f>153000+7000</f>
        <v>160000</v>
      </c>
      <c r="C6" s="6">
        <f>[4]Exelon!$C$6</f>
        <v>579000</v>
      </c>
      <c r="D6" s="6">
        <f>[5]Exelon!$B$6</f>
        <v>429000</v>
      </c>
      <c r="E6" s="6">
        <f>C6-D6</f>
        <v>150000</v>
      </c>
      <c r="F6" s="7">
        <f>E6+B6</f>
        <v>310000</v>
      </c>
      <c r="G6" s="5">
        <f>50000+6000</f>
        <v>56000</v>
      </c>
      <c r="H6" s="6">
        <f>[4]Exelon!$H$6</f>
        <v>115000</v>
      </c>
      <c r="I6" s="6">
        <f>[5]Exelon!$G$6</f>
        <v>57000</v>
      </c>
      <c r="J6" s="6">
        <f>H6-I6</f>
        <v>58000</v>
      </c>
      <c r="K6" s="7">
        <f>J6+G6</f>
        <v>114000</v>
      </c>
    </row>
    <row r="7" spans="1:11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</row>
    <row r="8" spans="1:11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</row>
    <row r="9" spans="1:11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</row>
    <row r="10" spans="1:11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  <c r="G10" s="10" t="s">
        <v>86</v>
      </c>
      <c r="H10" s="49"/>
      <c r="I10" s="49"/>
      <c r="J10" s="11" t="s">
        <v>87</v>
      </c>
      <c r="K10" s="12" t="s">
        <v>11</v>
      </c>
    </row>
    <row r="11" spans="1:11" x14ac:dyDescent="0.2">
      <c r="A11" s="17" t="s">
        <v>6</v>
      </c>
      <c r="B11" s="5">
        <v>260000</v>
      </c>
      <c r="C11" s="6"/>
      <c r="D11" s="6"/>
      <c r="E11" s="6">
        <f>[5]Exelon!B11</f>
        <v>744000</v>
      </c>
      <c r="F11" s="4"/>
      <c r="G11" s="5">
        <v>250000</v>
      </c>
      <c r="H11" s="6"/>
      <c r="I11" s="6"/>
      <c r="J11" s="6">
        <f>[5]Exelon!G11</f>
        <v>300000</v>
      </c>
      <c r="K11" s="4"/>
    </row>
    <row r="12" spans="1:11" x14ac:dyDescent="0.2">
      <c r="A12" s="17" t="s">
        <v>19</v>
      </c>
      <c r="B12" s="5">
        <v>498000</v>
      </c>
      <c r="C12" s="6"/>
      <c r="D12" s="6"/>
      <c r="E12" s="6">
        <f>[5]Exelon!B12</f>
        <v>374000</v>
      </c>
      <c r="F12" s="4"/>
      <c r="G12" s="5">
        <v>0</v>
      </c>
      <c r="H12" s="6"/>
      <c r="I12" s="6"/>
      <c r="J12" s="6">
        <f>[5]Exelon!G12</f>
        <v>210000</v>
      </c>
      <c r="K12" s="4"/>
    </row>
    <row r="13" spans="1:11" x14ac:dyDescent="0.2">
      <c r="A13" s="17" t="s">
        <v>24</v>
      </c>
      <c r="B13" s="5">
        <v>0</v>
      </c>
      <c r="C13" s="6"/>
      <c r="D13" s="6"/>
      <c r="E13" s="6">
        <f>[5]Exelon!B13</f>
        <v>0</v>
      </c>
      <c r="F13" s="4"/>
      <c r="G13" s="5">
        <v>0</v>
      </c>
      <c r="H13" s="6"/>
      <c r="I13" s="6"/>
      <c r="J13" s="6">
        <f>[5]Exelon!G13</f>
        <v>0</v>
      </c>
      <c r="K13" s="4"/>
    </row>
    <row r="14" spans="1:11" x14ac:dyDescent="0.2">
      <c r="A14" s="17" t="s">
        <v>20</v>
      </c>
      <c r="B14" s="8">
        <f>5448000+206000</f>
        <v>5654000</v>
      </c>
      <c r="C14" s="9"/>
      <c r="D14" s="9"/>
      <c r="E14" s="6">
        <f>[5]Exelon!B14</f>
        <v>4913000</v>
      </c>
      <c r="F14" s="4"/>
      <c r="G14" s="8">
        <f>1947000+184000</f>
        <v>2131000</v>
      </c>
      <c r="H14" s="9"/>
      <c r="I14" s="9"/>
      <c r="J14" s="9">
        <f>[5]Exelon!G14</f>
        <v>1832000</v>
      </c>
      <c r="K14" s="4"/>
    </row>
    <row r="15" spans="1:11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</row>
    <row r="16" spans="1:11" x14ac:dyDescent="0.2">
      <c r="A16" s="17"/>
      <c r="B16" s="5">
        <f>SUM(B11:B14)</f>
        <v>6412000</v>
      </c>
      <c r="C16" s="6"/>
      <c r="D16" s="6"/>
      <c r="E16" s="6">
        <f>SUM(E11:E14)</f>
        <v>6031000</v>
      </c>
      <c r="F16" s="7">
        <f>(B16+E16)/2</f>
        <v>6221500</v>
      </c>
      <c r="G16" s="5">
        <f>SUM(G11:G14)</f>
        <v>2381000</v>
      </c>
      <c r="H16" s="6"/>
      <c r="I16" s="6"/>
      <c r="J16" s="6">
        <f>SUM(J11:J14)</f>
        <v>2342000</v>
      </c>
      <c r="K16" s="7">
        <f>(G16+J16)/2</f>
        <v>2361500</v>
      </c>
    </row>
    <row r="17" spans="1:11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</row>
    <row r="18" spans="1:11" s="1" customFormat="1" x14ac:dyDescent="0.2">
      <c r="A18" s="18" t="s">
        <v>12</v>
      </c>
      <c r="B18" s="13"/>
      <c r="C18" s="14"/>
      <c r="D18" s="14"/>
      <c r="E18" s="14"/>
      <c r="F18" s="15">
        <f>F6/F16</f>
        <v>4.9827212087117254E-2</v>
      </c>
      <c r="G18" s="13"/>
      <c r="H18" s="14"/>
      <c r="I18" s="14"/>
      <c r="J18" s="14"/>
      <c r="K18" s="15">
        <f>K6/K16</f>
        <v>4.827440186322253E-2</v>
      </c>
    </row>
    <row r="19" spans="1:11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</row>
  </sheetData>
  <mergeCells count="2">
    <mergeCell ref="G3:K3"/>
    <mergeCell ref="B3:F3"/>
  </mergeCells>
  <phoneticPr fontId="4" type="noConversion"/>
  <pageMargins left="0.75" right="0.75" top="1" bottom="1" header="0.5" footer="0.5"/>
  <pageSetup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Normal="100" workbookViewId="0">
      <pane xSplit="1" ySplit="4" topLeftCell="B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  <col min="7" max="7" width="13.7109375" bestFit="1" customWidth="1"/>
    <col min="8" max="9" width="13.7109375" customWidth="1"/>
    <col min="10" max="10" width="11.42578125" bestFit="1" customWidth="1"/>
    <col min="11" max="11" width="18.42578125" customWidth="1"/>
  </cols>
  <sheetData>
    <row r="1" spans="1:11" x14ac:dyDescent="0.2">
      <c r="A1" s="1" t="s">
        <v>0</v>
      </c>
    </row>
    <row r="3" spans="1:11" s="1" customFormat="1" x14ac:dyDescent="0.2">
      <c r="A3" s="16"/>
      <c r="B3" s="57" t="s">
        <v>70</v>
      </c>
      <c r="C3" s="58"/>
      <c r="D3" s="58"/>
      <c r="E3" s="58"/>
      <c r="F3" s="59"/>
      <c r="G3" s="57" t="s">
        <v>69</v>
      </c>
      <c r="H3" s="58"/>
      <c r="I3" s="58"/>
      <c r="J3" s="58"/>
      <c r="K3" s="59"/>
    </row>
    <row r="4" spans="1:11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  <c r="G4" s="10" t="s">
        <v>83</v>
      </c>
      <c r="H4" s="11" t="s">
        <v>77</v>
      </c>
      <c r="I4" s="11" t="s">
        <v>84</v>
      </c>
      <c r="J4" s="11" t="s">
        <v>85</v>
      </c>
      <c r="K4" s="12" t="s">
        <v>5</v>
      </c>
    </row>
    <row r="5" spans="1:11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</row>
    <row r="6" spans="1:11" x14ac:dyDescent="0.2">
      <c r="A6" s="17" t="s">
        <v>2</v>
      </c>
      <c r="B6" s="5">
        <v>124000</v>
      </c>
      <c r="C6" s="6">
        <f>[4]DTE!$C$6</f>
        <v>268000</v>
      </c>
      <c r="D6" s="6">
        <f>[5]DTE!$B$6</f>
        <v>134000</v>
      </c>
      <c r="E6" s="6">
        <f>C6-D6</f>
        <v>134000</v>
      </c>
      <c r="F6" s="7">
        <f>E6+B6</f>
        <v>258000</v>
      </c>
      <c r="G6" s="5">
        <v>29000</v>
      </c>
      <c r="H6" s="6">
        <f>[4]DTE!$H$6</f>
        <v>58000</v>
      </c>
      <c r="I6" s="6">
        <f>[5]DTE!$G$6</f>
        <v>29000</v>
      </c>
      <c r="J6" s="6">
        <f>H6-I6</f>
        <v>29000</v>
      </c>
      <c r="K6" s="7">
        <f>J6+G6</f>
        <v>58000</v>
      </c>
    </row>
    <row r="7" spans="1:11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</row>
    <row r="8" spans="1:11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</row>
    <row r="9" spans="1:11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</row>
    <row r="10" spans="1:11" x14ac:dyDescent="0.2">
      <c r="A10" s="17"/>
      <c r="B10" s="10" t="s">
        <v>80</v>
      </c>
      <c r="C10" s="49"/>
      <c r="D10" s="49"/>
      <c r="E10" s="11" t="s">
        <v>81</v>
      </c>
      <c r="F10" s="12" t="s">
        <v>11</v>
      </c>
      <c r="G10" s="10" t="s">
        <v>86</v>
      </c>
      <c r="H10" s="49"/>
      <c r="I10" s="49"/>
      <c r="J10" s="11" t="s">
        <v>87</v>
      </c>
      <c r="K10" s="12" t="s">
        <v>11</v>
      </c>
    </row>
    <row r="11" spans="1:11" x14ac:dyDescent="0.2">
      <c r="A11" s="17" t="s">
        <v>6</v>
      </c>
      <c r="B11" s="5">
        <v>215000</v>
      </c>
      <c r="C11" s="6"/>
      <c r="D11" s="6"/>
      <c r="E11" s="6">
        <f>[5]DTE!B11</f>
        <v>484000</v>
      </c>
      <c r="F11" s="4"/>
      <c r="G11" s="5">
        <v>0</v>
      </c>
      <c r="H11" s="6"/>
      <c r="I11" s="6"/>
      <c r="J11" s="6">
        <f>[5]DTE!G11</f>
        <v>80000</v>
      </c>
      <c r="K11" s="4"/>
    </row>
    <row r="12" spans="1:11" x14ac:dyDescent="0.2">
      <c r="A12" s="17" t="s">
        <v>19</v>
      </c>
      <c r="B12" s="5">
        <v>275000</v>
      </c>
      <c r="C12" s="6"/>
      <c r="D12" s="6"/>
      <c r="E12" s="6">
        <f>[5]DTE!B12</f>
        <v>96000</v>
      </c>
      <c r="F12" s="4"/>
      <c r="G12" s="5">
        <v>0</v>
      </c>
      <c r="H12" s="6"/>
      <c r="I12" s="6"/>
      <c r="J12" s="6">
        <f>[5]DTE!G12</f>
        <v>19000</v>
      </c>
      <c r="K12" s="4"/>
    </row>
    <row r="13" spans="1:11" x14ac:dyDescent="0.2">
      <c r="A13" s="17" t="s">
        <v>24</v>
      </c>
      <c r="B13" s="5">
        <v>155000</v>
      </c>
      <c r="C13" s="6"/>
      <c r="D13" s="6"/>
      <c r="E13" s="6">
        <f>[5]DTE!B13</f>
        <v>59000</v>
      </c>
      <c r="F13" s="4"/>
      <c r="G13" s="5">
        <v>0</v>
      </c>
      <c r="H13" s="6"/>
      <c r="I13" s="6"/>
      <c r="J13" s="6">
        <f>[5]DTE!G13</f>
        <v>0</v>
      </c>
      <c r="K13" s="4"/>
    </row>
    <row r="14" spans="1:11" x14ac:dyDescent="0.2">
      <c r="A14" s="17" t="s">
        <v>20</v>
      </c>
      <c r="B14" s="8">
        <v>4905000</v>
      </c>
      <c r="C14" s="9"/>
      <c r="D14" s="9"/>
      <c r="E14" s="9">
        <f>[5]DTE!B14</f>
        <v>4701000</v>
      </c>
      <c r="F14" s="4"/>
      <c r="G14" s="8">
        <v>949000</v>
      </c>
      <c r="H14" s="9"/>
      <c r="I14" s="9"/>
      <c r="J14" s="9">
        <f>[5]DTE!G14</f>
        <v>779000</v>
      </c>
      <c r="K14" s="4"/>
    </row>
    <row r="15" spans="1:11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</row>
    <row r="16" spans="1:11" x14ac:dyDescent="0.2">
      <c r="A16" s="17"/>
      <c r="B16" s="5">
        <f>SUM(B11:B14)</f>
        <v>5550000</v>
      </c>
      <c r="C16" s="6"/>
      <c r="D16" s="6"/>
      <c r="E16" s="6">
        <f>SUM(E11:E14)</f>
        <v>5340000</v>
      </c>
      <c r="F16" s="7">
        <f>(B16+E16)/2</f>
        <v>5445000</v>
      </c>
      <c r="G16" s="5">
        <f>SUM(G11:G14)</f>
        <v>949000</v>
      </c>
      <c r="H16" s="6"/>
      <c r="I16" s="6"/>
      <c r="J16" s="6">
        <f>SUM(J11:J14)</f>
        <v>878000</v>
      </c>
      <c r="K16" s="7">
        <f>(G16+J16)/2</f>
        <v>913500</v>
      </c>
    </row>
    <row r="17" spans="1:11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</row>
    <row r="18" spans="1:11" s="1" customFormat="1" x14ac:dyDescent="0.2">
      <c r="A18" s="18" t="s">
        <v>12</v>
      </c>
      <c r="B18" s="13"/>
      <c r="C18" s="14"/>
      <c r="D18" s="14"/>
      <c r="E18" s="14"/>
      <c r="F18" s="15">
        <f>F6/F16</f>
        <v>4.7382920110192836E-2</v>
      </c>
      <c r="G18" s="13"/>
      <c r="H18" s="14"/>
      <c r="I18" s="14"/>
      <c r="J18" s="14"/>
      <c r="K18" s="15">
        <f>K6/K16</f>
        <v>6.3492063492063489E-2</v>
      </c>
    </row>
    <row r="19" spans="1:11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</row>
  </sheetData>
  <mergeCells count="2">
    <mergeCell ref="B3:F3"/>
    <mergeCell ref="G3:K3"/>
  </mergeCells>
  <phoneticPr fontId="4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Ranking</vt:lpstr>
      <vt:lpstr>E.ON U.S.</vt:lpstr>
      <vt:lpstr>LG&amp;E and KU</vt:lpstr>
      <vt:lpstr>PPL Electric Utilities</vt:lpstr>
      <vt:lpstr>PSEG</vt:lpstr>
      <vt:lpstr>First Energy</vt:lpstr>
      <vt:lpstr>Duke</vt:lpstr>
      <vt:lpstr>Exelon</vt:lpstr>
      <vt:lpstr>DTE</vt:lpstr>
      <vt:lpstr>AEP</vt:lpstr>
      <vt:lpstr>Allegheny</vt:lpstr>
      <vt:lpstr>Ameren</vt:lpstr>
      <vt:lpstr>Dayton P&amp;L</vt:lpstr>
      <vt:lpstr>Nisource</vt:lpstr>
      <vt:lpstr>AEP!Print_Area</vt:lpstr>
      <vt:lpstr>Allegheny!Print_Area</vt:lpstr>
      <vt:lpstr>Ameren!Print_Area</vt:lpstr>
      <vt:lpstr>'Dayton P&amp;L'!Print_Area</vt:lpstr>
      <vt:lpstr>DTE!Print_Area</vt:lpstr>
      <vt:lpstr>Duke!Print_Area</vt:lpstr>
      <vt:lpstr>'E.ON U.S.'!Print_Area</vt:lpstr>
      <vt:lpstr>Exelon!Print_Area</vt:lpstr>
      <vt:lpstr>'First Energy'!Print_Area</vt:lpstr>
      <vt:lpstr>'LG&amp;E and KU'!Print_Area</vt:lpstr>
      <vt:lpstr>Nisource!Print_Area</vt:lpstr>
      <vt:lpstr>'PPL Electric Utilities'!Print_Area</vt:lpstr>
      <vt:lpstr>PSEG!Print_Area</vt:lpstr>
      <vt:lpstr>Ranking!Print_Area</vt:lpstr>
    </vt:vector>
  </TitlesOfParts>
  <Company>LG&amp;E Energy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E008350</dc:creator>
  <cp:lastModifiedBy>Pienaar, Lesley</cp:lastModifiedBy>
  <cp:lastPrinted>2014-06-19T15:01:50Z</cp:lastPrinted>
  <dcterms:created xsi:type="dcterms:W3CDTF">2006-12-04T21:17:56Z</dcterms:created>
  <dcterms:modified xsi:type="dcterms:W3CDTF">2015-01-15T13:57:48Z</dcterms:modified>
</cp:coreProperties>
</file>