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80" windowWidth="14940" windowHeight="916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45621" calcOnSave="0"/>
  <webPublishing codePage="0"/>
</workbook>
</file>

<file path=xl/calcChain.xml><?xml version="1.0" encoding="utf-8"?>
<calcChain xmlns="http://schemas.openxmlformats.org/spreadsheetml/2006/main">
  <c r="G41" i="24" l="1"/>
  <c r="A25" i="24"/>
  <c r="N21" i="24"/>
  <c r="G17" i="24"/>
  <c r="G19" i="24" s="1"/>
  <c r="D21" i="24"/>
  <c r="M31" i="24"/>
  <c r="A24" i="24"/>
  <c r="A23" i="24"/>
  <c r="D36" i="23"/>
  <c r="G32" i="23"/>
  <c r="D32" i="23"/>
  <c r="G26" i="23"/>
  <c r="G25" i="23"/>
  <c r="D25" i="23"/>
  <c r="D24" i="23"/>
  <c r="D23" i="23"/>
  <c r="D22" i="23"/>
  <c r="G16" i="23"/>
  <c r="C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G30" i="23" l="1"/>
  <c r="C28" i="23"/>
  <c r="C30" i="23" s="1"/>
  <c r="E18" i="23"/>
  <c r="E30" i="23" s="1"/>
  <c r="E28" i="23"/>
  <c r="R19" i="24"/>
  <c r="S19" i="24" s="1"/>
  <c r="F19" i="24" s="1"/>
  <c r="H19" i="24" s="1"/>
  <c r="R17" i="24"/>
  <c r="S17" i="24" s="1"/>
  <c r="E17" i="24" s="1"/>
  <c r="F17" i="24" s="1"/>
  <c r="H17" i="24" s="1"/>
  <c r="G39" i="24"/>
  <c r="D43" i="24"/>
  <c r="R41" i="24" s="1"/>
  <c r="S41" i="24" s="1"/>
  <c r="F41" i="24" s="1"/>
  <c r="H41" i="24" s="1"/>
  <c r="R15" i="24"/>
  <c r="F30" i="23"/>
  <c r="E34" i="23"/>
  <c r="E38" i="23"/>
  <c r="D16" i="23"/>
  <c r="D21" i="23"/>
  <c r="G22" i="23"/>
  <c r="D26" i="23"/>
  <c r="G36" i="23"/>
  <c r="G38" i="23" s="1"/>
  <c r="D15" i="23"/>
  <c r="C38" i="23" l="1"/>
  <c r="C34" i="23"/>
  <c r="R37" i="24"/>
  <c r="R39" i="24"/>
  <c r="S39" i="24" s="1"/>
  <c r="E39" i="24" s="1"/>
  <c r="F39" i="24" s="1"/>
  <c r="H39" i="24" s="1"/>
  <c r="R21" i="24"/>
  <c r="S15" i="24"/>
  <c r="R43" i="24"/>
  <c r="S37" i="24"/>
  <c r="G23" i="23"/>
  <c r="G24" i="23"/>
  <c r="F18" i="23"/>
  <c r="D18" i="23"/>
  <c r="G15" i="23"/>
  <c r="G18" i="23" s="1"/>
  <c r="D28" i="23"/>
  <c r="D30" i="23" l="1"/>
  <c r="S44" i="24"/>
  <c r="E37" i="24"/>
  <c r="S22" i="24"/>
  <c r="E15" i="24"/>
  <c r="F28" i="23"/>
  <c r="F40" i="23" s="1"/>
  <c r="G21" i="23"/>
  <c r="G28" i="23" s="1"/>
  <c r="G40" i="23" s="1"/>
  <c r="E21" i="24" l="1"/>
  <c r="F15" i="24"/>
  <c r="E43" i="24"/>
  <c r="F37" i="24"/>
  <c r="E32" i="22"/>
  <c r="D16" i="22"/>
  <c r="D14" i="22"/>
  <c r="F43" i="24" l="1"/>
  <c r="H37" i="24"/>
  <c r="F21" i="24"/>
  <c r="H15" i="24"/>
  <c r="E14" i="22"/>
  <c r="H21" i="24" l="1"/>
  <c r="H43" i="24"/>
  <c r="K37" i="24"/>
  <c r="E20" i="22"/>
  <c r="M37" i="24" l="1"/>
  <c r="I37" i="24"/>
  <c r="J37" i="24" s="1"/>
  <c r="K19" i="24"/>
  <c r="K17" i="24"/>
  <c r="K39" i="24"/>
  <c r="K41" i="24"/>
  <c r="K15" i="24"/>
  <c r="K21" i="24" l="1"/>
  <c r="M15" i="24"/>
  <c r="I15" i="24"/>
  <c r="J15" i="24" s="1"/>
  <c r="M19" i="24"/>
  <c r="I19" i="24"/>
  <c r="J19" i="24" s="1"/>
  <c r="M41" i="24"/>
  <c r="I41" i="24"/>
  <c r="J41" i="24" s="1"/>
  <c r="M39" i="24"/>
  <c r="I39" i="24"/>
  <c r="J39" i="24" s="1"/>
  <c r="J43" i="24" s="1"/>
  <c r="M43" i="24"/>
  <c r="D20" i="22" s="1"/>
  <c r="M17" i="24"/>
  <c r="I17" i="24"/>
  <c r="J17" i="24" s="1"/>
  <c r="K43" i="24"/>
  <c r="D26" i="22"/>
  <c r="E26" i="22" s="1"/>
  <c r="E9" i="22"/>
  <c r="A8" i="22"/>
  <c r="A5" i="22"/>
  <c r="A4" i="22"/>
  <c r="A2" i="22"/>
  <c r="A1" i="22"/>
  <c r="J21" i="24" l="1"/>
  <c r="M21" i="24"/>
  <c r="D18" i="22"/>
  <c r="E22" i="22"/>
  <c r="D24" i="18" l="1"/>
  <c r="E24" i="18" s="1"/>
  <c r="D22" i="18"/>
  <c r="E18" i="18"/>
  <c r="E16" i="18"/>
  <c r="E22" i="18" s="1"/>
  <c r="D22" i="22" l="1"/>
  <c r="D24" i="22" s="1"/>
  <c r="D28" i="22" s="1"/>
  <c r="E28" i="18"/>
  <c r="E30" i="18" s="1"/>
  <c r="E32" i="18"/>
  <c r="E34" i="18" s="1"/>
  <c r="C18" i="19" l="1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16" i="22" l="1"/>
  <c r="E24" i="22" l="1"/>
  <c r="E28" i="22" s="1"/>
  <c r="E18" i="22"/>
  <c r="E30" i="22"/>
  <c r="E34" i="22" s="1"/>
</calcChain>
</file>

<file path=xl/sharedStrings.xml><?xml version="1.0" encoding="utf-8"?>
<sst xmlns="http://schemas.openxmlformats.org/spreadsheetml/2006/main" count="241" uniqueCount="147">
  <si>
    <t>KENTUCKY UTILITIES COMPANY</t>
  </si>
  <si>
    <t>TAXES OTHER THAN INCOME TAXES</t>
  </si>
  <si>
    <t>TOTAL OPERATING EXPENSES</t>
  </si>
  <si>
    <t>NET OPERATING INCOME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</si>
  <si>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</si>
  <si>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</si>
  <si>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</si>
  <si>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</si>
  <si>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</si>
  <si>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</si>
  <si>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</si>
  <si>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</si>
  <si>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</si>
  <si>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</si>
  <si>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</si>
  <si>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</si>
  <si>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</si>
  <si>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</si>
  <si>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</si>
  <si>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</si>
  <si>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</si>
  <si>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</si>
  <si>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</si>
  <si>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</si>
  <si>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</si>
  <si>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</si>
  <si>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</si>
  <si>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</si>
  <si>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</si>
  <si>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</si>
  <si>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</si>
  <si>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</si>
  <si>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</si>
  <si>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</si>
  <si>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</si>
  <si>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</si>
  <si>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</si>
  <si>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</si>
  <si>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</si>
  <si>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</si>
  <si>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</si>
  <si>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</si>
  <si>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</si>
  <si>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</si>
  <si>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</si>
  <si>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</si>
  <si>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</si>
  <si>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</si>
  <si>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</si>
  <si>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</si>
  <si>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</si>
  <si>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</si>
  <si>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</si>
  <si>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</si>
  <si>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</si>
  <si>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</si>
  <si>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</si>
  <si>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</si>
  <si>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</si>
  <si>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</si>
  <si>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</si>
  <si>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</si>
  <si>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</si>
  <si>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</si>
  <si>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</si>
  <si>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</si>
  <si>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</si>
  <si>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</si>
  <si>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</si>
  <si>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</si>
  <si>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</si>
  <si>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</si>
  <si>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</si>
  <si>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</si>
  <si>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</si>
  <si>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WITNESS:   K. W. BLAKE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</si>
  <si>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</si>
  <si>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</si>
  <si>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</si>
  <si>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</si>
  <si>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</si>
  <si>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</si>
  <si>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</si>
  <si>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</si>
  <si>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</si>
  <si>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</si>
  <si>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</si>
  <si>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</si>
  <si>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</si>
  <si>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</si>
  <si>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</si>
  <si>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</si>
  <si>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</si>
  <si>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</si>
  <si>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</si>
  <si>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</si>
  <si>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</si>
  <si>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</si>
  <si>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</si>
  <si>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</si>
  <si>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</si>
  <si>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</si>
  <si>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</si>
  <si>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</si>
  <si>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</si>
  <si>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</si>
  <si>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</si>
  <si>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</si>
  <si>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</si>
  <si>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</si>
  <si>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</si>
  <si>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</si>
  <si>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</si>
  <si>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</si>
  <si>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</si>
  <si>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</si>
  <si>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</si>
  <si>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</si>
  <si>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</si>
  <si>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</si>
  <si>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</si>
  <si>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</si>
  <si>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</si>
  <si>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</si>
  <si>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</si>
  <si>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</si>
  <si>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</si>
  <si>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</si>
  <si>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</si>
  <si>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</si>
  <si>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</si>
  <si>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</si>
  <si>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</si>
  <si>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</si>
  <si>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</si>
  <si>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</si>
  <si>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</si>
  <si>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</si>
  <si>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</si>
  <si>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</si>
  <si>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</si>
  <si>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</si>
  <si>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</si>
  <si>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</si>
  <si>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</si>
  <si>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CASE NO. 2014-00371</t>
  </si>
  <si>
    <t>CASE NO. 2014-00371 - RESPONSE TO PSC 2-75 (SLIPPAGE FACTOR 97.803%)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</si>
</sst>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49" fontId="6" fillId="0" borderId="0" xfId="8" applyNumberFormat="1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10" fontId="75" fillId="0" borderId="27" xfId="1" applyNumberFormat="1" applyFont="1" applyFill="1" applyBorder="1" applyAlignment="1">
      <alignment horizontal="right" wrapText="1"/>
    </xf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0" fontId="6" fillId="0" borderId="0" xfId="4614" applyFont="1" applyBorder="1"/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43" fontId="75" fillId="0" borderId="2" xfId="3950" applyNumberFormat="1" applyFont="1" applyFill="1" applyBorder="1" applyAlignment="1">
      <alignment horizontal="right" wrapText="1"/>
    </xf>
    <xf numFmtId="37" fontId="75" fillId="0" borderId="0" xfId="3950" applyNumberFormat="1" applyFont="1" applyFill="1" applyBorder="1" applyAlignment="1">
      <alignment horizontal="center" vertical="center" wrapText="1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3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4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5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6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7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9"/>
    <cellStyle name="20% - Accent4 4 3 2 2 3" xfId="882"/>
    <cellStyle name="20% - Accent4 4 3 2 2 4" xfId="883"/>
    <cellStyle name="20% - Accent4 4 3 2 2 5" xfId="14490"/>
    <cellStyle name="20% - Accent4 4 3 2 3" xfId="884"/>
    <cellStyle name="20% - Accent4 4 3 2 3 2" xfId="885"/>
    <cellStyle name="20% - Accent4 4 3 2 3 3" xfId="14491"/>
    <cellStyle name="20% - Accent4 4 3 2 4" xfId="886"/>
    <cellStyle name="20% - Accent4 4 3 2 5" xfId="887"/>
    <cellStyle name="20% - Accent4 4 3 2 6" xfId="14492"/>
    <cellStyle name="20% - Accent4 4 3 3" xfId="888"/>
    <cellStyle name="20% - Accent4 4 3 3 2" xfId="889"/>
    <cellStyle name="20% - Accent4 4 3 3 2 2" xfId="890"/>
    <cellStyle name="20% - Accent4 4 3 3 2 3" xfId="14493"/>
    <cellStyle name="20% - Accent4 4 3 3 3" xfId="891"/>
    <cellStyle name="20% - Accent4 4 3 3 4" xfId="892"/>
    <cellStyle name="20% - Accent4 4 3 3 5" xfId="14494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1463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2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6"/>
    <cellStyle name="Comma 7 8 3" xfId="14557"/>
    <cellStyle name="Comma 7 9" xfId="14558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1463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1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6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7"/>
    <cellStyle name="Normal 13 2 3" xfId="10867"/>
    <cellStyle name="Normal 13 2 4" xfId="14568"/>
    <cellStyle name="Normal 13 3" xfId="10868"/>
    <cellStyle name="Normal 13 3 2" xfId="14569"/>
    <cellStyle name="Normal 13 4" xfId="14570"/>
    <cellStyle name="Normal 13 5" xfId="1457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4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5" xfId="14577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5" xfId="14583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4" xfId="1458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5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6"/>
    <cellStyle name="Normal 21 3" xfId="14587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8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6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7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8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9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40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1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2"/>
    <cellStyle name="Normal 80" xfId="14434"/>
    <cellStyle name="Normal 81" xfId="14435"/>
    <cellStyle name="Normal 82" xfId="14436"/>
    <cellStyle name="Normal 83" xfId="14437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1"/>
    <cellStyle name="Note 5 2 2 3" xfId="6599"/>
    <cellStyle name="Note 5 2 2 4" xfId="14612"/>
    <cellStyle name="Note 5 2 3" xfId="6600"/>
    <cellStyle name="Note 5 2 3 2" xfId="6601"/>
    <cellStyle name="Note 5 2 3 3" xfId="14613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4"/>
    <cellStyle name="Note 5 3 3" xfId="6610"/>
    <cellStyle name="Note 5 3 4" xfId="13790"/>
    <cellStyle name="Note 5 4" xfId="6611"/>
    <cellStyle name="Note 5 4 2" xfId="6612"/>
    <cellStyle name="Note 5 4 3" xfId="14615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1464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Int" xfId="7027"/>
    <cellStyle name="PSSpacer" xfId="7028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E23" sqref="E23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5" t="s">
        <v>0</v>
      </c>
      <c r="B1" s="65"/>
      <c r="C1" s="65"/>
    </row>
    <row r="2" spans="1:3" ht="15.75" x14ac:dyDescent="0.25">
      <c r="A2" s="65" t="s">
        <v>4</v>
      </c>
      <c r="B2" s="65"/>
      <c r="C2" s="65"/>
    </row>
    <row r="3" spans="1:3" ht="15.75" x14ac:dyDescent="0.25">
      <c r="A3" s="65" t="s">
        <v>5</v>
      </c>
      <c r="B3" s="65"/>
      <c r="C3" s="65"/>
    </row>
    <row r="8" spans="1:3" x14ac:dyDescent="0.2">
      <c r="A8" s="3" t="s">
        <v>6</v>
      </c>
    </row>
    <row r="9" spans="1:3" x14ac:dyDescent="0.2">
      <c r="A9" s="2" t="s">
        <v>7</v>
      </c>
      <c r="C9" s="4" t="s">
        <v>0</v>
      </c>
    </row>
    <row r="10" spans="1:3" x14ac:dyDescent="0.2">
      <c r="A10" s="2" t="s">
        <v>8</v>
      </c>
      <c r="C10" s="4" t="s">
        <v>146</v>
      </c>
    </row>
    <row r="11" spans="1:3" x14ac:dyDescent="0.2">
      <c r="A11" s="2" t="s">
        <v>9</v>
      </c>
      <c r="C11" s="4" t="s">
        <v>10</v>
      </c>
    </row>
    <row r="12" spans="1:3" x14ac:dyDescent="0.2">
      <c r="C12" s="4" t="s">
        <v>11</v>
      </c>
    </row>
    <row r="13" spans="1:3" x14ac:dyDescent="0.2">
      <c r="C13" s="4" t="s">
        <v>12</v>
      </c>
    </row>
    <row r="14" spans="1:3" x14ac:dyDescent="0.2">
      <c r="C14" s="4" t="s">
        <v>13</v>
      </c>
    </row>
    <row r="15" spans="1:3" x14ac:dyDescent="0.2">
      <c r="C15" s="4" t="s">
        <v>14</v>
      </c>
    </row>
    <row r="16" spans="1:3" x14ac:dyDescent="0.2">
      <c r="C16" s="4" t="s">
        <v>15</v>
      </c>
    </row>
    <row r="17" spans="1:3" x14ac:dyDescent="0.2">
      <c r="A17" s="2" t="s">
        <v>16</v>
      </c>
      <c r="C17" s="4" t="s">
        <v>17</v>
      </c>
    </row>
    <row r="18" spans="1:3" x14ac:dyDescent="0.2">
      <c r="C18" s="4" t="s">
        <v>18</v>
      </c>
    </row>
    <row r="19" spans="1:3" x14ac:dyDescent="0.2">
      <c r="C19" s="4" t="s">
        <v>19</v>
      </c>
    </row>
    <row r="20" spans="1:3" x14ac:dyDescent="0.2">
      <c r="C20" s="4" t="s">
        <v>20</v>
      </c>
    </row>
    <row r="21" spans="1:3" x14ac:dyDescent="0.2">
      <c r="C21" s="4" t="s">
        <v>21</v>
      </c>
    </row>
    <row r="22" spans="1:3" x14ac:dyDescent="0.2">
      <c r="C22" s="4" t="s">
        <v>22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23</v>
      </c>
      <c r="C28" s="6"/>
    </row>
    <row r="29" spans="1:3" x14ac:dyDescent="0.2">
      <c r="A29" s="2" t="s">
        <v>24</v>
      </c>
      <c r="C29" s="2" t="s">
        <v>25</v>
      </c>
    </row>
    <row r="30" spans="1:3" x14ac:dyDescent="0.2">
      <c r="A30" s="2" t="s">
        <v>26</v>
      </c>
      <c r="C30" s="2" t="s">
        <v>27</v>
      </c>
    </row>
    <row r="31" spans="1:3" x14ac:dyDescent="0.2">
      <c r="A31" s="2" t="s">
        <v>28</v>
      </c>
      <c r="C31" s="2" t="s">
        <v>29</v>
      </c>
    </row>
    <row r="35" spans="1:3" x14ac:dyDescent="0.2">
      <c r="A35" s="3" t="s">
        <v>30</v>
      </c>
    </row>
    <row r="36" spans="1:3" x14ac:dyDescent="0.2">
      <c r="A36" s="2" t="s">
        <v>31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>
      <selection activeCell="C5" sqref="C5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6" t="s">
        <v>91</v>
      </c>
      <c r="B6" s="66"/>
      <c r="C6" s="66"/>
    </row>
    <row r="7" spans="1:3" ht="12.75" x14ac:dyDescent="0.2">
      <c r="A7" s="38"/>
      <c r="B7" s="38"/>
      <c r="C7" s="38"/>
    </row>
    <row r="8" spans="1:3" ht="12.75" x14ac:dyDescent="0.2">
      <c r="A8" s="66" t="s">
        <v>92</v>
      </c>
      <c r="B8" s="66"/>
      <c r="C8" s="66"/>
    </row>
    <row r="9" spans="1:3" ht="12.75" x14ac:dyDescent="0.2">
      <c r="A9" s="38"/>
      <c r="B9" s="38"/>
      <c r="C9" s="38"/>
    </row>
    <row r="10" spans="1:3" ht="12.75" x14ac:dyDescent="0.2">
      <c r="A10" s="67" t="str">
        <f>'Rate Case Constants'!C9</f>
        <v>KENTUCKY UTILITIES COMPANY</v>
      </c>
      <c r="B10" s="66"/>
      <c r="C10" s="66"/>
    </row>
    <row r="11" spans="1:3" ht="12.75" x14ac:dyDescent="0.2">
      <c r="A11" s="38"/>
      <c r="B11" s="38"/>
      <c r="C11" s="38"/>
    </row>
    <row r="12" spans="1:3" ht="12.75" x14ac:dyDescent="0.2">
      <c r="A12" s="67" t="str">
        <f>'Rate Case Constants'!C10</f>
        <v>CASE NO. 2014-00371 - RESPONSE TO PSC 2-75 (SLIPPAGE FACTOR 97.803%)</v>
      </c>
      <c r="B12" s="66"/>
      <c r="C12" s="66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93</v>
      </c>
      <c r="B16" s="38"/>
      <c r="C16" s="58" t="str">
        <f>'Rate Case Constants'!C16</f>
        <v>FOR THE 12 MONTHS ENDED FEBRUARY 28, 2015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94</v>
      </c>
      <c r="B18" s="38"/>
      <c r="C18" s="58" t="str">
        <f>'Rate Case Constants'!C22</f>
        <v>FOR THE 12 MONTHS ENDED JUNE 30, 2016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32</v>
      </c>
      <c r="B21" s="41"/>
      <c r="C21" s="40" t="s">
        <v>33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57</v>
      </c>
      <c r="B24" s="43"/>
      <c r="C24" s="42" t="s">
        <v>56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abSelected="1" zoomScaleNormal="100" workbookViewId="0">
      <selection activeCell="A5" sqref="A5:E5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8" t="str">
        <f>'Rate Case Constants'!C9</f>
        <v>KENTUCKY UTILITIES COMPANY</v>
      </c>
      <c r="B1" s="69"/>
      <c r="C1" s="69"/>
      <c r="D1" s="69"/>
      <c r="E1" s="69"/>
    </row>
    <row r="2" spans="1:5" s="7" customFormat="1" ht="20.100000000000001" customHeight="1" x14ac:dyDescent="0.2">
      <c r="A2" s="68" t="str">
        <f>'Rate Case Constants'!C10</f>
        <v>CASE NO. 2014-00371 - RESPONSE TO PSC 2-75 (SLIPPAGE FACTOR 97.803%)</v>
      </c>
      <c r="B2" s="69"/>
      <c r="C2" s="69"/>
      <c r="D2" s="69"/>
      <c r="E2" s="69"/>
    </row>
    <row r="3" spans="1:5" s="7" customFormat="1" ht="20.100000000000001" customHeight="1" x14ac:dyDescent="0.2">
      <c r="A3" s="69" t="s">
        <v>56</v>
      </c>
      <c r="B3" s="69"/>
      <c r="C3" s="69"/>
      <c r="D3" s="69"/>
      <c r="E3" s="69"/>
    </row>
    <row r="4" spans="1:5" s="7" customFormat="1" ht="20.100000000000001" customHeight="1" x14ac:dyDescent="0.2">
      <c r="A4" s="69" t="str">
        <f>'Rate Case Constants'!C15</f>
        <v>BASE YEAR FOR THE 12 MONTHS ENDED FEBRUARY 28, 2015</v>
      </c>
      <c r="B4" s="69"/>
      <c r="C4" s="69"/>
      <c r="D4" s="69"/>
      <c r="E4" s="69"/>
    </row>
    <row r="5" spans="1:5" s="7" customFormat="1" ht="20.100000000000001" customHeight="1" x14ac:dyDescent="0.2">
      <c r="A5" s="69" t="str">
        <f>'Rate Case Constants'!C21</f>
        <v>FORECAST PERIOD FOR THE 12 MONTHS ENDED JUNE 30, 2016</v>
      </c>
      <c r="B5" s="69"/>
      <c r="C5" s="69"/>
      <c r="D5" s="69"/>
      <c r="E5" s="69"/>
    </row>
    <row r="6" spans="1:5" s="7" customFormat="1" ht="20.100000000000001" customHeight="1" x14ac:dyDescent="0.2">
      <c r="A6" s="60"/>
      <c r="B6" s="60"/>
      <c r="C6" s="60"/>
      <c r="D6" s="60"/>
      <c r="E6" s="60"/>
    </row>
    <row r="7" spans="1:5" s="7" customFormat="1" ht="20.100000000000001" customHeight="1" x14ac:dyDescent="0.2">
      <c r="A7" s="8" t="s">
        <v>46</v>
      </c>
      <c r="E7" s="9" t="s">
        <v>61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47</v>
      </c>
    </row>
    <row r="9" spans="1:5" s="7" customFormat="1" ht="20.100000000000001" customHeight="1" x14ac:dyDescent="0.2">
      <c r="A9" s="8" t="s">
        <v>40</v>
      </c>
      <c r="E9" s="10" t="str">
        <f>'Rate Case Constants'!C36</f>
        <v>WITNESS:   K. W. BLAKE</v>
      </c>
    </row>
    <row r="10" spans="1:5" s="7" customFormat="1" ht="20.100000000000001" customHeight="1" x14ac:dyDescent="0.2"/>
    <row r="11" spans="1:5" ht="66" customHeight="1" x14ac:dyDescent="0.2">
      <c r="A11" s="19" t="s">
        <v>41</v>
      </c>
      <c r="B11" s="19" t="s">
        <v>33</v>
      </c>
      <c r="C11" s="19" t="s">
        <v>58</v>
      </c>
      <c r="D11" s="19" t="s">
        <v>59</v>
      </c>
      <c r="E11" s="19" t="s">
        <v>60</v>
      </c>
    </row>
    <row r="12" spans="1:5" ht="18.95" customHeight="1" x14ac:dyDescent="0.2">
      <c r="A12" s="12"/>
      <c r="B12" s="17"/>
      <c r="C12" s="17"/>
      <c r="D12" s="18" t="s">
        <v>42</v>
      </c>
      <c r="E12" s="18" t="s">
        <v>42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134</v>
      </c>
      <c r="C14" s="16" t="s">
        <v>65</v>
      </c>
      <c r="D14" s="14">
        <f>'SCH C-1'!C32</f>
        <v>3485732288.0830536</v>
      </c>
      <c r="E14" s="14">
        <f>'SCH C-1'!E32</f>
        <v>3562036768.0631561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62</v>
      </c>
      <c r="C16" s="16" t="s">
        <v>34</v>
      </c>
      <c r="D16" s="14">
        <f>'SCH C-1'!C30</f>
        <v>199088737.28808475</v>
      </c>
      <c r="E16" s="14">
        <f>'SCH C-1'!E30</f>
        <v>167173560.25109911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63</v>
      </c>
      <c r="C18" s="16"/>
      <c r="D18" s="27">
        <f>D16/D14</f>
        <v>5.7115326374525384E-2</v>
      </c>
      <c r="E18" s="27">
        <f>E16/E14</f>
        <v>4.6932014220055086E-2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64</v>
      </c>
      <c r="C20" s="16" t="s">
        <v>65</v>
      </c>
      <c r="D20" s="27">
        <f>'SCH J-1'!M43</f>
        <v>7.2276795811033023E-2</v>
      </c>
      <c r="E20" s="27">
        <f>'SCH J-1'!N21</f>
        <v>7.3835072648970157E-2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66</v>
      </c>
      <c r="C22" s="16" t="s">
        <v>34</v>
      </c>
      <c r="D22" s="14">
        <f>D14*D20</f>
        <v>251937560.83770379</v>
      </c>
      <c r="E22" s="14">
        <f>E14*E20</f>
        <v>263003243.548246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67</v>
      </c>
      <c r="C24" s="16" t="s">
        <v>34</v>
      </c>
      <c r="D24" s="14">
        <f>D22-D16</f>
        <v>52848823.549619049</v>
      </c>
      <c r="E24" s="14">
        <f>E22-E16</f>
        <v>95829683.297146887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68</v>
      </c>
      <c r="C26" s="16" t="s">
        <v>69</v>
      </c>
      <c r="D26" s="28">
        <f>'SCH H-1'!E34</f>
        <v>1.5918280144817636</v>
      </c>
      <c r="E26" s="28">
        <f>D26</f>
        <v>1.5918280144817636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70</v>
      </c>
      <c r="C28" s="16"/>
      <c r="D28" s="14">
        <f>D24*D26</f>
        <v>84126237.858687162</v>
      </c>
      <c r="E28" s="14">
        <f>E24*E26</f>
        <v>152544374.49131355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71</v>
      </c>
      <c r="C30" s="16" t="s">
        <v>34</v>
      </c>
      <c r="D30" s="14"/>
      <c r="E30" s="14">
        <f>'SCH C-1'!F15</f>
        <v>152544374.49131355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72</v>
      </c>
      <c r="C32" s="16" t="s">
        <v>34</v>
      </c>
      <c r="D32" s="14"/>
      <c r="E32" s="14">
        <f>'SCH C-1'!E18</f>
        <v>1413402190.6670649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73</v>
      </c>
      <c r="C34" s="16"/>
      <c r="D34" s="27"/>
      <c r="E34" s="29">
        <f>E30+E32</f>
        <v>1565946565.1583784</v>
      </c>
    </row>
    <row r="35" spans="1:5" ht="18.95" customHeight="1" thickTop="1" x14ac:dyDescent="0.2">
      <c r="C35" s="16"/>
    </row>
    <row r="36" spans="1:5" ht="18.95" customHeight="1" x14ac:dyDescent="0.2">
      <c r="C36" s="16"/>
      <c r="E36" s="14"/>
    </row>
    <row r="37" spans="1:5" ht="18.95" customHeight="1" x14ac:dyDescent="0.2">
      <c r="C37" s="16"/>
      <c r="E37" s="44"/>
    </row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zoomScale="85" zoomScaleNormal="85" workbookViewId="0">
      <selection activeCell="E21" sqref="E21"/>
    </sheetView>
  </sheetViews>
  <sheetFormatPr defaultRowHeight="12.75" x14ac:dyDescent="0.2"/>
  <cols>
    <col min="1" max="1" width="6.85546875" style="11" customWidth="1"/>
    <col min="2" max="2" width="56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16384" width="9.140625" style="11"/>
  </cols>
  <sheetData>
    <row r="1" spans="1:7" s="7" customFormat="1" ht="20.100000000000001" customHeight="1" x14ac:dyDescent="0.2">
      <c r="A1" s="68" t="s">
        <v>0</v>
      </c>
      <c r="B1" s="69"/>
      <c r="C1" s="69"/>
      <c r="D1" s="69"/>
      <c r="E1" s="69"/>
      <c r="F1" s="69"/>
      <c r="G1" s="69"/>
    </row>
    <row r="2" spans="1:7" s="7" customFormat="1" ht="20.100000000000001" customHeight="1" x14ac:dyDescent="0.2">
      <c r="A2" s="68" t="s">
        <v>146</v>
      </c>
      <c r="B2" s="69"/>
      <c r="C2" s="69"/>
      <c r="D2" s="69"/>
      <c r="E2" s="69"/>
      <c r="F2" s="69"/>
      <c r="G2" s="69"/>
    </row>
    <row r="3" spans="1:7" s="7" customFormat="1" ht="20.100000000000001" customHeight="1" x14ac:dyDescent="0.2">
      <c r="A3" s="69" t="s">
        <v>55</v>
      </c>
      <c r="B3" s="69"/>
      <c r="C3" s="69"/>
      <c r="D3" s="69"/>
      <c r="E3" s="69"/>
      <c r="F3" s="69"/>
      <c r="G3" s="69"/>
    </row>
    <row r="4" spans="1:7" s="7" customFormat="1" ht="20.100000000000001" customHeight="1" x14ac:dyDescent="0.2">
      <c r="A4" s="68" t="s">
        <v>15</v>
      </c>
      <c r="B4" s="69"/>
      <c r="C4" s="69"/>
      <c r="D4" s="69"/>
      <c r="E4" s="69"/>
      <c r="F4" s="69"/>
      <c r="G4" s="69"/>
    </row>
    <row r="5" spans="1:7" s="7" customFormat="1" ht="20.100000000000001" customHeight="1" x14ac:dyDescent="0.2">
      <c r="A5" s="68" t="s">
        <v>22</v>
      </c>
      <c r="B5" s="69"/>
      <c r="C5" s="69"/>
      <c r="D5" s="69"/>
      <c r="E5" s="69"/>
      <c r="F5" s="69"/>
      <c r="G5" s="69"/>
    </row>
    <row r="6" spans="1:7" s="7" customFormat="1" ht="20.100000000000001" customHeight="1" x14ac:dyDescent="0.2">
      <c r="A6" s="64"/>
      <c r="B6" s="64"/>
      <c r="C6" s="64"/>
      <c r="D6" s="64"/>
      <c r="E6" s="64"/>
      <c r="F6" s="64"/>
      <c r="G6" s="64"/>
    </row>
    <row r="7" spans="1:7" s="7" customFormat="1" ht="20.100000000000001" customHeight="1" x14ac:dyDescent="0.2">
      <c r="A7" s="8" t="s">
        <v>46</v>
      </c>
      <c r="G7" s="9" t="s">
        <v>48</v>
      </c>
    </row>
    <row r="8" spans="1:7" s="7" customFormat="1" ht="20.100000000000001" customHeight="1" x14ac:dyDescent="0.2">
      <c r="A8" s="7" t="s">
        <v>74</v>
      </c>
      <c r="G8" s="9" t="s">
        <v>47</v>
      </c>
    </row>
    <row r="9" spans="1:7" s="7" customFormat="1" ht="20.100000000000001" customHeight="1" x14ac:dyDescent="0.2">
      <c r="A9" s="8" t="s">
        <v>40</v>
      </c>
      <c r="D9" s="8"/>
      <c r="F9" s="8"/>
      <c r="G9" s="10" t="s">
        <v>75</v>
      </c>
    </row>
    <row r="10" spans="1:7" s="7" customFormat="1" ht="20.100000000000001" customHeight="1" x14ac:dyDescent="0.2"/>
    <row r="11" spans="1:7" ht="66" customHeight="1" x14ac:dyDescent="0.2">
      <c r="A11" s="19" t="s">
        <v>41</v>
      </c>
      <c r="B11" s="19" t="s">
        <v>33</v>
      </c>
      <c r="C11" s="19" t="s">
        <v>51</v>
      </c>
      <c r="D11" s="19" t="s">
        <v>52</v>
      </c>
      <c r="E11" s="19" t="s">
        <v>53</v>
      </c>
      <c r="F11" s="19" t="s">
        <v>96</v>
      </c>
      <c r="G11" s="19" t="s">
        <v>54</v>
      </c>
    </row>
    <row r="12" spans="1:7" ht="18.95" customHeight="1" x14ac:dyDescent="0.2">
      <c r="A12" s="12"/>
      <c r="B12" s="17"/>
      <c r="C12" s="63">
        <v>-1</v>
      </c>
      <c r="D12" s="63">
        <v>-2</v>
      </c>
      <c r="E12" s="63">
        <v>-3</v>
      </c>
      <c r="F12" s="63">
        <v>-4</v>
      </c>
      <c r="G12" s="63">
        <v>-5</v>
      </c>
    </row>
    <row r="13" spans="1:7" ht="18.95" customHeight="1" x14ac:dyDescent="0.2">
      <c r="A13" s="12"/>
      <c r="B13" s="17"/>
      <c r="C13" s="18" t="s">
        <v>42</v>
      </c>
      <c r="D13" s="18" t="s">
        <v>42</v>
      </c>
      <c r="E13" s="18" t="s">
        <v>42</v>
      </c>
      <c r="F13" s="18" t="s">
        <v>42</v>
      </c>
      <c r="G13" s="18" t="s">
        <v>42</v>
      </c>
    </row>
    <row r="14" spans="1:7" ht="18.95" customHeight="1" x14ac:dyDescent="0.2">
      <c r="A14" s="12">
        <v>1</v>
      </c>
      <c r="B14" s="22" t="s">
        <v>36</v>
      </c>
      <c r="C14" s="14"/>
      <c r="D14" s="14"/>
      <c r="E14" s="14"/>
      <c r="F14" s="14"/>
      <c r="G14" s="14"/>
    </row>
    <row r="15" spans="1:7" ht="18.95" customHeight="1" x14ac:dyDescent="0.2">
      <c r="A15" s="15">
        <f>A14+1</f>
        <v>2</v>
      </c>
      <c r="B15" s="13" t="s">
        <v>95</v>
      </c>
      <c r="C15" s="14">
        <v>1359492453.0431373</v>
      </c>
      <c r="D15" s="14">
        <f t="shared" ref="D15:D16" si="0">E15-C15</f>
        <v>28354509.289681196</v>
      </c>
      <c r="E15" s="14">
        <v>1387846962.3328185</v>
      </c>
      <c r="F15" s="14">
        <v>152544374.49131355</v>
      </c>
      <c r="G15" s="14">
        <f>SUM(E15:F15)</f>
        <v>1540391336.824132</v>
      </c>
    </row>
    <row r="16" spans="1:7" ht="18.95" customHeight="1" x14ac:dyDescent="0.2">
      <c r="A16" s="15">
        <f>A15+1</f>
        <v>3</v>
      </c>
      <c r="B16" s="13" t="s">
        <v>38</v>
      </c>
      <c r="C16" s="14">
        <v>26162153.237682916</v>
      </c>
      <c r="D16" s="14">
        <f t="shared" si="0"/>
        <v>-606924.90343655646</v>
      </c>
      <c r="E16" s="14">
        <v>25555228.33424636</v>
      </c>
      <c r="F16" s="14"/>
      <c r="G16" s="14">
        <f t="shared" ref="G16" si="1">SUM(E16:F16)</f>
        <v>25555228.33424636</v>
      </c>
    </row>
    <row r="17" spans="1:7" ht="18.95" customHeight="1" x14ac:dyDescent="0.2">
      <c r="A17" s="15"/>
      <c r="B17" s="13"/>
    </row>
    <row r="18" spans="1:7" ht="18.95" customHeight="1" x14ac:dyDescent="0.2">
      <c r="A18" s="15">
        <f>A16+1</f>
        <v>4</v>
      </c>
      <c r="B18" s="23" t="s">
        <v>39</v>
      </c>
      <c r="C18" s="20">
        <f>SUM(C15:C16)</f>
        <v>1385654606.2808201</v>
      </c>
      <c r="D18" s="20">
        <f>SUM(D15:D16)</f>
        <v>27747584.38624464</v>
      </c>
      <c r="E18" s="20">
        <f>SUM(E15:E16)</f>
        <v>1413402190.6670649</v>
      </c>
      <c r="F18" s="20">
        <f>SUM(F15:F16)</f>
        <v>152544374.49131355</v>
      </c>
      <c r="G18" s="20">
        <f>SUM(G15:G16)</f>
        <v>1565946565.1583784</v>
      </c>
    </row>
    <row r="19" spans="1:7" ht="18.95" customHeight="1" x14ac:dyDescent="0.2">
      <c r="B19" s="13"/>
    </row>
    <row r="20" spans="1:7" ht="18.95" customHeight="1" x14ac:dyDescent="0.2">
      <c r="A20" s="15">
        <f>A18+1</f>
        <v>5</v>
      </c>
      <c r="B20" s="22" t="s">
        <v>37</v>
      </c>
    </row>
    <row r="21" spans="1:7" ht="18.95" customHeight="1" x14ac:dyDescent="0.2">
      <c r="A21" s="15">
        <f>A20+1</f>
        <v>6</v>
      </c>
      <c r="B21" s="13" t="s">
        <v>49</v>
      </c>
      <c r="C21" s="14">
        <v>900185879.86782813</v>
      </c>
      <c r="D21" s="14">
        <f t="shared" ref="D21:D26" si="2">E21-C21</f>
        <v>56283490.702041268</v>
      </c>
      <c r="E21" s="14">
        <v>956469370.5698694</v>
      </c>
      <c r="F21" s="14">
        <v>488141.99837220338</v>
      </c>
      <c r="G21" s="14">
        <f t="shared" ref="G21:G26" si="3">SUM(E21:F21)</f>
        <v>956957512.5682416</v>
      </c>
    </row>
    <row r="22" spans="1:7" ht="18.95" customHeight="1" x14ac:dyDescent="0.2">
      <c r="A22" s="15">
        <f>A21+1</f>
        <v>7</v>
      </c>
      <c r="B22" s="1" t="s">
        <v>43</v>
      </c>
      <c r="C22" s="14">
        <v>169890784.57923675</v>
      </c>
      <c r="D22" s="14">
        <f t="shared" si="2"/>
        <v>19881823.813446999</v>
      </c>
      <c r="E22" s="14">
        <v>189772608.39268374</v>
      </c>
      <c r="F22" s="14"/>
      <c r="G22" s="14">
        <f t="shared" si="3"/>
        <v>189772608.39268374</v>
      </c>
    </row>
    <row r="23" spans="1:7" ht="18.95" customHeight="1" x14ac:dyDescent="0.2">
      <c r="A23" s="15">
        <f t="shared" ref="A23:A26" si="4">A22+1</f>
        <v>8</v>
      </c>
      <c r="B23" s="1" t="s">
        <v>1</v>
      </c>
      <c r="C23" s="14">
        <v>31914678.769393258</v>
      </c>
      <c r="D23" s="14">
        <f t="shared" si="2"/>
        <v>3083472.6886501163</v>
      </c>
      <c r="E23" s="14">
        <v>34998151.458043374</v>
      </c>
      <c r="F23" s="14">
        <v>297766.61900704406</v>
      </c>
      <c r="G23" s="14">
        <f t="shared" si="3"/>
        <v>35295918.077050418</v>
      </c>
    </row>
    <row r="24" spans="1:7" ht="18.95" customHeight="1" x14ac:dyDescent="0.2">
      <c r="A24" s="15">
        <f t="shared" si="4"/>
        <v>9</v>
      </c>
      <c r="B24" s="1" t="s">
        <v>50</v>
      </c>
      <c r="C24" s="14">
        <v>84575003.433305204</v>
      </c>
      <c r="D24" s="14">
        <f t="shared" si="2"/>
        <v>-19586503.437935799</v>
      </c>
      <c r="E24" s="14">
        <v>64988499.995369405</v>
      </c>
      <c r="F24" s="14">
        <v>55928782.57678742</v>
      </c>
      <c r="G24" s="14">
        <f t="shared" si="3"/>
        <v>120917282.57215682</v>
      </c>
    </row>
    <row r="25" spans="1:7" ht="18.95" customHeight="1" x14ac:dyDescent="0.2">
      <c r="A25" s="15">
        <f>A24+1</f>
        <v>10</v>
      </c>
      <c r="B25" s="1" t="s">
        <v>44</v>
      </c>
      <c r="C25" s="14">
        <v>0</v>
      </c>
      <c r="D25" s="14">
        <f t="shared" si="2"/>
        <v>0</v>
      </c>
      <c r="E25" s="14">
        <v>0</v>
      </c>
      <c r="F25" s="14"/>
      <c r="G25" s="14">
        <f t="shared" si="3"/>
        <v>0</v>
      </c>
    </row>
    <row r="26" spans="1:7" ht="18.95" customHeight="1" x14ac:dyDescent="0.2">
      <c r="A26" s="15">
        <f t="shared" si="4"/>
        <v>11</v>
      </c>
      <c r="B26" s="1" t="s">
        <v>45</v>
      </c>
      <c r="C26" s="20">
        <v>-477.65702793515163</v>
      </c>
      <c r="D26" s="20">
        <f t="shared" si="2"/>
        <v>477.65702793515163</v>
      </c>
      <c r="E26" s="20">
        <v>0</v>
      </c>
      <c r="F26" s="20"/>
      <c r="G26" s="20">
        <f t="shared" si="3"/>
        <v>0</v>
      </c>
    </row>
    <row r="27" spans="1:7" ht="18.95" customHeight="1" x14ac:dyDescent="0.2">
      <c r="B27" s="1"/>
    </row>
    <row r="28" spans="1:7" ht="18.95" customHeight="1" thickBot="1" x14ac:dyDescent="0.25">
      <c r="A28" s="15">
        <f>A26+1</f>
        <v>12</v>
      </c>
      <c r="B28" s="24" t="s">
        <v>2</v>
      </c>
      <c r="C28" s="21">
        <f>SUM(C21:C26)</f>
        <v>1186565868.9927354</v>
      </c>
      <c r="D28" s="21">
        <f t="shared" ref="D28:G28" si="5">SUM(D21:D26)</f>
        <v>59662761.423230521</v>
      </c>
      <c r="E28" s="21">
        <f t="shared" si="5"/>
        <v>1246228630.4159658</v>
      </c>
      <c r="F28" s="21">
        <f t="shared" si="5"/>
        <v>56714691.194166668</v>
      </c>
      <c r="G28" s="21">
        <f t="shared" si="5"/>
        <v>1302943321.6101327</v>
      </c>
    </row>
    <row r="29" spans="1:7" ht="18.95" customHeight="1" thickTop="1" x14ac:dyDescent="0.2">
      <c r="B29" s="1"/>
    </row>
    <row r="30" spans="1:7" ht="18.95" customHeight="1" thickBot="1" x14ac:dyDescent="0.25">
      <c r="A30" s="15">
        <f>A28+1</f>
        <v>13</v>
      </c>
      <c r="B30" s="24" t="s">
        <v>3</v>
      </c>
      <c r="C30" s="21">
        <f>C18-C28</f>
        <v>199088737.28808475</v>
      </c>
      <c r="D30" s="21">
        <f>D18-D28</f>
        <v>-31915177.036985882</v>
      </c>
      <c r="E30" s="21">
        <f>E18-E28</f>
        <v>167173560.25109911</v>
      </c>
      <c r="F30" s="21">
        <f>G30-E30</f>
        <v>95829683.297146887</v>
      </c>
      <c r="G30" s="21">
        <f>G32*G34</f>
        <v>263003243.548246</v>
      </c>
    </row>
    <row r="31" spans="1:7" ht="18.95" customHeight="1" thickTop="1" x14ac:dyDescent="0.2">
      <c r="B31" s="1"/>
      <c r="F31" s="44"/>
    </row>
    <row r="32" spans="1:7" ht="18.95" customHeight="1" thickBot="1" x14ac:dyDescent="0.25">
      <c r="A32" s="15">
        <f>A30+1</f>
        <v>14</v>
      </c>
      <c r="B32" s="24" t="s">
        <v>134</v>
      </c>
      <c r="C32" s="21">
        <v>3485732288.0830536</v>
      </c>
      <c r="D32" s="21">
        <f t="shared" ref="D32" si="6">E32-C32</f>
        <v>76304479.980102539</v>
      </c>
      <c r="E32" s="21">
        <v>3562036768.0631561</v>
      </c>
      <c r="F32" s="14"/>
      <c r="G32" s="21">
        <f>E32</f>
        <v>3562036768.0631561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135</v>
      </c>
      <c r="C34" s="25">
        <f>C30/C32</f>
        <v>5.7115326374525384E-2</v>
      </c>
      <c r="D34" s="14"/>
      <c r="E34" s="25">
        <f>E30/E32</f>
        <v>4.6932014220055086E-2</v>
      </c>
      <c r="F34" s="14"/>
      <c r="G34" s="25">
        <v>7.3835072648970157E-2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136</v>
      </c>
      <c r="C36" s="21">
        <v>3633873648.6850662</v>
      </c>
      <c r="D36" s="21">
        <f t="shared" ref="D36" si="7">E36-C36</f>
        <v>28368748.722092628</v>
      </c>
      <c r="E36" s="21">
        <v>3662242397.4071589</v>
      </c>
      <c r="F36" s="14"/>
      <c r="G36" s="21">
        <f>E36</f>
        <v>3662242397.4071589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137</v>
      </c>
      <c r="C38" s="25">
        <f>C30/C36</f>
        <v>5.4786917910622984E-2</v>
      </c>
      <c r="D38" s="14"/>
      <c r="E38" s="25">
        <f>E30/E36</f>
        <v>4.5647868740053027E-2</v>
      </c>
      <c r="F38" s="14"/>
      <c r="G38" s="25">
        <f>G30/G36</f>
        <v>7.1814810438121296E-2</v>
      </c>
    </row>
    <row r="39" spans="1:7" ht="18.95" customHeight="1" thickTop="1" x14ac:dyDescent="0.2"/>
    <row r="40" spans="1:7" ht="18.95" customHeight="1" x14ac:dyDescent="0.2">
      <c r="E40" s="9" t="s">
        <v>144</v>
      </c>
      <c r="F40" s="14">
        <f>F18-F28</f>
        <v>95829683.297146887</v>
      </c>
      <c r="G40" s="14">
        <f>G18-G28</f>
        <v>263003243.54824567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="85" zoomScaleNormal="85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8" t="s">
        <v>0</v>
      </c>
      <c r="B1" s="69"/>
      <c r="C1" s="69"/>
      <c r="D1" s="69"/>
      <c r="E1" s="69"/>
    </row>
    <row r="2" spans="1:5" s="7" customFormat="1" ht="20.100000000000001" customHeight="1" x14ac:dyDescent="0.2">
      <c r="A2" s="68" t="s">
        <v>145</v>
      </c>
      <c r="B2" s="69"/>
      <c r="C2" s="69"/>
      <c r="D2" s="69"/>
      <c r="E2" s="69"/>
    </row>
    <row r="3" spans="1:5" s="7" customFormat="1" ht="20.100000000000001" customHeight="1" x14ac:dyDescent="0.2">
      <c r="A3" s="69" t="s">
        <v>76</v>
      </c>
      <c r="B3" s="69"/>
      <c r="C3" s="69"/>
      <c r="D3" s="69"/>
      <c r="E3" s="69"/>
    </row>
    <row r="4" spans="1:5" s="7" customFormat="1" ht="20.100000000000001" customHeight="1" x14ac:dyDescent="0.2">
      <c r="A4" s="68" t="s">
        <v>15</v>
      </c>
      <c r="B4" s="69"/>
      <c r="C4" s="69"/>
      <c r="D4" s="69"/>
      <c r="E4" s="69"/>
    </row>
    <row r="5" spans="1:5" s="7" customFormat="1" ht="20.100000000000001" customHeight="1" x14ac:dyDescent="0.2">
      <c r="A5" s="68" t="s">
        <v>22</v>
      </c>
      <c r="B5" s="69"/>
      <c r="C5" s="69"/>
      <c r="D5" s="69"/>
      <c r="E5" s="69"/>
    </row>
    <row r="6" spans="1:5" s="7" customFormat="1" ht="20.100000000000001" customHeight="1" x14ac:dyDescent="0.2">
      <c r="A6" s="59"/>
      <c r="B6" s="59"/>
      <c r="C6" s="59"/>
      <c r="D6" s="59"/>
      <c r="E6" s="59"/>
    </row>
    <row r="7" spans="1:5" s="7" customFormat="1" ht="20.100000000000001" customHeight="1" x14ac:dyDescent="0.2">
      <c r="A7" s="8" t="s">
        <v>46</v>
      </c>
      <c r="E7" s="9" t="s">
        <v>77</v>
      </c>
    </row>
    <row r="8" spans="1:5" s="7" customFormat="1" ht="20.100000000000001" customHeight="1" x14ac:dyDescent="0.2">
      <c r="A8" s="7" t="s">
        <v>74</v>
      </c>
      <c r="E8" s="9" t="s">
        <v>47</v>
      </c>
    </row>
    <row r="9" spans="1:5" s="7" customFormat="1" ht="20.100000000000001" customHeight="1" x14ac:dyDescent="0.2">
      <c r="A9" s="8" t="s">
        <v>97</v>
      </c>
      <c r="D9" s="8"/>
      <c r="E9" s="10" t="s">
        <v>75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0" t="s">
        <v>78</v>
      </c>
      <c r="E11" s="70"/>
    </row>
    <row r="12" spans="1:5" ht="24" customHeight="1" x14ac:dyDescent="0.2">
      <c r="A12" s="31" t="s">
        <v>41</v>
      </c>
      <c r="B12" s="31" t="s">
        <v>33</v>
      </c>
      <c r="C12" s="31"/>
      <c r="D12" s="31" t="s">
        <v>35</v>
      </c>
      <c r="E12" s="31" t="s">
        <v>79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80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81</v>
      </c>
      <c r="C16" s="14"/>
      <c r="D16" s="32">
        <v>3.2000000000000002E-3</v>
      </c>
      <c r="E16" s="32">
        <f>D16</f>
        <v>3.2000000000000002E-3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82</v>
      </c>
      <c r="D18" s="32">
        <v>1.952E-3</v>
      </c>
      <c r="E18" s="32">
        <f>D18</f>
        <v>1.952E-3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83</v>
      </c>
      <c r="D20" s="33">
        <v>3.8142000000000002E-2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84</v>
      </c>
      <c r="C22" s="14"/>
      <c r="D22" s="32">
        <f>D14-D16-D18-D20</f>
        <v>0.95670600000000006</v>
      </c>
      <c r="E22" s="32">
        <f>E14-E16-E18-E20</f>
        <v>0.99484800000000007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85</v>
      </c>
      <c r="C24" s="27">
        <v>0.06</v>
      </c>
      <c r="D24" s="32">
        <f>D22*C24</f>
        <v>5.7402359999999999E-2</v>
      </c>
      <c r="E24" s="32">
        <f>D24</f>
        <v>5.7402359999999999E-2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86</v>
      </c>
      <c r="C26" s="14"/>
      <c r="D26" s="32"/>
      <c r="E26" s="33">
        <v>5.3911153094759995E-2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87</v>
      </c>
      <c r="D28" s="32"/>
      <c r="E28" s="32">
        <f>E22-E24-E26</f>
        <v>0.88353448690524006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88</v>
      </c>
      <c r="C30" s="27">
        <v>0.35</v>
      </c>
      <c r="D30" s="34"/>
      <c r="E30" s="33">
        <f>E28*C30</f>
        <v>0.30923707041683401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89</v>
      </c>
      <c r="E32" s="35">
        <f>E22-E24-E30</f>
        <v>0.62820856958316607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90</v>
      </c>
      <c r="E34" s="36">
        <f>E14/E32</f>
        <v>1.5918280144817636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9"/>
  <sheetViews>
    <sheetView zoomScale="85" zoomScaleNormal="85" workbookViewId="0">
      <selection activeCell="A26" sqref="A26:M26"/>
    </sheetView>
  </sheetViews>
  <sheetFormatPr defaultRowHeight="12.75" x14ac:dyDescent="0.2"/>
  <cols>
    <col min="1" max="1" width="6.85546875" style="11" customWidth="1"/>
    <col min="2" max="2" width="26.42578125" style="11" customWidth="1"/>
    <col min="3" max="3" width="16" style="11" customWidth="1"/>
    <col min="4" max="4" width="15.5703125" style="11" customWidth="1"/>
    <col min="5" max="5" width="19" style="11" customWidth="1"/>
    <col min="6" max="7" width="16.7109375" style="11" customWidth="1"/>
    <col min="8" max="10" width="19" style="11" customWidth="1"/>
    <col min="11" max="11" width="11.5703125" style="11" customWidth="1"/>
    <col min="12" max="12" width="10.85546875" style="11" customWidth="1"/>
    <col min="13" max="13" width="12.85546875" style="11" customWidth="1"/>
    <col min="14" max="14" width="14" style="11" customWidth="1"/>
    <col min="15" max="15" width="1.85546875" style="11" customWidth="1"/>
    <col min="16" max="18" width="9.140625" style="11"/>
    <col min="19" max="19" width="13.42578125" style="11" customWidth="1"/>
    <col min="20" max="16384" width="9.140625" style="11"/>
  </cols>
  <sheetData>
    <row r="1" spans="1:16384" s="7" customFormat="1" ht="20.100000000000001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spans="1:16384" s="7" customFormat="1" ht="20.100000000000001" customHeight="1" x14ac:dyDescent="0.2">
      <c r="A2" s="69" t="s">
        <v>146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spans="1:16384" s="7" customFormat="1" ht="20.100000000000001" customHeight="1" x14ac:dyDescent="0.2">
      <c r="A3" s="69" t="s">
        <v>98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6384" s="7" customFormat="1" ht="20.100000000000001" customHeight="1" x14ac:dyDescent="0.2">
      <c r="A4" s="68" t="s">
        <v>18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384" s="7" customFormat="1" ht="20.10000000000000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384" s="7" customFormat="1" ht="20.100000000000001" customHeight="1" x14ac:dyDescent="0.2">
      <c r="A6" s="8" t="s">
        <v>99</v>
      </c>
      <c r="N6" s="9"/>
    </row>
    <row r="7" spans="1:16384" s="7" customFormat="1" ht="20.100000000000001" customHeight="1" x14ac:dyDescent="0.2">
      <c r="A7" s="8" t="s">
        <v>120</v>
      </c>
      <c r="N7" s="9" t="s">
        <v>121</v>
      </c>
    </row>
    <row r="8" spans="1:16384" s="7" customFormat="1" ht="20.100000000000001" customHeight="1" x14ac:dyDescent="0.2">
      <c r="A8" s="7" t="s">
        <v>74</v>
      </c>
      <c r="N8" s="9" t="s">
        <v>122</v>
      </c>
    </row>
    <row r="9" spans="1:16384" s="7" customFormat="1" ht="20.100000000000001" customHeight="1" x14ac:dyDescent="0.2">
      <c r="A9" s="8" t="s">
        <v>40</v>
      </c>
      <c r="N9" s="10" t="s">
        <v>75</v>
      </c>
    </row>
    <row r="10" spans="1:16384" s="7" customFormat="1" ht="20.100000000000001" customHeight="1" x14ac:dyDescent="0.2"/>
    <row r="11" spans="1:16384" ht="66" customHeight="1" x14ac:dyDescent="0.2">
      <c r="A11" s="19" t="s">
        <v>41</v>
      </c>
      <c r="B11" s="19" t="s">
        <v>100</v>
      </c>
      <c r="C11" s="19" t="s">
        <v>101</v>
      </c>
      <c r="D11" s="19" t="s">
        <v>123</v>
      </c>
      <c r="E11" s="19" t="s">
        <v>102</v>
      </c>
      <c r="F11" s="19" t="s">
        <v>103</v>
      </c>
      <c r="G11" s="19" t="s">
        <v>129</v>
      </c>
      <c r="H11" s="19" t="s">
        <v>138</v>
      </c>
      <c r="I11" s="19" t="s">
        <v>139</v>
      </c>
      <c r="J11" s="19" t="s">
        <v>130</v>
      </c>
      <c r="K11" s="19" t="s">
        <v>104</v>
      </c>
      <c r="L11" s="19" t="s">
        <v>105</v>
      </c>
      <c r="M11" s="19" t="s">
        <v>124</v>
      </c>
      <c r="N11" s="19" t="s">
        <v>106</v>
      </c>
    </row>
    <row r="12" spans="1:16384" ht="18.95" customHeight="1" x14ac:dyDescent="0.2">
      <c r="A12" s="12"/>
      <c r="B12" s="46" t="s">
        <v>107</v>
      </c>
      <c r="C12" s="46" t="s">
        <v>108</v>
      </c>
      <c r="D12" s="46" t="s">
        <v>109</v>
      </c>
      <c r="E12" s="46" t="s">
        <v>110</v>
      </c>
      <c r="F12" s="46" t="s">
        <v>111</v>
      </c>
      <c r="G12" s="46" t="s">
        <v>112</v>
      </c>
      <c r="H12" s="46" t="s">
        <v>131</v>
      </c>
      <c r="I12" s="46" t="s">
        <v>132</v>
      </c>
      <c r="J12" s="46" t="s">
        <v>140</v>
      </c>
      <c r="K12" s="46" t="s">
        <v>141</v>
      </c>
      <c r="L12" s="46" t="s">
        <v>142</v>
      </c>
      <c r="M12" s="46" t="s">
        <v>143</v>
      </c>
      <c r="N12" s="46" t="s">
        <v>125</v>
      </c>
    </row>
    <row r="13" spans="1:16384" ht="18.95" customHeight="1" x14ac:dyDescent="0.2">
      <c r="A13" s="12"/>
      <c r="B13" s="17"/>
      <c r="C13" s="17"/>
      <c r="D13" s="18" t="s">
        <v>42</v>
      </c>
      <c r="E13" s="18" t="s">
        <v>42</v>
      </c>
      <c r="F13" s="18" t="s">
        <v>42</v>
      </c>
      <c r="G13" s="18" t="s">
        <v>113</v>
      </c>
      <c r="H13" s="18" t="s">
        <v>42</v>
      </c>
      <c r="I13" s="18" t="s">
        <v>42</v>
      </c>
      <c r="J13" s="18" t="s">
        <v>42</v>
      </c>
      <c r="K13" s="18"/>
      <c r="L13" s="18" t="s">
        <v>113</v>
      </c>
      <c r="M13" s="18" t="s">
        <v>113</v>
      </c>
      <c r="N13" s="18" t="s">
        <v>113</v>
      </c>
    </row>
    <row r="14" spans="1:16384" ht="18.95" customHeight="1" x14ac:dyDescent="0.2">
      <c r="A14" s="15"/>
      <c r="B14" s="13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7" t="s">
        <v>133</v>
      </c>
    </row>
    <row r="15" spans="1:16384" ht="18.95" customHeight="1" x14ac:dyDescent="0.2">
      <c r="A15" s="15">
        <v>1</v>
      </c>
      <c r="B15" s="13" t="s">
        <v>114</v>
      </c>
      <c r="C15" s="16" t="s">
        <v>115</v>
      </c>
      <c r="D15" s="14">
        <v>115458336.806729</v>
      </c>
      <c r="E15" s="14">
        <f>S15</f>
        <v>-27100.716734013618</v>
      </c>
      <c r="F15" s="14">
        <f>SUM(D15:E15)</f>
        <v>115431236.089995</v>
      </c>
      <c r="G15" s="47">
        <v>0.88880000000000003</v>
      </c>
      <c r="H15" s="14">
        <f>F15*G15</f>
        <v>102595282.63678756</v>
      </c>
      <c r="I15" s="14">
        <f>$K15*I$21</f>
        <v>-22916894.014978446</v>
      </c>
      <c r="J15" s="14">
        <f>SUM(H15:I15)</f>
        <v>79678388.621809125</v>
      </c>
      <c r="K15" s="47">
        <f>H15/H$21</f>
        <v>2.2179500216313205E-2</v>
      </c>
      <c r="L15" s="47">
        <v>1.5807874999999999E-2</v>
      </c>
      <c r="M15" s="47">
        <f>K15*L15</f>
        <v>3.5061076698195208E-4</v>
      </c>
      <c r="N15" s="47">
        <v>2.6747510269335971E-4</v>
      </c>
      <c r="Q15" s="47"/>
      <c r="R15" s="47">
        <f>D15/D$21</f>
        <v>2.2182425929549918E-2</v>
      </c>
      <c r="S15" s="14">
        <f>$S$21*R15</f>
        <v>-27100.716734013618</v>
      </c>
    </row>
    <row r="16" spans="1:16384" ht="18.95" customHeight="1" x14ac:dyDescent="0.2">
      <c r="A16" s="15"/>
      <c r="B16" s="13"/>
      <c r="C16" s="16"/>
      <c r="D16" s="14"/>
      <c r="E16" s="14"/>
      <c r="F16" s="14"/>
      <c r="G16" s="48"/>
      <c r="H16" s="14"/>
      <c r="I16" s="14"/>
      <c r="J16" s="14"/>
      <c r="K16" s="47"/>
      <c r="L16" s="48"/>
      <c r="M16" s="47"/>
      <c r="N16" s="48"/>
      <c r="Q16" s="47"/>
      <c r="R16" s="47"/>
      <c r="S16" s="14"/>
    </row>
    <row r="17" spans="1:19" ht="18.95" customHeight="1" x14ac:dyDescent="0.2">
      <c r="A17" s="15">
        <v>2</v>
      </c>
      <c r="B17" s="13" t="s">
        <v>116</v>
      </c>
      <c r="C17" s="16" t="s">
        <v>117</v>
      </c>
      <c r="D17" s="14">
        <v>2317617085.666522</v>
      </c>
      <c r="E17" s="61">
        <f>S17</f>
        <v>-543997.82530816796</v>
      </c>
      <c r="F17" s="14">
        <f>SUM(D17:E17)</f>
        <v>2317073087.8412137</v>
      </c>
      <c r="G17" s="49">
        <f>$G15</f>
        <v>0.88880000000000003</v>
      </c>
      <c r="H17" s="14">
        <f>F17*G17</f>
        <v>2059414560.4732709</v>
      </c>
      <c r="I17" s="14">
        <f>$K17*I$21</f>
        <v>-460015158.61457878</v>
      </c>
      <c r="J17" s="14">
        <f>SUM(H17:I17)</f>
        <v>1599399401.8586922</v>
      </c>
      <c r="K17" s="47">
        <f>H17/H$21</f>
        <v>0.44521331308382367</v>
      </c>
      <c r="L17" s="49">
        <v>4.2101430473146732E-2</v>
      </c>
      <c r="M17" s="47">
        <f>K17*L17</f>
        <v>1.8744117346517909E-2</v>
      </c>
      <c r="N17" s="47">
        <v>1.7889544402377295E-2</v>
      </c>
      <c r="Q17" s="47"/>
      <c r="R17" s="47">
        <f>D17/D$21</f>
        <v>0.44527204148034061</v>
      </c>
      <c r="S17" s="14">
        <f>$S$21*R17</f>
        <v>-543997.82530816796</v>
      </c>
    </row>
    <row r="18" spans="1:19" ht="18.95" customHeight="1" x14ac:dyDescent="0.2">
      <c r="A18" s="15"/>
      <c r="B18" s="13"/>
      <c r="C18" s="16"/>
      <c r="D18" s="50"/>
      <c r="E18" s="50"/>
      <c r="F18" s="50"/>
      <c r="G18" s="52"/>
      <c r="H18" s="50"/>
      <c r="I18" s="50"/>
      <c r="J18" s="50"/>
      <c r="K18" s="51"/>
      <c r="L18" s="52"/>
      <c r="M18" s="51"/>
      <c r="N18" s="52"/>
      <c r="Q18" s="51"/>
      <c r="R18" s="51"/>
      <c r="S18" s="50"/>
    </row>
    <row r="19" spans="1:19" ht="18.95" customHeight="1" x14ac:dyDescent="0.2">
      <c r="A19" s="15">
        <v>3</v>
      </c>
      <c r="B19" s="13" t="s">
        <v>118</v>
      </c>
      <c r="C19" s="16"/>
      <c r="D19" s="20">
        <v>2771870924.3969202</v>
      </c>
      <c r="E19" s="62">
        <v>35805.312042181497</v>
      </c>
      <c r="F19" s="20">
        <f>SUM(D19:E19)</f>
        <v>2771906729.7089624</v>
      </c>
      <c r="G19" s="49">
        <f>$G17</f>
        <v>0.88880000000000003</v>
      </c>
      <c r="H19" s="20">
        <f>F19*G19</f>
        <v>2463670701.3653259</v>
      </c>
      <c r="I19" s="20">
        <f>$K19*I$21</f>
        <v>-550314584.64691687</v>
      </c>
      <c r="J19" s="20">
        <f>SUM(H19:I19)</f>
        <v>1913356116.7184091</v>
      </c>
      <c r="K19" s="53">
        <f>H19/H$21</f>
        <v>0.53260718669986329</v>
      </c>
      <c r="L19" s="47">
        <v>0.105</v>
      </c>
      <c r="M19" s="53">
        <f>K19*L19</f>
        <v>5.5923754603485643E-2</v>
      </c>
      <c r="N19" s="53">
        <v>5.5678053143899502E-2</v>
      </c>
      <c r="Q19" s="47"/>
      <c r="R19" s="53">
        <f>D19/D$21</f>
        <v>0.53254553259010962</v>
      </c>
      <c r="S19" s="20">
        <f>$S$21*R19</f>
        <v>-650621.60795781866</v>
      </c>
    </row>
    <row r="20" spans="1:19" ht="18.95" customHeight="1" x14ac:dyDescent="0.2">
      <c r="A20" s="15"/>
      <c r="B20" s="13"/>
      <c r="C20" s="16"/>
      <c r="D20" s="14"/>
      <c r="E20" s="14"/>
      <c r="F20" s="14"/>
      <c r="G20" s="48"/>
      <c r="H20" s="14"/>
      <c r="I20" s="14"/>
      <c r="J20" s="14"/>
      <c r="K20" s="47"/>
      <c r="L20" s="48"/>
      <c r="M20" s="47"/>
      <c r="N20" s="48"/>
      <c r="Q20" s="48"/>
      <c r="R20" s="48"/>
      <c r="S20" s="14"/>
    </row>
    <row r="21" spans="1:19" ht="18.95" customHeight="1" thickBot="1" x14ac:dyDescent="0.25">
      <c r="A21" s="15">
        <v>4</v>
      </c>
      <c r="B21" s="13" t="s">
        <v>119</v>
      </c>
      <c r="C21" s="16"/>
      <c r="D21" s="21">
        <f>SUM(D15:D19)</f>
        <v>5204946346.8701706</v>
      </c>
      <c r="E21" s="21">
        <f>SUM(E15:E19)</f>
        <v>-535293.2300000001</v>
      </c>
      <c r="F21" s="21">
        <f>SUM(F15:F19)</f>
        <v>5204411053.6401711</v>
      </c>
      <c r="G21" s="48"/>
      <c r="H21" s="21">
        <f>SUM(H15:H19)</f>
        <v>4625680544.4753838</v>
      </c>
      <c r="I21" s="21">
        <v>-1033246637.276474</v>
      </c>
      <c r="J21" s="21">
        <f>SUM(J15:J19)</f>
        <v>3592433907.1989102</v>
      </c>
      <c r="K21" s="54">
        <f>SUM(K15:K19)</f>
        <v>1.0000000000000002</v>
      </c>
      <c r="L21" s="48"/>
      <c r="M21" s="54">
        <f>SUM(M15:M19)</f>
        <v>7.5018482716985496E-2</v>
      </c>
      <c r="N21" s="54">
        <f>SUM(N15:N19)</f>
        <v>7.3835072648970157E-2</v>
      </c>
      <c r="Q21" s="47"/>
      <c r="R21" s="54">
        <f>SUM(R15:R19)</f>
        <v>1.0000000000000002</v>
      </c>
      <c r="S21" s="21">
        <v>-1221720.1500000001</v>
      </c>
    </row>
    <row r="22" spans="1:19" ht="18.95" customHeight="1" thickTop="1" x14ac:dyDescent="0.2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61">
        <f>SUM(S15:S19)</f>
        <v>-1221720.1500000004</v>
      </c>
    </row>
    <row r="23" spans="1:19" s="7" customFormat="1" ht="20.100000000000001" customHeight="1" x14ac:dyDescent="0.2">
      <c r="A23" s="69" t="str">
        <f>A1</f>
        <v>KENTUCKY UTILITIES COMPANY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45"/>
    </row>
    <row r="24" spans="1:19" s="7" customFormat="1" ht="20.100000000000001" customHeight="1" x14ac:dyDescent="0.2">
      <c r="A24" s="69" t="str">
        <f t="shared" ref="A24:A25" si="0">A2</f>
        <v>CASE NO. 2014-00371 - RESPONSE TO PSC 2-75 (SLIPPAGE FACTOR 97.803%)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45"/>
    </row>
    <row r="25" spans="1:19" s="7" customFormat="1" ht="20.100000000000001" customHeight="1" x14ac:dyDescent="0.2">
      <c r="A25" s="69" t="str">
        <f t="shared" si="0"/>
        <v>COST OF CAPITAL SUMMARY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45"/>
    </row>
    <row r="26" spans="1:19" s="7" customFormat="1" ht="20.100000000000001" customHeight="1" x14ac:dyDescent="0.2">
      <c r="A26" s="68" t="s">
        <v>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45"/>
    </row>
    <row r="27" spans="1:19" s="7" customFormat="1" ht="20.100000000000001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19" s="7" customFormat="1" ht="20.100000000000001" customHeight="1" x14ac:dyDescent="0.2">
      <c r="A28" s="8" t="s">
        <v>126</v>
      </c>
      <c r="M28" s="9"/>
    </row>
    <row r="29" spans="1:19" s="7" customFormat="1" ht="20.100000000000001" customHeight="1" x14ac:dyDescent="0.2">
      <c r="A29" s="8" t="s">
        <v>127</v>
      </c>
      <c r="M29" s="9" t="s">
        <v>121</v>
      </c>
    </row>
    <row r="30" spans="1:19" s="7" customFormat="1" ht="20.100000000000001" customHeight="1" x14ac:dyDescent="0.2">
      <c r="A30" s="7" t="s">
        <v>74</v>
      </c>
      <c r="M30" s="9" t="s">
        <v>128</v>
      </c>
    </row>
    <row r="31" spans="1:19" s="7" customFormat="1" ht="20.100000000000001" customHeight="1" x14ac:dyDescent="0.2">
      <c r="A31" s="8" t="s">
        <v>40</v>
      </c>
      <c r="M31" s="10" t="str">
        <f>$N$9</f>
        <v>WITNESS:   K. W. BLAKE</v>
      </c>
    </row>
    <row r="32" spans="1:19" s="7" customFormat="1" ht="20.100000000000001" customHeight="1" x14ac:dyDescent="0.2"/>
    <row r="33" spans="1:19" ht="66" customHeight="1" x14ac:dyDescent="0.2">
      <c r="A33" s="19" t="s">
        <v>41</v>
      </c>
      <c r="B33" s="19" t="s">
        <v>100</v>
      </c>
      <c r="C33" s="19" t="s">
        <v>101</v>
      </c>
      <c r="D33" s="19" t="s">
        <v>123</v>
      </c>
      <c r="E33" s="19" t="s">
        <v>102</v>
      </c>
      <c r="F33" s="19" t="s">
        <v>103</v>
      </c>
      <c r="G33" s="19" t="s">
        <v>129</v>
      </c>
      <c r="H33" s="19" t="s">
        <v>138</v>
      </c>
      <c r="I33" s="19" t="s">
        <v>139</v>
      </c>
      <c r="J33" s="19" t="s">
        <v>130</v>
      </c>
      <c r="K33" s="19" t="s">
        <v>104</v>
      </c>
      <c r="L33" s="19" t="s">
        <v>105</v>
      </c>
      <c r="M33" s="19" t="s">
        <v>124</v>
      </c>
      <c r="N33" s="16"/>
    </row>
    <row r="34" spans="1:19" ht="18.95" customHeight="1" x14ac:dyDescent="0.2">
      <c r="A34" s="12"/>
      <c r="B34" s="46" t="s">
        <v>107</v>
      </c>
      <c r="C34" s="46" t="s">
        <v>108</v>
      </c>
      <c r="D34" s="46" t="s">
        <v>109</v>
      </c>
      <c r="E34" s="46" t="s">
        <v>110</v>
      </c>
      <c r="F34" s="46" t="s">
        <v>111</v>
      </c>
      <c r="G34" s="46" t="s">
        <v>112</v>
      </c>
      <c r="H34" s="46" t="s">
        <v>131</v>
      </c>
      <c r="I34" s="46" t="s">
        <v>132</v>
      </c>
      <c r="J34" s="46" t="s">
        <v>140</v>
      </c>
      <c r="K34" s="46" t="s">
        <v>141</v>
      </c>
      <c r="L34" s="46" t="s">
        <v>142</v>
      </c>
      <c r="M34" s="46" t="s">
        <v>143</v>
      </c>
      <c r="N34" s="46"/>
    </row>
    <row r="35" spans="1:19" ht="18.95" customHeight="1" x14ac:dyDescent="0.2">
      <c r="A35" s="12"/>
      <c r="B35" s="17"/>
      <c r="C35" s="17"/>
      <c r="D35" s="18" t="s">
        <v>42</v>
      </c>
      <c r="E35" s="18" t="s">
        <v>42</v>
      </c>
      <c r="F35" s="18" t="s">
        <v>42</v>
      </c>
      <c r="G35" s="18" t="s">
        <v>113</v>
      </c>
      <c r="H35" s="18" t="s">
        <v>42</v>
      </c>
      <c r="I35" s="18" t="s">
        <v>42</v>
      </c>
      <c r="J35" s="18" t="s">
        <v>42</v>
      </c>
      <c r="K35" s="18"/>
      <c r="L35" s="18" t="s">
        <v>113</v>
      </c>
      <c r="M35" s="18" t="s">
        <v>113</v>
      </c>
      <c r="N35" s="18"/>
    </row>
    <row r="36" spans="1:19" ht="18.95" customHeight="1" x14ac:dyDescent="0.2">
      <c r="A36" s="15"/>
      <c r="B36" s="13"/>
      <c r="C36" s="1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7" t="s">
        <v>133</v>
      </c>
    </row>
    <row r="37" spans="1:19" ht="18.95" customHeight="1" x14ac:dyDescent="0.2">
      <c r="A37" s="15">
        <v>1</v>
      </c>
      <c r="B37" s="13" t="s">
        <v>114</v>
      </c>
      <c r="C37" s="16" t="s">
        <v>115</v>
      </c>
      <c r="D37" s="14">
        <v>243190202.22694799</v>
      </c>
      <c r="E37" s="14">
        <f>S37</f>
        <v>-59811.767981771583</v>
      </c>
      <c r="F37" s="14">
        <f>SUM(D37:E37)</f>
        <v>243130390.45896623</v>
      </c>
      <c r="G37" s="47">
        <v>0.88749999999999996</v>
      </c>
      <c r="H37" s="14">
        <f>F37*G37</f>
        <v>215778221.53233251</v>
      </c>
      <c r="I37" s="14">
        <f>$K37*I$43</f>
        <v>-45150768.330258071</v>
      </c>
      <c r="J37" s="14">
        <f>SUM(H37:I37)</f>
        <v>170627453.20207444</v>
      </c>
      <c r="K37" s="47">
        <f>H37/H$43</f>
        <v>4.8950246060321931E-2</v>
      </c>
      <c r="L37" s="47">
        <v>6.3629500000000009E-3</v>
      </c>
      <c r="M37" s="47">
        <f>K37*L37</f>
        <v>3.1146796816952546E-4</v>
      </c>
      <c r="N37" s="14"/>
      <c r="R37" s="47">
        <f>D37/D$43</f>
        <v>4.8957011948907919E-2</v>
      </c>
      <c r="S37" s="14">
        <f>$S$21*R37</f>
        <v>-59811.767981771583</v>
      </c>
    </row>
    <row r="38" spans="1:19" ht="18.95" customHeight="1" x14ac:dyDescent="0.2">
      <c r="A38" s="15"/>
      <c r="B38" s="13"/>
      <c r="C38" s="16"/>
      <c r="D38" s="14"/>
      <c r="E38" s="14"/>
      <c r="F38" s="14"/>
      <c r="G38" s="47"/>
      <c r="H38" s="14"/>
      <c r="I38" s="14"/>
      <c r="J38" s="14"/>
      <c r="K38" s="47"/>
      <c r="L38" s="47"/>
      <c r="M38" s="47"/>
      <c r="N38" s="14"/>
      <c r="R38" s="47"/>
      <c r="S38" s="14"/>
    </row>
    <row r="39" spans="1:19" ht="18.95" customHeight="1" x14ac:dyDescent="0.2">
      <c r="A39" s="15">
        <v>2</v>
      </c>
      <c r="B39" s="13" t="s">
        <v>116</v>
      </c>
      <c r="C39" s="16" t="s">
        <v>117</v>
      </c>
      <c r="D39" s="14">
        <v>2063411394.2623298</v>
      </c>
      <c r="E39" s="61">
        <f>S39</f>
        <v>-507488.71638088749</v>
      </c>
      <c r="F39" s="14">
        <f>SUM(D39:E39)</f>
        <v>2062903905.545949</v>
      </c>
      <c r="G39" s="49">
        <f>G$37</f>
        <v>0.88749999999999996</v>
      </c>
      <c r="H39" s="14">
        <f>F39*G39</f>
        <v>1830827216.1720297</v>
      </c>
      <c r="I39" s="14">
        <f>$K39*I$43</f>
        <v>-383093599.08098161</v>
      </c>
      <c r="J39" s="14">
        <f>SUM(H39:I39)</f>
        <v>1447733617.0910482</v>
      </c>
      <c r="K39" s="47">
        <f>H39/H$43</f>
        <v>0.41533126971354872</v>
      </c>
      <c r="L39" s="49">
        <v>3.7836994575338304E-2</v>
      </c>
      <c r="M39" s="47">
        <f>K39*L39</f>
        <v>1.5714886999119913E-2</v>
      </c>
      <c r="R39" s="47">
        <f>D39/D$43</f>
        <v>0.41538867667926033</v>
      </c>
      <c r="S39" s="14">
        <f>$S$21*R39</f>
        <v>-507488.71638088749</v>
      </c>
    </row>
    <row r="40" spans="1:19" ht="18.95" customHeight="1" x14ac:dyDescent="0.2">
      <c r="A40" s="15"/>
      <c r="B40" s="13"/>
      <c r="C40" s="16"/>
      <c r="D40" s="50"/>
      <c r="E40" s="50"/>
      <c r="F40" s="50"/>
      <c r="G40" s="51"/>
      <c r="H40" s="50"/>
      <c r="I40" s="50"/>
      <c r="J40" s="50"/>
      <c r="K40" s="51"/>
      <c r="L40" s="51"/>
      <c r="M40" s="51"/>
      <c r="N40" s="50"/>
      <c r="R40" s="51"/>
      <c r="S40" s="50"/>
    </row>
    <row r="41" spans="1:19" ht="18.95" customHeight="1" x14ac:dyDescent="0.2">
      <c r="A41" s="15">
        <v>3</v>
      </c>
      <c r="B41" s="13" t="s">
        <v>118</v>
      </c>
      <c r="C41" s="16"/>
      <c r="D41" s="20">
        <v>2660821711.1411796</v>
      </c>
      <c r="E41" s="20">
        <v>32007.254362658947</v>
      </c>
      <c r="F41" s="20">
        <f>SUM(D41:E41)</f>
        <v>2660853718.3955421</v>
      </c>
      <c r="G41" s="49">
        <f>G$37</f>
        <v>0.88749999999999996</v>
      </c>
      <c r="H41" s="20">
        <f>F41*G41</f>
        <v>2361507675.0760436</v>
      </c>
      <c r="I41" s="20">
        <f>$K41*I$43</f>
        <v>-494136457.28611284</v>
      </c>
      <c r="J41" s="20">
        <f>SUM(H41:I41)</f>
        <v>1867371217.7899308</v>
      </c>
      <c r="K41" s="53">
        <f>H41/H$43</f>
        <v>0.53571848422612933</v>
      </c>
      <c r="L41" s="47">
        <v>0.105</v>
      </c>
      <c r="M41" s="53">
        <f>K41*L41</f>
        <v>5.6250440843743581E-2</v>
      </c>
      <c r="N41" s="14"/>
      <c r="R41" s="53">
        <f>D41/D$43</f>
        <v>0.53565431137183184</v>
      </c>
      <c r="S41" s="20">
        <f>$S$21*R41</f>
        <v>-654419.66563734121</v>
      </c>
    </row>
    <row r="42" spans="1:19" ht="18.95" customHeight="1" x14ac:dyDescent="0.2">
      <c r="A42" s="15"/>
      <c r="B42" s="13"/>
      <c r="C42" s="16"/>
      <c r="D42" s="14"/>
      <c r="E42" s="14"/>
      <c r="F42" s="14"/>
      <c r="G42" s="47"/>
      <c r="H42" s="14"/>
      <c r="I42" s="14"/>
      <c r="J42" s="14"/>
      <c r="K42" s="47"/>
      <c r="L42" s="47"/>
      <c r="M42" s="47"/>
      <c r="N42" s="14"/>
      <c r="R42" s="48"/>
      <c r="S42" s="14"/>
    </row>
    <row r="43" spans="1:19" ht="18.95" customHeight="1" thickBot="1" x14ac:dyDescent="0.25">
      <c r="A43" s="15">
        <v>4</v>
      </c>
      <c r="B43" s="13" t="s">
        <v>119</v>
      </c>
      <c r="C43" s="16"/>
      <c r="D43" s="21">
        <f>SUM(D37:D41)</f>
        <v>4967423307.6304569</v>
      </c>
      <c r="E43" s="21">
        <f>SUM(E37:E41)</f>
        <v>-535293.2300000001</v>
      </c>
      <c r="F43" s="21">
        <f>SUM(F37:F41)</f>
        <v>4966888014.4004574</v>
      </c>
      <c r="G43" s="47"/>
      <c r="H43" s="21">
        <f>SUM(H37:H41)</f>
        <v>4408113112.780406</v>
      </c>
      <c r="I43" s="21">
        <v>-922380824.69735253</v>
      </c>
      <c r="J43" s="21">
        <f>SUM(J37:J41)</f>
        <v>3485732288.0830536</v>
      </c>
      <c r="K43" s="54">
        <f>SUM(K37:K41)</f>
        <v>1</v>
      </c>
      <c r="L43" s="47"/>
      <c r="M43" s="54">
        <f t="shared" ref="M43" si="1">SUM(M37:M41)</f>
        <v>7.2276795811033023E-2</v>
      </c>
      <c r="N43" s="14"/>
      <c r="R43" s="54">
        <f>SUM(R37:R41)</f>
        <v>1</v>
      </c>
      <c r="S43" s="21">
        <v>-1221720.1500000001</v>
      </c>
    </row>
    <row r="44" spans="1:19" ht="18.95" customHeight="1" thickTop="1" x14ac:dyDescent="0.2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S44" s="61">
        <f>SUM(S37:S41)</f>
        <v>-1221720.1500000004</v>
      </c>
    </row>
    <row r="45" spans="1:19" ht="18.95" customHeight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5"/>
      <c r="C48" s="1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55"/>
      <c r="C49" s="16"/>
    </row>
    <row r="50" spans="1:14" ht="18.95" customHeight="1" x14ac:dyDescent="0.2">
      <c r="A50" s="15"/>
      <c r="B50" s="55"/>
      <c r="C50" s="1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55"/>
      <c r="C51" s="16"/>
    </row>
    <row r="52" spans="1:14" ht="18.95" customHeight="1" x14ac:dyDescent="0.2">
      <c r="A52" s="15"/>
      <c r="B52" s="55"/>
      <c r="C52" s="1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</row>
    <row r="53" spans="1:14" ht="18.95" customHeight="1" x14ac:dyDescent="0.2">
      <c r="C53" s="16"/>
    </row>
    <row r="54" spans="1:14" ht="18.95" customHeight="1" x14ac:dyDescent="0.2">
      <c r="C54" s="16"/>
    </row>
    <row r="55" spans="1:14" ht="18.95" customHeight="1" x14ac:dyDescent="0.2">
      <c r="C55" s="16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  <row r="219" ht="18.95" customHeight="1" x14ac:dyDescent="0.2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95" right="0.5" top="0.75" bottom="0.75" header="0.3" footer="0.3"/>
  <pageSetup scale="58" fitToHeight="0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2015-01-20T20:42:52Z</dcterms:modified>
</cp:coreProperties>
</file>